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32" activeTab="1"/>
  </bookViews>
  <sheets>
    <sheet name="2016 Dep Exp " sheetId="1" r:id="rId1"/>
    <sheet name="2017 Dep Exp " sheetId="2" r:id="rId2"/>
    <sheet name="2018 Dep Exp " sheetId="3" r:id="rId3"/>
    <sheet name="2019 Dep Exp " sheetId="4" r:id="rId4"/>
    <sheet name="2020 Dep Exp " sheetId="7" r:id="rId5"/>
    <sheet name="2021 Dep Exp" sheetId="8" r:id="rId6"/>
  </sheets>
  <externalReferences>
    <externalReference r:id="rId7"/>
    <externalReference r:id="rId8"/>
    <externalReference r:id="rId9"/>
  </externalReferences>
  <definedNames>
    <definedName name="BridgeYear">'[1]LDC Info'!$E$26</definedName>
    <definedName name="DaysInPreviousYear">'[2]Distribution Revenue by Source'!$B$22</definedName>
    <definedName name="DaysInYear">'[2]Distribution Revenue by Source'!$B$21</definedName>
    <definedName name="Header_Row" localSheetId="0">ROW('[3]Loan Amortization Schedule'!#REF!)</definedName>
    <definedName name="Header_Row" localSheetId="1">ROW('[3]Loan Amortization Schedule'!#REF!)</definedName>
    <definedName name="Header_Row" localSheetId="2">ROW('[3]Loan Amortization Schedule'!#REF!)</definedName>
    <definedName name="Header_Row" localSheetId="3">ROW('[3]Loan Amortization Schedule'!#REF!)</definedName>
    <definedName name="Header_Row" localSheetId="4">ROW('[3]Loan Amortization Schedule'!#REF!)</definedName>
    <definedName name="Header_Row" localSheetId="5">ROW('[3]Loan Amortization Schedule'!#REF!)</definedName>
    <definedName name="Header_Row">ROW('[3]Loan Amortization Schedule'!#REF!)</definedName>
    <definedName name="Interest_Rate">'[3]Loan Amortization Schedule'!$D$7</definedName>
    <definedName name="Last_Row" localSheetId="0">IF([0]!Values_Entered,'2016 Dep Exp '!Header_Row+[0]!Number_of_Payments,'2016 Dep Exp '!Header_Row)</definedName>
    <definedName name="Last_Row" localSheetId="1">IF([0]!Values_Entered,'2017 Dep Exp '!Header_Row+[0]!Number_of_Payments,'2017 Dep Exp '!Header_Row)</definedName>
    <definedName name="Last_Row" localSheetId="2">IF([0]!Values_Entered,'2018 Dep Exp '!Header_Row+[0]!Number_of_Payments,'2018 Dep Exp '!Header_Row)</definedName>
    <definedName name="Last_Row" localSheetId="3">IF([0]!Values_Entered,'2019 Dep Exp '!Header_Row+[0]!Number_of_Payments,'2019 Dep Exp '!Header_Row)</definedName>
    <definedName name="Last_Row" localSheetId="4">IF([0]!Values_Entered,'2020 Dep Exp '!Header_Row+[0]!Number_of_Payments,'2020 Dep Exp '!Header_Row)</definedName>
    <definedName name="Last_Row" localSheetId="5">IF([0]!Values_Entered,'2021 Dep Exp'!Header_Row+[0]!Number_of_Payments,'2021 Dep Exp'!Header_Row)</definedName>
    <definedName name="Last_Row">IF(Values_Entered,Header_Row+Number_of_Payments,Header_Row)</definedName>
    <definedName name="Loan_Amount">'[3]Loan Amortization Schedule'!$D$5</definedName>
    <definedName name="Loan_Start">'[3]Loan Amortization Schedule'!$D$11</definedName>
    <definedName name="Loan_Years">'[3]Loan Amortization Schedule'!$D$8</definedName>
    <definedName name="MofF" localSheetId="0">#REF!</definedName>
    <definedName name="MofF" localSheetId="1">#REF!</definedName>
    <definedName name="MofF" localSheetId="2">#REF!</definedName>
    <definedName name="MofF" localSheetId="3">#REF!</definedName>
    <definedName name="MofF" localSheetId="4">#REF!</definedName>
    <definedName name="MofF" localSheetId="5">#REF!</definedName>
    <definedName name="MofF">#REF!</definedName>
    <definedName name="Number_of_Payments">'[3]Loan Amortization Schedule'!$H$11</definedName>
    <definedName name="_xlnm.Print_Titles" localSheetId="0">'2016 Dep Exp '!$B:$C</definedName>
    <definedName name="Ratebase">'[2]Distribution Revenue by Source'!$C$25</definedName>
    <definedName name="Surtax" localSheetId="0">#REF!</definedName>
    <definedName name="Surtax" localSheetId="1">#REF!</definedName>
    <definedName name="Surtax" localSheetId="2">#REF!</definedName>
    <definedName name="Surtax" localSheetId="3">#REF!</definedName>
    <definedName name="Surtax" localSheetId="4">#REF!</definedName>
    <definedName name="Surtax" localSheetId="5">#REF!</definedName>
    <definedName name="Surtax">#REF!</definedName>
    <definedName name="TestYear">'[1]LDC Info'!$E$24</definedName>
    <definedName name="Values_Entered">IF(Loan_Amount*Interest_Rate*Loan_Years*Loan_Start&gt;0,1,0)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8" l="1"/>
  <c r="S28" i="7"/>
  <c r="S8" i="7" l="1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7" i="7"/>
  <c r="S7" i="8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7" i="4"/>
  <c r="D72" i="1" l="1"/>
  <c r="R82" i="8"/>
  <c r="Q82" i="8"/>
  <c r="P82" i="8"/>
  <c r="O82" i="8"/>
  <c r="J82" i="8"/>
  <c r="I82" i="8"/>
  <c r="H82" i="8"/>
  <c r="G82" i="8"/>
  <c r="F82" i="8"/>
  <c r="E82" i="8"/>
  <c r="D82" i="8"/>
  <c r="V81" i="8"/>
  <c r="T81" i="8"/>
  <c r="R81" i="8"/>
  <c r="Q81" i="8"/>
  <c r="P81" i="8"/>
  <c r="O81" i="8"/>
  <c r="N81" i="8"/>
  <c r="L81" i="8"/>
  <c r="I81" i="8"/>
  <c r="G81" i="8"/>
  <c r="F81" i="8"/>
  <c r="D81" i="8"/>
  <c r="V80" i="8"/>
  <c r="T80" i="8"/>
  <c r="R80" i="8"/>
  <c r="Q80" i="8"/>
  <c r="P80" i="8"/>
  <c r="O80" i="8"/>
  <c r="N80" i="8"/>
  <c r="L80" i="8"/>
  <c r="I80" i="8"/>
  <c r="G80" i="8"/>
  <c r="F80" i="8"/>
  <c r="D80" i="8"/>
  <c r="V79" i="8"/>
  <c r="G79" i="8"/>
  <c r="F79" i="8"/>
  <c r="D79" i="8"/>
  <c r="V78" i="8"/>
  <c r="T78" i="8"/>
  <c r="R78" i="8"/>
  <c r="Q78" i="8"/>
  <c r="P78" i="8"/>
  <c r="O78" i="8"/>
  <c r="N78" i="8"/>
  <c r="L78" i="8"/>
  <c r="I78" i="8"/>
  <c r="G78" i="8"/>
  <c r="F78" i="8"/>
  <c r="D78" i="8"/>
  <c r="T77" i="8"/>
  <c r="R77" i="8"/>
  <c r="Q77" i="8"/>
  <c r="P77" i="8"/>
  <c r="O77" i="8"/>
  <c r="N77" i="8"/>
  <c r="L77" i="8"/>
  <c r="I77" i="8"/>
  <c r="G77" i="8"/>
  <c r="F77" i="8"/>
  <c r="D77" i="8"/>
  <c r="V76" i="8"/>
  <c r="T76" i="8"/>
  <c r="R76" i="8"/>
  <c r="Q76" i="8"/>
  <c r="P76" i="8"/>
  <c r="O76" i="8"/>
  <c r="N76" i="8"/>
  <c r="L76" i="8"/>
  <c r="I76" i="8"/>
  <c r="G76" i="8"/>
  <c r="F76" i="8"/>
  <c r="D76" i="8"/>
  <c r="T75" i="8"/>
  <c r="R75" i="8"/>
  <c r="Q75" i="8"/>
  <c r="P75" i="8"/>
  <c r="O75" i="8"/>
  <c r="N75" i="8"/>
  <c r="L75" i="8"/>
  <c r="I75" i="8"/>
  <c r="G75" i="8"/>
  <c r="F75" i="8"/>
  <c r="D75" i="8"/>
  <c r="V74" i="8"/>
  <c r="T74" i="8"/>
  <c r="R74" i="8"/>
  <c r="Q74" i="8"/>
  <c r="P74" i="8"/>
  <c r="O74" i="8"/>
  <c r="N74" i="8"/>
  <c r="L74" i="8"/>
  <c r="I74" i="8"/>
  <c r="G74" i="8"/>
  <c r="F74" i="8"/>
  <c r="D74" i="8"/>
  <c r="T73" i="8"/>
  <c r="R73" i="8"/>
  <c r="Q73" i="8"/>
  <c r="P73" i="8"/>
  <c r="O73" i="8"/>
  <c r="N73" i="8"/>
  <c r="L73" i="8"/>
  <c r="I73" i="8"/>
  <c r="G73" i="8"/>
  <c r="F73" i="8"/>
  <c r="D73" i="8"/>
  <c r="V72" i="8"/>
  <c r="T72" i="8"/>
  <c r="R72" i="8"/>
  <c r="Q72" i="8"/>
  <c r="P72" i="8"/>
  <c r="O72" i="8"/>
  <c r="N72" i="8"/>
  <c r="L72" i="8"/>
  <c r="I72" i="8"/>
  <c r="G72" i="8"/>
  <c r="F72" i="8"/>
  <c r="D72" i="8"/>
  <c r="V71" i="8"/>
  <c r="T71" i="8"/>
  <c r="R71" i="8"/>
  <c r="Q71" i="8"/>
  <c r="P71" i="8"/>
  <c r="O71" i="8"/>
  <c r="N71" i="8"/>
  <c r="L71" i="8"/>
  <c r="I71" i="8"/>
  <c r="G71" i="8"/>
  <c r="F71" i="8"/>
  <c r="D71" i="8"/>
  <c r="T70" i="8"/>
  <c r="R70" i="8"/>
  <c r="Q70" i="8"/>
  <c r="P70" i="8"/>
  <c r="O70" i="8"/>
  <c r="N70" i="8"/>
  <c r="L70" i="8"/>
  <c r="I70" i="8"/>
  <c r="G70" i="8"/>
  <c r="F70" i="8"/>
  <c r="D70" i="8"/>
  <c r="T69" i="8"/>
  <c r="R69" i="8"/>
  <c r="Q69" i="8"/>
  <c r="P69" i="8"/>
  <c r="O69" i="8"/>
  <c r="N69" i="8"/>
  <c r="L69" i="8"/>
  <c r="I69" i="8"/>
  <c r="G69" i="8"/>
  <c r="F69" i="8"/>
  <c r="D69" i="8"/>
  <c r="V68" i="8"/>
  <c r="T68" i="8"/>
  <c r="R68" i="8"/>
  <c r="Q68" i="8"/>
  <c r="P68" i="8"/>
  <c r="O68" i="8"/>
  <c r="N68" i="8"/>
  <c r="L68" i="8"/>
  <c r="I68" i="8"/>
  <c r="G68" i="8"/>
  <c r="F68" i="8"/>
  <c r="D68" i="8"/>
  <c r="V67" i="8"/>
  <c r="T67" i="8"/>
  <c r="R67" i="8"/>
  <c r="Q67" i="8"/>
  <c r="P67" i="8"/>
  <c r="O67" i="8"/>
  <c r="N67" i="8"/>
  <c r="L67" i="8"/>
  <c r="I67" i="8"/>
  <c r="G67" i="8"/>
  <c r="F67" i="8"/>
  <c r="D67" i="8"/>
  <c r="T66" i="8"/>
  <c r="R66" i="8"/>
  <c r="Q66" i="8"/>
  <c r="P66" i="8"/>
  <c r="O66" i="8"/>
  <c r="N66" i="8"/>
  <c r="L66" i="8"/>
  <c r="I66" i="8"/>
  <c r="G66" i="8"/>
  <c r="F66" i="8"/>
  <c r="D66" i="8"/>
  <c r="V65" i="8"/>
  <c r="T65" i="8"/>
  <c r="R65" i="8"/>
  <c r="Q65" i="8"/>
  <c r="P65" i="8"/>
  <c r="O65" i="8"/>
  <c r="N65" i="8"/>
  <c r="L65" i="8"/>
  <c r="I65" i="8"/>
  <c r="G65" i="8"/>
  <c r="F65" i="8"/>
  <c r="D65" i="8"/>
  <c r="V64" i="8"/>
  <c r="T64" i="8"/>
  <c r="R64" i="8"/>
  <c r="Q64" i="8"/>
  <c r="P64" i="8"/>
  <c r="O64" i="8"/>
  <c r="N64" i="8"/>
  <c r="L64" i="8"/>
  <c r="I64" i="8"/>
  <c r="G64" i="8"/>
  <c r="F64" i="8"/>
  <c r="D64" i="8"/>
  <c r="V63" i="8"/>
  <c r="T63" i="8"/>
  <c r="R63" i="8"/>
  <c r="Q63" i="8"/>
  <c r="P63" i="8"/>
  <c r="O63" i="8"/>
  <c r="N63" i="8"/>
  <c r="L63" i="8"/>
  <c r="I63" i="8"/>
  <c r="G63" i="8"/>
  <c r="F63" i="8"/>
  <c r="D63" i="8"/>
  <c r="T62" i="8"/>
  <c r="R62" i="8"/>
  <c r="Q62" i="8"/>
  <c r="P62" i="8"/>
  <c r="O62" i="8"/>
  <c r="N62" i="8"/>
  <c r="L62" i="8"/>
  <c r="I62" i="8"/>
  <c r="G62" i="8"/>
  <c r="F62" i="8"/>
  <c r="D62" i="8"/>
  <c r="V61" i="8"/>
  <c r="T61" i="8"/>
  <c r="R61" i="8"/>
  <c r="Q61" i="8"/>
  <c r="P61" i="8"/>
  <c r="N61" i="8"/>
  <c r="L61" i="8"/>
  <c r="I61" i="8"/>
  <c r="H61" i="8"/>
  <c r="G61" i="8"/>
  <c r="F61" i="8"/>
  <c r="D61" i="8"/>
  <c r="V60" i="8"/>
  <c r="T60" i="8"/>
  <c r="R60" i="8"/>
  <c r="Q60" i="8"/>
  <c r="P60" i="8"/>
  <c r="O60" i="8"/>
  <c r="N60" i="8"/>
  <c r="L60" i="8"/>
  <c r="I60" i="8"/>
  <c r="H60" i="8"/>
  <c r="G60" i="8"/>
  <c r="F60" i="8"/>
  <c r="D60" i="8"/>
  <c r="T59" i="8"/>
  <c r="R59" i="8"/>
  <c r="Q59" i="8"/>
  <c r="P59" i="8"/>
  <c r="O59" i="8"/>
  <c r="N59" i="8"/>
  <c r="L59" i="8"/>
  <c r="I59" i="8"/>
  <c r="G59" i="8"/>
  <c r="F59" i="8"/>
  <c r="D59" i="8"/>
  <c r="V58" i="8"/>
  <c r="T58" i="8"/>
  <c r="R58" i="8"/>
  <c r="Q58" i="8"/>
  <c r="P58" i="8"/>
  <c r="O58" i="8"/>
  <c r="N58" i="8"/>
  <c r="L58" i="8"/>
  <c r="I58" i="8"/>
  <c r="G58" i="8"/>
  <c r="F58" i="8"/>
  <c r="D58" i="8"/>
  <c r="T57" i="8"/>
  <c r="R57" i="8"/>
  <c r="Q57" i="8"/>
  <c r="P57" i="8"/>
  <c r="O57" i="8"/>
  <c r="N57" i="8"/>
  <c r="L57" i="8"/>
  <c r="I57" i="8"/>
  <c r="G57" i="8"/>
  <c r="F57" i="8"/>
  <c r="D57" i="8"/>
  <c r="V56" i="8"/>
  <c r="T56" i="8"/>
  <c r="R56" i="8"/>
  <c r="Q56" i="8"/>
  <c r="P56" i="8"/>
  <c r="O56" i="8"/>
  <c r="N56" i="8"/>
  <c r="L56" i="8"/>
  <c r="I56" i="8"/>
  <c r="G56" i="8"/>
  <c r="F56" i="8"/>
  <c r="D56" i="8"/>
  <c r="V55" i="8"/>
  <c r="T55" i="8"/>
  <c r="R55" i="8"/>
  <c r="Q55" i="8"/>
  <c r="P55" i="8"/>
  <c r="O55" i="8"/>
  <c r="N55" i="8"/>
  <c r="L55" i="8"/>
  <c r="I55" i="8"/>
  <c r="G55" i="8"/>
  <c r="F55" i="8"/>
  <c r="D55" i="8"/>
  <c r="V54" i="8"/>
  <c r="T54" i="8"/>
  <c r="R54" i="8"/>
  <c r="Q54" i="8"/>
  <c r="P54" i="8"/>
  <c r="O54" i="8"/>
  <c r="N54" i="8"/>
  <c r="L54" i="8"/>
  <c r="I54" i="8"/>
  <c r="G54" i="8"/>
  <c r="F54" i="8"/>
  <c r="D54" i="8"/>
  <c r="V53" i="8"/>
  <c r="T53" i="8"/>
  <c r="R53" i="8"/>
  <c r="Q53" i="8"/>
  <c r="P53" i="8"/>
  <c r="O53" i="8"/>
  <c r="N53" i="8"/>
  <c r="L53" i="8"/>
  <c r="I53" i="8"/>
  <c r="G53" i="8"/>
  <c r="F53" i="8"/>
  <c r="D53" i="8"/>
  <c r="P52" i="8"/>
  <c r="N52" i="8"/>
  <c r="L52" i="8"/>
  <c r="I52" i="8"/>
  <c r="G52" i="8"/>
  <c r="D52" i="8"/>
  <c r="V51" i="8"/>
  <c r="T51" i="8"/>
  <c r="R51" i="8"/>
  <c r="Q51" i="8"/>
  <c r="P51" i="8"/>
  <c r="O51" i="8"/>
  <c r="N51" i="8"/>
  <c r="L51" i="8"/>
  <c r="I51" i="8"/>
  <c r="G51" i="8"/>
  <c r="F51" i="8"/>
  <c r="D51" i="8"/>
  <c r="V50" i="8"/>
  <c r="T50" i="8"/>
  <c r="R50" i="8"/>
  <c r="Q50" i="8"/>
  <c r="P50" i="8"/>
  <c r="O50" i="8"/>
  <c r="N50" i="8"/>
  <c r="L50" i="8"/>
  <c r="I50" i="8"/>
  <c r="G50" i="8"/>
  <c r="F50" i="8"/>
  <c r="D50" i="8"/>
  <c r="V49" i="8"/>
  <c r="T49" i="8"/>
  <c r="R49" i="8"/>
  <c r="Q49" i="8"/>
  <c r="P49" i="8"/>
  <c r="O49" i="8"/>
  <c r="N49" i="8"/>
  <c r="L49" i="8"/>
  <c r="I49" i="8"/>
  <c r="G49" i="8"/>
  <c r="F49" i="8"/>
  <c r="D49" i="8"/>
  <c r="V48" i="8"/>
  <c r="T48" i="8"/>
  <c r="R48" i="8"/>
  <c r="Q48" i="8"/>
  <c r="P48" i="8"/>
  <c r="O48" i="8"/>
  <c r="N48" i="8"/>
  <c r="L48" i="8"/>
  <c r="I48" i="8"/>
  <c r="G48" i="8"/>
  <c r="F48" i="8"/>
  <c r="D48" i="8"/>
  <c r="P47" i="8"/>
  <c r="N47" i="8"/>
  <c r="L47" i="8"/>
  <c r="I47" i="8"/>
  <c r="G47" i="8"/>
  <c r="D47" i="8"/>
  <c r="V46" i="8"/>
  <c r="T46" i="8"/>
  <c r="R46" i="8"/>
  <c r="Q46" i="8"/>
  <c r="P46" i="8"/>
  <c r="O46" i="8"/>
  <c r="N46" i="8"/>
  <c r="L46" i="8"/>
  <c r="I46" i="8"/>
  <c r="G46" i="8"/>
  <c r="F46" i="8"/>
  <c r="D46" i="8"/>
  <c r="V45" i="8"/>
  <c r="T45" i="8"/>
  <c r="R45" i="8"/>
  <c r="Q45" i="8"/>
  <c r="P45" i="8"/>
  <c r="O45" i="8"/>
  <c r="N45" i="8"/>
  <c r="L45" i="8"/>
  <c r="I45" i="8"/>
  <c r="G45" i="8"/>
  <c r="F45" i="8"/>
  <c r="D45" i="8"/>
  <c r="P44" i="8"/>
  <c r="N44" i="8"/>
  <c r="L44" i="8"/>
  <c r="I44" i="8"/>
  <c r="G44" i="8"/>
  <c r="D44" i="8"/>
  <c r="V43" i="8"/>
  <c r="T43" i="8"/>
  <c r="R43" i="8"/>
  <c r="Q43" i="8"/>
  <c r="P43" i="8"/>
  <c r="O43" i="8"/>
  <c r="N43" i="8"/>
  <c r="L43" i="8"/>
  <c r="I43" i="8"/>
  <c r="G43" i="8"/>
  <c r="F43" i="8"/>
  <c r="D43" i="8"/>
  <c r="V42" i="8"/>
  <c r="T42" i="8"/>
  <c r="R42" i="8"/>
  <c r="Q42" i="8"/>
  <c r="P42" i="8"/>
  <c r="O42" i="8"/>
  <c r="N42" i="8"/>
  <c r="L42" i="8"/>
  <c r="I42" i="8"/>
  <c r="G42" i="8"/>
  <c r="F42" i="8"/>
  <c r="D42" i="8"/>
  <c r="V41" i="8"/>
  <c r="T41" i="8"/>
  <c r="R41" i="8"/>
  <c r="Q41" i="8"/>
  <c r="P41" i="8"/>
  <c r="O41" i="8"/>
  <c r="N41" i="8"/>
  <c r="L41" i="8"/>
  <c r="I41" i="8"/>
  <c r="G41" i="8"/>
  <c r="F41" i="8"/>
  <c r="D41" i="8"/>
  <c r="P40" i="8"/>
  <c r="N40" i="8"/>
  <c r="L40" i="8"/>
  <c r="I40" i="8"/>
  <c r="G40" i="8"/>
  <c r="D40" i="8"/>
  <c r="V39" i="8"/>
  <c r="T39" i="8"/>
  <c r="R39" i="8"/>
  <c r="Q39" i="8"/>
  <c r="P39" i="8"/>
  <c r="O39" i="8"/>
  <c r="N39" i="8"/>
  <c r="L39" i="8"/>
  <c r="I39" i="8"/>
  <c r="G39" i="8"/>
  <c r="F39" i="8"/>
  <c r="D39" i="8"/>
  <c r="V38" i="8"/>
  <c r="T38" i="8"/>
  <c r="R38" i="8"/>
  <c r="Q38" i="8"/>
  <c r="P38" i="8"/>
  <c r="O38" i="8"/>
  <c r="N38" i="8"/>
  <c r="L38" i="8"/>
  <c r="I38" i="8"/>
  <c r="G38" i="8"/>
  <c r="F38" i="8"/>
  <c r="D38" i="8"/>
  <c r="V37" i="8"/>
  <c r="T37" i="8"/>
  <c r="R37" i="8"/>
  <c r="Q37" i="8"/>
  <c r="P37" i="8"/>
  <c r="O37" i="8"/>
  <c r="N37" i="8"/>
  <c r="L37" i="8"/>
  <c r="I37" i="8"/>
  <c r="G37" i="8"/>
  <c r="F37" i="8"/>
  <c r="D37" i="8"/>
  <c r="V36" i="8"/>
  <c r="T36" i="8"/>
  <c r="R36" i="8"/>
  <c r="Q36" i="8"/>
  <c r="P36" i="8"/>
  <c r="O36" i="8"/>
  <c r="N36" i="8"/>
  <c r="L36" i="8"/>
  <c r="I36" i="8"/>
  <c r="G36" i="8"/>
  <c r="F36" i="8"/>
  <c r="D36" i="8"/>
  <c r="V35" i="8"/>
  <c r="T35" i="8"/>
  <c r="R35" i="8"/>
  <c r="Q35" i="8"/>
  <c r="P35" i="8"/>
  <c r="O35" i="8"/>
  <c r="N35" i="8"/>
  <c r="L35" i="8"/>
  <c r="I35" i="8"/>
  <c r="G35" i="8"/>
  <c r="F35" i="8"/>
  <c r="D35" i="8"/>
  <c r="V34" i="8"/>
  <c r="T34" i="8"/>
  <c r="R34" i="8"/>
  <c r="Q34" i="8"/>
  <c r="P34" i="8"/>
  <c r="O34" i="8"/>
  <c r="N34" i="8"/>
  <c r="L34" i="8"/>
  <c r="I34" i="8"/>
  <c r="G34" i="8"/>
  <c r="F34" i="8"/>
  <c r="D34" i="8"/>
  <c r="V33" i="8"/>
  <c r="T33" i="8"/>
  <c r="R33" i="8"/>
  <c r="Q33" i="8"/>
  <c r="P33" i="8"/>
  <c r="O33" i="8"/>
  <c r="N33" i="8"/>
  <c r="L33" i="8"/>
  <c r="I33" i="8"/>
  <c r="G33" i="8"/>
  <c r="F33" i="8"/>
  <c r="D33" i="8"/>
  <c r="V32" i="8"/>
  <c r="T32" i="8"/>
  <c r="R32" i="8"/>
  <c r="Q32" i="8"/>
  <c r="P32" i="8"/>
  <c r="O32" i="8"/>
  <c r="N32" i="8"/>
  <c r="L32" i="8"/>
  <c r="I32" i="8"/>
  <c r="G32" i="8"/>
  <c r="F32" i="8"/>
  <c r="D32" i="8"/>
  <c r="P31" i="8"/>
  <c r="N31" i="8"/>
  <c r="L31" i="8"/>
  <c r="I31" i="8"/>
  <c r="G31" i="8"/>
  <c r="D31" i="8"/>
  <c r="V30" i="8"/>
  <c r="T30" i="8"/>
  <c r="R30" i="8"/>
  <c r="Q30" i="8"/>
  <c r="P30" i="8"/>
  <c r="O30" i="8"/>
  <c r="N30" i="8"/>
  <c r="L30" i="8"/>
  <c r="I30" i="8"/>
  <c r="G30" i="8"/>
  <c r="F30" i="8"/>
  <c r="D30" i="8"/>
  <c r="V29" i="8"/>
  <c r="T29" i="8"/>
  <c r="R29" i="8"/>
  <c r="Q29" i="8"/>
  <c r="P29" i="8"/>
  <c r="O29" i="8"/>
  <c r="N29" i="8"/>
  <c r="L29" i="8"/>
  <c r="I29" i="8"/>
  <c r="G29" i="8"/>
  <c r="F29" i="8"/>
  <c r="D29" i="8"/>
  <c r="V28" i="8"/>
  <c r="T28" i="8"/>
  <c r="R28" i="8"/>
  <c r="Q28" i="8"/>
  <c r="P28" i="8"/>
  <c r="O28" i="8"/>
  <c r="N28" i="8"/>
  <c r="L28" i="8"/>
  <c r="I28" i="8"/>
  <c r="G28" i="8"/>
  <c r="F28" i="8"/>
  <c r="D28" i="8"/>
  <c r="G27" i="8"/>
  <c r="S26" i="8"/>
  <c r="T26" i="8" s="1"/>
  <c r="R26" i="8"/>
  <c r="Q26" i="8"/>
  <c r="P26" i="8"/>
  <c r="O26" i="8"/>
  <c r="N26" i="8"/>
  <c r="I26" i="8"/>
  <c r="G26" i="8"/>
  <c r="S25" i="8"/>
  <c r="T25" i="8" s="1"/>
  <c r="R25" i="8"/>
  <c r="Q25" i="8"/>
  <c r="P25" i="8"/>
  <c r="O25" i="8"/>
  <c r="N25" i="8"/>
  <c r="I25" i="8"/>
  <c r="G25" i="8"/>
  <c r="R24" i="8"/>
  <c r="Q24" i="8"/>
  <c r="P24" i="8"/>
  <c r="O24" i="8"/>
  <c r="N24" i="8"/>
  <c r="I24" i="8"/>
  <c r="G24" i="8"/>
  <c r="R23" i="8"/>
  <c r="Q23" i="8"/>
  <c r="P23" i="8"/>
  <c r="O23" i="8"/>
  <c r="N23" i="8"/>
  <c r="I23" i="8"/>
  <c r="G23" i="8"/>
  <c r="R22" i="8"/>
  <c r="Q22" i="8"/>
  <c r="P22" i="8"/>
  <c r="O22" i="8"/>
  <c r="N22" i="8"/>
  <c r="I22" i="8"/>
  <c r="G22" i="8"/>
  <c r="R21" i="8"/>
  <c r="Q21" i="8"/>
  <c r="P21" i="8"/>
  <c r="O21" i="8"/>
  <c r="N21" i="8"/>
  <c r="I21" i="8"/>
  <c r="G21" i="8"/>
  <c r="R20" i="8"/>
  <c r="Q20" i="8"/>
  <c r="P20" i="8"/>
  <c r="O20" i="8"/>
  <c r="N20" i="8"/>
  <c r="I20" i="8"/>
  <c r="G20" i="8"/>
  <c r="R19" i="8"/>
  <c r="Q19" i="8"/>
  <c r="P19" i="8"/>
  <c r="O19" i="8"/>
  <c r="N19" i="8"/>
  <c r="I19" i="8"/>
  <c r="G19" i="8"/>
  <c r="S18" i="8"/>
  <c r="T18" i="8" s="1"/>
  <c r="R18" i="8"/>
  <c r="Q18" i="8"/>
  <c r="P18" i="8"/>
  <c r="O18" i="8"/>
  <c r="N18" i="8"/>
  <c r="I18" i="8"/>
  <c r="G18" i="8"/>
  <c r="S17" i="8"/>
  <c r="T17" i="8" s="1"/>
  <c r="R17" i="8"/>
  <c r="Q17" i="8"/>
  <c r="P17" i="8"/>
  <c r="O17" i="8"/>
  <c r="N17" i="8"/>
  <c r="I17" i="8"/>
  <c r="G17" i="8"/>
  <c r="R16" i="8"/>
  <c r="Q16" i="8"/>
  <c r="P16" i="8"/>
  <c r="O16" i="8"/>
  <c r="N16" i="8"/>
  <c r="I16" i="8"/>
  <c r="G16" i="8"/>
  <c r="R15" i="8"/>
  <c r="Q15" i="8"/>
  <c r="P15" i="8"/>
  <c r="O15" i="8"/>
  <c r="N15" i="8"/>
  <c r="I15" i="8"/>
  <c r="G15" i="8"/>
  <c r="R14" i="8"/>
  <c r="Q14" i="8"/>
  <c r="P14" i="8"/>
  <c r="O14" i="8"/>
  <c r="N14" i="8"/>
  <c r="I14" i="8"/>
  <c r="G14" i="8"/>
  <c r="R13" i="8"/>
  <c r="Q13" i="8"/>
  <c r="P13" i="8"/>
  <c r="O13" i="8"/>
  <c r="N13" i="8"/>
  <c r="I13" i="8"/>
  <c r="G13" i="8"/>
  <c r="R12" i="8"/>
  <c r="Q12" i="8"/>
  <c r="P12" i="8"/>
  <c r="O12" i="8"/>
  <c r="N12" i="8"/>
  <c r="I12" i="8"/>
  <c r="G12" i="8"/>
  <c r="R11" i="8"/>
  <c r="Q11" i="8"/>
  <c r="P11" i="8"/>
  <c r="O11" i="8"/>
  <c r="N11" i="8"/>
  <c r="I11" i="8"/>
  <c r="G11" i="8"/>
  <c r="S10" i="8"/>
  <c r="T10" i="8" s="1"/>
  <c r="R10" i="8"/>
  <c r="Q10" i="8"/>
  <c r="P10" i="8"/>
  <c r="O10" i="8"/>
  <c r="N10" i="8"/>
  <c r="I10" i="8"/>
  <c r="G10" i="8"/>
  <c r="S9" i="8"/>
  <c r="T9" i="8" s="1"/>
  <c r="R9" i="8"/>
  <c r="Q9" i="8"/>
  <c r="P9" i="8"/>
  <c r="O9" i="8"/>
  <c r="N9" i="8"/>
  <c r="I9" i="8"/>
  <c r="G9" i="8"/>
  <c r="R8" i="8"/>
  <c r="Q8" i="8"/>
  <c r="P8" i="8"/>
  <c r="O8" i="8"/>
  <c r="N8" i="8"/>
  <c r="I8" i="8"/>
  <c r="G8" i="8"/>
  <c r="R7" i="8"/>
  <c r="Q7" i="8"/>
  <c r="P7" i="8"/>
  <c r="O7" i="8"/>
  <c r="N7" i="8"/>
  <c r="I7" i="8"/>
  <c r="G7" i="8"/>
  <c r="R82" i="7"/>
  <c r="Q82" i="7"/>
  <c r="P82" i="7"/>
  <c r="O82" i="7"/>
  <c r="J82" i="7"/>
  <c r="I82" i="7"/>
  <c r="H82" i="7"/>
  <c r="G82" i="7"/>
  <c r="F82" i="7"/>
  <c r="E82" i="7"/>
  <c r="D82" i="7"/>
  <c r="V81" i="7"/>
  <c r="T81" i="7"/>
  <c r="R81" i="7"/>
  <c r="Q81" i="7"/>
  <c r="P81" i="7"/>
  <c r="O81" i="7"/>
  <c r="N81" i="7"/>
  <c r="L81" i="7"/>
  <c r="I81" i="7"/>
  <c r="G81" i="7"/>
  <c r="F81" i="7"/>
  <c r="D81" i="7"/>
  <c r="V80" i="7"/>
  <c r="T80" i="7"/>
  <c r="R80" i="7"/>
  <c r="Q80" i="7"/>
  <c r="P80" i="7"/>
  <c r="O80" i="7"/>
  <c r="N80" i="7"/>
  <c r="L80" i="7"/>
  <c r="I80" i="7"/>
  <c r="G80" i="7"/>
  <c r="F80" i="7"/>
  <c r="D80" i="7"/>
  <c r="V79" i="7"/>
  <c r="G79" i="7"/>
  <c r="F79" i="7"/>
  <c r="D79" i="7"/>
  <c r="V78" i="7"/>
  <c r="T78" i="7"/>
  <c r="R78" i="7"/>
  <c r="Q78" i="7"/>
  <c r="P78" i="7"/>
  <c r="O78" i="7"/>
  <c r="N78" i="7"/>
  <c r="L78" i="7"/>
  <c r="I78" i="7"/>
  <c r="G78" i="7"/>
  <c r="F78" i="7"/>
  <c r="D78" i="7"/>
  <c r="T77" i="7"/>
  <c r="R77" i="7"/>
  <c r="Q77" i="7"/>
  <c r="P77" i="7"/>
  <c r="O77" i="7"/>
  <c r="N77" i="7"/>
  <c r="L77" i="7"/>
  <c r="I77" i="7"/>
  <c r="G77" i="7"/>
  <c r="F77" i="7"/>
  <c r="D77" i="7"/>
  <c r="V76" i="7"/>
  <c r="T76" i="7"/>
  <c r="R76" i="7"/>
  <c r="Q76" i="7"/>
  <c r="P76" i="7"/>
  <c r="O76" i="7"/>
  <c r="N76" i="7"/>
  <c r="L76" i="7"/>
  <c r="I76" i="7"/>
  <c r="G76" i="7"/>
  <c r="F76" i="7"/>
  <c r="D76" i="7"/>
  <c r="T75" i="7"/>
  <c r="R75" i="7"/>
  <c r="Q75" i="7"/>
  <c r="P75" i="7"/>
  <c r="O75" i="7"/>
  <c r="N75" i="7"/>
  <c r="L75" i="7"/>
  <c r="I75" i="7"/>
  <c r="G75" i="7"/>
  <c r="F75" i="7"/>
  <c r="D75" i="7"/>
  <c r="V74" i="7"/>
  <c r="T74" i="7"/>
  <c r="R74" i="7"/>
  <c r="Q74" i="7"/>
  <c r="P74" i="7"/>
  <c r="O74" i="7"/>
  <c r="N74" i="7"/>
  <c r="L74" i="7"/>
  <c r="I74" i="7"/>
  <c r="G74" i="7"/>
  <c r="F74" i="7"/>
  <c r="D74" i="7"/>
  <c r="T73" i="7"/>
  <c r="R73" i="7"/>
  <c r="Q73" i="7"/>
  <c r="P73" i="7"/>
  <c r="O73" i="7"/>
  <c r="N73" i="7"/>
  <c r="L73" i="7"/>
  <c r="I73" i="7"/>
  <c r="G73" i="7"/>
  <c r="F73" i="7"/>
  <c r="D73" i="7"/>
  <c r="V72" i="7"/>
  <c r="T72" i="7"/>
  <c r="R72" i="7"/>
  <c r="Q72" i="7"/>
  <c r="P72" i="7"/>
  <c r="O72" i="7"/>
  <c r="N72" i="7"/>
  <c r="L72" i="7"/>
  <c r="I72" i="7"/>
  <c r="G72" i="7"/>
  <c r="F72" i="7"/>
  <c r="D72" i="7"/>
  <c r="V71" i="7"/>
  <c r="T71" i="7"/>
  <c r="R71" i="7"/>
  <c r="Q71" i="7"/>
  <c r="P71" i="7"/>
  <c r="O71" i="7"/>
  <c r="N71" i="7"/>
  <c r="L71" i="7"/>
  <c r="I71" i="7"/>
  <c r="G71" i="7"/>
  <c r="F71" i="7"/>
  <c r="D71" i="7"/>
  <c r="T70" i="7"/>
  <c r="R70" i="7"/>
  <c r="Q70" i="7"/>
  <c r="P70" i="7"/>
  <c r="O70" i="7"/>
  <c r="N70" i="7"/>
  <c r="L70" i="7"/>
  <c r="I70" i="7"/>
  <c r="G70" i="7"/>
  <c r="F70" i="7"/>
  <c r="D70" i="7"/>
  <c r="T69" i="7"/>
  <c r="R69" i="7"/>
  <c r="Q69" i="7"/>
  <c r="P69" i="7"/>
  <c r="O69" i="7"/>
  <c r="N69" i="7"/>
  <c r="L69" i="7"/>
  <c r="I69" i="7"/>
  <c r="G69" i="7"/>
  <c r="F69" i="7"/>
  <c r="D69" i="7"/>
  <c r="V68" i="7"/>
  <c r="T68" i="7"/>
  <c r="R68" i="7"/>
  <c r="Q68" i="7"/>
  <c r="P68" i="7"/>
  <c r="O68" i="7"/>
  <c r="N68" i="7"/>
  <c r="L68" i="7"/>
  <c r="I68" i="7"/>
  <c r="G68" i="7"/>
  <c r="F68" i="7"/>
  <c r="D68" i="7"/>
  <c r="V67" i="7"/>
  <c r="T67" i="7"/>
  <c r="R67" i="7"/>
  <c r="Q67" i="7"/>
  <c r="P67" i="7"/>
  <c r="O67" i="7"/>
  <c r="N67" i="7"/>
  <c r="L67" i="7"/>
  <c r="I67" i="7"/>
  <c r="G67" i="7"/>
  <c r="F67" i="7"/>
  <c r="D67" i="7"/>
  <c r="T66" i="7"/>
  <c r="R66" i="7"/>
  <c r="Q66" i="7"/>
  <c r="P66" i="7"/>
  <c r="O66" i="7"/>
  <c r="N66" i="7"/>
  <c r="L66" i="7"/>
  <c r="I66" i="7"/>
  <c r="G66" i="7"/>
  <c r="F66" i="7"/>
  <c r="D66" i="7"/>
  <c r="V65" i="7"/>
  <c r="T65" i="7"/>
  <c r="R65" i="7"/>
  <c r="Q65" i="7"/>
  <c r="P65" i="7"/>
  <c r="O65" i="7"/>
  <c r="N65" i="7"/>
  <c r="L65" i="7"/>
  <c r="I65" i="7"/>
  <c r="G65" i="7"/>
  <c r="F65" i="7"/>
  <c r="D65" i="7"/>
  <c r="V64" i="7"/>
  <c r="T64" i="7"/>
  <c r="R64" i="7"/>
  <c r="Q64" i="7"/>
  <c r="P64" i="7"/>
  <c r="O64" i="7"/>
  <c r="N64" i="7"/>
  <c r="L64" i="7"/>
  <c r="I64" i="7"/>
  <c r="G64" i="7"/>
  <c r="F64" i="7"/>
  <c r="D64" i="7"/>
  <c r="V63" i="7"/>
  <c r="T63" i="7"/>
  <c r="R63" i="7"/>
  <c r="Q63" i="7"/>
  <c r="P63" i="7"/>
  <c r="O63" i="7"/>
  <c r="N63" i="7"/>
  <c r="L63" i="7"/>
  <c r="I63" i="7"/>
  <c r="G63" i="7"/>
  <c r="F63" i="7"/>
  <c r="D63" i="7"/>
  <c r="T62" i="7"/>
  <c r="R62" i="7"/>
  <c r="Q62" i="7"/>
  <c r="P62" i="7"/>
  <c r="O62" i="7"/>
  <c r="N62" i="7"/>
  <c r="L62" i="7"/>
  <c r="I62" i="7"/>
  <c r="G62" i="7"/>
  <c r="F62" i="7"/>
  <c r="D62" i="7"/>
  <c r="V61" i="7"/>
  <c r="T61" i="7"/>
  <c r="R61" i="7"/>
  <c r="Q61" i="7"/>
  <c r="P61" i="7"/>
  <c r="N61" i="7"/>
  <c r="L61" i="7"/>
  <c r="I61" i="7"/>
  <c r="G61" i="7"/>
  <c r="F61" i="7"/>
  <c r="D61" i="7"/>
  <c r="V60" i="7"/>
  <c r="T60" i="7"/>
  <c r="R60" i="7"/>
  <c r="Q60" i="7"/>
  <c r="P60" i="7"/>
  <c r="O60" i="7"/>
  <c r="N60" i="7"/>
  <c r="L60" i="7"/>
  <c r="I60" i="7"/>
  <c r="H60" i="7"/>
  <c r="G60" i="7"/>
  <c r="F60" i="7"/>
  <c r="D60" i="7"/>
  <c r="T59" i="7"/>
  <c r="R59" i="7"/>
  <c r="Q59" i="7"/>
  <c r="P59" i="7"/>
  <c r="O59" i="7"/>
  <c r="N59" i="7"/>
  <c r="L59" i="7"/>
  <c r="I59" i="7"/>
  <c r="G59" i="7"/>
  <c r="F59" i="7"/>
  <c r="D59" i="7"/>
  <c r="V58" i="7"/>
  <c r="T58" i="7"/>
  <c r="R58" i="7"/>
  <c r="Q58" i="7"/>
  <c r="P58" i="7"/>
  <c r="O58" i="7"/>
  <c r="N58" i="7"/>
  <c r="L58" i="7"/>
  <c r="I58" i="7"/>
  <c r="H58" i="7"/>
  <c r="G58" i="7"/>
  <c r="F58" i="7"/>
  <c r="D58" i="7"/>
  <c r="T57" i="7"/>
  <c r="R57" i="7"/>
  <c r="Q57" i="7"/>
  <c r="P57" i="7"/>
  <c r="O57" i="7"/>
  <c r="N57" i="7"/>
  <c r="L57" i="7"/>
  <c r="I57" i="7"/>
  <c r="G57" i="7"/>
  <c r="F57" i="7"/>
  <c r="D57" i="7"/>
  <c r="V56" i="7"/>
  <c r="T56" i="7"/>
  <c r="R56" i="7"/>
  <c r="Q56" i="7"/>
  <c r="P56" i="7"/>
  <c r="O56" i="7"/>
  <c r="N56" i="7"/>
  <c r="L56" i="7"/>
  <c r="I56" i="7"/>
  <c r="G56" i="7"/>
  <c r="F56" i="7"/>
  <c r="D56" i="7"/>
  <c r="V55" i="7"/>
  <c r="T55" i="7"/>
  <c r="R55" i="7"/>
  <c r="Q55" i="7"/>
  <c r="P55" i="7"/>
  <c r="O55" i="7"/>
  <c r="N55" i="7"/>
  <c r="L55" i="7"/>
  <c r="I55" i="7"/>
  <c r="G55" i="7"/>
  <c r="F55" i="7"/>
  <c r="D55" i="7"/>
  <c r="V54" i="7"/>
  <c r="T54" i="7"/>
  <c r="R54" i="7"/>
  <c r="Q54" i="7"/>
  <c r="P54" i="7"/>
  <c r="O54" i="7"/>
  <c r="N54" i="7"/>
  <c r="L54" i="7"/>
  <c r="I54" i="7"/>
  <c r="G54" i="7"/>
  <c r="F54" i="7"/>
  <c r="D54" i="7"/>
  <c r="V53" i="7"/>
  <c r="T53" i="7"/>
  <c r="R53" i="7"/>
  <c r="Q53" i="7"/>
  <c r="P53" i="7"/>
  <c r="O53" i="7"/>
  <c r="N53" i="7"/>
  <c r="L53" i="7"/>
  <c r="I53" i="7"/>
  <c r="G53" i="7"/>
  <c r="F53" i="7"/>
  <c r="D53" i="7"/>
  <c r="P52" i="7"/>
  <c r="N52" i="7"/>
  <c r="L52" i="7"/>
  <c r="I52" i="7"/>
  <c r="G52" i="7"/>
  <c r="D52" i="7"/>
  <c r="V51" i="7"/>
  <c r="T51" i="7"/>
  <c r="R51" i="7"/>
  <c r="Q51" i="7"/>
  <c r="P51" i="7"/>
  <c r="O51" i="7"/>
  <c r="N51" i="7"/>
  <c r="L51" i="7"/>
  <c r="I51" i="7"/>
  <c r="G51" i="7"/>
  <c r="F51" i="7"/>
  <c r="D51" i="7"/>
  <c r="V50" i="7"/>
  <c r="T50" i="7"/>
  <c r="R50" i="7"/>
  <c r="Q50" i="7"/>
  <c r="P50" i="7"/>
  <c r="O50" i="7"/>
  <c r="N50" i="7"/>
  <c r="L50" i="7"/>
  <c r="I50" i="7"/>
  <c r="G50" i="7"/>
  <c r="F50" i="7"/>
  <c r="D50" i="7"/>
  <c r="V49" i="7"/>
  <c r="T49" i="7"/>
  <c r="R49" i="7"/>
  <c r="Q49" i="7"/>
  <c r="P49" i="7"/>
  <c r="O49" i="7"/>
  <c r="N49" i="7"/>
  <c r="L49" i="7"/>
  <c r="I49" i="7"/>
  <c r="G49" i="7"/>
  <c r="F49" i="7"/>
  <c r="D49" i="7"/>
  <c r="V48" i="7"/>
  <c r="T48" i="7"/>
  <c r="R48" i="7"/>
  <c r="Q48" i="7"/>
  <c r="P48" i="7"/>
  <c r="O48" i="7"/>
  <c r="N48" i="7"/>
  <c r="L48" i="7"/>
  <c r="I48" i="7"/>
  <c r="G48" i="7"/>
  <c r="F48" i="7"/>
  <c r="D48" i="7"/>
  <c r="P47" i="7"/>
  <c r="N47" i="7"/>
  <c r="L47" i="7"/>
  <c r="I47" i="7"/>
  <c r="G47" i="7"/>
  <c r="D47" i="7"/>
  <c r="V46" i="7"/>
  <c r="T46" i="7"/>
  <c r="R46" i="7"/>
  <c r="Q46" i="7"/>
  <c r="P46" i="7"/>
  <c r="O46" i="7"/>
  <c r="N46" i="7"/>
  <c r="L46" i="7"/>
  <c r="I46" i="7"/>
  <c r="G46" i="7"/>
  <c r="F46" i="7"/>
  <c r="D46" i="7"/>
  <c r="V45" i="7"/>
  <c r="T45" i="7"/>
  <c r="R45" i="7"/>
  <c r="Q45" i="7"/>
  <c r="P45" i="7"/>
  <c r="O45" i="7"/>
  <c r="N45" i="7"/>
  <c r="L45" i="7"/>
  <c r="I45" i="7"/>
  <c r="G45" i="7"/>
  <c r="F45" i="7"/>
  <c r="D45" i="7"/>
  <c r="P44" i="7"/>
  <c r="N44" i="7"/>
  <c r="L44" i="7"/>
  <c r="I44" i="7"/>
  <c r="G44" i="7"/>
  <c r="D44" i="7"/>
  <c r="V43" i="7"/>
  <c r="T43" i="7"/>
  <c r="R43" i="7"/>
  <c r="Q43" i="7"/>
  <c r="P43" i="7"/>
  <c r="O43" i="7"/>
  <c r="N43" i="7"/>
  <c r="L43" i="7"/>
  <c r="I43" i="7"/>
  <c r="G43" i="7"/>
  <c r="F43" i="7"/>
  <c r="D43" i="7"/>
  <c r="V42" i="7"/>
  <c r="T42" i="7"/>
  <c r="R42" i="7"/>
  <c r="Q42" i="7"/>
  <c r="P42" i="7"/>
  <c r="O42" i="7"/>
  <c r="N42" i="7"/>
  <c r="L42" i="7"/>
  <c r="I42" i="7"/>
  <c r="G42" i="7"/>
  <c r="F42" i="7"/>
  <c r="D42" i="7"/>
  <c r="V41" i="7"/>
  <c r="T41" i="7"/>
  <c r="R41" i="7"/>
  <c r="Q41" i="7"/>
  <c r="P41" i="7"/>
  <c r="O41" i="7"/>
  <c r="N41" i="7"/>
  <c r="L41" i="7"/>
  <c r="I41" i="7"/>
  <c r="G41" i="7"/>
  <c r="F41" i="7"/>
  <c r="D41" i="7"/>
  <c r="P40" i="7"/>
  <c r="N40" i="7"/>
  <c r="L40" i="7"/>
  <c r="I40" i="7"/>
  <c r="G40" i="7"/>
  <c r="D40" i="7"/>
  <c r="V39" i="7"/>
  <c r="T39" i="7"/>
  <c r="R39" i="7"/>
  <c r="Q39" i="7"/>
  <c r="P39" i="7"/>
  <c r="O39" i="7"/>
  <c r="N39" i="7"/>
  <c r="L39" i="7"/>
  <c r="I39" i="7"/>
  <c r="G39" i="7"/>
  <c r="F39" i="7"/>
  <c r="D39" i="7"/>
  <c r="V38" i="7"/>
  <c r="T38" i="7"/>
  <c r="R38" i="7"/>
  <c r="Q38" i="7"/>
  <c r="P38" i="7"/>
  <c r="O38" i="7"/>
  <c r="N38" i="7"/>
  <c r="L38" i="7"/>
  <c r="I38" i="7"/>
  <c r="G38" i="7"/>
  <c r="F38" i="7"/>
  <c r="D38" i="7"/>
  <c r="V37" i="7"/>
  <c r="T37" i="7"/>
  <c r="R37" i="7"/>
  <c r="Q37" i="7"/>
  <c r="P37" i="7"/>
  <c r="O37" i="7"/>
  <c r="N37" i="7"/>
  <c r="L37" i="7"/>
  <c r="I37" i="7"/>
  <c r="G37" i="7"/>
  <c r="F37" i="7"/>
  <c r="D37" i="7"/>
  <c r="V36" i="7"/>
  <c r="T36" i="7"/>
  <c r="R36" i="7"/>
  <c r="Q36" i="7"/>
  <c r="P36" i="7"/>
  <c r="O36" i="7"/>
  <c r="N36" i="7"/>
  <c r="L36" i="7"/>
  <c r="I36" i="7"/>
  <c r="G36" i="7"/>
  <c r="F36" i="7"/>
  <c r="D36" i="7"/>
  <c r="V35" i="7"/>
  <c r="T35" i="7"/>
  <c r="R35" i="7"/>
  <c r="Q35" i="7"/>
  <c r="P35" i="7"/>
  <c r="O35" i="7"/>
  <c r="N35" i="7"/>
  <c r="L35" i="7"/>
  <c r="J35" i="7"/>
  <c r="I35" i="7"/>
  <c r="G35" i="7"/>
  <c r="F35" i="7"/>
  <c r="D35" i="7"/>
  <c r="V34" i="7"/>
  <c r="T34" i="7"/>
  <c r="R34" i="7"/>
  <c r="Q34" i="7"/>
  <c r="P34" i="7"/>
  <c r="O34" i="7"/>
  <c r="N34" i="7"/>
  <c r="L34" i="7"/>
  <c r="I34" i="7"/>
  <c r="G34" i="7"/>
  <c r="F34" i="7"/>
  <c r="D34" i="7"/>
  <c r="V33" i="7"/>
  <c r="T33" i="7"/>
  <c r="R33" i="7"/>
  <c r="Q33" i="7"/>
  <c r="P33" i="7"/>
  <c r="O33" i="7"/>
  <c r="N33" i="7"/>
  <c r="L33" i="7"/>
  <c r="I33" i="7"/>
  <c r="G33" i="7"/>
  <c r="F33" i="7"/>
  <c r="D33" i="7"/>
  <c r="V32" i="7"/>
  <c r="T32" i="7"/>
  <c r="R32" i="7"/>
  <c r="Q32" i="7"/>
  <c r="P32" i="7"/>
  <c r="O32" i="7"/>
  <c r="N32" i="7"/>
  <c r="L32" i="7"/>
  <c r="I32" i="7"/>
  <c r="G32" i="7"/>
  <c r="F32" i="7"/>
  <c r="D32" i="7"/>
  <c r="P31" i="7"/>
  <c r="N31" i="7"/>
  <c r="L31" i="7"/>
  <c r="I31" i="7"/>
  <c r="G31" i="7"/>
  <c r="D31" i="7"/>
  <c r="V30" i="7"/>
  <c r="T30" i="7"/>
  <c r="R30" i="7"/>
  <c r="Q30" i="7"/>
  <c r="P30" i="7"/>
  <c r="O30" i="7"/>
  <c r="N30" i="7"/>
  <c r="L30" i="7"/>
  <c r="I30" i="7"/>
  <c r="G30" i="7"/>
  <c r="F30" i="7"/>
  <c r="D30" i="7"/>
  <c r="V29" i="7"/>
  <c r="T29" i="7"/>
  <c r="R29" i="7"/>
  <c r="Q29" i="7"/>
  <c r="P29" i="7"/>
  <c r="O29" i="7"/>
  <c r="N29" i="7"/>
  <c r="L29" i="7"/>
  <c r="I29" i="7"/>
  <c r="G29" i="7"/>
  <c r="F29" i="7"/>
  <c r="D29" i="7"/>
  <c r="V28" i="7"/>
  <c r="T28" i="7"/>
  <c r="R28" i="7"/>
  <c r="Q28" i="7"/>
  <c r="P28" i="7"/>
  <c r="O28" i="7"/>
  <c r="N28" i="7"/>
  <c r="L28" i="7"/>
  <c r="J28" i="7"/>
  <c r="I28" i="7"/>
  <c r="G28" i="7"/>
  <c r="F28" i="7"/>
  <c r="D28" i="7"/>
  <c r="T26" i="7"/>
  <c r="R26" i="7"/>
  <c r="Q26" i="7"/>
  <c r="P26" i="7"/>
  <c r="O26" i="7"/>
  <c r="N26" i="7"/>
  <c r="I26" i="7"/>
  <c r="G26" i="7"/>
  <c r="T25" i="7"/>
  <c r="R25" i="7"/>
  <c r="Q25" i="7"/>
  <c r="P25" i="7"/>
  <c r="O25" i="7"/>
  <c r="N25" i="7"/>
  <c r="I25" i="7"/>
  <c r="G25" i="7"/>
  <c r="T24" i="7"/>
  <c r="R24" i="7"/>
  <c r="Q24" i="7"/>
  <c r="P24" i="7"/>
  <c r="O24" i="7"/>
  <c r="N24" i="7"/>
  <c r="I24" i="7"/>
  <c r="G24" i="7"/>
  <c r="T23" i="7"/>
  <c r="R23" i="7"/>
  <c r="Q23" i="7"/>
  <c r="P23" i="7"/>
  <c r="O23" i="7"/>
  <c r="N23" i="7"/>
  <c r="I23" i="7"/>
  <c r="G23" i="7"/>
  <c r="T22" i="7"/>
  <c r="S22" i="8"/>
  <c r="T22" i="8" s="1"/>
  <c r="R22" i="7"/>
  <c r="Q22" i="7"/>
  <c r="P22" i="7"/>
  <c r="O22" i="7"/>
  <c r="N22" i="7"/>
  <c r="I22" i="7"/>
  <c r="G22" i="7"/>
  <c r="S21" i="8"/>
  <c r="T21" i="8" s="1"/>
  <c r="R21" i="7"/>
  <c r="Q21" i="7"/>
  <c r="P21" i="7"/>
  <c r="O21" i="7"/>
  <c r="N21" i="7"/>
  <c r="I21" i="7"/>
  <c r="G21" i="7"/>
  <c r="T20" i="7"/>
  <c r="S20" i="8"/>
  <c r="T20" i="8" s="1"/>
  <c r="R20" i="7"/>
  <c r="Q20" i="7"/>
  <c r="P20" i="7"/>
  <c r="O20" i="7"/>
  <c r="N20" i="7"/>
  <c r="I20" i="7"/>
  <c r="G20" i="7"/>
  <c r="T19" i="7"/>
  <c r="R19" i="7"/>
  <c r="Q19" i="7"/>
  <c r="P19" i="7"/>
  <c r="O19" i="7"/>
  <c r="N19" i="7"/>
  <c r="I19" i="7"/>
  <c r="G19" i="7"/>
  <c r="T18" i="7"/>
  <c r="R18" i="7"/>
  <c r="Q18" i="7"/>
  <c r="P18" i="7"/>
  <c r="O18" i="7"/>
  <c r="N18" i="7"/>
  <c r="I18" i="7"/>
  <c r="G18" i="7"/>
  <c r="T17" i="7"/>
  <c r="R17" i="7"/>
  <c r="Q17" i="7"/>
  <c r="P17" i="7"/>
  <c r="O17" i="7"/>
  <c r="N17" i="7"/>
  <c r="I17" i="7"/>
  <c r="G17" i="7"/>
  <c r="T16" i="7"/>
  <c r="R16" i="7"/>
  <c r="Q16" i="7"/>
  <c r="P16" i="7"/>
  <c r="O16" i="7"/>
  <c r="N16" i="7"/>
  <c r="I16" i="7"/>
  <c r="G16" i="7"/>
  <c r="T15" i="7"/>
  <c r="R15" i="7"/>
  <c r="Q15" i="7"/>
  <c r="P15" i="7"/>
  <c r="O15" i="7"/>
  <c r="N15" i="7"/>
  <c r="I15" i="7"/>
  <c r="G15" i="7"/>
  <c r="T14" i="7"/>
  <c r="S14" i="8"/>
  <c r="T14" i="8" s="1"/>
  <c r="R14" i="7"/>
  <c r="Q14" i="7"/>
  <c r="P14" i="7"/>
  <c r="O14" i="7"/>
  <c r="N14" i="7"/>
  <c r="I14" i="7"/>
  <c r="G14" i="7"/>
  <c r="S13" i="8"/>
  <c r="T13" i="8" s="1"/>
  <c r="R13" i="7"/>
  <c r="Q13" i="7"/>
  <c r="P13" i="7"/>
  <c r="O13" i="7"/>
  <c r="N13" i="7"/>
  <c r="I13" i="7"/>
  <c r="G13" i="7"/>
  <c r="T12" i="7"/>
  <c r="S12" i="8"/>
  <c r="T12" i="8" s="1"/>
  <c r="R12" i="7"/>
  <c r="Q12" i="7"/>
  <c r="P12" i="7"/>
  <c r="O12" i="7"/>
  <c r="N12" i="7"/>
  <c r="I12" i="7"/>
  <c r="G12" i="7"/>
  <c r="T11" i="7"/>
  <c r="R11" i="7"/>
  <c r="Q11" i="7"/>
  <c r="P11" i="7"/>
  <c r="O11" i="7"/>
  <c r="N11" i="7"/>
  <c r="I11" i="7"/>
  <c r="G11" i="7"/>
  <c r="T10" i="7"/>
  <c r="R10" i="7"/>
  <c r="Q10" i="7"/>
  <c r="P10" i="7"/>
  <c r="O10" i="7"/>
  <c r="N10" i="7"/>
  <c r="I10" i="7"/>
  <c r="G10" i="7"/>
  <c r="T9" i="7"/>
  <c r="R9" i="7"/>
  <c r="Q9" i="7"/>
  <c r="P9" i="7"/>
  <c r="O9" i="7"/>
  <c r="N9" i="7"/>
  <c r="I9" i="7"/>
  <c r="G9" i="7"/>
  <c r="T8" i="7"/>
  <c r="R8" i="7"/>
  <c r="Q8" i="7"/>
  <c r="P8" i="7"/>
  <c r="O8" i="7"/>
  <c r="N8" i="7"/>
  <c r="I8" i="7"/>
  <c r="G8" i="7"/>
  <c r="T7" i="7"/>
  <c r="R7" i="7"/>
  <c r="Q7" i="7"/>
  <c r="P7" i="7"/>
  <c r="O7" i="7"/>
  <c r="N7" i="7"/>
  <c r="I7" i="7"/>
  <c r="G7" i="7"/>
  <c r="S82" i="4"/>
  <c r="Q82" i="4"/>
  <c r="P82" i="4"/>
  <c r="O82" i="4"/>
  <c r="J82" i="4"/>
  <c r="I82" i="4"/>
  <c r="H82" i="4"/>
  <c r="G82" i="4"/>
  <c r="F82" i="4"/>
  <c r="E82" i="4"/>
  <c r="D82" i="4"/>
  <c r="V81" i="4"/>
  <c r="T81" i="4"/>
  <c r="R81" i="4"/>
  <c r="Q81" i="4"/>
  <c r="P81" i="4"/>
  <c r="O81" i="4"/>
  <c r="N81" i="4"/>
  <c r="L81" i="4"/>
  <c r="I81" i="4"/>
  <c r="G81" i="4"/>
  <c r="F81" i="4"/>
  <c r="D81" i="4"/>
  <c r="V80" i="4"/>
  <c r="T80" i="4"/>
  <c r="R80" i="4"/>
  <c r="Q80" i="4"/>
  <c r="P80" i="4"/>
  <c r="O80" i="4"/>
  <c r="N80" i="4"/>
  <c r="L80" i="4"/>
  <c r="I80" i="4"/>
  <c r="G80" i="4"/>
  <c r="F80" i="4"/>
  <c r="D80" i="4"/>
  <c r="V79" i="4"/>
  <c r="G79" i="4"/>
  <c r="F79" i="4"/>
  <c r="D79" i="4"/>
  <c r="V78" i="4"/>
  <c r="T78" i="4"/>
  <c r="R78" i="4"/>
  <c r="Q78" i="4"/>
  <c r="P78" i="4"/>
  <c r="O78" i="4"/>
  <c r="N78" i="4"/>
  <c r="L78" i="4"/>
  <c r="I78" i="4"/>
  <c r="G78" i="4"/>
  <c r="F78" i="4"/>
  <c r="D78" i="4"/>
  <c r="T77" i="4"/>
  <c r="R77" i="4"/>
  <c r="Q77" i="4"/>
  <c r="P77" i="4"/>
  <c r="O77" i="4"/>
  <c r="N77" i="4"/>
  <c r="L77" i="4"/>
  <c r="I77" i="4"/>
  <c r="G77" i="4"/>
  <c r="F77" i="4"/>
  <c r="D77" i="4"/>
  <c r="V76" i="4"/>
  <c r="T76" i="4"/>
  <c r="R76" i="4"/>
  <c r="Q76" i="4"/>
  <c r="P76" i="4"/>
  <c r="O76" i="4"/>
  <c r="N76" i="4"/>
  <c r="L76" i="4"/>
  <c r="I76" i="4"/>
  <c r="G76" i="4"/>
  <c r="F76" i="4"/>
  <c r="D76" i="4"/>
  <c r="T75" i="4"/>
  <c r="R75" i="4"/>
  <c r="Q75" i="4"/>
  <c r="P75" i="4"/>
  <c r="O75" i="4"/>
  <c r="N75" i="4"/>
  <c r="L75" i="4"/>
  <c r="I75" i="4"/>
  <c r="G75" i="4"/>
  <c r="F75" i="4"/>
  <c r="D75" i="4"/>
  <c r="V74" i="4"/>
  <c r="T74" i="4"/>
  <c r="R74" i="4"/>
  <c r="Q74" i="4"/>
  <c r="P74" i="4"/>
  <c r="O74" i="4"/>
  <c r="N74" i="4"/>
  <c r="L74" i="4"/>
  <c r="I74" i="4"/>
  <c r="G74" i="4"/>
  <c r="F74" i="4"/>
  <c r="D74" i="4"/>
  <c r="T73" i="4"/>
  <c r="R73" i="4"/>
  <c r="Q73" i="4"/>
  <c r="P73" i="4"/>
  <c r="O73" i="4"/>
  <c r="N73" i="4"/>
  <c r="L73" i="4"/>
  <c r="I73" i="4"/>
  <c r="G73" i="4"/>
  <c r="F73" i="4"/>
  <c r="D73" i="4"/>
  <c r="V72" i="4"/>
  <c r="T72" i="4"/>
  <c r="R72" i="4"/>
  <c r="Q72" i="4"/>
  <c r="P72" i="4"/>
  <c r="O72" i="4"/>
  <c r="N72" i="4"/>
  <c r="L72" i="4"/>
  <c r="I72" i="4"/>
  <c r="G72" i="4"/>
  <c r="F72" i="4"/>
  <c r="D72" i="4"/>
  <c r="V71" i="4"/>
  <c r="T71" i="4"/>
  <c r="R71" i="4"/>
  <c r="Q71" i="4"/>
  <c r="P71" i="4"/>
  <c r="O71" i="4"/>
  <c r="N71" i="4"/>
  <c r="L71" i="4"/>
  <c r="I71" i="4"/>
  <c r="G71" i="4"/>
  <c r="F71" i="4"/>
  <c r="D71" i="4"/>
  <c r="T70" i="4"/>
  <c r="R70" i="4"/>
  <c r="Q70" i="4"/>
  <c r="P70" i="4"/>
  <c r="O70" i="4"/>
  <c r="N70" i="4"/>
  <c r="L70" i="4"/>
  <c r="I70" i="4"/>
  <c r="G70" i="4"/>
  <c r="F70" i="4"/>
  <c r="D70" i="4"/>
  <c r="T69" i="4"/>
  <c r="R69" i="4"/>
  <c r="Q69" i="4"/>
  <c r="P69" i="4"/>
  <c r="O69" i="4"/>
  <c r="N69" i="4"/>
  <c r="L69" i="4"/>
  <c r="I69" i="4"/>
  <c r="G69" i="4"/>
  <c r="F69" i="4"/>
  <c r="D69" i="4"/>
  <c r="V68" i="4"/>
  <c r="T68" i="4"/>
  <c r="R68" i="4"/>
  <c r="Q68" i="4"/>
  <c r="P68" i="4"/>
  <c r="O68" i="4"/>
  <c r="N68" i="4"/>
  <c r="L68" i="4"/>
  <c r="I68" i="4"/>
  <c r="G68" i="4"/>
  <c r="F68" i="4"/>
  <c r="D68" i="4"/>
  <c r="V67" i="4"/>
  <c r="T67" i="4"/>
  <c r="R67" i="4"/>
  <c r="Q67" i="4"/>
  <c r="P67" i="4"/>
  <c r="O67" i="4"/>
  <c r="N67" i="4"/>
  <c r="L67" i="4"/>
  <c r="I67" i="4"/>
  <c r="G67" i="4"/>
  <c r="F67" i="4"/>
  <c r="D67" i="4"/>
  <c r="T66" i="4"/>
  <c r="R66" i="4"/>
  <c r="Q66" i="4"/>
  <c r="P66" i="4"/>
  <c r="O66" i="4"/>
  <c r="N66" i="4"/>
  <c r="L66" i="4"/>
  <c r="I66" i="4"/>
  <c r="G66" i="4"/>
  <c r="F66" i="4"/>
  <c r="D66" i="4"/>
  <c r="V65" i="4"/>
  <c r="T65" i="4"/>
  <c r="R65" i="4"/>
  <c r="Q65" i="4"/>
  <c r="P65" i="4"/>
  <c r="O65" i="4"/>
  <c r="N65" i="4"/>
  <c r="L65" i="4"/>
  <c r="I65" i="4"/>
  <c r="G65" i="4"/>
  <c r="F65" i="4"/>
  <c r="D65" i="4"/>
  <c r="V64" i="4"/>
  <c r="T64" i="4"/>
  <c r="R64" i="4"/>
  <c r="Q64" i="4"/>
  <c r="P64" i="4"/>
  <c r="O64" i="4"/>
  <c r="N64" i="4"/>
  <c r="L64" i="4"/>
  <c r="I64" i="4"/>
  <c r="G64" i="4"/>
  <c r="F64" i="4"/>
  <c r="D64" i="4"/>
  <c r="V63" i="4"/>
  <c r="T63" i="4"/>
  <c r="R63" i="4"/>
  <c r="Q63" i="4"/>
  <c r="P63" i="4"/>
  <c r="O63" i="4"/>
  <c r="N63" i="4"/>
  <c r="L63" i="4"/>
  <c r="I63" i="4"/>
  <c r="G63" i="4"/>
  <c r="F63" i="4"/>
  <c r="D63" i="4"/>
  <c r="T62" i="4"/>
  <c r="R62" i="4"/>
  <c r="Q62" i="4"/>
  <c r="P62" i="4"/>
  <c r="O62" i="4"/>
  <c r="N62" i="4"/>
  <c r="L62" i="4"/>
  <c r="I62" i="4"/>
  <c r="G62" i="4"/>
  <c r="F62" i="4"/>
  <c r="D62" i="4"/>
  <c r="V61" i="4"/>
  <c r="T61" i="4"/>
  <c r="R61" i="4"/>
  <c r="Q61" i="4"/>
  <c r="P61" i="4"/>
  <c r="N61" i="4"/>
  <c r="L61" i="4"/>
  <c r="I61" i="4"/>
  <c r="H61" i="4"/>
  <c r="G61" i="4"/>
  <c r="F61" i="4"/>
  <c r="E61" i="4"/>
  <c r="D61" i="4"/>
  <c r="V60" i="4"/>
  <c r="T60" i="4"/>
  <c r="R60" i="4"/>
  <c r="Q60" i="4"/>
  <c r="P60" i="4"/>
  <c r="O60" i="4"/>
  <c r="N60" i="4"/>
  <c r="L60" i="4"/>
  <c r="I60" i="4"/>
  <c r="H60" i="4"/>
  <c r="G60" i="4"/>
  <c r="F60" i="4"/>
  <c r="E60" i="4"/>
  <c r="D60" i="4"/>
  <c r="T59" i="4"/>
  <c r="R59" i="4"/>
  <c r="Q59" i="4"/>
  <c r="P59" i="4"/>
  <c r="O59" i="4"/>
  <c r="N59" i="4"/>
  <c r="L59" i="4"/>
  <c r="I59" i="4"/>
  <c r="G59" i="4"/>
  <c r="F59" i="4"/>
  <c r="D59" i="4"/>
  <c r="V58" i="4"/>
  <c r="T58" i="4"/>
  <c r="R58" i="4"/>
  <c r="Q58" i="4"/>
  <c r="P58" i="4"/>
  <c r="O58" i="4"/>
  <c r="N58" i="4"/>
  <c r="L58" i="4"/>
  <c r="I58" i="4"/>
  <c r="G58" i="4"/>
  <c r="F58" i="4"/>
  <c r="D58" i="4"/>
  <c r="T57" i="4"/>
  <c r="R57" i="4"/>
  <c r="Q57" i="4"/>
  <c r="P57" i="4"/>
  <c r="O57" i="4"/>
  <c r="N57" i="4"/>
  <c r="L57" i="4"/>
  <c r="I57" i="4"/>
  <c r="G57" i="4"/>
  <c r="F57" i="4"/>
  <c r="D57" i="4"/>
  <c r="V56" i="4"/>
  <c r="T56" i="4"/>
  <c r="R56" i="4"/>
  <c r="Q56" i="4"/>
  <c r="P56" i="4"/>
  <c r="O56" i="4"/>
  <c r="N56" i="4"/>
  <c r="L56" i="4"/>
  <c r="I56" i="4"/>
  <c r="G56" i="4"/>
  <c r="F56" i="4"/>
  <c r="D56" i="4"/>
  <c r="V55" i="4"/>
  <c r="T55" i="4"/>
  <c r="R55" i="4"/>
  <c r="Q55" i="4"/>
  <c r="P55" i="4"/>
  <c r="O55" i="4"/>
  <c r="N55" i="4"/>
  <c r="L55" i="4"/>
  <c r="I55" i="4"/>
  <c r="G55" i="4"/>
  <c r="F55" i="4"/>
  <c r="D55" i="4"/>
  <c r="V54" i="4"/>
  <c r="T54" i="4"/>
  <c r="R54" i="4"/>
  <c r="Q54" i="4"/>
  <c r="P54" i="4"/>
  <c r="O54" i="4"/>
  <c r="N54" i="4"/>
  <c r="L54" i="4"/>
  <c r="I54" i="4"/>
  <c r="G54" i="4"/>
  <c r="F54" i="4"/>
  <c r="D54" i="4"/>
  <c r="V53" i="4"/>
  <c r="T53" i="4"/>
  <c r="R53" i="4"/>
  <c r="Q53" i="4"/>
  <c r="P53" i="4"/>
  <c r="O53" i="4"/>
  <c r="N53" i="4"/>
  <c r="L53" i="4"/>
  <c r="I53" i="4"/>
  <c r="G53" i="4"/>
  <c r="F53" i="4"/>
  <c r="D53" i="4"/>
  <c r="P52" i="4"/>
  <c r="N52" i="4"/>
  <c r="L52" i="4"/>
  <c r="I52" i="4"/>
  <c r="G52" i="4"/>
  <c r="D52" i="4"/>
  <c r="V51" i="4"/>
  <c r="T51" i="4"/>
  <c r="R51" i="4"/>
  <c r="Q51" i="4"/>
  <c r="P51" i="4"/>
  <c r="O51" i="4"/>
  <c r="N51" i="4"/>
  <c r="L51" i="4"/>
  <c r="I51" i="4"/>
  <c r="G51" i="4"/>
  <c r="F51" i="4"/>
  <c r="D51" i="4"/>
  <c r="V50" i="4"/>
  <c r="T50" i="4"/>
  <c r="R50" i="4"/>
  <c r="Q50" i="4"/>
  <c r="P50" i="4"/>
  <c r="O50" i="4"/>
  <c r="N50" i="4"/>
  <c r="L50" i="4"/>
  <c r="I50" i="4"/>
  <c r="G50" i="4"/>
  <c r="F50" i="4"/>
  <c r="D50" i="4"/>
  <c r="V49" i="4"/>
  <c r="T49" i="4"/>
  <c r="R49" i="4"/>
  <c r="Q49" i="4"/>
  <c r="P49" i="4"/>
  <c r="O49" i="4"/>
  <c r="N49" i="4"/>
  <c r="L49" i="4"/>
  <c r="I49" i="4"/>
  <c r="G49" i="4"/>
  <c r="F49" i="4"/>
  <c r="D49" i="4"/>
  <c r="V48" i="4"/>
  <c r="T48" i="4"/>
  <c r="R48" i="4"/>
  <c r="Q48" i="4"/>
  <c r="P48" i="4"/>
  <c r="O48" i="4"/>
  <c r="N48" i="4"/>
  <c r="L48" i="4"/>
  <c r="I48" i="4"/>
  <c r="G48" i="4"/>
  <c r="F48" i="4"/>
  <c r="D48" i="4"/>
  <c r="P47" i="4"/>
  <c r="N47" i="4"/>
  <c r="L47" i="4"/>
  <c r="I47" i="4"/>
  <c r="G47" i="4"/>
  <c r="D47" i="4"/>
  <c r="V46" i="4"/>
  <c r="T46" i="4"/>
  <c r="R46" i="4"/>
  <c r="Q46" i="4"/>
  <c r="P46" i="4"/>
  <c r="O46" i="4"/>
  <c r="N46" i="4"/>
  <c r="L46" i="4"/>
  <c r="I46" i="4"/>
  <c r="G46" i="4"/>
  <c r="F46" i="4"/>
  <c r="D46" i="4"/>
  <c r="V45" i="4"/>
  <c r="T45" i="4"/>
  <c r="R45" i="4"/>
  <c r="Q45" i="4"/>
  <c r="P45" i="4"/>
  <c r="O45" i="4"/>
  <c r="N45" i="4"/>
  <c r="L45" i="4"/>
  <c r="I45" i="4"/>
  <c r="G45" i="4"/>
  <c r="F45" i="4"/>
  <c r="D45" i="4"/>
  <c r="P44" i="4"/>
  <c r="N44" i="4"/>
  <c r="L44" i="4"/>
  <c r="I44" i="4"/>
  <c r="G44" i="4"/>
  <c r="D44" i="4"/>
  <c r="V43" i="4"/>
  <c r="T43" i="4"/>
  <c r="R43" i="4"/>
  <c r="Q43" i="4"/>
  <c r="P43" i="4"/>
  <c r="O43" i="4"/>
  <c r="N43" i="4"/>
  <c r="L43" i="4"/>
  <c r="I43" i="4"/>
  <c r="G43" i="4"/>
  <c r="F43" i="4"/>
  <c r="D43" i="4"/>
  <c r="V42" i="4"/>
  <c r="T42" i="4"/>
  <c r="R42" i="4"/>
  <c r="Q42" i="4"/>
  <c r="P42" i="4"/>
  <c r="O42" i="4"/>
  <c r="N42" i="4"/>
  <c r="L42" i="4"/>
  <c r="I42" i="4"/>
  <c r="G42" i="4"/>
  <c r="F42" i="4"/>
  <c r="D42" i="4"/>
  <c r="V41" i="4"/>
  <c r="T41" i="4"/>
  <c r="R41" i="4"/>
  <c r="Q41" i="4"/>
  <c r="P41" i="4"/>
  <c r="O41" i="4"/>
  <c r="N41" i="4"/>
  <c r="L41" i="4"/>
  <c r="I41" i="4"/>
  <c r="G41" i="4"/>
  <c r="F41" i="4"/>
  <c r="D41" i="4"/>
  <c r="P40" i="4"/>
  <c r="N40" i="4"/>
  <c r="L40" i="4"/>
  <c r="I40" i="4"/>
  <c r="G40" i="4"/>
  <c r="D40" i="4"/>
  <c r="V39" i="4"/>
  <c r="T39" i="4"/>
  <c r="R39" i="4"/>
  <c r="Q39" i="4"/>
  <c r="P39" i="4"/>
  <c r="O39" i="4"/>
  <c r="N39" i="4"/>
  <c r="L39" i="4"/>
  <c r="I39" i="4"/>
  <c r="G39" i="4"/>
  <c r="F39" i="4"/>
  <c r="D39" i="4"/>
  <c r="V38" i="4"/>
  <c r="T38" i="4"/>
  <c r="R38" i="4"/>
  <c r="Q38" i="4"/>
  <c r="P38" i="4"/>
  <c r="O38" i="4"/>
  <c r="N38" i="4"/>
  <c r="L38" i="4"/>
  <c r="I38" i="4"/>
  <c r="G38" i="4"/>
  <c r="F38" i="4"/>
  <c r="D38" i="4"/>
  <c r="V37" i="4"/>
  <c r="T37" i="4"/>
  <c r="R37" i="4"/>
  <c r="Q37" i="4"/>
  <c r="P37" i="4"/>
  <c r="O37" i="4"/>
  <c r="N37" i="4"/>
  <c r="L37" i="4"/>
  <c r="I37" i="4"/>
  <c r="G37" i="4"/>
  <c r="F37" i="4"/>
  <c r="D37" i="4"/>
  <c r="V36" i="4"/>
  <c r="T36" i="4"/>
  <c r="R36" i="4"/>
  <c r="Q36" i="4"/>
  <c r="P36" i="4"/>
  <c r="O36" i="4"/>
  <c r="N36" i="4"/>
  <c r="L36" i="4"/>
  <c r="I36" i="4"/>
  <c r="G36" i="4"/>
  <c r="F36" i="4"/>
  <c r="D36" i="4"/>
  <c r="V35" i="4"/>
  <c r="T35" i="4"/>
  <c r="R35" i="4"/>
  <c r="Q35" i="4"/>
  <c r="P35" i="4"/>
  <c r="O35" i="4"/>
  <c r="N35" i="4"/>
  <c r="L35" i="4"/>
  <c r="I35" i="4"/>
  <c r="G35" i="4"/>
  <c r="F35" i="4"/>
  <c r="D35" i="4"/>
  <c r="V34" i="4"/>
  <c r="T34" i="4"/>
  <c r="R34" i="4"/>
  <c r="Q34" i="4"/>
  <c r="P34" i="4"/>
  <c r="O34" i="4"/>
  <c r="N34" i="4"/>
  <c r="L34" i="4"/>
  <c r="I34" i="4"/>
  <c r="G34" i="4"/>
  <c r="F34" i="4"/>
  <c r="D34" i="4"/>
  <c r="V33" i="4"/>
  <c r="T33" i="4"/>
  <c r="R33" i="4"/>
  <c r="Q33" i="4"/>
  <c r="P33" i="4"/>
  <c r="O33" i="4"/>
  <c r="N33" i="4"/>
  <c r="L33" i="4"/>
  <c r="I33" i="4"/>
  <c r="G33" i="4"/>
  <c r="F33" i="4"/>
  <c r="D33" i="4"/>
  <c r="V32" i="4"/>
  <c r="T32" i="4"/>
  <c r="R32" i="4"/>
  <c r="Q32" i="4"/>
  <c r="P32" i="4"/>
  <c r="O32" i="4"/>
  <c r="N32" i="4"/>
  <c r="L32" i="4"/>
  <c r="I32" i="4"/>
  <c r="G32" i="4"/>
  <c r="F32" i="4"/>
  <c r="D32" i="4"/>
  <c r="P31" i="4"/>
  <c r="N31" i="4"/>
  <c r="L31" i="4"/>
  <c r="I31" i="4"/>
  <c r="G31" i="4"/>
  <c r="D31" i="4"/>
  <c r="V30" i="4"/>
  <c r="T30" i="4"/>
  <c r="R30" i="4"/>
  <c r="Q30" i="4"/>
  <c r="P30" i="4"/>
  <c r="O30" i="4"/>
  <c r="N30" i="4"/>
  <c r="L30" i="4"/>
  <c r="I30" i="4"/>
  <c r="G30" i="4"/>
  <c r="F30" i="4"/>
  <c r="D30" i="4"/>
  <c r="V29" i="4"/>
  <c r="T29" i="4"/>
  <c r="R29" i="4"/>
  <c r="Q29" i="4"/>
  <c r="P29" i="4"/>
  <c r="O29" i="4"/>
  <c r="N29" i="4"/>
  <c r="L29" i="4"/>
  <c r="I29" i="4"/>
  <c r="G29" i="4"/>
  <c r="F29" i="4"/>
  <c r="D29" i="4"/>
  <c r="V28" i="4"/>
  <c r="T28" i="4"/>
  <c r="R28" i="4"/>
  <c r="Q28" i="4"/>
  <c r="P28" i="4"/>
  <c r="O28" i="4"/>
  <c r="N28" i="4"/>
  <c r="L28" i="4"/>
  <c r="I28" i="4"/>
  <c r="G28" i="4"/>
  <c r="F28" i="4"/>
  <c r="D28" i="4"/>
  <c r="R26" i="4"/>
  <c r="T26" i="4" s="1"/>
  <c r="P26" i="4"/>
  <c r="O26" i="4"/>
  <c r="N26" i="4"/>
  <c r="I26" i="4"/>
  <c r="T25" i="4"/>
  <c r="R25" i="4"/>
  <c r="P25" i="4"/>
  <c r="O25" i="4"/>
  <c r="N25" i="4"/>
  <c r="I25" i="4"/>
  <c r="R24" i="4"/>
  <c r="T24" i="4" s="1"/>
  <c r="P24" i="4"/>
  <c r="O24" i="4"/>
  <c r="N24" i="4"/>
  <c r="I24" i="4"/>
  <c r="R23" i="4"/>
  <c r="T23" i="4" s="1"/>
  <c r="P23" i="4"/>
  <c r="O23" i="4"/>
  <c r="N23" i="4"/>
  <c r="I23" i="4"/>
  <c r="R22" i="4"/>
  <c r="T22" i="4" s="1"/>
  <c r="P22" i="4"/>
  <c r="O22" i="4"/>
  <c r="N22" i="4"/>
  <c r="I22" i="4"/>
  <c r="T21" i="4"/>
  <c r="R21" i="4"/>
  <c r="P21" i="4"/>
  <c r="O21" i="4"/>
  <c r="N21" i="4"/>
  <c r="I21" i="4"/>
  <c r="R20" i="4"/>
  <c r="T20" i="4" s="1"/>
  <c r="P20" i="4"/>
  <c r="O20" i="4"/>
  <c r="N20" i="4"/>
  <c r="I20" i="4"/>
  <c r="R19" i="4"/>
  <c r="T19" i="4" s="1"/>
  <c r="P19" i="4"/>
  <c r="O19" i="4"/>
  <c r="N19" i="4"/>
  <c r="I19" i="4"/>
  <c r="R18" i="4"/>
  <c r="T18" i="4" s="1"/>
  <c r="P18" i="4"/>
  <c r="O18" i="4"/>
  <c r="N18" i="4"/>
  <c r="I18" i="4"/>
  <c r="T17" i="4"/>
  <c r="R17" i="4"/>
  <c r="P17" i="4"/>
  <c r="O17" i="4"/>
  <c r="N17" i="4"/>
  <c r="I17" i="4"/>
  <c r="R16" i="4"/>
  <c r="T16" i="4" s="1"/>
  <c r="P16" i="4"/>
  <c r="O16" i="4"/>
  <c r="N16" i="4"/>
  <c r="I16" i="4"/>
  <c r="R15" i="4"/>
  <c r="T15" i="4" s="1"/>
  <c r="P15" i="4"/>
  <c r="O15" i="4"/>
  <c r="N15" i="4"/>
  <c r="I15" i="4"/>
  <c r="R14" i="4"/>
  <c r="T14" i="4" s="1"/>
  <c r="P14" i="4"/>
  <c r="O14" i="4"/>
  <c r="N14" i="4"/>
  <c r="I14" i="4"/>
  <c r="T13" i="4"/>
  <c r="R13" i="4"/>
  <c r="P13" i="4"/>
  <c r="O13" i="4"/>
  <c r="N13" i="4"/>
  <c r="I13" i="4"/>
  <c r="R12" i="4"/>
  <c r="T12" i="4" s="1"/>
  <c r="P12" i="4"/>
  <c r="O12" i="4"/>
  <c r="N12" i="4"/>
  <c r="I12" i="4"/>
  <c r="R11" i="4"/>
  <c r="T11" i="4" s="1"/>
  <c r="P11" i="4"/>
  <c r="O11" i="4"/>
  <c r="N11" i="4"/>
  <c r="I11" i="4"/>
  <c r="R10" i="4"/>
  <c r="T10" i="4" s="1"/>
  <c r="P10" i="4"/>
  <c r="O10" i="4"/>
  <c r="N10" i="4"/>
  <c r="I10" i="4"/>
  <c r="T9" i="4"/>
  <c r="R9" i="4"/>
  <c r="P9" i="4"/>
  <c r="O9" i="4"/>
  <c r="N9" i="4"/>
  <c r="I9" i="4"/>
  <c r="R8" i="4"/>
  <c r="T8" i="4" s="1"/>
  <c r="P8" i="4"/>
  <c r="O8" i="4"/>
  <c r="N8" i="4"/>
  <c r="I8" i="4"/>
  <c r="R7" i="4"/>
  <c r="P7" i="4"/>
  <c r="O7" i="4"/>
  <c r="N7" i="4"/>
  <c r="I7" i="4"/>
  <c r="T63" i="3"/>
  <c r="T61" i="3"/>
  <c r="S61" i="3"/>
  <c r="R61" i="3"/>
  <c r="Q61" i="3"/>
  <c r="P61" i="3"/>
  <c r="O61" i="3"/>
  <c r="J61" i="3"/>
  <c r="I61" i="3"/>
  <c r="H61" i="3"/>
  <c r="G61" i="3"/>
  <c r="F61" i="3"/>
  <c r="E61" i="3"/>
  <c r="D61" i="3"/>
  <c r="V60" i="3"/>
  <c r="T60" i="3"/>
  <c r="R60" i="3"/>
  <c r="Q60" i="3"/>
  <c r="P60" i="3"/>
  <c r="O60" i="3"/>
  <c r="N60" i="3"/>
  <c r="L60" i="3"/>
  <c r="I60" i="3"/>
  <c r="G60" i="3"/>
  <c r="F60" i="3"/>
  <c r="D60" i="3"/>
  <c r="V59" i="3"/>
  <c r="T59" i="3"/>
  <c r="R59" i="3"/>
  <c r="Q59" i="3"/>
  <c r="P59" i="3"/>
  <c r="O59" i="3"/>
  <c r="N59" i="3"/>
  <c r="L59" i="3"/>
  <c r="I59" i="3"/>
  <c r="G59" i="3"/>
  <c r="F59" i="3"/>
  <c r="D59" i="3"/>
  <c r="V58" i="3"/>
  <c r="G58" i="3"/>
  <c r="F58" i="3"/>
  <c r="D58" i="3"/>
  <c r="V57" i="3"/>
  <c r="T57" i="3"/>
  <c r="R57" i="3"/>
  <c r="Q57" i="3"/>
  <c r="P57" i="3"/>
  <c r="O57" i="3"/>
  <c r="N57" i="3"/>
  <c r="L57" i="3"/>
  <c r="I57" i="3"/>
  <c r="G57" i="3"/>
  <c r="F57" i="3"/>
  <c r="D57" i="3"/>
  <c r="T56" i="3"/>
  <c r="R56" i="3"/>
  <c r="Q56" i="3"/>
  <c r="P56" i="3"/>
  <c r="O56" i="3"/>
  <c r="N56" i="3"/>
  <c r="L56" i="3"/>
  <c r="I56" i="3"/>
  <c r="G56" i="3"/>
  <c r="F56" i="3"/>
  <c r="D56" i="3"/>
  <c r="V55" i="3"/>
  <c r="T55" i="3"/>
  <c r="R55" i="3"/>
  <c r="Q55" i="3"/>
  <c r="P55" i="3"/>
  <c r="O55" i="3"/>
  <c r="N55" i="3"/>
  <c r="L55" i="3"/>
  <c r="I55" i="3"/>
  <c r="G55" i="3"/>
  <c r="F55" i="3"/>
  <c r="D55" i="3"/>
  <c r="T54" i="3"/>
  <c r="R54" i="3"/>
  <c r="Q54" i="3"/>
  <c r="P54" i="3"/>
  <c r="O54" i="3"/>
  <c r="N54" i="3"/>
  <c r="L54" i="3"/>
  <c r="I54" i="3"/>
  <c r="G54" i="3"/>
  <c r="F54" i="3"/>
  <c r="D54" i="3"/>
  <c r="V53" i="3"/>
  <c r="T53" i="3"/>
  <c r="R53" i="3"/>
  <c r="Q53" i="3"/>
  <c r="P53" i="3"/>
  <c r="O53" i="3"/>
  <c r="N53" i="3"/>
  <c r="L53" i="3"/>
  <c r="I53" i="3"/>
  <c r="G53" i="3"/>
  <c r="F53" i="3"/>
  <c r="D53" i="3"/>
  <c r="T52" i="3"/>
  <c r="R52" i="3"/>
  <c r="Q52" i="3"/>
  <c r="P52" i="3"/>
  <c r="O52" i="3"/>
  <c r="N52" i="3"/>
  <c r="L52" i="3"/>
  <c r="I52" i="3"/>
  <c r="G52" i="3"/>
  <c r="F52" i="3"/>
  <c r="D52" i="3"/>
  <c r="V51" i="3"/>
  <c r="T51" i="3"/>
  <c r="R51" i="3"/>
  <c r="Q51" i="3"/>
  <c r="P51" i="3"/>
  <c r="O51" i="3"/>
  <c r="N51" i="3"/>
  <c r="L51" i="3"/>
  <c r="I51" i="3"/>
  <c r="G51" i="3"/>
  <c r="F51" i="3"/>
  <c r="D51" i="3"/>
  <c r="V50" i="3"/>
  <c r="T50" i="3"/>
  <c r="R50" i="3"/>
  <c r="Q50" i="3"/>
  <c r="P50" i="3"/>
  <c r="O50" i="3"/>
  <c r="N50" i="3"/>
  <c r="L50" i="3"/>
  <c r="I50" i="3"/>
  <c r="G50" i="3"/>
  <c r="F50" i="3"/>
  <c r="D50" i="3"/>
  <c r="T49" i="3"/>
  <c r="R49" i="3"/>
  <c r="Q49" i="3"/>
  <c r="P49" i="3"/>
  <c r="O49" i="3"/>
  <c r="N49" i="3"/>
  <c r="L49" i="3"/>
  <c r="I49" i="3"/>
  <c r="G49" i="3"/>
  <c r="F49" i="3"/>
  <c r="D49" i="3"/>
  <c r="T48" i="3"/>
  <c r="R48" i="3"/>
  <c r="Q48" i="3"/>
  <c r="P48" i="3"/>
  <c r="O48" i="3"/>
  <c r="N48" i="3"/>
  <c r="L48" i="3"/>
  <c r="I48" i="3"/>
  <c r="G48" i="3"/>
  <c r="F48" i="3"/>
  <c r="D48" i="3"/>
  <c r="V47" i="3"/>
  <c r="T47" i="3"/>
  <c r="R47" i="3"/>
  <c r="Q47" i="3"/>
  <c r="P47" i="3"/>
  <c r="O47" i="3"/>
  <c r="N47" i="3"/>
  <c r="L47" i="3"/>
  <c r="I47" i="3"/>
  <c r="G47" i="3"/>
  <c r="F47" i="3"/>
  <c r="D47" i="3"/>
  <c r="V46" i="3"/>
  <c r="T46" i="3"/>
  <c r="R46" i="3"/>
  <c r="Q46" i="3"/>
  <c r="P46" i="3"/>
  <c r="O46" i="3"/>
  <c r="N46" i="3"/>
  <c r="L46" i="3"/>
  <c r="I46" i="3"/>
  <c r="G46" i="3"/>
  <c r="F46" i="3"/>
  <c r="D46" i="3"/>
  <c r="T45" i="3"/>
  <c r="R45" i="3"/>
  <c r="Q45" i="3"/>
  <c r="P45" i="3"/>
  <c r="O45" i="3"/>
  <c r="N45" i="3"/>
  <c r="L45" i="3"/>
  <c r="I45" i="3"/>
  <c r="G45" i="3"/>
  <c r="F45" i="3"/>
  <c r="D45" i="3"/>
  <c r="V44" i="3"/>
  <c r="T44" i="3"/>
  <c r="R44" i="3"/>
  <c r="Q44" i="3"/>
  <c r="P44" i="3"/>
  <c r="O44" i="3"/>
  <c r="N44" i="3"/>
  <c r="L44" i="3"/>
  <c r="I44" i="3"/>
  <c r="G44" i="3"/>
  <c r="F44" i="3"/>
  <c r="E44" i="3"/>
  <c r="D44" i="3"/>
  <c r="V43" i="3"/>
  <c r="T43" i="3"/>
  <c r="R43" i="3"/>
  <c r="Q43" i="3"/>
  <c r="P43" i="3"/>
  <c r="O43" i="3"/>
  <c r="N43" i="3"/>
  <c r="L43" i="3"/>
  <c r="I43" i="3"/>
  <c r="G43" i="3"/>
  <c r="F43" i="3"/>
  <c r="D43" i="3"/>
  <c r="V42" i="3"/>
  <c r="T42" i="3"/>
  <c r="R42" i="3"/>
  <c r="Q42" i="3"/>
  <c r="P42" i="3"/>
  <c r="O42" i="3"/>
  <c r="N42" i="3"/>
  <c r="L42" i="3"/>
  <c r="I42" i="3"/>
  <c r="G42" i="3"/>
  <c r="F42" i="3"/>
  <c r="D42" i="3"/>
  <c r="T41" i="3"/>
  <c r="R41" i="3"/>
  <c r="Q41" i="3"/>
  <c r="P41" i="3"/>
  <c r="O41" i="3"/>
  <c r="N41" i="3"/>
  <c r="L41" i="3"/>
  <c r="I41" i="3"/>
  <c r="G41" i="3"/>
  <c r="F41" i="3"/>
  <c r="D41" i="3"/>
  <c r="V40" i="3"/>
  <c r="T40" i="3"/>
  <c r="R40" i="3"/>
  <c r="Q40" i="3"/>
  <c r="P40" i="3"/>
  <c r="O40" i="3"/>
  <c r="N40" i="3"/>
  <c r="L40" i="3"/>
  <c r="I40" i="3"/>
  <c r="H40" i="3"/>
  <c r="G40" i="3"/>
  <c r="F40" i="3"/>
  <c r="D40" i="3"/>
  <c r="V39" i="3"/>
  <c r="T39" i="3"/>
  <c r="R39" i="3"/>
  <c r="Q39" i="3"/>
  <c r="P39" i="3"/>
  <c r="O39" i="3"/>
  <c r="N39" i="3"/>
  <c r="L39" i="3"/>
  <c r="I39" i="3"/>
  <c r="H39" i="3"/>
  <c r="G39" i="3"/>
  <c r="F39" i="3"/>
  <c r="D39" i="3"/>
  <c r="T38" i="3"/>
  <c r="R38" i="3"/>
  <c r="Q38" i="3"/>
  <c r="P38" i="3"/>
  <c r="O38" i="3"/>
  <c r="N38" i="3"/>
  <c r="L38" i="3"/>
  <c r="I38" i="3"/>
  <c r="G38" i="3"/>
  <c r="F38" i="3"/>
  <c r="D38" i="3"/>
  <c r="V37" i="3"/>
  <c r="T37" i="3"/>
  <c r="R37" i="3"/>
  <c r="Q37" i="3"/>
  <c r="P37" i="3"/>
  <c r="O37" i="3"/>
  <c r="N37" i="3"/>
  <c r="L37" i="3"/>
  <c r="I37" i="3"/>
  <c r="G37" i="3"/>
  <c r="F37" i="3"/>
  <c r="D37" i="3"/>
  <c r="T36" i="3"/>
  <c r="R36" i="3"/>
  <c r="Q36" i="3"/>
  <c r="P36" i="3"/>
  <c r="O36" i="3"/>
  <c r="N36" i="3"/>
  <c r="L36" i="3"/>
  <c r="I36" i="3"/>
  <c r="G36" i="3"/>
  <c r="F36" i="3"/>
  <c r="D36" i="3"/>
  <c r="V35" i="3"/>
  <c r="T35" i="3"/>
  <c r="R35" i="3"/>
  <c r="Q35" i="3"/>
  <c r="P35" i="3"/>
  <c r="O35" i="3"/>
  <c r="N35" i="3"/>
  <c r="L35" i="3"/>
  <c r="I35" i="3"/>
  <c r="G35" i="3"/>
  <c r="F35" i="3"/>
  <c r="D35" i="3"/>
  <c r="V34" i="3"/>
  <c r="T34" i="3"/>
  <c r="R34" i="3"/>
  <c r="Q34" i="3"/>
  <c r="P34" i="3"/>
  <c r="O34" i="3"/>
  <c r="N34" i="3"/>
  <c r="L34" i="3"/>
  <c r="I34" i="3"/>
  <c r="G34" i="3"/>
  <c r="F34" i="3"/>
  <c r="D34" i="3"/>
  <c r="V33" i="3"/>
  <c r="T33" i="3"/>
  <c r="R33" i="3"/>
  <c r="Q33" i="3"/>
  <c r="P33" i="3"/>
  <c r="O33" i="3"/>
  <c r="N33" i="3"/>
  <c r="L33" i="3"/>
  <c r="I33" i="3"/>
  <c r="G33" i="3"/>
  <c r="F33" i="3"/>
  <c r="D33" i="3"/>
  <c r="V32" i="3"/>
  <c r="T32" i="3"/>
  <c r="R32" i="3"/>
  <c r="Q32" i="3"/>
  <c r="P32" i="3"/>
  <c r="O32" i="3"/>
  <c r="N32" i="3"/>
  <c r="L32" i="3"/>
  <c r="I32" i="3"/>
  <c r="G32" i="3"/>
  <c r="F32" i="3"/>
  <c r="D32" i="3"/>
  <c r="P31" i="3"/>
  <c r="N31" i="3"/>
  <c r="L31" i="3"/>
  <c r="I31" i="3"/>
  <c r="G31" i="3"/>
  <c r="D31" i="3"/>
  <c r="V30" i="3"/>
  <c r="T30" i="3"/>
  <c r="R30" i="3"/>
  <c r="Q30" i="3"/>
  <c r="P30" i="3"/>
  <c r="O30" i="3"/>
  <c r="N30" i="3"/>
  <c r="L30" i="3"/>
  <c r="I30" i="3"/>
  <c r="G30" i="3"/>
  <c r="F30" i="3"/>
  <c r="D30" i="3"/>
  <c r="V29" i="3"/>
  <c r="T29" i="3"/>
  <c r="R29" i="3"/>
  <c r="Q29" i="3"/>
  <c r="P29" i="3"/>
  <c r="O29" i="3"/>
  <c r="N29" i="3"/>
  <c r="L29" i="3"/>
  <c r="I29" i="3"/>
  <c r="G29" i="3"/>
  <c r="F29" i="3"/>
  <c r="D29" i="3"/>
  <c r="V28" i="3"/>
  <c r="T28" i="3"/>
  <c r="R28" i="3"/>
  <c r="Q28" i="3"/>
  <c r="P28" i="3"/>
  <c r="O28" i="3"/>
  <c r="N28" i="3"/>
  <c r="L28" i="3"/>
  <c r="I28" i="3"/>
  <c r="G28" i="3"/>
  <c r="F28" i="3"/>
  <c r="D28" i="3"/>
  <c r="V27" i="3"/>
  <c r="T27" i="3"/>
  <c r="R27" i="3"/>
  <c r="Q27" i="3"/>
  <c r="P27" i="3"/>
  <c r="O27" i="3"/>
  <c r="N27" i="3"/>
  <c r="L27" i="3"/>
  <c r="I27" i="3"/>
  <c r="G27" i="3"/>
  <c r="F27" i="3"/>
  <c r="D27" i="3"/>
  <c r="P26" i="3"/>
  <c r="N26" i="3"/>
  <c r="L26" i="3"/>
  <c r="I26" i="3"/>
  <c r="G26" i="3"/>
  <c r="D26" i="3"/>
  <c r="V25" i="3"/>
  <c r="T25" i="3"/>
  <c r="R25" i="3"/>
  <c r="Q25" i="3"/>
  <c r="P25" i="3"/>
  <c r="O25" i="3"/>
  <c r="N25" i="3"/>
  <c r="L25" i="3"/>
  <c r="I25" i="3"/>
  <c r="G25" i="3"/>
  <c r="F25" i="3"/>
  <c r="D25" i="3"/>
  <c r="V24" i="3"/>
  <c r="T24" i="3"/>
  <c r="R24" i="3"/>
  <c r="Q24" i="3"/>
  <c r="P24" i="3"/>
  <c r="O24" i="3"/>
  <c r="N24" i="3"/>
  <c r="L24" i="3"/>
  <c r="I24" i="3"/>
  <c r="G24" i="3"/>
  <c r="F24" i="3"/>
  <c r="D24" i="3"/>
  <c r="P23" i="3"/>
  <c r="N23" i="3"/>
  <c r="L23" i="3"/>
  <c r="I23" i="3"/>
  <c r="G23" i="3"/>
  <c r="D23" i="3"/>
  <c r="V22" i="3"/>
  <c r="T22" i="3"/>
  <c r="R22" i="3"/>
  <c r="Q22" i="3"/>
  <c r="P22" i="3"/>
  <c r="O22" i="3"/>
  <c r="N22" i="3"/>
  <c r="L22" i="3"/>
  <c r="I22" i="3"/>
  <c r="G22" i="3"/>
  <c r="F22" i="3"/>
  <c r="D22" i="3"/>
  <c r="V21" i="3"/>
  <c r="T21" i="3"/>
  <c r="R21" i="3"/>
  <c r="Q21" i="3"/>
  <c r="P21" i="3"/>
  <c r="O21" i="3"/>
  <c r="N21" i="3"/>
  <c r="L21" i="3"/>
  <c r="I21" i="3"/>
  <c r="G21" i="3"/>
  <c r="F21" i="3"/>
  <c r="D21" i="3"/>
  <c r="V20" i="3"/>
  <c r="T20" i="3"/>
  <c r="R20" i="3"/>
  <c r="Q20" i="3"/>
  <c r="P20" i="3"/>
  <c r="O20" i="3"/>
  <c r="N20" i="3"/>
  <c r="L20" i="3"/>
  <c r="I20" i="3"/>
  <c r="G20" i="3"/>
  <c r="F20" i="3"/>
  <c r="D20" i="3"/>
  <c r="P19" i="3"/>
  <c r="N19" i="3"/>
  <c r="L19" i="3"/>
  <c r="I19" i="3"/>
  <c r="G19" i="3"/>
  <c r="D19" i="3"/>
  <c r="V18" i="3"/>
  <c r="T18" i="3"/>
  <c r="R18" i="3"/>
  <c r="Q18" i="3"/>
  <c r="P18" i="3"/>
  <c r="O18" i="3"/>
  <c r="N18" i="3"/>
  <c r="L18" i="3"/>
  <c r="I18" i="3"/>
  <c r="G18" i="3"/>
  <c r="F18" i="3"/>
  <c r="D18" i="3"/>
  <c r="V17" i="3"/>
  <c r="T17" i="3"/>
  <c r="R17" i="3"/>
  <c r="Q17" i="3"/>
  <c r="P17" i="3"/>
  <c r="O17" i="3"/>
  <c r="N17" i="3"/>
  <c r="L17" i="3"/>
  <c r="I17" i="3"/>
  <c r="G17" i="3"/>
  <c r="F17" i="3"/>
  <c r="D17" i="3"/>
  <c r="V16" i="3"/>
  <c r="T16" i="3"/>
  <c r="R16" i="3"/>
  <c r="Q16" i="3"/>
  <c r="P16" i="3"/>
  <c r="O16" i="3"/>
  <c r="N16" i="3"/>
  <c r="L16" i="3"/>
  <c r="I16" i="3"/>
  <c r="G16" i="3"/>
  <c r="F16" i="3"/>
  <c r="D16" i="3"/>
  <c r="V15" i="3"/>
  <c r="T15" i="3"/>
  <c r="R15" i="3"/>
  <c r="Q15" i="3"/>
  <c r="P15" i="3"/>
  <c r="O15" i="3"/>
  <c r="N15" i="3"/>
  <c r="L15" i="3"/>
  <c r="I15" i="3"/>
  <c r="G15" i="3"/>
  <c r="F15" i="3"/>
  <c r="D15" i="3"/>
  <c r="V14" i="3"/>
  <c r="T14" i="3"/>
  <c r="R14" i="3"/>
  <c r="Q14" i="3"/>
  <c r="P14" i="3"/>
  <c r="O14" i="3"/>
  <c r="N14" i="3"/>
  <c r="L14" i="3"/>
  <c r="I14" i="3"/>
  <c r="G14" i="3"/>
  <c r="F14" i="3"/>
  <c r="D14" i="3"/>
  <c r="V13" i="3"/>
  <c r="T13" i="3"/>
  <c r="R13" i="3"/>
  <c r="Q13" i="3"/>
  <c r="P13" i="3"/>
  <c r="O13" i="3"/>
  <c r="N13" i="3"/>
  <c r="L13" i="3"/>
  <c r="I13" i="3"/>
  <c r="G13" i="3"/>
  <c r="F13" i="3"/>
  <c r="D13" i="3"/>
  <c r="V12" i="3"/>
  <c r="T12" i="3"/>
  <c r="R12" i="3"/>
  <c r="Q12" i="3"/>
  <c r="P12" i="3"/>
  <c r="O12" i="3"/>
  <c r="N12" i="3"/>
  <c r="L12" i="3"/>
  <c r="I12" i="3"/>
  <c r="G12" i="3"/>
  <c r="F12" i="3"/>
  <c r="D12" i="3"/>
  <c r="V11" i="3"/>
  <c r="T11" i="3"/>
  <c r="R11" i="3"/>
  <c r="Q11" i="3"/>
  <c r="P11" i="3"/>
  <c r="O11" i="3"/>
  <c r="N11" i="3"/>
  <c r="L11" i="3"/>
  <c r="I11" i="3"/>
  <c r="G11" i="3"/>
  <c r="F11" i="3"/>
  <c r="D11" i="3"/>
  <c r="P10" i="3"/>
  <c r="N10" i="3"/>
  <c r="L10" i="3"/>
  <c r="I10" i="3"/>
  <c r="G10" i="3"/>
  <c r="D10" i="3"/>
  <c r="V9" i="3"/>
  <c r="T9" i="3"/>
  <c r="R9" i="3"/>
  <c r="Q9" i="3"/>
  <c r="P9" i="3"/>
  <c r="O9" i="3"/>
  <c r="N9" i="3"/>
  <c r="L9" i="3"/>
  <c r="I9" i="3"/>
  <c r="G9" i="3"/>
  <c r="F9" i="3"/>
  <c r="D9" i="3"/>
  <c r="V8" i="3"/>
  <c r="T8" i="3"/>
  <c r="R8" i="3"/>
  <c r="Q8" i="3"/>
  <c r="P8" i="3"/>
  <c r="O8" i="3"/>
  <c r="N8" i="3"/>
  <c r="L8" i="3"/>
  <c r="I8" i="3"/>
  <c r="G8" i="3"/>
  <c r="F8" i="3"/>
  <c r="D8" i="3"/>
  <c r="V7" i="3"/>
  <c r="T7" i="3"/>
  <c r="R7" i="3"/>
  <c r="Q7" i="3"/>
  <c r="P7" i="3"/>
  <c r="O7" i="3"/>
  <c r="N7" i="3"/>
  <c r="L7" i="3"/>
  <c r="I7" i="3"/>
  <c r="G7" i="3"/>
  <c r="F7" i="3"/>
  <c r="D7" i="3"/>
  <c r="S61" i="2"/>
  <c r="Q61" i="2"/>
  <c r="P61" i="2"/>
  <c r="J61" i="2"/>
  <c r="I61" i="2"/>
  <c r="H61" i="2"/>
  <c r="G61" i="2"/>
  <c r="F61" i="2"/>
  <c r="E61" i="2"/>
  <c r="D61" i="2"/>
  <c r="V60" i="2"/>
  <c r="T60" i="2"/>
  <c r="R60" i="2"/>
  <c r="Q60" i="2"/>
  <c r="P60" i="2"/>
  <c r="O60" i="2"/>
  <c r="N60" i="2"/>
  <c r="L60" i="2"/>
  <c r="I60" i="2"/>
  <c r="G60" i="2"/>
  <c r="F60" i="2"/>
  <c r="D60" i="2"/>
  <c r="V59" i="2"/>
  <c r="T59" i="2"/>
  <c r="R59" i="2"/>
  <c r="Q59" i="2"/>
  <c r="P59" i="2"/>
  <c r="O59" i="2"/>
  <c r="N59" i="2"/>
  <c r="L59" i="2"/>
  <c r="I59" i="2"/>
  <c r="G59" i="2"/>
  <c r="F59" i="2"/>
  <c r="D59" i="2"/>
  <c r="V58" i="2"/>
  <c r="G58" i="2"/>
  <c r="F58" i="2"/>
  <c r="D58" i="2"/>
  <c r="V57" i="2"/>
  <c r="T57" i="2"/>
  <c r="R57" i="2"/>
  <c r="Q57" i="2"/>
  <c r="P57" i="2"/>
  <c r="O57" i="2"/>
  <c r="N57" i="2"/>
  <c r="L57" i="2"/>
  <c r="I57" i="2"/>
  <c r="G57" i="2"/>
  <c r="F57" i="2"/>
  <c r="D57" i="2"/>
  <c r="T56" i="2"/>
  <c r="R56" i="2"/>
  <c r="Q56" i="2"/>
  <c r="P56" i="2"/>
  <c r="O56" i="2"/>
  <c r="N56" i="2"/>
  <c r="L56" i="2"/>
  <c r="I56" i="2"/>
  <c r="G56" i="2"/>
  <c r="F56" i="2"/>
  <c r="D56" i="2"/>
  <c r="V55" i="2"/>
  <c r="T55" i="2"/>
  <c r="R55" i="2"/>
  <c r="Q55" i="2"/>
  <c r="P55" i="2"/>
  <c r="O55" i="2"/>
  <c r="N55" i="2"/>
  <c r="L55" i="2"/>
  <c r="I55" i="2"/>
  <c r="G55" i="2"/>
  <c r="F55" i="2"/>
  <c r="D55" i="2"/>
  <c r="T54" i="2"/>
  <c r="R54" i="2"/>
  <c r="Q54" i="2"/>
  <c r="P54" i="2"/>
  <c r="O54" i="2"/>
  <c r="N54" i="2"/>
  <c r="L54" i="2"/>
  <c r="I54" i="2"/>
  <c r="G54" i="2"/>
  <c r="F54" i="2"/>
  <c r="D54" i="2"/>
  <c r="V53" i="2"/>
  <c r="T53" i="2"/>
  <c r="R53" i="2"/>
  <c r="Q53" i="2"/>
  <c r="P53" i="2"/>
  <c r="O53" i="2"/>
  <c r="N53" i="2"/>
  <c r="L53" i="2"/>
  <c r="I53" i="2"/>
  <c r="G53" i="2"/>
  <c r="F53" i="2"/>
  <c r="D53" i="2"/>
  <c r="T52" i="2"/>
  <c r="R52" i="2"/>
  <c r="Q52" i="2"/>
  <c r="P52" i="2"/>
  <c r="O52" i="2"/>
  <c r="N52" i="2"/>
  <c r="L52" i="2"/>
  <c r="I52" i="2"/>
  <c r="G52" i="2"/>
  <c r="F52" i="2"/>
  <c r="D52" i="2"/>
  <c r="V51" i="2"/>
  <c r="T51" i="2"/>
  <c r="R51" i="2"/>
  <c r="Q51" i="2"/>
  <c r="P51" i="2"/>
  <c r="O51" i="2"/>
  <c r="N51" i="2"/>
  <c r="L51" i="2"/>
  <c r="I51" i="2"/>
  <c r="G51" i="2"/>
  <c r="F51" i="2"/>
  <c r="D51" i="2"/>
  <c r="V50" i="2"/>
  <c r="T50" i="2"/>
  <c r="R50" i="2"/>
  <c r="Q50" i="2"/>
  <c r="P50" i="2"/>
  <c r="O50" i="2"/>
  <c r="N50" i="2"/>
  <c r="L50" i="2"/>
  <c r="I50" i="2"/>
  <c r="G50" i="2"/>
  <c r="F50" i="2"/>
  <c r="D50" i="2"/>
  <c r="T49" i="2"/>
  <c r="R49" i="2"/>
  <c r="Q49" i="2"/>
  <c r="P49" i="2"/>
  <c r="O49" i="2"/>
  <c r="N49" i="2"/>
  <c r="L49" i="2"/>
  <c r="I49" i="2"/>
  <c r="G49" i="2"/>
  <c r="F49" i="2"/>
  <c r="D49" i="2"/>
  <c r="T48" i="2"/>
  <c r="R48" i="2"/>
  <c r="Q48" i="2"/>
  <c r="P48" i="2"/>
  <c r="O48" i="2"/>
  <c r="N48" i="2"/>
  <c r="L48" i="2"/>
  <c r="I48" i="2"/>
  <c r="G48" i="2"/>
  <c r="F48" i="2"/>
  <c r="D48" i="2"/>
  <c r="V47" i="2"/>
  <c r="T47" i="2"/>
  <c r="R47" i="2"/>
  <c r="Q47" i="2"/>
  <c r="P47" i="2"/>
  <c r="O47" i="2"/>
  <c r="N47" i="2"/>
  <c r="L47" i="2"/>
  <c r="I47" i="2"/>
  <c r="G47" i="2"/>
  <c r="F47" i="2"/>
  <c r="D47" i="2"/>
  <c r="V46" i="2"/>
  <c r="T46" i="2"/>
  <c r="R46" i="2"/>
  <c r="Q46" i="2"/>
  <c r="P46" i="2"/>
  <c r="O46" i="2"/>
  <c r="N46" i="2"/>
  <c r="L46" i="2"/>
  <c r="I46" i="2"/>
  <c r="G46" i="2"/>
  <c r="F46" i="2"/>
  <c r="D46" i="2"/>
  <c r="T45" i="2"/>
  <c r="R45" i="2"/>
  <c r="Q45" i="2"/>
  <c r="P45" i="2"/>
  <c r="O45" i="2"/>
  <c r="N45" i="2"/>
  <c r="L45" i="2"/>
  <c r="I45" i="2"/>
  <c r="G45" i="2"/>
  <c r="F45" i="2"/>
  <c r="D45" i="2"/>
  <c r="V44" i="2"/>
  <c r="T44" i="2"/>
  <c r="R44" i="2"/>
  <c r="Q44" i="2"/>
  <c r="P44" i="2"/>
  <c r="O44" i="2"/>
  <c r="N44" i="2"/>
  <c r="L44" i="2"/>
  <c r="I44" i="2"/>
  <c r="G44" i="2"/>
  <c r="F44" i="2"/>
  <c r="D44" i="2"/>
  <c r="V43" i="2"/>
  <c r="T43" i="2"/>
  <c r="R43" i="2"/>
  <c r="Q43" i="2"/>
  <c r="P43" i="2"/>
  <c r="O43" i="2"/>
  <c r="N43" i="2"/>
  <c r="L43" i="2"/>
  <c r="I43" i="2"/>
  <c r="G43" i="2"/>
  <c r="F43" i="2"/>
  <c r="D43" i="2"/>
  <c r="V42" i="2"/>
  <c r="T42" i="2"/>
  <c r="R42" i="2"/>
  <c r="Q42" i="2"/>
  <c r="P42" i="2"/>
  <c r="O42" i="2"/>
  <c r="N42" i="2"/>
  <c r="L42" i="2"/>
  <c r="I42" i="2"/>
  <c r="G42" i="2"/>
  <c r="F42" i="2"/>
  <c r="D42" i="2"/>
  <c r="T41" i="2"/>
  <c r="R41" i="2"/>
  <c r="Q41" i="2"/>
  <c r="P41" i="2"/>
  <c r="O41" i="2"/>
  <c r="N41" i="2"/>
  <c r="L41" i="2"/>
  <c r="I41" i="2"/>
  <c r="G41" i="2"/>
  <c r="F41" i="2"/>
  <c r="D41" i="2"/>
  <c r="W40" i="2"/>
  <c r="V40" i="2"/>
  <c r="T40" i="2"/>
  <c r="R40" i="2"/>
  <c r="Q40" i="2"/>
  <c r="P40" i="2"/>
  <c r="O40" i="2"/>
  <c r="N40" i="2"/>
  <c r="L40" i="2"/>
  <c r="I40" i="2"/>
  <c r="G40" i="2"/>
  <c r="F40" i="2"/>
  <c r="D40" i="2"/>
  <c r="V39" i="2"/>
  <c r="T39" i="2"/>
  <c r="R39" i="2"/>
  <c r="Q39" i="2"/>
  <c r="P39" i="2"/>
  <c r="O39" i="2"/>
  <c r="N39" i="2"/>
  <c r="L39" i="2"/>
  <c r="I39" i="2"/>
  <c r="G39" i="2"/>
  <c r="F39" i="2"/>
  <c r="D39" i="2"/>
  <c r="T38" i="2"/>
  <c r="R38" i="2"/>
  <c r="Q38" i="2"/>
  <c r="P38" i="2"/>
  <c r="O38" i="2"/>
  <c r="N38" i="2"/>
  <c r="L38" i="2"/>
  <c r="I38" i="2"/>
  <c r="G38" i="2"/>
  <c r="F38" i="2"/>
  <c r="D38" i="2"/>
  <c r="V37" i="2"/>
  <c r="T37" i="2"/>
  <c r="R37" i="2"/>
  <c r="Q37" i="2"/>
  <c r="P37" i="2"/>
  <c r="O37" i="2"/>
  <c r="N37" i="2"/>
  <c r="L37" i="2"/>
  <c r="I37" i="2"/>
  <c r="G37" i="2"/>
  <c r="F37" i="2"/>
  <c r="D37" i="2"/>
  <c r="T36" i="2"/>
  <c r="R36" i="2"/>
  <c r="Q36" i="2"/>
  <c r="P36" i="2"/>
  <c r="O36" i="2"/>
  <c r="N36" i="2"/>
  <c r="L36" i="2"/>
  <c r="I36" i="2"/>
  <c r="G36" i="2"/>
  <c r="F36" i="2"/>
  <c r="D36" i="2"/>
  <c r="V35" i="2"/>
  <c r="T35" i="2"/>
  <c r="R35" i="2"/>
  <c r="Q35" i="2"/>
  <c r="P35" i="2"/>
  <c r="O35" i="2"/>
  <c r="N35" i="2"/>
  <c r="L35" i="2"/>
  <c r="I35" i="2"/>
  <c r="G35" i="2"/>
  <c r="F35" i="2"/>
  <c r="D35" i="2"/>
  <c r="V34" i="2"/>
  <c r="T34" i="2"/>
  <c r="R34" i="2"/>
  <c r="Q34" i="2"/>
  <c r="P34" i="2"/>
  <c r="O34" i="2"/>
  <c r="N34" i="2"/>
  <c r="L34" i="2"/>
  <c r="I34" i="2"/>
  <c r="G34" i="2"/>
  <c r="F34" i="2"/>
  <c r="D34" i="2"/>
  <c r="V33" i="2"/>
  <c r="T33" i="2"/>
  <c r="R33" i="2"/>
  <c r="Q33" i="2"/>
  <c r="P33" i="2"/>
  <c r="O33" i="2"/>
  <c r="N33" i="2"/>
  <c r="L33" i="2"/>
  <c r="I33" i="2"/>
  <c r="G33" i="2"/>
  <c r="F33" i="2"/>
  <c r="D33" i="2"/>
  <c r="V32" i="2"/>
  <c r="T32" i="2"/>
  <c r="R32" i="2"/>
  <c r="Q32" i="2"/>
  <c r="P32" i="2"/>
  <c r="O32" i="2"/>
  <c r="N32" i="2"/>
  <c r="L32" i="2"/>
  <c r="I32" i="2"/>
  <c r="G32" i="2"/>
  <c r="F32" i="2"/>
  <c r="D32" i="2"/>
  <c r="P31" i="2"/>
  <c r="N31" i="2"/>
  <c r="L31" i="2"/>
  <c r="I31" i="2"/>
  <c r="G31" i="2"/>
  <c r="D31" i="2"/>
  <c r="V30" i="2"/>
  <c r="T30" i="2"/>
  <c r="R30" i="2"/>
  <c r="Q30" i="2"/>
  <c r="P30" i="2"/>
  <c r="O30" i="2"/>
  <c r="N30" i="2"/>
  <c r="L30" i="2"/>
  <c r="I30" i="2"/>
  <c r="G30" i="2"/>
  <c r="F30" i="2"/>
  <c r="D30" i="2"/>
  <c r="V29" i="2"/>
  <c r="T29" i="2"/>
  <c r="R29" i="2"/>
  <c r="Q29" i="2"/>
  <c r="P29" i="2"/>
  <c r="O29" i="2"/>
  <c r="N29" i="2"/>
  <c r="L29" i="2"/>
  <c r="I29" i="2"/>
  <c r="G29" i="2"/>
  <c r="F29" i="2"/>
  <c r="D29" i="2"/>
  <c r="V28" i="2"/>
  <c r="T28" i="2"/>
  <c r="R28" i="2"/>
  <c r="Q28" i="2"/>
  <c r="P28" i="2"/>
  <c r="O28" i="2"/>
  <c r="N28" i="2"/>
  <c r="L28" i="2"/>
  <c r="I28" i="2"/>
  <c r="G28" i="2"/>
  <c r="F28" i="2"/>
  <c r="D28" i="2"/>
  <c r="V27" i="2"/>
  <c r="T27" i="2"/>
  <c r="R27" i="2"/>
  <c r="Q27" i="2"/>
  <c r="P27" i="2"/>
  <c r="O27" i="2"/>
  <c r="N27" i="2"/>
  <c r="L27" i="2"/>
  <c r="I27" i="2"/>
  <c r="G27" i="2"/>
  <c r="F27" i="2"/>
  <c r="D27" i="2"/>
  <c r="P26" i="2"/>
  <c r="N26" i="2"/>
  <c r="L26" i="2"/>
  <c r="I26" i="2"/>
  <c r="G26" i="2"/>
  <c r="D26" i="2"/>
  <c r="V25" i="2"/>
  <c r="T25" i="2"/>
  <c r="R25" i="2"/>
  <c r="Q25" i="2"/>
  <c r="P25" i="2"/>
  <c r="O25" i="2"/>
  <c r="N25" i="2"/>
  <c r="L25" i="2"/>
  <c r="I25" i="2"/>
  <c r="G25" i="2"/>
  <c r="F25" i="2"/>
  <c r="D25" i="2"/>
  <c r="V24" i="2"/>
  <c r="T24" i="2"/>
  <c r="R24" i="2"/>
  <c r="Q24" i="2"/>
  <c r="P24" i="2"/>
  <c r="O24" i="2"/>
  <c r="N24" i="2"/>
  <c r="L24" i="2"/>
  <c r="I24" i="2"/>
  <c r="G24" i="2"/>
  <c r="F24" i="2"/>
  <c r="D24" i="2"/>
  <c r="P23" i="2"/>
  <c r="N23" i="2"/>
  <c r="L23" i="2"/>
  <c r="I23" i="2"/>
  <c r="G23" i="2"/>
  <c r="D23" i="2"/>
  <c r="V22" i="2"/>
  <c r="T22" i="2"/>
  <c r="R22" i="2"/>
  <c r="Q22" i="2"/>
  <c r="P22" i="2"/>
  <c r="O22" i="2"/>
  <c r="N22" i="2"/>
  <c r="L22" i="2"/>
  <c r="I22" i="2"/>
  <c r="G22" i="2"/>
  <c r="F22" i="2"/>
  <c r="D22" i="2"/>
  <c r="V21" i="2"/>
  <c r="T21" i="2"/>
  <c r="R21" i="2"/>
  <c r="Q21" i="2"/>
  <c r="P21" i="2"/>
  <c r="O21" i="2"/>
  <c r="N21" i="2"/>
  <c r="L21" i="2"/>
  <c r="I21" i="2"/>
  <c r="G21" i="2"/>
  <c r="F21" i="2"/>
  <c r="D21" i="2"/>
  <c r="V20" i="2"/>
  <c r="T20" i="2"/>
  <c r="R20" i="2"/>
  <c r="Q20" i="2"/>
  <c r="P20" i="2"/>
  <c r="O20" i="2"/>
  <c r="N20" i="2"/>
  <c r="L20" i="2"/>
  <c r="I20" i="2"/>
  <c r="G20" i="2"/>
  <c r="F20" i="2"/>
  <c r="D20" i="2"/>
  <c r="P19" i="2"/>
  <c r="N19" i="2"/>
  <c r="L19" i="2"/>
  <c r="I19" i="2"/>
  <c r="G19" i="2"/>
  <c r="D19" i="2"/>
  <c r="V18" i="2"/>
  <c r="T18" i="2"/>
  <c r="R18" i="2"/>
  <c r="Q18" i="2"/>
  <c r="P18" i="2"/>
  <c r="O18" i="2"/>
  <c r="N18" i="2"/>
  <c r="L18" i="2"/>
  <c r="I18" i="2"/>
  <c r="G18" i="2"/>
  <c r="F18" i="2"/>
  <c r="D18" i="2"/>
  <c r="V17" i="2"/>
  <c r="T17" i="2"/>
  <c r="R17" i="2"/>
  <c r="Q17" i="2"/>
  <c r="P17" i="2"/>
  <c r="O17" i="2"/>
  <c r="N17" i="2"/>
  <c r="L17" i="2"/>
  <c r="I17" i="2"/>
  <c r="G17" i="2"/>
  <c r="F17" i="2"/>
  <c r="D17" i="2"/>
  <c r="V16" i="2"/>
  <c r="T16" i="2"/>
  <c r="R16" i="2"/>
  <c r="Q16" i="2"/>
  <c r="P16" i="2"/>
  <c r="O16" i="2"/>
  <c r="N16" i="2"/>
  <c r="L16" i="2"/>
  <c r="I16" i="2"/>
  <c r="G16" i="2"/>
  <c r="F16" i="2"/>
  <c r="D16" i="2"/>
  <c r="V15" i="2"/>
  <c r="T15" i="2"/>
  <c r="R15" i="2"/>
  <c r="Q15" i="2"/>
  <c r="P15" i="2"/>
  <c r="O15" i="2"/>
  <c r="N15" i="2"/>
  <c r="L15" i="2"/>
  <c r="I15" i="2"/>
  <c r="G15" i="2"/>
  <c r="F15" i="2"/>
  <c r="D15" i="2"/>
  <c r="V14" i="2"/>
  <c r="R14" i="2"/>
  <c r="R61" i="2" s="1"/>
  <c r="Q14" i="2"/>
  <c r="P14" i="2"/>
  <c r="O14" i="2"/>
  <c r="O61" i="2" s="1"/>
  <c r="N14" i="2"/>
  <c r="L14" i="2"/>
  <c r="I14" i="2"/>
  <c r="G14" i="2"/>
  <c r="F14" i="2"/>
  <c r="D14" i="2"/>
  <c r="V13" i="2"/>
  <c r="T13" i="2"/>
  <c r="R13" i="2"/>
  <c r="Q13" i="2"/>
  <c r="P13" i="2"/>
  <c r="O13" i="2"/>
  <c r="N13" i="2"/>
  <c r="L13" i="2"/>
  <c r="I13" i="2"/>
  <c r="G13" i="2"/>
  <c r="F13" i="2"/>
  <c r="D13" i="2"/>
  <c r="V12" i="2"/>
  <c r="T12" i="2"/>
  <c r="R12" i="2"/>
  <c r="Q12" i="2"/>
  <c r="P12" i="2"/>
  <c r="O12" i="2"/>
  <c r="N12" i="2"/>
  <c r="L12" i="2"/>
  <c r="I12" i="2"/>
  <c r="G12" i="2"/>
  <c r="F12" i="2"/>
  <c r="D12" i="2"/>
  <c r="V11" i="2"/>
  <c r="T11" i="2"/>
  <c r="R11" i="2"/>
  <c r="Q11" i="2"/>
  <c r="P11" i="2"/>
  <c r="O11" i="2"/>
  <c r="N11" i="2"/>
  <c r="L11" i="2"/>
  <c r="I11" i="2"/>
  <c r="G11" i="2"/>
  <c r="F11" i="2"/>
  <c r="D11" i="2"/>
  <c r="P10" i="2"/>
  <c r="N10" i="2"/>
  <c r="L10" i="2"/>
  <c r="I10" i="2"/>
  <c r="G10" i="2"/>
  <c r="D10" i="2"/>
  <c r="V9" i="2"/>
  <c r="T9" i="2"/>
  <c r="R9" i="2"/>
  <c r="Q9" i="2"/>
  <c r="P9" i="2"/>
  <c r="O9" i="2"/>
  <c r="N9" i="2"/>
  <c r="L9" i="2"/>
  <c r="I9" i="2"/>
  <c r="G9" i="2"/>
  <c r="F9" i="2"/>
  <c r="D9" i="2"/>
  <c r="V8" i="2"/>
  <c r="T8" i="2"/>
  <c r="R8" i="2"/>
  <c r="Q8" i="2"/>
  <c r="P8" i="2"/>
  <c r="O8" i="2"/>
  <c r="N8" i="2"/>
  <c r="L8" i="2"/>
  <c r="I8" i="2"/>
  <c r="G8" i="2"/>
  <c r="F8" i="2"/>
  <c r="D8" i="2"/>
  <c r="V7" i="2"/>
  <c r="T7" i="2"/>
  <c r="R7" i="2"/>
  <c r="Q7" i="2"/>
  <c r="P7" i="2"/>
  <c r="O7" i="2"/>
  <c r="N7" i="2"/>
  <c r="L7" i="2"/>
  <c r="I7" i="2"/>
  <c r="G7" i="2"/>
  <c r="F7" i="2"/>
  <c r="D7" i="2"/>
  <c r="D69" i="1"/>
  <c r="D66" i="1"/>
  <c r="D65" i="1"/>
  <c r="T63" i="1"/>
  <c r="T61" i="1"/>
  <c r="S61" i="1"/>
  <c r="R61" i="1"/>
  <c r="Q61" i="1"/>
  <c r="P61" i="1"/>
  <c r="O61" i="1"/>
  <c r="J61" i="1"/>
  <c r="I61" i="1"/>
  <c r="H61" i="1"/>
  <c r="G61" i="1"/>
  <c r="F61" i="1"/>
  <c r="E61" i="1"/>
  <c r="D61" i="1"/>
  <c r="V60" i="1"/>
  <c r="T60" i="1"/>
  <c r="R60" i="1"/>
  <c r="Q60" i="1"/>
  <c r="P60" i="1"/>
  <c r="O60" i="1"/>
  <c r="N60" i="1"/>
  <c r="L60" i="1"/>
  <c r="I60" i="1"/>
  <c r="F60" i="1"/>
  <c r="V59" i="1"/>
  <c r="T59" i="1"/>
  <c r="R59" i="1"/>
  <c r="Q59" i="1"/>
  <c r="P59" i="1"/>
  <c r="O59" i="1"/>
  <c r="N59" i="1"/>
  <c r="L59" i="1"/>
  <c r="I59" i="1"/>
  <c r="F59" i="1"/>
  <c r="V58" i="1"/>
  <c r="F58" i="1"/>
  <c r="V57" i="1"/>
  <c r="T57" i="1"/>
  <c r="R57" i="1"/>
  <c r="Q57" i="1"/>
  <c r="P57" i="1"/>
  <c r="O57" i="1"/>
  <c r="N57" i="1"/>
  <c r="L57" i="1"/>
  <c r="I57" i="1"/>
  <c r="F57" i="1"/>
  <c r="T56" i="1"/>
  <c r="R56" i="1"/>
  <c r="Q56" i="1"/>
  <c r="P56" i="1"/>
  <c r="O56" i="1"/>
  <c r="N56" i="1"/>
  <c r="L56" i="1"/>
  <c r="I56" i="1"/>
  <c r="F56" i="1"/>
  <c r="V55" i="1"/>
  <c r="T55" i="1"/>
  <c r="R55" i="1"/>
  <c r="Q55" i="1"/>
  <c r="P55" i="1"/>
  <c r="O55" i="1"/>
  <c r="N55" i="1"/>
  <c r="L55" i="1"/>
  <c r="I55" i="1"/>
  <c r="F55" i="1"/>
  <c r="T54" i="1"/>
  <c r="R54" i="1"/>
  <c r="Q54" i="1"/>
  <c r="P54" i="1"/>
  <c r="O54" i="1"/>
  <c r="N54" i="1"/>
  <c r="L54" i="1"/>
  <c r="I54" i="1"/>
  <c r="F54" i="1"/>
  <c r="V53" i="1"/>
  <c r="T53" i="1"/>
  <c r="R53" i="1"/>
  <c r="Q53" i="1"/>
  <c r="P53" i="1"/>
  <c r="O53" i="1"/>
  <c r="N53" i="1"/>
  <c r="L53" i="1"/>
  <c r="I53" i="1"/>
  <c r="F53" i="1"/>
  <c r="T52" i="1"/>
  <c r="R52" i="1"/>
  <c r="Q52" i="1"/>
  <c r="P52" i="1"/>
  <c r="O52" i="1"/>
  <c r="N52" i="1"/>
  <c r="L52" i="1"/>
  <c r="I52" i="1"/>
  <c r="F52" i="1"/>
  <c r="V51" i="1"/>
  <c r="T51" i="1"/>
  <c r="R51" i="1"/>
  <c r="Q51" i="1"/>
  <c r="P51" i="1"/>
  <c r="O51" i="1"/>
  <c r="N51" i="1"/>
  <c r="L51" i="1"/>
  <c r="I51" i="1"/>
  <c r="F51" i="1"/>
  <c r="V50" i="1"/>
  <c r="T50" i="1"/>
  <c r="R50" i="1"/>
  <c r="Q50" i="1"/>
  <c r="P50" i="1"/>
  <c r="O50" i="1"/>
  <c r="N50" i="1"/>
  <c r="L50" i="1"/>
  <c r="I50" i="1"/>
  <c r="F50" i="1"/>
  <c r="T49" i="1"/>
  <c r="R49" i="1"/>
  <c r="Q49" i="1"/>
  <c r="P49" i="1"/>
  <c r="O49" i="1"/>
  <c r="N49" i="1"/>
  <c r="L49" i="1"/>
  <c r="I49" i="1"/>
  <c r="F49" i="1"/>
  <c r="T48" i="1"/>
  <c r="R48" i="1"/>
  <c r="Q48" i="1"/>
  <c r="P48" i="1"/>
  <c r="O48" i="1"/>
  <c r="N48" i="1"/>
  <c r="L48" i="1"/>
  <c r="I48" i="1"/>
  <c r="F48" i="1"/>
  <c r="V47" i="1"/>
  <c r="T47" i="1"/>
  <c r="R47" i="1"/>
  <c r="Q47" i="1"/>
  <c r="P47" i="1"/>
  <c r="O47" i="1"/>
  <c r="N47" i="1"/>
  <c r="L47" i="1"/>
  <c r="I47" i="1"/>
  <c r="F47" i="1"/>
  <c r="V46" i="1"/>
  <c r="T46" i="1"/>
  <c r="R46" i="1"/>
  <c r="Q46" i="1"/>
  <c r="P46" i="1"/>
  <c r="O46" i="1"/>
  <c r="N46" i="1"/>
  <c r="L46" i="1"/>
  <c r="I46" i="1"/>
  <c r="F46" i="1"/>
  <c r="T45" i="1"/>
  <c r="R45" i="1"/>
  <c r="Q45" i="1"/>
  <c r="P45" i="1"/>
  <c r="O45" i="1"/>
  <c r="N45" i="1"/>
  <c r="L45" i="1"/>
  <c r="I45" i="1"/>
  <c r="F45" i="1"/>
  <c r="V44" i="1"/>
  <c r="T44" i="1"/>
  <c r="R44" i="1"/>
  <c r="Q44" i="1"/>
  <c r="P44" i="1"/>
  <c r="O44" i="1"/>
  <c r="N44" i="1"/>
  <c r="L44" i="1"/>
  <c r="I44" i="1"/>
  <c r="F44" i="1"/>
  <c r="V43" i="1"/>
  <c r="T43" i="1"/>
  <c r="R43" i="1"/>
  <c r="Q43" i="1"/>
  <c r="P43" i="1"/>
  <c r="O43" i="1"/>
  <c r="N43" i="1"/>
  <c r="L43" i="1"/>
  <c r="I43" i="1"/>
  <c r="F43" i="1"/>
  <c r="V42" i="1"/>
  <c r="T42" i="1"/>
  <c r="R42" i="1"/>
  <c r="Q42" i="1"/>
  <c r="P42" i="1"/>
  <c r="O42" i="1"/>
  <c r="N42" i="1"/>
  <c r="L42" i="1"/>
  <c r="I42" i="1"/>
  <c r="F42" i="1"/>
  <c r="E42" i="1"/>
  <c r="T41" i="1"/>
  <c r="R41" i="1"/>
  <c r="Q41" i="1"/>
  <c r="P41" i="1"/>
  <c r="O41" i="1"/>
  <c r="N41" i="1"/>
  <c r="L41" i="1"/>
  <c r="I41" i="1"/>
  <c r="F41" i="1"/>
  <c r="V40" i="1"/>
  <c r="T40" i="1"/>
  <c r="R40" i="1"/>
  <c r="P40" i="1"/>
  <c r="O40" i="1"/>
  <c r="N40" i="1"/>
  <c r="L40" i="1"/>
  <c r="I40" i="1"/>
  <c r="F40" i="1"/>
  <c r="E40" i="1"/>
  <c r="V39" i="1"/>
  <c r="T39" i="1"/>
  <c r="R39" i="1"/>
  <c r="Q39" i="1"/>
  <c r="P39" i="1"/>
  <c r="O39" i="1"/>
  <c r="N39" i="1"/>
  <c r="L39" i="1"/>
  <c r="I39" i="1"/>
  <c r="F39" i="1"/>
  <c r="T38" i="1"/>
  <c r="R38" i="1"/>
  <c r="Q38" i="1"/>
  <c r="P38" i="1"/>
  <c r="O38" i="1"/>
  <c r="N38" i="1"/>
  <c r="L38" i="1"/>
  <c r="I38" i="1"/>
  <c r="F38" i="1"/>
  <c r="V37" i="1"/>
  <c r="T37" i="1"/>
  <c r="R37" i="1"/>
  <c r="Q37" i="1"/>
  <c r="P37" i="1"/>
  <c r="O37" i="1"/>
  <c r="N37" i="1"/>
  <c r="L37" i="1"/>
  <c r="I37" i="1"/>
  <c r="F37" i="1"/>
  <c r="E37" i="1"/>
  <c r="T36" i="1"/>
  <c r="R36" i="1"/>
  <c r="Q36" i="1"/>
  <c r="P36" i="1"/>
  <c r="O36" i="1"/>
  <c r="N36" i="1"/>
  <c r="L36" i="1"/>
  <c r="I36" i="1"/>
  <c r="F36" i="1"/>
  <c r="V35" i="1"/>
  <c r="T35" i="1"/>
  <c r="R35" i="1"/>
  <c r="Q35" i="1"/>
  <c r="P35" i="1"/>
  <c r="O35" i="1"/>
  <c r="N35" i="1"/>
  <c r="L35" i="1"/>
  <c r="I35" i="1"/>
  <c r="F35" i="1"/>
  <c r="V34" i="1"/>
  <c r="T34" i="1"/>
  <c r="R34" i="1"/>
  <c r="Q34" i="1"/>
  <c r="P34" i="1"/>
  <c r="O34" i="1"/>
  <c r="N34" i="1"/>
  <c r="L34" i="1"/>
  <c r="I34" i="1"/>
  <c r="F34" i="1"/>
  <c r="V33" i="1"/>
  <c r="T33" i="1"/>
  <c r="R33" i="1"/>
  <c r="Q33" i="1"/>
  <c r="P33" i="1"/>
  <c r="O33" i="1"/>
  <c r="N33" i="1"/>
  <c r="L33" i="1"/>
  <c r="I33" i="1"/>
  <c r="F33" i="1"/>
  <c r="V32" i="1"/>
  <c r="T32" i="1"/>
  <c r="R32" i="1"/>
  <c r="Q32" i="1"/>
  <c r="P32" i="1"/>
  <c r="O32" i="1"/>
  <c r="N32" i="1"/>
  <c r="L32" i="1"/>
  <c r="I32" i="1"/>
  <c r="F32" i="1"/>
  <c r="P31" i="1"/>
  <c r="N31" i="1"/>
  <c r="L31" i="1"/>
  <c r="I31" i="1"/>
  <c r="V30" i="1"/>
  <c r="T30" i="1"/>
  <c r="R30" i="1"/>
  <c r="Q30" i="1"/>
  <c r="P30" i="1"/>
  <c r="O30" i="1"/>
  <c r="N30" i="1"/>
  <c r="L30" i="1"/>
  <c r="I30" i="1"/>
  <c r="F30" i="1"/>
  <c r="V29" i="1"/>
  <c r="T29" i="1"/>
  <c r="R29" i="1"/>
  <c r="Q29" i="1"/>
  <c r="P29" i="1"/>
  <c r="O29" i="1"/>
  <c r="N29" i="1"/>
  <c r="L29" i="1"/>
  <c r="I29" i="1"/>
  <c r="F29" i="1"/>
  <c r="V28" i="1"/>
  <c r="T28" i="1"/>
  <c r="R28" i="1"/>
  <c r="Q28" i="1"/>
  <c r="P28" i="1"/>
  <c r="O28" i="1"/>
  <c r="N28" i="1"/>
  <c r="L28" i="1"/>
  <c r="I28" i="1"/>
  <c r="F28" i="1"/>
  <c r="V27" i="1"/>
  <c r="T27" i="1"/>
  <c r="R27" i="1"/>
  <c r="Q27" i="1"/>
  <c r="P27" i="1"/>
  <c r="O27" i="1"/>
  <c r="N27" i="1"/>
  <c r="L27" i="1"/>
  <c r="I27" i="1"/>
  <c r="F27" i="1"/>
  <c r="P26" i="1"/>
  <c r="N26" i="1"/>
  <c r="L26" i="1"/>
  <c r="I26" i="1"/>
  <c r="V25" i="1"/>
  <c r="T25" i="1"/>
  <c r="R25" i="1"/>
  <c r="Q25" i="1"/>
  <c r="P25" i="1"/>
  <c r="O25" i="1"/>
  <c r="N25" i="1"/>
  <c r="L25" i="1"/>
  <c r="I25" i="1"/>
  <c r="F25" i="1"/>
  <c r="V24" i="1"/>
  <c r="T24" i="1"/>
  <c r="R24" i="1"/>
  <c r="Q24" i="1"/>
  <c r="P24" i="1"/>
  <c r="O24" i="1"/>
  <c r="N24" i="1"/>
  <c r="L24" i="1"/>
  <c r="I24" i="1"/>
  <c r="F24" i="1"/>
  <c r="P23" i="1"/>
  <c r="N23" i="1"/>
  <c r="L23" i="1"/>
  <c r="I23" i="1"/>
  <c r="V22" i="1"/>
  <c r="T22" i="1"/>
  <c r="R22" i="1"/>
  <c r="Q22" i="1"/>
  <c r="P22" i="1"/>
  <c r="O22" i="1"/>
  <c r="N22" i="1"/>
  <c r="L22" i="1"/>
  <c r="I22" i="1"/>
  <c r="F22" i="1"/>
  <c r="V21" i="1"/>
  <c r="T21" i="1"/>
  <c r="R21" i="1"/>
  <c r="Q21" i="1"/>
  <c r="P21" i="1"/>
  <c r="O21" i="1"/>
  <c r="N21" i="1"/>
  <c r="L21" i="1"/>
  <c r="I21" i="1"/>
  <c r="F21" i="1"/>
  <c r="V20" i="1"/>
  <c r="T20" i="1"/>
  <c r="R20" i="1"/>
  <c r="Q20" i="1"/>
  <c r="P20" i="1"/>
  <c r="O20" i="1"/>
  <c r="N20" i="1"/>
  <c r="L20" i="1"/>
  <c r="I20" i="1"/>
  <c r="F20" i="1"/>
  <c r="P19" i="1"/>
  <c r="N19" i="1"/>
  <c r="L19" i="1"/>
  <c r="I19" i="1"/>
  <c r="V18" i="1"/>
  <c r="T18" i="1"/>
  <c r="R18" i="1"/>
  <c r="Q18" i="1"/>
  <c r="P18" i="1"/>
  <c r="O18" i="1"/>
  <c r="N18" i="1"/>
  <c r="L18" i="1"/>
  <c r="I18" i="1"/>
  <c r="F18" i="1"/>
  <c r="V17" i="1"/>
  <c r="T17" i="1"/>
  <c r="R17" i="1"/>
  <c r="Q17" i="1"/>
  <c r="P17" i="1"/>
  <c r="O17" i="1"/>
  <c r="N17" i="1"/>
  <c r="L17" i="1"/>
  <c r="I17" i="1"/>
  <c r="F17" i="1"/>
  <c r="V16" i="1"/>
  <c r="T16" i="1"/>
  <c r="R16" i="1"/>
  <c r="Q16" i="1"/>
  <c r="P16" i="1"/>
  <c r="O16" i="1"/>
  <c r="N16" i="1"/>
  <c r="L16" i="1"/>
  <c r="I16" i="1"/>
  <c r="F16" i="1"/>
  <c r="V15" i="1"/>
  <c r="T15" i="1"/>
  <c r="R15" i="1"/>
  <c r="Q15" i="1"/>
  <c r="P15" i="1"/>
  <c r="O15" i="1"/>
  <c r="N15" i="1"/>
  <c r="L15" i="1"/>
  <c r="I15" i="1"/>
  <c r="F15" i="1"/>
  <c r="V14" i="1"/>
  <c r="T14" i="1"/>
  <c r="R14" i="1"/>
  <c r="Q14" i="1"/>
  <c r="P14" i="1"/>
  <c r="O14" i="1"/>
  <c r="N14" i="1"/>
  <c r="L14" i="1"/>
  <c r="I14" i="1"/>
  <c r="F14" i="1"/>
  <c r="V13" i="1"/>
  <c r="T13" i="1"/>
  <c r="R13" i="1"/>
  <c r="Q13" i="1"/>
  <c r="P13" i="1"/>
  <c r="O13" i="1"/>
  <c r="N13" i="1"/>
  <c r="L13" i="1"/>
  <c r="I13" i="1"/>
  <c r="F13" i="1"/>
  <c r="V12" i="1"/>
  <c r="T12" i="1"/>
  <c r="R12" i="1"/>
  <c r="Q12" i="1"/>
  <c r="P12" i="1"/>
  <c r="O12" i="1"/>
  <c r="N12" i="1"/>
  <c r="L12" i="1"/>
  <c r="I12" i="1"/>
  <c r="F12" i="1"/>
  <c r="V11" i="1"/>
  <c r="T11" i="1"/>
  <c r="R11" i="1"/>
  <c r="Q11" i="1"/>
  <c r="P11" i="1"/>
  <c r="O11" i="1"/>
  <c r="N11" i="1"/>
  <c r="L11" i="1"/>
  <c r="I11" i="1"/>
  <c r="F11" i="1"/>
  <c r="P10" i="1"/>
  <c r="N10" i="1"/>
  <c r="L10" i="1"/>
  <c r="I10" i="1"/>
  <c r="V9" i="1"/>
  <c r="T9" i="1"/>
  <c r="R9" i="1"/>
  <c r="Q9" i="1"/>
  <c r="P9" i="1"/>
  <c r="O9" i="1"/>
  <c r="N9" i="1"/>
  <c r="L9" i="1"/>
  <c r="I9" i="1"/>
  <c r="F9" i="1"/>
  <c r="V8" i="1"/>
  <c r="T8" i="1"/>
  <c r="R8" i="1"/>
  <c r="Q8" i="1"/>
  <c r="P8" i="1"/>
  <c r="O8" i="1"/>
  <c r="N8" i="1"/>
  <c r="L8" i="1"/>
  <c r="I8" i="1"/>
  <c r="F8" i="1"/>
  <c r="V7" i="1"/>
  <c r="T7" i="1"/>
  <c r="R7" i="1"/>
  <c r="Q7" i="1"/>
  <c r="P7" i="1"/>
  <c r="O7" i="1"/>
  <c r="N7" i="1"/>
  <c r="L7" i="1"/>
  <c r="I7" i="1"/>
  <c r="F7" i="1"/>
  <c r="T14" i="2" l="1"/>
  <c r="T61" i="2" s="1"/>
  <c r="T63" i="2" s="1"/>
  <c r="S15" i="8"/>
  <c r="T15" i="8" s="1"/>
  <c r="S23" i="8"/>
  <c r="T23" i="8" s="1"/>
  <c r="T13" i="7"/>
  <c r="T21" i="7"/>
  <c r="S8" i="8"/>
  <c r="T8" i="8" s="1"/>
  <c r="S16" i="8"/>
  <c r="T16" i="8" s="1"/>
  <c r="S24" i="8"/>
  <c r="T24" i="8" s="1"/>
  <c r="S11" i="8"/>
  <c r="T11" i="8" s="1"/>
  <c r="S19" i="8"/>
  <c r="T19" i="8" s="1"/>
  <c r="S82" i="7"/>
  <c r="R82" i="4"/>
  <c r="T7" i="4"/>
  <c r="T82" i="4" s="1"/>
  <c r="T84" i="4" s="1"/>
  <c r="T82" i="7" l="1"/>
  <c r="T84" i="7" s="1"/>
  <c r="S82" i="8"/>
  <c r="T7" i="8"/>
  <c r="T82" i="8" s="1"/>
  <c r="T84" i="8" l="1"/>
</calcChain>
</file>

<file path=xl/sharedStrings.xml><?xml version="1.0" encoding="utf-8"?>
<sst xmlns="http://schemas.openxmlformats.org/spreadsheetml/2006/main" count="779" uniqueCount="154">
  <si>
    <t>Book Values</t>
  </si>
  <si>
    <t>Service Lives</t>
  </si>
  <si>
    <t>Depreciation Expense</t>
  </si>
  <si>
    <t>Account</t>
  </si>
  <si>
    <t>Description</t>
  </si>
  <si>
    <r>
      <t>Opening Net  Book Value of Existing Assets as at Date of Policy Change (Jan. 1)</t>
    </r>
    <r>
      <rPr>
        <b/>
        <vertAlign val="superscript"/>
        <sz val="10"/>
        <rFont val="Arial"/>
        <family val="2"/>
      </rPr>
      <t xml:space="preserve"> 1</t>
    </r>
  </si>
  <si>
    <r>
      <t xml:space="preserve">Less Fully Depreciated </t>
    </r>
    <r>
      <rPr>
        <b/>
        <vertAlign val="superscript"/>
        <sz val="10"/>
        <rFont val="Arial"/>
        <family val="2"/>
      </rPr>
      <t>7</t>
    </r>
  </si>
  <si>
    <t xml:space="preserve">Net Amount of Existing Assets Before Policy Change to be Depreciated </t>
  </si>
  <si>
    <r>
      <t xml:space="preserve">Opening Gross Book Value of Assets Acquired After Policy Change </t>
    </r>
    <r>
      <rPr>
        <b/>
        <vertAlign val="superscript"/>
        <sz val="10"/>
        <rFont val="Arial"/>
        <family val="2"/>
      </rPr>
      <t>2</t>
    </r>
  </si>
  <si>
    <r>
      <t xml:space="preserve">Less Fully Depreciated </t>
    </r>
    <r>
      <rPr>
        <b/>
        <vertAlign val="superscript"/>
        <sz val="10"/>
        <rFont val="Arial"/>
        <family val="2"/>
      </rPr>
      <t>8</t>
    </r>
  </si>
  <si>
    <t xml:space="preserve">Net Amount of Assets Acquired After Policy Change to be Depreciated </t>
  </si>
  <si>
    <t>Current Year Additions</t>
  </si>
  <si>
    <r>
      <t xml:space="preserve">Average Remaining Life of Assets Existing Before Policy Change </t>
    </r>
    <r>
      <rPr>
        <b/>
        <vertAlign val="superscript"/>
        <sz val="10"/>
        <rFont val="Arial"/>
        <family val="2"/>
      </rPr>
      <t>3</t>
    </r>
  </si>
  <si>
    <t>Depreciation Rate Assets Acquired After Policy Change</t>
  </si>
  <si>
    <r>
      <t xml:space="preserve">Life of Assets Acquired After Policy Change </t>
    </r>
    <r>
      <rPr>
        <b/>
        <vertAlign val="superscript"/>
        <sz val="10"/>
        <rFont val="Arial"/>
        <family val="2"/>
      </rPr>
      <t>4</t>
    </r>
  </si>
  <si>
    <t>Depreciation Rate on New Additions</t>
  </si>
  <si>
    <t>Depreciation Expense on Assets Existing Before Policy Change</t>
  </si>
  <si>
    <t>Depreciation Expense on Assets Acquired After Policy Change</t>
  </si>
  <si>
    <r>
      <t xml:space="preserve">Depreciation Expense on Current Year Additions </t>
    </r>
    <r>
      <rPr>
        <b/>
        <vertAlign val="superscript"/>
        <sz val="10"/>
        <rFont val="Arial"/>
        <family val="2"/>
      </rPr>
      <t>5</t>
    </r>
  </si>
  <si>
    <t xml:space="preserve">Total Current Year Depreciation Expense </t>
  </si>
  <si>
    <t xml:space="preserve">Depreciation Expense per Appendix 2-BA Fixed Assets, Column J 
 </t>
  </si>
  <si>
    <r>
      <t xml:space="preserve">Variance </t>
    </r>
    <r>
      <rPr>
        <b/>
        <vertAlign val="superscript"/>
        <sz val="10"/>
        <rFont val="Arial"/>
        <family val="2"/>
      </rPr>
      <t>6</t>
    </r>
  </si>
  <si>
    <t>a</t>
  </si>
  <si>
    <t>b</t>
  </si>
  <si>
    <t>c = a-b</t>
  </si>
  <si>
    <t>d</t>
  </si>
  <si>
    <t>e</t>
  </si>
  <si>
    <t>f = d- e</t>
  </si>
  <si>
    <t>g</t>
  </si>
  <si>
    <t>h</t>
  </si>
  <si>
    <t>i = 1/h</t>
  </si>
  <si>
    <t>j</t>
  </si>
  <si>
    <t>k = 1/j</t>
  </si>
  <si>
    <t>l = c/h</t>
  </si>
  <si>
    <t>m = f/j</t>
  </si>
  <si>
    <t>n = g*0.5/j</t>
  </si>
  <si>
    <t>o = l+m+n</t>
  </si>
  <si>
    <t>p</t>
  </si>
  <si>
    <t>q = p-o</t>
  </si>
  <si>
    <t>Land</t>
  </si>
  <si>
    <t>Stores Equipment</t>
  </si>
  <si>
    <t>Contributions &amp; Grants</t>
  </si>
  <si>
    <t>Deferred Revenue</t>
  </si>
  <si>
    <t>Total</t>
  </si>
  <si>
    <t>Poles</t>
  </si>
  <si>
    <t>OH Conductors</t>
  </si>
  <si>
    <t>OH Switches</t>
  </si>
  <si>
    <t>UG Primary Cables</t>
  </si>
  <si>
    <t>UG Secondary Cables</t>
  </si>
  <si>
    <t>UG Switchgear</t>
  </si>
  <si>
    <t>Ducts</t>
  </si>
  <si>
    <t>OH Transformers &amp; Voltage Regulators</t>
  </si>
  <si>
    <t>Transformers incl. grounding system</t>
  </si>
  <si>
    <t>DC Service Station</t>
  </si>
  <si>
    <t>Switchgear - Air &amp; Gas</t>
  </si>
  <si>
    <t>UG Transformer</t>
  </si>
  <si>
    <t>Industrial/Wholesale meters</t>
  </si>
  <si>
    <t>Other meters, PTs &amp; CTs</t>
  </si>
  <si>
    <t>Land Rights</t>
  </si>
  <si>
    <t>Buildings and Fixtures</t>
  </si>
  <si>
    <t>Office Equipment</t>
  </si>
  <si>
    <t>Computer Hardware</t>
  </si>
  <si>
    <t>Computer Software</t>
  </si>
  <si>
    <t>Bucket Trucks</t>
  </si>
  <si>
    <t>Trailers</t>
  </si>
  <si>
    <t>Vans/Cars</t>
  </si>
  <si>
    <t>Power Tools, shop, garage, measurement testing</t>
  </si>
  <si>
    <t>SCADA</t>
  </si>
  <si>
    <t>Services</t>
  </si>
  <si>
    <t>Communication Equipment, Wireless</t>
  </si>
  <si>
    <t>Corporation Costs</t>
  </si>
  <si>
    <t>1830-01</t>
  </si>
  <si>
    <t>1835-02</t>
  </si>
  <si>
    <t>1835-03</t>
  </si>
  <si>
    <t>1845-10</t>
  </si>
  <si>
    <t>1845-11</t>
  </si>
  <si>
    <t>1845-12</t>
  </si>
  <si>
    <t>1840-13</t>
  </si>
  <si>
    <t>1850-20</t>
  </si>
  <si>
    <t>1850-21</t>
  </si>
  <si>
    <t>1820-22</t>
  </si>
  <si>
    <t>1820-23</t>
  </si>
  <si>
    <t>1820-24</t>
  </si>
  <si>
    <t>DC Service Station Transformer</t>
  </si>
  <si>
    <t>DC Service Stations SwitchGear</t>
  </si>
  <si>
    <t>Smart Meters</t>
  </si>
  <si>
    <t>Smart meters -Data Collectors</t>
  </si>
  <si>
    <t>Other</t>
  </si>
  <si>
    <t>1845-13</t>
  </si>
  <si>
    <t>1835-23</t>
  </si>
  <si>
    <t>1850-24</t>
  </si>
  <si>
    <t>1860-41</t>
  </si>
  <si>
    <t>1860-42</t>
  </si>
  <si>
    <t>1860-45</t>
  </si>
  <si>
    <t>1860-47</t>
  </si>
  <si>
    <t>1905-05</t>
  </si>
  <si>
    <t>1908-15</t>
  </si>
  <si>
    <t>1915-20</t>
  </si>
  <si>
    <t>1920-25</t>
  </si>
  <si>
    <t>1611-30</t>
  </si>
  <si>
    <t>1930-31</t>
  </si>
  <si>
    <t>1930-32</t>
  </si>
  <si>
    <t>1930-40</t>
  </si>
  <si>
    <t>1940-41</t>
  </si>
  <si>
    <t>1940-50</t>
  </si>
  <si>
    <t>1955-51</t>
  </si>
  <si>
    <t>1855-04</t>
  </si>
  <si>
    <t>1955-60</t>
  </si>
  <si>
    <t>1815-1-1</t>
  </si>
  <si>
    <t>1815-1-2</t>
  </si>
  <si>
    <t>1815-1-3</t>
  </si>
  <si>
    <t>1815-2-1</t>
  </si>
  <si>
    <t>1815-2-2</t>
  </si>
  <si>
    <t>1815-1-4</t>
  </si>
  <si>
    <t>1815-2-3</t>
  </si>
  <si>
    <t>1815-2-4</t>
  </si>
  <si>
    <t>1815-2-5</t>
  </si>
  <si>
    <t>1815-2-6</t>
  </si>
  <si>
    <t>1815-2-7</t>
  </si>
  <si>
    <t>1815-2-8</t>
  </si>
  <si>
    <t>1815-3-1</t>
  </si>
  <si>
    <t>1815-4-1</t>
  </si>
  <si>
    <t>1815-3-2</t>
  </si>
  <si>
    <t>1815-3-3</t>
  </si>
  <si>
    <t>1815-3-4</t>
  </si>
  <si>
    <t>1815-3-5</t>
  </si>
  <si>
    <t>1815-2-9</t>
  </si>
  <si>
    <t>1815-3-7</t>
  </si>
  <si>
    <t>Power Transformers</t>
  </si>
  <si>
    <t>Station Service Transformer</t>
  </si>
  <si>
    <t>Station Grounding Transformer</t>
  </si>
  <si>
    <t>Station Metal Clad Switchgear</t>
  </si>
  <si>
    <t>Station Independent Breakers</t>
  </si>
  <si>
    <t>Station Switch</t>
  </si>
  <si>
    <t>Digital &amp; Numeric Relays</t>
  </si>
  <si>
    <t>Rigid Busbars</t>
  </si>
  <si>
    <t>Steel Structure</t>
  </si>
  <si>
    <t>Underground Primary Cable</t>
  </si>
  <si>
    <t>Concrete Encased Duct Banks</t>
  </si>
  <si>
    <t>Remote SCADA</t>
  </si>
  <si>
    <t>Station Building</t>
  </si>
  <si>
    <t>Wholesale Energy Meters</t>
  </si>
  <si>
    <t>CT &amp; PT</t>
  </si>
  <si>
    <t>2015 Addition</t>
  </si>
  <si>
    <t>Bal at Dec 31, 2014</t>
  </si>
  <si>
    <t>Dec 31, 2013 Accum Dep Close out</t>
  </si>
  <si>
    <t>Dec 31, 2013 Con Cap Close out</t>
  </si>
  <si>
    <t>Bal per FA Sch, Jan 01, 2016</t>
  </si>
  <si>
    <t>2016 Depreciation and Amortization Expense</t>
  </si>
  <si>
    <t>2017 Depreciation and Amortization Expense</t>
  </si>
  <si>
    <t>2018 Depreciation and Amortization Expense</t>
  </si>
  <si>
    <t>2019 Depreciation and Amortization Expense</t>
  </si>
  <si>
    <t>2020 Bridge Year Depreciation and Amortization Expense</t>
  </si>
  <si>
    <t>2021 Test Year Depreciation and Amortization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</si>
</sst>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"/>
    <numFmt numFmtId="166" formatCode="_-&quot;$&quot;* #,##0_-;\-&quot;$&quot;* #,##0_-;_-&quot;$&quot;* &quot;-&quot;??_-;_-@_-"/>
    <numFmt numFmtId="167" formatCode="_(* #,##0_);_(* \(#,##0\);_(* &quot;-&quot;??_);_(@_)"/>
    <numFmt numFmtId="168" formatCode="0.0%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SWISS"/>
      <family val="2"/>
    </font>
    <font>
      <sz val="10"/>
      <name val="SWISS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8">
    <xf numFmtId="0" fontId="0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</cellStyleXfs>
  <cellXfs count="121">
    <xf numFmtId="0" fontId="0" fillId="0" borderId="0" xfId="0"/>
    <xf numFmtId="0" fontId="2" fillId="0" borderId="0" xfId="3" applyFont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/>
      <protection locked="0"/>
    </xf>
    <xf numFmtId="0" fontId="1" fillId="0" borderId="1" xfId="3" applyFont="1" applyBorder="1" applyAlignment="1" applyProtection="1">
      <alignment horizontal="center" vertical="center"/>
      <protection locked="0"/>
    </xf>
    <xf numFmtId="166" fontId="1" fillId="0" borderId="2" xfId="4" applyNumberFormat="1" applyFont="1" applyFill="1" applyBorder="1" applyProtection="1"/>
    <xf numFmtId="166" fontId="2" fillId="0" borderId="2" xfId="3" applyNumberFormat="1" applyFont="1" applyBorder="1" applyProtection="1"/>
    <xf numFmtId="0" fontId="1" fillId="0" borderId="3" xfId="3" applyFont="1" applyBorder="1" applyAlignment="1" applyProtection="1">
      <alignment vertical="center" wrapText="1"/>
      <protection locked="0"/>
    </xf>
    <xf numFmtId="0" fontId="1" fillId="0" borderId="4" xfId="3" applyFont="1" applyBorder="1" applyAlignment="1" applyProtection="1">
      <alignment horizontal="center"/>
      <protection locked="0"/>
    </xf>
    <xf numFmtId="0" fontId="2" fillId="0" borderId="5" xfId="3" applyFont="1" applyBorder="1" applyProtection="1">
      <protection locked="0"/>
    </xf>
    <xf numFmtId="0" fontId="7" fillId="0" borderId="0" xfId="0" applyFont="1"/>
    <xf numFmtId="167" fontId="0" fillId="0" borderId="0" xfId="2" applyNumberFormat="1" applyFont="1"/>
    <xf numFmtId="166" fontId="0" fillId="0" borderId="0" xfId="0" applyNumberFormat="1"/>
    <xf numFmtId="167" fontId="9" fillId="0" borderId="0" xfId="2" applyNumberFormat="1" applyFont="1" applyFill="1"/>
    <xf numFmtId="43" fontId="1" fillId="0" borderId="6" xfId="5" applyFont="1" applyFill="1" applyBorder="1" applyProtection="1">
      <protection locked="0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3" xfId="3" applyFont="1" applyFill="1" applyBorder="1" applyAlignment="1" applyProtection="1">
      <alignment vertical="center" wrapText="1"/>
      <protection locked="0"/>
    </xf>
    <xf numFmtId="166" fontId="1" fillId="0" borderId="1" xfId="4" applyNumberFormat="1" applyFont="1" applyFill="1" applyBorder="1" applyProtection="1">
      <protection locked="0"/>
    </xf>
    <xf numFmtId="43" fontId="1" fillId="0" borderId="1" xfId="5" applyFont="1" applyFill="1" applyBorder="1" applyProtection="1">
      <protection locked="0"/>
    </xf>
    <xf numFmtId="10" fontId="1" fillId="0" borderId="7" xfId="6" applyNumberFormat="1" applyFont="1" applyFill="1" applyBorder="1" applyProtection="1"/>
    <xf numFmtId="10" fontId="1" fillId="0" borderId="8" xfId="6" applyNumberFormat="1" applyFont="1" applyFill="1" applyBorder="1" applyProtection="1"/>
    <xf numFmtId="166" fontId="2" fillId="0" borderId="9" xfId="3" applyNumberFormat="1" applyFont="1" applyFill="1" applyBorder="1" applyProtection="1"/>
    <xf numFmtId="166" fontId="2" fillId="0" borderId="7" xfId="3" applyNumberFormat="1" applyFont="1" applyFill="1" applyBorder="1" applyProtection="1"/>
    <xf numFmtId="166" fontId="2" fillId="0" borderId="10" xfId="3" applyNumberFormat="1" applyFont="1" applyFill="1" applyBorder="1" applyProtection="1"/>
    <xf numFmtId="166" fontId="2" fillId="0" borderId="2" xfId="3" applyNumberFormat="1" applyFont="1" applyFill="1" applyBorder="1" applyProtection="1"/>
    <xf numFmtId="168" fontId="0" fillId="0" borderId="0" xfId="1" applyNumberFormat="1" applyFont="1"/>
    <xf numFmtId="10" fontId="0" fillId="0" borderId="0" xfId="1" applyNumberFormat="1" applyFont="1"/>
    <xf numFmtId="167" fontId="0" fillId="0" borderId="0" xfId="0" applyNumberFormat="1"/>
    <xf numFmtId="167" fontId="0" fillId="0" borderId="11" xfId="0" applyNumberFormat="1" applyBorder="1"/>
    <xf numFmtId="167" fontId="0" fillId="0" borderId="12" xfId="0" applyNumberFormat="1" applyBorder="1"/>
    <xf numFmtId="167" fontId="0" fillId="2" borderId="0" xfId="2" applyNumberFormat="1" applyFont="1" applyFill="1"/>
    <xf numFmtId="166" fontId="1" fillId="0" borderId="6" xfId="4" applyNumberFormat="1" applyFont="1" applyFill="1" applyBorder="1" applyProtection="1">
      <protection locked="0"/>
    </xf>
    <xf numFmtId="166" fontId="1" fillId="0" borderId="13" xfId="4" applyNumberFormat="1" applyFont="1" applyFill="1" applyBorder="1" applyProtection="1">
      <protection locked="0"/>
    </xf>
    <xf numFmtId="10" fontId="1" fillId="0" borderId="3" xfId="6" applyNumberFormat="1" applyFont="1" applyFill="1" applyBorder="1" applyProtection="1"/>
    <xf numFmtId="10" fontId="1" fillId="0" borderId="1" xfId="6" applyNumberFormat="1" applyFont="1" applyFill="1" applyBorder="1" applyProtection="1"/>
    <xf numFmtId="166" fontId="2" fillId="0" borderId="6" xfId="3" applyNumberFormat="1" applyFont="1" applyFill="1" applyBorder="1" applyProtection="1"/>
    <xf numFmtId="166" fontId="2" fillId="0" borderId="1" xfId="3" applyNumberFormat="1" applyFont="1" applyFill="1" applyBorder="1" applyProtection="1"/>
    <xf numFmtId="0" fontId="2" fillId="3" borderId="14" xfId="3" applyFont="1" applyFill="1" applyBorder="1" applyAlignment="1" applyProtection="1">
      <alignment horizontal="center" vertical="center" wrapText="1"/>
      <protection locked="0"/>
    </xf>
    <xf numFmtId="0" fontId="2" fillId="3" borderId="15" xfId="3" applyFont="1" applyFill="1" applyBorder="1" applyAlignment="1" applyProtection="1">
      <alignment horizontal="center" vertical="center" wrapText="1"/>
      <protection locked="0"/>
    </xf>
    <xf numFmtId="0" fontId="2" fillId="3" borderId="4" xfId="3" quotePrefix="1" applyFont="1" applyFill="1" applyBorder="1" applyAlignment="1" applyProtection="1">
      <alignment horizontal="center"/>
      <protection locked="0"/>
    </xf>
    <xf numFmtId="0" fontId="2" fillId="3" borderId="16" xfId="3" quotePrefix="1" applyFont="1" applyFill="1" applyBorder="1" applyAlignment="1" applyProtection="1">
      <alignment horizontal="center"/>
      <protection locked="0"/>
    </xf>
    <xf numFmtId="0" fontId="2" fillId="3" borderId="17" xfId="3" quotePrefix="1" applyFont="1" applyFill="1" applyBorder="1" applyAlignment="1" applyProtection="1">
      <alignment horizontal="center"/>
      <protection locked="0"/>
    </xf>
    <xf numFmtId="0" fontId="2" fillId="3" borderId="18" xfId="3" quotePrefix="1" applyFont="1" applyFill="1" applyBorder="1" applyAlignment="1" applyProtection="1">
      <alignment horizontal="center"/>
      <protection locked="0"/>
    </xf>
    <xf numFmtId="0" fontId="2" fillId="3" borderId="4" xfId="3" applyFont="1" applyFill="1" applyBorder="1" applyAlignment="1" applyProtection="1">
      <alignment horizontal="center" wrapText="1"/>
      <protection locked="0"/>
    </xf>
    <xf numFmtId="0" fontId="2" fillId="3" borderId="5" xfId="3" quotePrefix="1" applyFont="1" applyFill="1" applyBorder="1" applyAlignment="1" applyProtection="1">
      <alignment horizontal="center"/>
      <protection locked="0"/>
    </xf>
    <xf numFmtId="0" fontId="2" fillId="3" borderId="19" xfId="3" quotePrefix="1" applyFont="1" applyFill="1" applyBorder="1" applyAlignment="1" applyProtection="1">
      <alignment horizontal="center"/>
      <protection locked="0"/>
    </xf>
    <xf numFmtId="0" fontId="2" fillId="3" borderId="20" xfId="3" applyFont="1" applyFill="1" applyBorder="1" applyAlignment="1" applyProtection="1">
      <alignment horizontal="center" vertical="center" wrapText="1"/>
      <protection locked="0"/>
    </xf>
    <xf numFmtId="0" fontId="2" fillId="3" borderId="21" xfId="3" quotePrefix="1" applyFont="1" applyFill="1" applyBorder="1" applyAlignment="1" applyProtection="1">
      <alignment horizontal="center"/>
      <protection locked="0"/>
    </xf>
    <xf numFmtId="166" fontId="2" fillId="0" borderId="4" xfId="3" applyNumberFormat="1" applyFont="1" applyFill="1" applyBorder="1" applyProtection="1"/>
    <xf numFmtId="166" fontId="2" fillId="0" borderId="22" xfId="3" applyNumberFormat="1" applyFont="1" applyFill="1" applyBorder="1" applyProtection="1"/>
    <xf numFmtId="43" fontId="6" fillId="0" borderId="16" xfId="5" applyFont="1" applyFill="1" applyBorder="1" applyProtection="1"/>
    <xf numFmtId="10" fontId="6" fillId="0" borderId="5" xfId="6" applyNumberFormat="1" applyFont="1" applyFill="1" applyBorder="1" applyProtection="1"/>
    <xf numFmtId="0" fontId="2" fillId="3" borderId="23" xfId="3" applyFont="1" applyFill="1" applyBorder="1" applyAlignment="1" applyProtection="1">
      <alignment horizontal="center" vertical="center" wrapText="1"/>
      <protection locked="0"/>
    </xf>
    <xf numFmtId="165" fontId="2" fillId="3" borderId="24" xfId="3" applyNumberFormat="1" applyFont="1" applyFill="1" applyBorder="1" applyAlignment="1" applyProtection="1">
      <alignment horizontal="center" vertical="center" wrapText="1"/>
      <protection locked="0"/>
    </xf>
    <xf numFmtId="0" fontId="2" fillId="3" borderId="24" xfId="3" applyFont="1" applyFill="1" applyBorder="1" applyAlignment="1" applyProtection="1">
      <alignment horizontal="center" vertical="center" wrapText="1"/>
      <protection locked="0"/>
    </xf>
    <xf numFmtId="0" fontId="2" fillId="3" borderId="25" xfId="3" applyFont="1" applyFill="1" applyBorder="1" applyAlignment="1" applyProtection="1">
      <alignment horizontal="center" vertical="center" wrapText="1"/>
      <protection locked="0"/>
    </xf>
    <xf numFmtId="0" fontId="2" fillId="3" borderId="26" xfId="3" applyFont="1" applyFill="1" applyBorder="1" applyAlignment="1" applyProtection="1">
      <alignment horizontal="center" vertical="center" wrapText="1"/>
      <protection locked="0"/>
    </xf>
    <xf numFmtId="0" fontId="1" fillId="0" borderId="6" xfId="3" applyFont="1" applyBorder="1" applyAlignment="1" applyProtection="1">
      <alignment horizontal="center" vertical="center"/>
      <protection locked="0"/>
    </xf>
    <xf numFmtId="0" fontId="1" fillId="0" borderId="27" xfId="3" applyFont="1" applyBorder="1" applyAlignment="1" applyProtection="1">
      <alignment horizontal="center" vertical="center"/>
      <protection locked="0"/>
    </xf>
    <xf numFmtId="0" fontId="1" fillId="0" borderId="28" xfId="3" applyFont="1" applyBorder="1" applyAlignment="1" applyProtection="1">
      <alignment vertical="center" wrapText="1"/>
      <protection locked="0"/>
    </xf>
    <xf numFmtId="166" fontId="1" fillId="0" borderId="27" xfId="4" applyNumberFormat="1" applyFont="1" applyFill="1" applyBorder="1" applyProtection="1">
      <protection locked="0"/>
    </xf>
    <xf numFmtId="166" fontId="1" fillId="0" borderId="16" xfId="4" applyNumberFormat="1" applyFont="1" applyFill="1" applyBorder="1" applyProtection="1">
      <protection locked="0"/>
    </xf>
    <xf numFmtId="166" fontId="1" fillId="0" borderId="29" xfId="4" applyNumberFormat="1" applyFont="1" applyFill="1" applyBorder="1" applyProtection="1"/>
    <xf numFmtId="43" fontId="1" fillId="0" borderId="28" xfId="5" applyFont="1" applyFill="1" applyBorder="1" applyProtection="1">
      <protection locked="0"/>
    </xf>
    <xf numFmtId="10" fontId="1" fillId="0" borderId="28" xfId="6" applyNumberFormat="1" applyFont="1" applyFill="1" applyBorder="1" applyProtection="1"/>
    <xf numFmtId="10" fontId="1" fillId="0" borderId="30" xfId="6" applyNumberFormat="1" applyFont="1" applyFill="1" applyBorder="1" applyProtection="1"/>
    <xf numFmtId="166" fontId="2" fillId="0" borderId="27" xfId="3" applyNumberFormat="1" applyFont="1" applyFill="1" applyBorder="1" applyProtection="1"/>
    <xf numFmtId="166" fontId="2" fillId="0" borderId="28" xfId="3" applyNumberFormat="1" applyFont="1" applyFill="1" applyBorder="1" applyProtection="1"/>
    <xf numFmtId="166" fontId="2" fillId="0" borderId="29" xfId="3" applyNumberFormat="1" applyFont="1" applyFill="1" applyBorder="1" applyProtection="1"/>
    <xf numFmtId="166" fontId="1" fillId="0" borderId="31" xfId="4" applyNumberFormat="1" applyFont="1" applyFill="1" applyBorder="1" applyProtection="1">
      <protection locked="0"/>
    </xf>
    <xf numFmtId="167" fontId="1" fillId="0" borderId="6" xfId="2" applyNumberFormat="1" applyFont="1" applyFill="1" applyBorder="1" applyProtection="1">
      <protection locked="0"/>
    </xf>
    <xf numFmtId="0" fontId="2" fillId="3" borderId="32" xfId="3" quotePrefix="1" applyFont="1" applyFill="1" applyBorder="1" applyAlignment="1" applyProtection="1">
      <alignment horizontal="center"/>
      <protection locked="0"/>
    </xf>
    <xf numFmtId="166" fontId="2" fillId="0" borderId="4" xfId="3" applyNumberFormat="1" applyFont="1" applyBorder="1" applyProtection="1"/>
    <xf numFmtId="43" fontId="6" fillId="0" borderId="16" xfId="5" applyFont="1" applyBorder="1" applyProtection="1"/>
    <xf numFmtId="10" fontId="6" fillId="0" borderId="5" xfId="6" applyNumberFormat="1" applyFont="1" applyBorder="1" applyProtection="1"/>
    <xf numFmtId="166" fontId="1" fillId="0" borderId="28" xfId="4" applyNumberFormat="1" applyFont="1" applyFill="1" applyBorder="1" applyProtection="1">
      <protection locked="0"/>
    </xf>
    <xf numFmtId="167" fontId="1" fillId="0" borderId="27" xfId="2" applyNumberFormat="1" applyFont="1" applyFill="1" applyBorder="1" applyProtection="1">
      <protection locked="0"/>
    </xf>
    <xf numFmtId="166" fontId="2" fillId="0" borderId="29" xfId="3" applyNumberFormat="1" applyFont="1" applyBorder="1" applyProtection="1"/>
    <xf numFmtId="0" fontId="1" fillId="0" borderId="33" xfId="3" applyFont="1" applyBorder="1" applyAlignment="1" applyProtection="1">
      <alignment horizontal="center" vertical="center"/>
      <protection locked="0"/>
    </xf>
    <xf numFmtId="166" fontId="1" fillId="0" borderId="34" xfId="4" applyNumberFormat="1" applyFont="1" applyFill="1" applyBorder="1" applyProtection="1"/>
    <xf numFmtId="166" fontId="2" fillId="0" borderId="34" xfId="3" applyNumberFormat="1" applyFont="1" applyBorder="1" applyProtection="1"/>
    <xf numFmtId="0" fontId="1" fillId="0" borderId="33" xfId="3" applyFont="1" applyBorder="1" applyAlignment="1" applyProtection="1">
      <alignment vertical="center" wrapText="1"/>
      <protection locked="0"/>
    </xf>
    <xf numFmtId="0" fontId="1" fillId="0" borderId="35" xfId="3" applyFont="1" applyBorder="1" applyAlignment="1" applyProtection="1">
      <alignment horizontal="center"/>
      <protection locked="0"/>
    </xf>
    <xf numFmtId="0" fontId="2" fillId="0" borderId="36" xfId="3" applyFont="1" applyBorder="1" applyProtection="1">
      <protection locked="0"/>
    </xf>
    <xf numFmtId="166" fontId="2" fillId="0" borderId="35" xfId="3" applyNumberFormat="1" applyFont="1" applyBorder="1" applyProtection="1"/>
    <xf numFmtId="166" fontId="2" fillId="0" borderId="37" xfId="3" applyNumberFormat="1" applyFont="1" applyFill="1" applyBorder="1" applyProtection="1"/>
    <xf numFmtId="43" fontId="6" fillId="0" borderId="38" xfId="5" applyFont="1" applyBorder="1" applyProtection="1"/>
    <xf numFmtId="10" fontId="6" fillId="0" borderId="36" xfId="6" applyNumberFormat="1" applyFont="1" applyBorder="1" applyProtection="1"/>
    <xf numFmtId="166" fontId="2" fillId="0" borderId="39" xfId="3" applyNumberFormat="1" applyFont="1" applyBorder="1" applyProtection="1"/>
    <xf numFmtId="166" fontId="2" fillId="0" borderId="40" xfId="3" applyNumberFormat="1" applyFont="1" applyFill="1" applyBorder="1" applyProtection="1"/>
    <xf numFmtId="166" fontId="2" fillId="0" borderId="33" xfId="3" applyNumberFormat="1" applyFont="1" applyFill="1" applyBorder="1" applyProtection="1"/>
    <xf numFmtId="166" fontId="2" fillId="0" borderId="34" xfId="3" applyNumberFormat="1" applyFont="1" applyFill="1" applyBorder="1" applyProtection="1"/>
    <xf numFmtId="167" fontId="1" fillId="0" borderId="40" xfId="2" applyNumberFormat="1" applyFont="1" applyFill="1" applyBorder="1" applyProtection="1">
      <protection locked="0"/>
    </xf>
    <xf numFmtId="166" fontId="1" fillId="0" borderId="40" xfId="4" applyNumberFormat="1" applyFont="1" applyFill="1" applyBorder="1" applyProtection="1">
      <protection locked="0"/>
    </xf>
    <xf numFmtId="166" fontId="1" fillId="0" borderId="33" xfId="4" applyNumberFormat="1" applyFont="1" applyFill="1" applyBorder="1" applyProtection="1">
      <protection locked="0"/>
    </xf>
    <xf numFmtId="166" fontId="1" fillId="0" borderId="41" xfId="4" applyNumberFormat="1" applyFont="1" applyFill="1" applyBorder="1" applyProtection="1">
      <protection locked="0"/>
    </xf>
    <xf numFmtId="43" fontId="1" fillId="0" borderId="33" xfId="5" applyFont="1" applyFill="1" applyBorder="1" applyProtection="1">
      <protection locked="0"/>
    </xf>
    <xf numFmtId="10" fontId="1" fillId="0" borderId="33" xfId="6" applyNumberFormat="1" applyFont="1" applyFill="1" applyBorder="1" applyProtection="1"/>
    <xf numFmtId="10" fontId="1" fillId="0" borderId="42" xfId="6" applyNumberFormat="1" applyFont="1" applyFill="1" applyBorder="1" applyProtection="1"/>
    <xf numFmtId="0" fontId="2" fillId="0" borderId="9" xfId="3" applyFont="1" applyFill="1" applyBorder="1" applyAlignment="1" applyProtection="1">
      <alignment horizontal="center"/>
      <protection locked="0"/>
    </xf>
    <xf numFmtId="0" fontId="2" fillId="0" borderId="43" xfId="3" quotePrefix="1" applyFont="1" applyFill="1" applyBorder="1" applyAlignment="1" applyProtection="1">
      <alignment horizontal="center"/>
      <protection locked="0"/>
    </xf>
    <xf numFmtId="0" fontId="2" fillId="0" borderId="7" xfId="3" quotePrefix="1" applyFont="1" applyFill="1" applyBorder="1" applyAlignment="1" applyProtection="1">
      <alignment horizontal="center"/>
      <protection locked="0"/>
    </xf>
    <xf numFmtId="0" fontId="2" fillId="0" borderId="10" xfId="3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40" xfId="3" applyFont="1" applyBorder="1" applyAlignment="1" applyProtection="1">
      <alignment horizontal="center" vertical="center"/>
      <protection locked="0"/>
    </xf>
    <xf numFmtId="0" fontId="2" fillId="3" borderId="19" xfId="3" applyFont="1" applyFill="1" applyBorder="1" applyAlignment="1" applyProtection="1">
      <alignment horizontal="center"/>
      <protection locked="0"/>
    </xf>
    <xf numFmtId="0" fontId="1" fillId="0" borderId="6" xfId="3" applyFont="1" applyFill="1" applyBorder="1" applyAlignment="1" applyProtection="1">
      <alignment horizontal="center" vertical="center"/>
      <protection locked="0"/>
    </xf>
    <xf numFmtId="166" fontId="2" fillId="0" borderId="35" xfId="3" applyNumberFormat="1" applyFont="1" applyFill="1" applyBorder="1" applyProtection="1"/>
    <xf numFmtId="43" fontId="6" fillId="0" borderId="38" xfId="5" applyFont="1" applyFill="1" applyBorder="1" applyProtection="1"/>
    <xf numFmtId="10" fontId="6" fillId="0" borderId="36" xfId="6" applyNumberFormat="1" applyFont="1" applyFill="1" applyBorder="1" applyProtection="1"/>
    <xf numFmtId="0" fontId="10" fillId="0" borderId="0" xfId="0" applyFont="1"/>
    <xf numFmtId="0" fontId="4" fillId="3" borderId="44" xfId="3" applyFont="1" applyFill="1" applyBorder="1" applyAlignment="1" applyProtection="1">
      <alignment horizontal="center" vertical="center"/>
      <protection locked="0"/>
    </xf>
    <xf numFmtId="0" fontId="4" fillId="3" borderId="45" xfId="3" applyFont="1" applyFill="1" applyBorder="1" applyAlignment="1" applyProtection="1">
      <alignment horizontal="center" vertical="center"/>
      <protection locked="0"/>
    </xf>
    <xf numFmtId="0" fontId="4" fillId="3" borderId="46" xfId="3" applyFont="1" applyFill="1" applyBorder="1" applyAlignment="1" applyProtection="1">
      <alignment horizontal="center" vertical="center"/>
      <protection locked="0"/>
    </xf>
    <xf numFmtId="0" fontId="4" fillId="3" borderId="44" xfId="3" applyFont="1" applyFill="1" applyBorder="1" applyAlignment="1" applyProtection="1">
      <alignment horizontal="center" wrapText="1"/>
      <protection locked="0"/>
    </xf>
    <xf numFmtId="0" fontId="4" fillId="3" borderId="45" xfId="3" applyFont="1" applyFill="1" applyBorder="1" applyAlignment="1" applyProtection="1">
      <alignment horizontal="center" wrapText="1"/>
      <protection locked="0"/>
    </xf>
    <xf numFmtId="0" fontId="4" fillId="3" borderId="46" xfId="3" applyFont="1" applyFill="1" applyBorder="1" applyAlignment="1" applyProtection="1">
      <alignment horizontal="center" wrapText="1"/>
      <protection locked="0"/>
    </xf>
    <xf numFmtId="0" fontId="2" fillId="3" borderId="47" xfId="3" applyFont="1" applyFill="1" applyBorder="1" applyAlignment="1" applyProtection="1">
      <alignment vertical="center"/>
      <protection locked="0"/>
    </xf>
    <xf numFmtId="0" fontId="2" fillId="3" borderId="4" xfId="3" applyFont="1" applyFill="1" applyBorder="1" applyAlignment="1" applyProtection="1">
      <alignment vertical="center"/>
      <protection locked="0"/>
    </xf>
    <xf numFmtId="0" fontId="2" fillId="3" borderId="48" xfId="3" applyFont="1" applyFill="1" applyBorder="1" applyAlignment="1" applyProtection="1">
      <alignment vertical="center"/>
      <protection locked="0"/>
    </xf>
    <xf numFmtId="0" fontId="2" fillId="3" borderId="5" xfId="3" applyFont="1" applyFill="1" applyBorder="1" applyAlignment="1" applyProtection="1">
      <alignment vertical="center"/>
      <protection locked="0"/>
    </xf>
  </cellXfs>
  <cellStyles count="8">
    <cellStyle name="Comma" xfId="2" builtinId="3"/>
    <cellStyle name="Comma 5" xfId="5"/>
    <cellStyle name="Currency 4" xfId="4"/>
    <cellStyle name="Normal" xfId="0" builtinId="0"/>
    <cellStyle name="Normal 2" xfId="3"/>
    <cellStyle name="Normal 4" xfId="7"/>
    <cellStyle name="Percent" xfId="1" builtinId="5"/>
    <cellStyle name="Percent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aichan\AppData\Roaming\Microsoft\Windows\Network%20Shortcuts\2021_Filing_Requirements_Chapter2_Appendices-USE%20THIS%20ONEV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smelsky\TDBank\CapitalLoan\Capital%20Loan%20#2-2013AU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E12" t="str">
            <v>Accounting Standard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8">
          <cell r="M18">
            <v>1272802.6096000001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Amortization Schedule"/>
    </sheetNames>
    <sheetDataSet>
      <sheetData sheetId="0">
        <row r="5">
          <cell r="D5">
            <v>2500000</v>
          </cell>
        </row>
        <row r="7">
          <cell r="D7">
            <v>2.1499999999999998E-2</v>
          </cell>
        </row>
        <row r="8">
          <cell r="D8">
            <v>72</v>
          </cell>
        </row>
        <row r="11">
          <cell r="D11">
            <v>41501</v>
          </cell>
          <cell r="H11">
            <v>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showGridLines="0" topLeftCell="B1" zoomScale="70" zoomScaleNormal="70" workbookViewId="0">
      <selection activeCell="Y15" sqref="Y15"/>
    </sheetView>
  </sheetViews>
  <sheetFormatPr defaultRowHeight="14.4"/>
  <cols>
    <col min="1" max="1" width="10.44140625" hidden="1" customWidth="1"/>
    <col min="3" max="3" width="41.5546875" bestFit="1" customWidth="1"/>
    <col min="4" max="4" width="17.44140625" customWidth="1"/>
    <col min="5" max="5" width="14" customWidth="1"/>
    <col min="6" max="7" width="14.44140625" customWidth="1"/>
    <col min="8" max="8" width="12" customWidth="1"/>
    <col min="9" max="10" width="14.109375" customWidth="1"/>
    <col min="11" max="11" width="13.44140625" customWidth="1"/>
    <col min="12" max="12" width="14.554687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44140625" customWidth="1"/>
    <col min="19" max="19" width="15.88671875" customWidth="1"/>
    <col min="20" max="20" width="14.44140625" customWidth="1"/>
    <col min="21" max="21" width="0" hidden="1" customWidth="1"/>
    <col min="22" max="22" width="49.44140625" hidden="1" customWidth="1"/>
    <col min="23" max="23" width="11.44140625" customWidth="1"/>
  </cols>
  <sheetData>
    <row r="1" spans="1:22" ht="21">
      <c r="B1" s="110" t="s">
        <v>148</v>
      </c>
    </row>
    <row r="3" spans="1:2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8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6"/>
      <c r="O4" s="115" t="s">
        <v>2</v>
      </c>
      <c r="P4" s="115"/>
      <c r="Q4" s="115"/>
      <c r="R4" s="116"/>
      <c r="S4" s="2"/>
      <c r="T4" s="2"/>
    </row>
    <row r="5" spans="1:22" ht="81.599999999999994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38" t="s">
        <v>15</v>
      </c>
      <c r="O5" s="55" t="s">
        <v>16</v>
      </c>
      <c r="P5" s="54" t="s">
        <v>17</v>
      </c>
      <c r="Q5" s="54" t="s">
        <v>18</v>
      </c>
      <c r="R5" s="56" t="s">
        <v>19</v>
      </c>
      <c r="S5" s="46" t="s">
        <v>20</v>
      </c>
      <c r="T5" s="37" t="s">
        <v>21</v>
      </c>
    </row>
    <row r="6" spans="1:22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1" t="s">
        <v>32</v>
      </c>
      <c r="O6" s="47" t="s">
        <v>33</v>
      </c>
      <c r="P6" s="44" t="s">
        <v>34</v>
      </c>
      <c r="Q6" s="44" t="s">
        <v>35</v>
      </c>
      <c r="R6" s="44" t="s">
        <v>36</v>
      </c>
      <c r="S6" s="42" t="s">
        <v>37</v>
      </c>
      <c r="T6" s="45" t="s">
        <v>38</v>
      </c>
    </row>
    <row r="7" spans="1:22">
      <c r="A7" t="s">
        <v>71</v>
      </c>
      <c r="B7" s="57">
        <v>1830</v>
      </c>
      <c r="C7" s="6" t="s">
        <v>44</v>
      </c>
      <c r="D7" s="31">
        <v>19527826.240000002</v>
      </c>
      <c r="E7" s="17"/>
      <c r="F7" s="4">
        <f>D7-E7</f>
        <v>19527826.240000002</v>
      </c>
      <c r="G7" s="31">
        <v>3434013</v>
      </c>
      <c r="H7" s="17"/>
      <c r="I7" s="4">
        <f>G7-H7</f>
        <v>3434013</v>
      </c>
      <c r="J7" s="31">
        <v>3625313.82</v>
      </c>
      <c r="K7" s="18">
        <v>48</v>
      </c>
      <c r="L7" s="19">
        <f>IF(K7=0,0,1/K7)</f>
        <v>2.0833333333333332E-2</v>
      </c>
      <c r="M7" s="18">
        <v>50</v>
      </c>
      <c r="N7" s="20">
        <f>IF(M7=0,0,1/M7)</f>
        <v>0.02</v>
      </c>
      <c r="O7" s="21">
        <f>IF(K7=0,0,+F7/K7)</f>
        <v>406829.71333333338</v>
      </c>
      <c r="P7" s="21">
        <f>IF(M7=0,0,+I7/M7)</f>
        <v>68680.259999999995</v>
      </c>
      <c r="Q7" s="22">
        <f>IF(M7=0,0,+(J7*0.5)/M7)</f>
        <v>36253.138200000001</v>
      </c>
      <c r="R7" s="23">
        <f>IF(ISERROR(+O7+P7+Q7),0,+O7+P7+Q7)</f>
        <v>511763.11153333337</v>
      </c>
      <c r="S7" s="32">
        <v>516417.73</v>
      </c>
      <c r="T7" s="24">
        <f>IF(ISERROR(+S7-R7),0,+S7-R7)</f>
        <v>4654.6184666666086</v>
      </c>
      <c r="V7" t="str">
        <f>CONCATENATE(B7,C7)</f>
        <v>1830Poles</v>
      </c>
    </row>
    <row r="8" spans="1:22">
      <c r="A8" t="s">
        <v>72</v>
      </c>
      <c r="B8" s="57">
        <v>1835</v>
      </c>
      <c r="C8" s="6" t="s">
        <v>45</v>
      </c>
      <c r="D8" s="31">
        <v>6516643.6000000006</v>
      </c>
      <c r="E8" s="17"/>
      <c r="F8" s="4">
        <f t="shared" ref="F8:F18" si="0">D8-E8</f>
        <v>6516643.6000000006</v>
      </c>
      <c r="G8" s="31">
        <v>72249.75</v>
      </c>
      <c r="H8" s="17"/>
      <c r="I8" s="4">
        <f t="shared" ref="I8:I57" si="1">G8-H8</f>
        <v>72249.75</v>
      </c>
      <c r="J8" s="31">
        <v>30242.47</v>
      </c>
      <c r="K8" s="18">
        <v>46</v>
      </c>
      <c r="L8" s="19">
        <f t="shared" ref="L8:L57" si="2">IF(K8=0,0,1/K8)</f>
        <v>2.1739130434782608E-2</v>
      </c>
      <c r="M8" s="18">
        <v>50</v>
      </c>
      <c r="N8" s="20">
        <f t="shared" ref="N8:N57" si="3">IF(M8=0,0,1/M8)</f>
        <v>0.02</v>
      </c>
      <c r="O8" s="21">
        <f t="shared" ref="O8:O18" si="4">IF(K8=0,0,+F8/K8)</f>
        <v>141666.1652173913</v>
      </c>
      <c r="P8" s="21">
        <f t="shared" ref="P8:P57" si="5">IF(M8=0,0,+I8/M8)</f>
        <v>1444.9949999999999</v>
      </c>
      <c r="Q8" s="22">
        <f t="shared" ref="Q8:Q18" si="6">IF(M8=0,0,+(J8*0.5)/M8)</f>
        <v>302.42470000000003</v>
      </c>
      <c r="R8" s="23">
        <f t="shared" ref="R8:R18" si="7">IF(ISERROR(+O8+P8+Q8),0,+O8+P8+Q8)</f>
        <v>143413.5849173913</v>
      </c>
      <c r="S8" s="32">
        <v>140104.4</v>
      </c>
      <c r="T8" s="24">
        <f t="shared" ref="T8:T18" si="8">IF(ISERROR(+S8-R8),0,+S8-R8)</f>
        <v>-3309.184917391307</v>
      </c>
      <c r="V8" t="str">
        <f t="shared" ref="V8:V60" si="9">CONCATENATE(B8,C8)</f>
        <v>1835OH Conductors</v>
      </c>
    </row>
    <row r="9" spans="1:22">
      <c r="A9" t="s">
        <v>73</v>
      </c>
      <c r="B9" s="57">
        <v>1835</v>
      </c>
      <c r="C9" s="6" t="s">
        <v>46</v>
      </c>
      <c r="D9" s="31">
        <v>1292.6100000000001</v>
      </c>
      <c r="E9" s="17"/>
      <c r="F9" s="4">
        <f t="shared" si="0"/>
        <v>1292.6100000000001</v>
      </c>
      <c r="G9" s="31">
        <v>64832.07</v>
      </c>
      <c r="H9" s="17"/>
      <c r="I9" s="4">
        <f t="shared" si="1"/>
        <v>64832.07</v>
      </c>
      <c r="J9" s="31">
        <v>106063.76</v>
      </c>
      <c r="K9" s="18">
        <v>34.5</v>
      </c>
      <c r="L9" s="19">
        <f t="shared" si="2"/>
        <v>2.8985507246376812E-2</v>
      </c>
      <c r="M9" s="18">
        <v>40</v>
      </c>
      <c r="N9" s="20">
        <f t="shared" si="3"/>
        <v>2.5000000000000001E-2</v>
      </c>
      <c r="O9" s="21">
        <f t="shared" si="4"/>
        <v>37.466956521739135</v>
      </c>
      <c r="P9" s="21">
        <f t="shared" si="5"/>
        <v>1620.8017500000001</v>
      </c>
      <c r="Q9" s="22">
        <f t="shared" si="6"/>
        <v>1325.797</v>
      </c>
      <c r="R9" s="23">
        <f t="shared" si="7"/>
        <v>2984.0657065217392</v>
      </c>
      <c r="S9" s="32">
        <v>2981.28</v>
      </c>
      <c r="T9" s="24">
        <f t="shared" si="8"/>
        <v>-2.78570652173903</v>
      </c>
      <c r="V9" t="str">
        <f t="shared" si="9"/>
        <v>1835OH Switches</v>
      </c>
    </row>
    <row r="10" spans="1:22">
      <c r="B10" s="57"/>
      <c r="C10" s="6"/>
      <c r="D10" s="31">
        <v>0</v>
      </c>
      <c r="E10" s="17"/>
      <c r="F10" s="4"/>
      <c r="G10" s="31"/>
      <c r="H10" s="17"/>
      <c r="I10" s="4">
        <f t="shared" si="1"/>
        <v>0</v>
      </c>
      <c r="J10" s="31">
        <v>0</v>
      </c>
      <c r="K10" s="18">
        <v>0</v>
      </c>
      <c r="L10" s="19">
        <f t="shared" si="2"/>
        <v>0</v>
      </c>
      <c r="M10" s="18">
        <v>0</v>
      </c>
      <c r="N10" s="20">
        <f t="shared" si="3"/>
        <v>0</v>
      </c>
      <c r="O10" s="21"/>
      <c r="P10" s="21">
        <f t="shared" si="5"/>
        <v>0</v>
      </c>
      <c r="Q10" s="22"/>
      <c r="R10" s="23"/>
      <c r="S10" s="32">
        <v>0</v>
      </c>
      <c r="T10" s="24"/>
    </row>
    <row r="11" spans="1:22">
      <c r="A11" t="s">
        <v>74</v>
      </c>
      <c r="B11" s="57">
        <v>1845</v>
      </c>
      <c r="C11" s="6" t="s">
        <v>47</v>
      </c>
      <c r="D11" s="31">
        <v>7045633.0100000007</v>
      </c>
      <c r="E11" s="17"/>
      <c r="F11" s="4">
        <f t="shared" si="0"/>
        <v>7045633.0100000007</v>
      </c>
      <c r="G11" s="31">
        <v>92759.95</v>
      </c>
      <c r="H11" s="17"/>
      <c r="I11" s="4">
        <f t="shared" si="1"/>
        <v>92759.95</v>
      </c>
      <c r="J11" s="31">
        <v>0</v>
      </c>
      <c r="K11" s="18">
        <v>36.5</v>
      </c>
      <c r="L11" s="19">
        <f t="shared" si="2"/>
        <v>2.7397260273972601E-2</v>
      </c>
      <c r="M11" s="18">
        <v>40</v>
      </c>
      <c r="N11" s="20">
        <f t="shared" si="3"/>
        <v>2.5000000000000001E-2</v>
      </c>
      <c r="O11" s="21">
        <f t="shared" si="4"/>
        <v>193031.04136986303</v>
      </c>
      <c r="P11" s="21">
        <f t="shared" si="5"/>
        <v>2318.9987499999997</v>
      </c>
      <c r="Q11" s="22">
        <f t="shared" si="6"/>
        <v>0</v>
      </c>
      <c r="R11" s="23">
        <f t="shared" si="7"/>
        <v>195350.04011986303</v>
      </c>
      <c r="S11" s="32">
        <v>192088.25</v>
      </c>
      <c r="T11" s="24">
        <f t="shared" si="8"/>
        <v>-3261.7901198630279</v>
      </c>
      <c r="V11" t="str">
        <f t="shared" si="9"/>
        <v>1845UG Primary Cables</v>
      </c>
    </row>
    <row r="12" spans="1:22">
      <c r="A12" t="s">
        <v>75</v>
      </c>
      <c r="B12" s="57">
        <v>1845</v>
      </c>
      <c r="C12" s="6" t="s">
        <v>48</v>
      </c>
      <c r="D12" s="31">
        <v>3303315.36</v>
      </c>
      <c r="E12" s="17"/>
      <c r="F12" s="4">
        <f t="shared" si="0"/>
        <v>3303315.36</v>
      </c>
      <c r="G12" s="31">
        <v>0</v>
      </c>
      <c r="H12" s="17"/>
      <c r="I12" s="4">
        <f t="shared" si="1"/>
        <v>0</v>
      </c>
      <c r="J12" s="31">
        <v>0</v>
      </c>
      <c r="K12" s="18">
        <v>34.5</v>
      </c>
      <c r="L12" s="19">
        <f t="shared" si="2"/>
        <v>2.8985507246376812E-2</v>
      </c>
      <c r="M12" s="18">
        <v>40</v>
      </c>
      <c r="N12" s="20">
        <f t="shared" si="3"/>
        <v>2.5000000000000001E-2</v>
      </c>
      <c r="O12" s="21">
        <f t="shared" si="4"/>
        <v>95748.271304347829</v>
      </c>
      <c r="P12" s="21">
        <f t="shared" si="5"/>
        <v>0</v>
      </c>
      <c r="Q12" s="22">
        <f t="shared" si="6"/>
        <v>0</v>
      </c>
      <c r="R12" s="23">
        <f t="shared" si="7"/>
        <v>95748.271304347829</v>
      </c>
      <c r="S12" s="32">
        <v>90070.31</v>
      </c>
      <c r="T12" s="24">
        <f t="shared" si="8"/>
        <v>-5677.9613043478312</v>
      </c>
      <c r="V12" t="str">
        <f t="shared" si="9"/>
        <v>1845UG Secondary Cables</v>
      </c>
    </row>
    <row r="13" spans="1:22">
      <c r="A13" t="s">
        <v>76</v>
      </c>
      <c r="B13" s="57">
        <v>1845</v>
      </c>
      <c r="C13" s="6" t="s">
        <v>49</v>
      </c>
      <c r="D13" s="31">
        <v>2737.28</v>
      </c>
      <c r="E13" s="17"/>
      <c r="F13" s="4">
        <f t="shared" si="0"/>
        <v>2737.28</v>
      </c>
      <c r="G13" s="31">
        <v>0</v>
      </c>
      <c r="H13" s="17"/>
      <c r="I13" s="4">
        <f t="shared" si="1"/>
        <v>0</v>
      </c>
      <c r="J13" s="31">
        <v>293762.61</v>
      </c>
      <c r="K13" s="18">
        <v>24.181818181818183</v>
      </c>
      <c r="L13" s="19">
        <f t="shared" si="2"/>
        <v>4.1353383458646614E-2</v>
      </c>
      <c r="M13" s="18">
        <v>50</v>
      </c>
      <c r="N13" s="20">
        <f t="shared" si="3"/>
        <v>0.02</v>
      </c>
      <c r="O13" s="21">
        <f t="shared" si="4"/>
        <v>113.19578947368421</v>
      </c>
      <c r="P13" s="21">
        <f t="shared" si="5"/>
        <v>0</v>
      </c>
      <c r="Q13" s="22">
        <f t="shared" si="6"/>
        <v>2937.6261</v>
      </c>
      <c r="R13" s="23">
        <f t="shared" si="7"/>
        <v>3050.8218894736842</v>
      </c>
      <c r="S13" s="32">
        <v>2995.65</v>
      </c>
      <c r="T13" s="24">
        <f t="shared" si="8"/>
        <v>-55.171889473684132</v>
      </c>
      <c r="V13" t="str">
        <f t="shared" si="9"/>
        <v>1845UG Switchgear</v>
      </c>
    </row>
    <row r="14" spans="1:22">
      <c r="A14" s="12" t="s">
        <v>77</v>
      </c>
      <c r="B14" s="57">
        <v>1840</v>
      </c>
      <c r="C14" s="6" t="s">
        <v>50</v>
      </c>
      <c r="D14" s="31">
        <v>1053497.98</v>
      </c>
      <c r="E14" s="17"/>
      <c r="F14" s="4">
        <f t="shared" si="0"/>
        <v>1053497.98</v>
      </c>
      <c r="G14" s="31">
        <v>87090.880000000005</v>
      </c>
      <c r="H14" s="17"/>
      <c r="I14" s="4">
        <f t="shared" si="1"/>
        <v>87090.880000000005</v>
      </c>
      <c r="J14" s="31">
        <v>64037.9</v>
      </c>
      <c r="K14" s="18">
        <v>44.18181818181818</v>
      </c>
      <c r="L14" s="19">
        <f t="shared" si="2"/>
        <v>2.2633744855967079E-2</v>
      </c>
      <c r="M14" s="18">
        <v>50</v>
      </c>
      <c r="N14" s="20">
        <f t="shared" si="3"/>
        <v>0.02</v>
      </c>
      <c r="O14" s="21">
        <f t="shared" si="4"/>
        <v>23844.604485596708</v>
      </c>
      <c r="P14" s="21">
        <f t="shared" si="5"/>
        <v>1741.8176000000001</v>
      </c>
      <c r="Q14" s="22">
        <f t="shared" si="6"/>
        <v>640.37900000000002</v>
      </c>
      <c r="R14" s="23">
        <f t="shared" si="7"/>
        <v>26226.801085596708</v>
      </c>
      <c r="S14" s="32">
        <v>25817.82</v>
      </c>
      <c r="T14" s="24">
        <f t="shared" si="8"/>
        <v>-408.981085596708</v>
      </c>
      <c r="V14" t="str">
        <f t="shared" si="9"/>
        <v>1840Ducts</v>
      </c>
    </row>
    <row r="15" spans="1:22">
      <c r="A15" s="12" t="s">
        <v>88</v>
      </c>
      <c r="B15" s="57"/>
      <c r="C15" s="6"/>
      <c r="D15" s="31"/>
      <c r="E15" s="17"/>
      <c r="F15" s="4">
        <f t="shared" si="0"/>
        <v>0</v>
      </c>
      <c r="G15" s="31"/>
      <c r="H15" s="17"/>
      <c r="I15" s="4">
        <f t="shared" si="1"/>
        <v>0</v>
      </c>
      <c r="J15" s="31"/>
      <c r="K15" s="18">
        <v>0</v>
      </c>
      <c r="L15" s="19">
        <f t="shared" si="2"/>
        <v>0</v>
      </c>
      <c r="M15" s="18">
        <v>0</v>
      </c>
      <c r="N15" s="20">
        <f t="shared" si="3"/>
        <v>0</v>
      </c>
      <c r="O15" s="21">
        <f t="shared" si="4"/>
        <v>0</v>
      </c>
      <c r="P15" s="21">
        <f t="shared" si="5"/>
        <v>0</v>
      </c>
      <c r="Q15" s="22">
        <f t="shared" si="6"/>
        <v>0</v>
      </c>
      <c r="R15" s="23">
        <f t="shared" si="7"/>
        <v>0</v>
      </c>
      <c r="S15" s="32"/>
      <c r="T15" s="24">
        <f t="shared" si="8"/>
        <v>0</v>
      </c>
      <c r="V15" t="str">
        <f t="shared" si="9"/>
        <v/>
      </c>
    </row>
    <row r="16" spans="1:22">
      <c r="B16" s="57"/>
      <c r="C16" s="6"/>
      <c r="D16" s="31"/>
      <c r="E16" s="17"/>
      <c r="F16" s="4">
        <f t="shared" si="0"/>
        <v>0</v>
      </c>
      <c r="G16" s="31"/>
      <c r="H16" s="17"/>
      <c r="I16" s="4">
        <f t="shared" si="1"/>
        <v>0</v>
      </c>
      <c r="J16" s="31"/>
      <c r="K16" s="18">
        <v>0</v>
      </c>
      <c r="L16" s="19">
        <f t="shared" si="2"/>
        <v>0</v>
      </c>
      <c r="M16" s="18">
        <v>0</v>
      </c>
      <c r="N16" s="20">
        <f t="shared" si="3"/>
        <v>0</v>
      </c>
      <c r="O16" s="21">
        <f t="shared" si="4"/>
        <v>0</v>
      </c>
      <c r="P16" s="21">
        <f t="shared" si="5"/>
        <v>0</v>
      </c>
      <c r="Q16" s="22">
        <f t="shared" si="6"/>
        <v>0</v>
      </c>
      <c r="R16" s="23">
        <f t="shared" si="7"/>
        <v>0</v>
      </c>
      <c r="S16" s="32"/>
      <c r="T16" s="24">
        <f t="shared" si="8"/>
        <v>0</v>
      </c>
      <c r="V16" t="str">
        <f t="shared" si="9"/>
        <v/>
      </c>
    </row>
    <row r="17" spans="1:22">
      <c r="A17" t="s">
        <v>78</v>
      </c>
      <c r="B17" s="57">
        <v>1850</v>
      </c>
      <c r="C17" s="6" t="s">
        <v>51</v>
      </c>
      <c r="D17" s="31">
        <v>1136469.78</v>
      </c>
      <c r="E17" s="17"/>
      <c r="F17" s="4">
        <f t="shared" si="0"/>
        <v>1136469.78</v>
      </c>
      <c r="G17" s="31">
        <v>2369338.54</v>
      </c>
      <c r="H17" s="17"/>
      <c r="I17" s="4">
        <f t="shared" si="1"/>
        <v>2369338.54</v>
      </c>
      <c r="J17" s="31">
        <v>3385432.99</v>
      </c>
      <c r="K17" s="18">
        <v>40</v>
      </c>
      <c r="L17" s="19">
        <f t="shared" si="2"/>
        <v>2.5000000000000001E-2</v>
      </c>
      <c r="M17" s="18">
        <v>40</v>
      </c>
      <c r="N17" s="20">
        <f t="shared" si="3"/>
        <v>2.5000000000000001E-2</v>
      </c>
      <c r="O17" s="21">
        <f t="shared" si="4"/>
        <v>28411.744500000001</v>
      </c>
      <c r="P17" s="21">
        <f t="shared" si="5"/>
        <v>59233.463499999998</v>
      </c>
      <c r="Q17" s="22">
        <f t="shared" si="6"/>
        <v>42317.912375</v>
      </c>
      <c r="R17" s="23">
        <f t="shared" si="7"/>
        <v>129963.120375</v>
      </c>
      <c r="S17" s="32">
        <v>125919.09</v>
      </c>
      <c r="T17" s="24">
        <f t="shared" si="8"/>
        <v>-4044.0303750000021</v>
      </c>
      <c r="V17" t="str">
        <f t="shared" si="9"/>
        <v>1850OH Transformers &amp; Voltage Regulators</v>
      </c>
    </row>
    <row r="18" spans="1:22">
      <c r="A18" t="s">
        <v>79</v>
      </c>
      <c r="B18" s="57">
        <v>1850</v>
      </c>
      <c r="C18" s="6" t="s">
        <v>52</v>
      </c>
      <c r="D18" s="31">
        <v>2956741.82</v>
      </c>
      <c r="E18" s="17"/>
      <c r="F18" s="4">
        <f t="shared" si="0"/>
        <v>2956741.82</v>
      </c>
      <c r="G18" s="31">
        <v>-85971.06</v>
      </c>
      <c r="H18" s="17"/>
      <c r="I18" s="4">
        <f t="shared" si="1"/>
        <v>-85971.06</v>
      </c>
      <c r="J18" s="31">
        <v>234441.71</v>
      </c>
      <c r="K18" s="18">
        <v>28.846153846153847</v>
      </c>
      <c r="L18" s="19">
        <f t="shared" si="2"/>
        <v>3.4666666666666665E-2</v>
      </c>
      <c r="M18" s="18">
        <v>20</v>
      </c>
      <c r="N18" s="20">
        <f t="shared" si="3"/>
        <v>0.05</v>
      </c>
      <c r="O18" s="21">
        <f t="shared" si="4"/>
        <v>102500.38309333332</v>
      </c>
      <c r="P18" s="21">
        <f t="shared" si="5"/>
        <v>-4298.5529999999999</v>
      </c>
      <c r="Q18" s="22">
        <f t="shared" si="6"/>
        <v>5861.0427499999996</v>
      </c>
      <c r="R18" s="23">
        <f t="shared" si="7"/>
        <v>104062.87284333332</v>
      </c>
      <c r="S18" s="32">
        <v>100879.83</v>
      </c>
      <c r="T18" s="24">
        <f t="shared" si="8"/>
        <v>-3183.0428433333145</v>
      </c>
      <c r="V18" t="str">
        <f t="shared" si="9"/>
        <v>1850Transformers incl. grounding system</v>
      </c>
    </row>
    <row r="19" spans="1:22">
      <c r="B19" s="57"/>
      <c r="C19" s="6"/>
      <c r="D19" s="31">
        <v>0</v>
      </c>
      <c r="E19" s="17"/>
      <c r="F19" s="4"/>
      <c r="G19" s="31"/>
      <c r="H19" s="17"/>
      <c r="I19" s="4">
        <f t="shared" si="1"/>
        <v>0</v>
      </c>
      <c r="J19" s="31">
        <v>0</v>
      </c>
      <c r="K19" s="18">
        <v>0</v>
      </c>
      <c r="L19" s="19">
        <f t="shared" si="2"/>
        <v>0</v>
      </c>
      <c r="M19" s="18">
        <v>0</v>
      </c>
      <c r="N19" s="20">
        <f t="shared" si="3"/>
        <v>0</v>
      </c>
      <c r="O19" s="21"/>
      <c r="P19" s="21">
        <f t="shared" si="5"/>
        <v>0</v>
      </c>
      <c r="Q19" s="22"/>
      <c r="R19" s="23"/>
      <c r="S19" s="32">
        <v>0</v>
      </c>
      <c r="T19" s="24"/>
    </row>
    <row r="20" spans="1:22">
      <c r="A20" t="s">
        <v>80</v>
      </c>
      <c r="B20" s="57">
        <v>1820</v>
      </c>
      <c r="C20" s="6" t="s">
        <v>53</v>
      </c>
      <c r="D20" s="31">
        <v>1090831.99</v>
      </c>
      <c r="E20" s="17"/>
      <c r="F20" s="4">
        <f t="shared" ref="F20:F60" si="10">D20-E20</f>
        <v>1090831.99</v>
      </c>
      <c r="G20" s="31">
        <v>55927.28</v>
      </c>
      <c r="H20" s="17"/>
      <c r="I20" s="4">
        <f t="shared" si="1"/>
        <v>55927.28</v>
      </c>
      <c r="J20" s="31">
        <v>238560.14</v>
      </c>
      <c r="K20" s="18">
        <v>13.846153846153847</v>
      </c>
      <c r="L20" s="19">
        <f t="shared" si="2"/>
        <v>7.2222222222222215E-2</v>
      </c>
      <c r="M20" s="18">
        <v>20</v>
      </c>
      <c r="N20" s="20">
        <f t="shared" si="3"/>
        <v>0.05</v>
      </c>
      <c r="O20" s="21">
        <f t="shared" ref="O20:O60" si="11">IF(K20=0,0,+F20/K20)</f>
        <v>78782.310388888887</v>
      </c>
      <c r="P20" s="21">
        <f t="shared" si="5"/>
        <v>2796.364</v>
      </c>
      <c r="Q20" s="22">
        <f t="shared" ref="Q20:Q60" si="12">IF(M20=0,0,+(J20*0.5)/M20)</f>
        <v>5964.0035000000007</v>
      </c>
      <c r="R20" s="23">
        <f t="shared" ref="R20:R60" si="13">IF(ISERROR(+O20+P20+Q20),0,+O20+P20+Q20)</f>
        <v>87542.677888888895</v>
      </c>
      <c r="S20" s="32">
        <v>88515.48</v>
      </c>
      <c r="T20" s="24">
        <f t="shared" ref="T20:T60" si="14">IF(ISERROR(+S20-R20),0,+S20-R20)</f>
        <v>972.80211111110111</v>
      </c>
      <c r="V20" t="str">
        <f t="shared" si="9"/>
        <v>1820DC Service Station</v>
      </c>
    </row>
    <row r="21" spans="1:22">
      <c r="A21" t="s">
        <v>81</v>
      </c>
      <c r="B21" s="57">
        <v>1820</v>
      </c>
      <c r="C21" s="6" t="s">
        <v>83</v>
      </c>
      <c r="D21" s="31">
        <v>0</v>
      </c>
      <c r="E21" s="17"/>
      <c r="F21" s="4">
        <f t="shared" si="10"/>
        <v>0</v>
      </c>
      <c r="G21" s="31">
        <v>0</v>
      </c>
      <c r="H21" s="17"/>
      <c r="I21" s="4">
        <f t="shared" si="1"/>
        <v>0</v>
      </c>
      <c r="J21" s="31">
        <v>0</v>
      </c>
      <c r="K21" s="18">
        <v>0</v>
      </c>
      <c r="L21" s="19">
        <f t="shared" si="2"/>
        <v>0</v>
      </c>
      <c r="M21" s="18">
        <v>40</v>
      </c>
      <c r="N21" s="20">
        <f t="shared" si="3"/>
        <v>2.5000000000000001E-2</v>
      </c>
      <c r="O21" s="21">
        <f t="shared" si="11"/>
        <v>0</v>
      </c>
      <c r="P21" s="21">
        <f t="shared" si="5"/>
        <v>0</v>
      </c>
      <c r="Q21" s="22">
        <f t="shared" si="12"/>
        <v>0</v>
      </c>
      <c r="R21" s="23">
        <f t="shared" si="13"/>
        <v>0</v>
      </c>
      <c r="S21" s="32">
        <v>0</v>
      </c>
      <c r="T21" s="24">
        <f t="shared" si="14"/>
        <v>0</v>
      </c>
      <c r="V21" t="str">
        <f t="shared" si="9"/>
        <v>1820DC Service Station Transformer</v>
      </c>
    </row>
    <row r="22" spans="1:22">
      <c r="A22" t="s">
        <v>82</v>
      </c>
      <c r="B22" s="57">
        <v>1820</v>
      </c>
      <c r="C22" s="6" t="s">
        <v>84</v>
      </c>
      <c r="D22" s="31">
        <v>0</v>
      </c>
      <c r="E22" s="17"/>
      <c r="F22" s="4">
        <f t="shared" si="10"/>
        <v>0</v>
      </c>
      <c r="G22" s="31">
        <v>0</v>
      </c>
      <c r="H22" s="17"/>
      <c r="I22" s="4">
        <f t="shared" si="1"/>
        <v>0</v>
      </c>
      <c r="J22" s="31">
        <v>0</v>
      </c>
      <c r="K22" s="18">
        <v>0</v>
      </c>
      <c r="L22" s="19">
        <f t="shared" si="2"/>
        <v>0</v>
      </c>
      <c r="M22" s="18">
        <v>40</v>
      </c>
      <c r="N22" s="20">
        <f t="shared" si="3"/>
        <v>2.5000000000000001E-2</v>
      </c>
      <c r="O22" s="21">
        <f t="shared" si="11"/>
        <v>0</v>
      </c>
      <c r="P22" s="21">
        <f t="shared" si="5"/>
        <v>0</v>
      </c>
      <c r="Q22" s="22">
        <f t="shared" si="12"/>
        <v>0</v>
      </c>
      <c r="R22" s="23">
        <f t="shared" si="13"/>
        <v>0</v>
      </c>
      <c r="S22" s="32">
        <v>0</v>
      </c>
      <c r="T22" s="24">
        <f t="shared" si="14"/>
        <v>0</v>
      </c>
      <c r="V22" t="str">
        <f t="shared" si="9"/>
        <v>1820DC Service Stations SwitchGear</v>
      </c>
    </row>
    <row r="23" spans="1:22">
      <c r="B23" s="57"/>
      <c r="C23" s="6"/>
      <c r="D23" s="31">
        <v>0</v>
      </c>
      <c r="E23" s="17"/>
      <c r="F23" s="4"/>
      <c r="G23" s="31"/>
      <c r="H23" s="17"/>
      <c r="I23" s="4">
        <f t="shared" si="1"/>
        <v>0</v>
      </c>
      <c r="J23" s="31">
        <v>0</v>
      </c>
      <c r="K23" s="18">
        <v>0</v>
      </c>
      <c r="L23" s="19">
        <f t="shared" si="2"/>
        <v>0</v>
      </c>
      <c r="M23" s="18">
        <v>0</v>
      </c>
      <c r="N23" s="20">
        <f t="shared" si="3"/>
        <v>0</v>
      </c>
      <c r="O23" s="21"/>
      <c r="P23" s="21">
        <f t="shared" si="5"/>
        <v>0</v>
      </c>
      <c r="Q23" s="22"/>
      <c r="R23" s="23"/>
      <c r="S23" s="32">
        <v>0</v>
      </c>
      <c r="T23" s="24"/>
    </row>
    <row r="24" spans="1:22">
      <c r="A24" t="s">
        <v>89</v>
      </c>
      <c r="B24" s="57">
        <v>1835</v>
      </c>
      <c r="C24" s="6" t="s">
        <v>54</v>
      </c>
      <c r="D24" s="31">
        <v>2320724.8000000003</v>
      </c>
      <c r="E24" s="17"/>
      <c r="F24" s="4">
        <f t="shared" si="10"/>
        <v>2320724.8000000003</v>
      </c>
      <c r="G24" s="31">
        <v>0</v>
      </c>
      <c r="H24" s="17"/>
      <c r="I24" s="4">
        <f t="shared" si="1"/>
        <v>0</v>
      </c>
      <c r="J24" s="31">
        <v>0</v>
      </c>
      <c r="K24" s="18">
        <v>33.846153846153847</v>
      </c>
      <c r="L24" s="19">
        <f t="shared" si="2"/>
        <v>2.9545454545454545E-2</v>
      </c>
      <c r="M24" s="18">
        <v>40</v>
      </c>
      <c r="N24" s="20">
        <f t="shared" si="3"/>
        <v>2.5000000000000001E-2</v>
      </c>
      <c r="O24" s="21">
        <f t="shared" si="11"/>
        <v>68566.869090909095</v>
      </c>
      <c r="P24" s="21">
        <f t="shared" si="5"/>
        <v>0</v>
      </c>
      <c r="Q24" s="22">
        <f t="shared" si="12"/>
        <v>0</v>
      </c>
      <c r="R24" s="23">
        <f t="shared" si="13"/>
        <v>68566.869090909095</v>
      </c>
      <c r="S24" s="32">
        <v>69105.13</v>
      </c>
      <c r="T24" s="24">
        <f t="shared" si="14"/>
        <v>538.26090909090999</v>
      </c>
      <c r="V24" t="str">
        <f t="shared" si="9"/>
        <v>1835Switchgear - Air &amp; Gas</v>
      </c>
    </row>
    <row r="25" spans="1:22">
      <c r="A25" t="s">
        <v>90</v>
      </c>
      <c r="B25" s="57">
        <v>1850</v>
      </c>
      <c r="C25" s="6" t="s">
        <v>55</v>
      </c>
      <c r="D25" s="31">
        <v>5264526.66</v>
      </c>
      <c r="E25" s="17"/>
      <c r="F25" s="4">
        <f t="shared" si="10"/>
        <v>5264526.66</v>
      </c>
      <c r="G25" s="31">
        <v>0</v>
      </c>
      <c r="H25" s="17"/>
      <c r="I25" s="4">
        <f t="shared" si="1"/>
        <v>0</v>
      </c>
      <c r="J25" s="31">
        <v>0</v>
      </c>
      <c r="K25" s="18">
        <v>36.270000000000003</v>
      </c>
      <c r="L25" s="19">
        <f t="shared" si="2"/>
        <v>2.7570995312930793E-2</v>
      </c>
      <c r="M25" s="18">
        <v>40</v>
      </c>
      <c r="N25" s="20">
        <f t="shared" si="3"/>
        <v>2.5000000000000001E-2</v>
      </c>
      <c r="O25" s="21">
        <f t="shared" si="11"/>
        <v>145148.23986765923</v>
      </c>
      <c r="P25" s="21">
        <f t="shared" si="5"/>
        <v>0</v>
      </c>
      <c r="Q25" s="22">
        <f t="shared" si="12"/>
        <v>0</v>
      </c>
      <c r="R25" s="23">
        <f t="shared" si="13"/>
        <v>145148.23986765923</v>
      </c>
      <c r="S25" s="32">
        <v>144647.51999999999</v>
      </c>
      <c r="T25" s="24">
        <f t="shared" si="14"/>
        <v>-500.71986765923793</v>
      </c>
      <c r="V25" t="str">
        <f t="shared" si="9"/>
        <v>1850UG Transformer</v>
      </c>
    </row>
    <row r="26" spans="1:22">
      <c r="B26" s="57"/>
      <c r="C26" s="6"/>
      <c r="D26" s="31">
        <v>0</v>
      </c>
      <c r="E26" s="17"/>
      <c r="F26" s="4"/>
      <c r="G26" s="31"/>
      <c r="H26" s="17"/>
      <c r="I26" s="4">
        <f t="shared" si="1"/>
        <v>0</v>
      </c>
      <c r="J26" s="31">
        <v>0</v>
      </c>
      <c r="K26" s="18">
        <v>0</v>
      </c>
      <c r="L26" s="19">
        <f t="shared" si="2"/>
        <v>0</v>
      </c>
      <c r="M26" s="18">
        <v>0</v>
      </c>
      <c r="N26" s="20">
        <f t="shared" si="3"/>
        <v>0</v>
      </c>
      <c r="O26" s="21"/>
      <c r="P26" s="21">
        <f t="shared" si="5"/>
        <v>0</v>
      </c>
      <c r="Q26" s="22"/>
      <c r="R26" s="23"/>
      <c r="S26" s="32">
        <v>0</v>
      </c>
      <c r="T26" s="24"/>
    </row>
    <row r="27" spans="1:22">
      <c r="A27" t="s">
        <v>91</v>
      </c>
      <c r="B27" s="57">
        <v>1860</v>
      </c>
      <c r="C27" s="6" t="s">
        <v>56</v>
      </c>
      <c r="D27" s="31">
        <v>1918641.54</v>
      </c>
      <c r="E27" s="17"/>
      <c r="F27" s="4">
        <f t="shared" si="10"/>
        <v>1918641.54</v>
      </c>
      <c r="G27" s="31">
        <v>0</v>
      </c>
      <c r="H27" s="17"/>
      <c r="I27" s="4">
        <f t="shared" si="1"/>
        <v>0</v>
      </c>
      <c r="J27" s="31">
        <v>0</v>
      </c>
      <c r="K27" s="18">
        <v>17.100000000000001</v>
      </c>
      <c r="L27" s="19">
        <f t="shared" si="2"/>
        <v>5.8479532163742687E-2</v>
      </c>
      <c r="M27" s="18">
        <v>20</v>
      </c>
      <c r="N27" s="20">
        <f t="shared" si="3"/>
        <v>0.05</v>
      </c>
      <c r="O27" s="21">
        <f t="shared" si="11"/>
        <v>112201.2596491228</v>
      </c>
      <c r="P27" s="21">
        <f t="shared" si="5"/>
        <v>0</v>
      </c>
      <c r="Q27" s="22">
        <f t="shared" si="12"/>
        <v>0</v>
      </c>
      <c r="R27" s="23">
        <f t="shared" si="13"/>
        <v>112201.2596491228</v>
      </c>
      <c r="S27" s="32">
        <v>108003.34</v>
      </c>
      <c r="T27" s="24">
        <f t="shared" si="14"/>
        <v>-4197.9196491228067</v>
      </c>
      <c r="V27" t="str">
        <f t="shared" si="9"/>
        <v>1860Industrial/Wholesale meters</v>
      </c>
    </row>
    <row r="28" spans="1:22">
      <c r="A28" t="s">
        <v>92</v>
      </c>
      <c r="B28" s="57">
        <v>1860</v>
      </c>
      <c r="C28" s="6" t="s">
        <v>57</v>
      </c>
      <c r="D28" s="31">
        <v>2864473.2199999997</v>
      </c>
      <c r="E28" s="17"/>
      <c r="F28" s="4">
        <f t="shared" si="10"/>
        <v>2864473.2199999997</v>
      </c>
      <c r="G28" s="31">
        <v>13086.43</v>
      </c>
      <c r="H28" s="17"/>
      <c r="I28" s="4">
        <f t="shared" si="1"/>
        <v>13086.43</v>
      </c>
      <c r="J28" s="31">
        <v>24252.17</v>
      </c>
      <c r="K28" s="18">
        <v>44</v>
      </c>
      <c r="L28" s="19">
        <f t="shared" si="2"/>
        <v>2.2727272727272728E-2</v>
      </c>
      <c r="M28" s="18">
        <v>45</v>
      </c>
      <c r="N28" s="20">
        <f t="shared" si="3"/>
        <v>2.2222222222222223E-2</v>
      </c>
      <c r="O28" s="21">
        <f t="shared" si="11"/>
        <v>65101.664090909086</v>
      </c>
      <c r="P28" s="21">
        <f t="shared" si="5"/>
        <v>290.80955555555556</v>
      </c>
      <c r="Q28" s="22">
        <f t="shared" si="12"/>
        <v>269.46855555555555</v>
      </c>
      <c r="R28" s="23">
        <f t="shared" si="13"/>
        <v>65661.942202020204</v>
      </c>
      <c r="S28" s="32">
        <v>62576.1</v>
      </c>
      <c r="T28" s="24">
        <f t="shared" si="14"/>
        <v>-3085.8422020202051</v>
      </c>
      <c r="V28" t="str">
        <f t="shared" si="9"/>
        <v>1860Other meters, PTs &amp; CTs</v>
      </c>
    </row>
    <row r="29" spans="1:22">
      <c r="A29" t="s">
        <v>93</v>
      </c>
      <c r="B29" s="57">
        <v>1860</v>
      </c>
      <c r="C29" s="6" t="s">
        <v>85</v>
      </c>
      <c r="D29" s="31">
        <v>0</v>
      </c>
      <c r="E29" s="17"/>
      <c r="F29" s="4">
        <f t="shared" si="10"/>
        <v>0</v>
      </c>
      <c r="G29" s="31">
        <v>0</v>
      </c>
      <c r="H29" s="17"/>
      <c r="I29" s="4">
        <f t="shared" si="1"/>
        <v>0</v>
      </c>
      <c r="J29" s="31">
        <v>0</v>
      </c>
      <c r="K29" s="18">
        <v>0</v>
      </c>
      <c r="L29" s="19">
        <f t="shared" si="2"/>
        <v>0</v>
      </c>
      <c r="M29" s="18">
        <v>15</v>
      </c>
      <c r="N29" s="20">
        <f t="shared" si="3"/>
        <v>6.6666666666666666E-2</v>
      </c>
      <c r="O29" s="21">
        <f t="shared" si="11"/>
        <v>0</v>
      </c>
      <c r="P29" s="21">
        <f t="shared" si="5"/>
        <v>0</v>
      </c>
      <c r="Q29" s="22">
        <f t="shared" si="12"/>
        <v>0</v>
      </c>
      <c r="R29" s="23">
        <f t="shared" si="13"/>
        <v>0</v>
      </c>
      <c r="S29" s="32">
        <v>0</v>
      </c>
      <c r="T29" s="24">
        <f t="shared" si="14"/>
        <v>0</v>
      </c>
      <c r="V29" t="str">
        <f t="shared" si="9"/>
        <v>1860Smart Meters</v>
      </c>
    </row>
    <row r="30" spans="1:22">
      <c r="A30" t="s">
        <v>94</v>
      </c>
      <c r="B30" s="57">
        <v>1860</v>
      </c>
      <c r="C30" s="6" t="s">
        <v>86</v>
      </c>
      <c r="D30" s="31">
        <v>0</v>
      </c>
      <c r="E30" s="17"/>
      <c r="F30" s="4">
        <f t="shared" si="10"/>
        <v>0</v>
      </c>
      <c r="G30" s="31">
        <v>0</v>
      </c>
      <c r="H30" s="17"/>
      <c r="I30" s="4">
        <f t="shared" si="1"/>
        <v>0</v>
      </c>
      <c r="J30" s="31">
        <v>0</v>
      </c>
      <c r="K30" s="18">
        <v>0</v>
      </c>
      <c r="L30" s="19">
        <f t="shared" si="2"/>
        <v>0</v>
      </c>
      <c r="M30" s="18">
        <v>0</v>
      </c>
      <c r="N30" s="20">
        <f t="shared" si="3"/>
        <v>0</v>
      </c>
      <c r="O30" s="21">
        <f t="shared" si="11"/>
        <v>0</v>
      </c>
      <c r="P30" s="21">
        <f t="shared" si="5"/>
        <v>0</v>
      </c>
      <c r="Q30" s="22">
        <f t="shared" si="12"/>
        <v>0</v>
      </c>
      <c r="R30" s="23">
        <f t="shared" si="13"/>
        <v>0</v>
      </c>
      <c r="S30" s="32">
        <v>0</v>
      </c>
      <c r="T30" s="24">
        <f t="shared" si="14"/>
        <v>0</v>
      </c>
      <c r="V30" t="str">
        <f t="shared" si="9"/>
        <v>1860Smart meters -Data Collectors</v>
      </c>
    </row>
    <row r="31" spans="1:22">
      <c r="B31" s="57"/>
      <c r="C31" s="6"/>
      <c r="D31" s="31">
        <v>0</v>
      </c>
      <c r="E31" s="17"/>
      <c r="F31" s="4"/>
      <c r="G31" s="31"/>
      <c r="H31" s="17"/>
      <c r="I31" s="4">
        <f t="shared" si="1"/>
        <v>0</v>
      </c>
      <c r="J31" s="31">
        <v>0</v>
      </c>
      <c r="K31" s="18">
        <v>0</v>
      </c>
      <c r="L31" s="19">
        <f t="shared" si="2"/>
        <v>0</v>
      </c>
      <c r="M31" s="18">
        <v>0</v>
      </c>
      <c r="N31" s="20">
        <f t="shared" si="3"/>
        <v>0</v>
      </c>
      <c r="O31" s="21"/>
      <c r="P31" s="21">
        <f t="shared" si="5"/>
        <v>0</v>
      </c>
      <c r="Q31" s="22"/>
      <c r="R31" s="23"/>
      <c r="S31" s="32">
        <v>0</v>
      </c>
      <c r="T31" s="24"/>
    </row>
    <row r="32" spans="1:22">
      <c r="A32" t="s">
        <v>95</v>
      </c>
      <c r="B32" s="57">
        <v>1805</v>
      </c>
      <c r="C32" s="6" t="s">
        <v>39</v>
      </c>
      <c r="D32" s="31">
        <v>591340.80000000005</v>
      </c>
      <c r="E32" s="17"/>
      <c r="F32" s="4">
        <f t="shared" si="10"/>
        <v>591340.80000000005</v>
      </c>
      <c r="G32" s="31">
        <v>980478.61</v>
      </c>
      <c r="H32" s="17"/>
      <c r="I32" s="4">
        <f t="shared" si="1"/>
        <v>980478.61</v>
      </c>
      <c r="J32" s="31">
        <v>0</v>
      </c>
      <c r="K32" s="18">
        <v>0</v>
      </c>
      <c r="L32" s="19">
        <f t="shared" si="2"/>
        <v>0</v>
      </c>
      <c r="M32" s="18">
        <v>0</v>
      </c>
      <c r="N32" s="20">
        <f t="shared" si="3"/>
        <v>0</v>
      </c>
      <c r="O32" s="21">
        <f t="shared" si="11"/>
        <v>0</v>
      </c>
      <c r="P32" s="21">
        <f t="shared" si="5"/>
        <v>0</v>
      </c>
      <c r="Q32" s="22">
        <f t="shared" si="12"/>
        <v>0</v>
      </c>
      <c r="R32" s="23">
        <f t="shared" si="13"/>
        <v>0</v>
      </c>
      <c r="S32" s="32">
        <v>0</v>
      </c>
      <c r="T32" s="24">
        <f t="shared" si="14"/>
        <v>0</v>
      </c>
      <c r="V32" t="str">
        <f t="shared" si="9"/>
        <v>1805Land</v>
      </c>
    </row>
    <row r="33" spans="1:22">
      <c r="B33" s="57">
        <v>1806</v>
      </c>
      <c r="C33" s="6" t="s">
        <v>58</v>
      </c>
      <c r="D33" s="31">
        <v>4738.32</v>
      </c>
      <c r="E33" s="17"/>
      <c r="F33" s="4">
        <f t="shared" si="10"/>
        <v>4738.32</v>
      </c>
      <c r="G33" s="31">
        <v>0</v>
      </c>
      <c r="H33" s="17"/>
      <c r="I33" s="4">
        <f t="shared" si="1"/>
        <v>0</v>
      </c>
      <c r="J33" s="31">
        <v>0</v>
      </c>
      <c r="K33" s="18">
        <v>0</v>
      </c>
      <c r="L33" s="19">
        <f t="shared" si="2"/>
        <v>0</v>
      </c>
      <c r="M33" s="18">
        <v>0</v>
      </c>
      <c r="N33" s="20">
        <f t="shared" si="3"/>
        <v>0</v>
      </c>
      <c r="O33" s="21">
        <f t="shared" si="11"/>
        <v>0</v>
      </c>
      <c r="P33" s="21">
        <f t="shared" si="5"/>
        <v>0</v>
      </c>
      <c r="Q33" s="22">
        <f t="shared" si="12"/>
        <v>0</v>
      </c>
      <c r="R33" s="23">
        <f t="shared" si="13"/>
        <v>0</v>
      </c>
      <c r="S33" s="32">
        <v>0</v>
      </c>
      <c r="T33" s="24">
        <f t="shared" si="14"/>
        <v>0</v>
      </c>
      <c r="V33" t="str">
        <f t="shared" si="9"/>
        <v>1806Land Rights</v>
      </c>
    </row>
    <row r="34" spans="1:22">
      <c r="B34" s="57">
        <v>1806</v>
      </c>
      <c r="C34" s="6"/>
      <c r="D34" s="31">
        <v>0</v>
      </c>
      <c r="E34" s="17"/>
      <c r="F34" s="4">
        <f t="shared" si="10"/>
        <v>0</v>
      </c>
      <c r="G34" s="31">
        <v>0</v>
      </c>
      <c r="H34" s="17"/>
      <c r="I34" s="4">
        <f t="shared" si="1"/>
        <v>0</v>
      </c>
      <c r="J34" s="31">
        <v>0</v>
      </c>
      <c r="K34" s="18">
        <v>0</v>
      </c>
      <c r="L34" s="19">
        <f t="shared" si="2"/>
        <v>0</v>
      </c>
      <c r="M34" s="18">
        <v>0</v>
      </c>
      <c r="N34" s="20">
        <f t="shared" si="3"/>
        <v>0</v>
      </c>
      <c r="O34" s="21">
        <f t="shared" si="11"/>
        <v>0</v>
      </c>
      <c r="P34" s="21">
        <f t="shared" si="5"/>
        <v>0</v>
      </c>
      <c r="Q34" s="22">
        <f t="shared" si="12"/>
        <v>0</v>
      </c>
      <c r="R34" s="23">
        <f t="shared" si="13"/>
        <v>0</v>
      </c>
      <c r="S34" s="32">
        <v>0</v>
      </c>
      <c r="T34" s="24">
        <f t="shared" si="14"/>
        <v>0</v>
      </c>
      <c r="V34" t="str">
        <f t="shared" si="9"/>
        <v>1806</v>
      </c>
    </row>
    <row r="35" spans="1:22">
      <c r="A35" t="s">
        <v>96</v>
      </c>
      <c r="B35" s="57">
        <v>1908</v>
      </c>
      <c r="C35" s="6" t="s">
        <v>59</v>
      </c>
      <c r="D35" s="31">
        <v>2689155.5100000002</v>
      </c>
      <c r="E35" s="17"/>
      <c r="F35" s="4">
        <f t="shared" si="10"/>
        <v>2689155.5100000002</v>
      </c>
      <c r="G35" s="31">
        <v>174748.5</v>
      </c>
      <c r="H35" s="17"/>
      <c r="I35" s="4">
        <f t="shared" si="1"/>
        <v>174748.5</v>
      </c>
      <c r="J35" s="31">
        <v>46742.49</v>
      </c>
      <c r="K35" s="18">
        <v>34</v>
      </c>
      <c r="L35" s="19">
        <f t="shared" si="2"/>
        <v>2.9411764705882353E-2</v>
      </c>
      <c r="M35" s="18">
        <v>42</v>
      </c>
      <c r="N35" s="20">
        <f t="shared" si="3"/>
        <v>2.3809523809523808E-2</v>
      </c>
      <c r="O35" s="21">
        <f t="shared" si="11"/>
        <v>79092.809117647063</v>
      </c>
      <c r="P35" s="21">
        <f t="shared" si="5"/>
        <v>4160.6785714285716</v>
      </c>
      <c r="Q35" s="22">
        <f t="shared" si="12"/>
        <v>556.45821428571423</v>
      </c>
      <c r="R35" s="23">
        <f t="shared" si="13"/>
        <v>83809.945903361338</v>
      </c>
      <c r="S35" s="32">
        <v>86450.559999999998</v>
      </c>
      <c r="T35" s="24">
        <f t="shared" si="14"/>
        <v>2640.6140966386592</v>
      </c>
      <c r="V35" t="str">
        <f t="shared" si="9"/>
        <v>1908Buildings and Fixtures</v>
      </c>
    </row>
    <row r="36" spans="1:22">
      <c r="B36" s="57"/>
      <c r="C36" s="6"/>
      <c r="D36" s="31">
        <v>0</v>
      </c>
      <c r="E36" s="17"/>
      <c r="F36" s="4">
        <f t="shared" si="10"/>
        <v>0</v>
      </c>
      <c r="G36" s="31">
        <v>0</v>
      </c>
      <c r="H36" s="17"/>
      <c r="I36" s="4">
        <f t="shared" si="1"/>
        <v>0</v>
      </c>
      <c r="J36" s="31">
        <v>0</v>
      </c>
      <c r="K36" s="18">
        <v>0</v>
      </c>
      <c r="L36" s="19">
        <f t="shared" si="2"/>
        <v>0</v>
      </c>
      <c r="M36" s="18">
        <v>0</v>
      </c>
      <c r="N36" s="20">
        <f t="shared" si="3"/>
        <v>0</v>
      </c>
      <c r="O36" s="21">
        <f t="shared" ref="O36:O57" si="15">IF(K36=0,0,+F36/K36)</f>
        <v>0</v>
      </c>
      <c r="P36" s="21">
        <f t="shared" si="5"/>
        <v>0</v>
      </c>
      <c r="Q36" s="22">
        <f t="shared" ref="Q36:Q57" si="16">IF(M36=0,0,+(J36*0.5)/M36)</f>
        <v>0</v>
      </c>
      <c r="R36" s="23">
        <f t="shared" ref="R36:R57" si="17">IF(ISERROR(+O36+P36+Q36),0,+O36+P36+Q36)</f>
        <v>0</v>
      </c>
      <c r="S36" s="32">
        <v>0</v>
      </c>
      <c r="T36" s="24">
        <f t="shared" ref="T36:T57" si="18">IF(ISERROR(+S36-R36),0,+S36-R36)</f>
        <v>0</v>
      </c>
    </row>
    <row r="37" spans="1:22">
      <c r="A37" t="s">
        <v>97</v>
      </c>
      <c r="B37" s="57">
        <v>1915</v>
      </c>
      <c r="C37" s="6" t="s">
        <v>60</v>
      </c>
      <c r="D37" s="31">
        <v>126089.62</v>
      </c>
      <c r="E37" s="17">
        <f>752+6911</f>
        <v>7663</v>
      </c>
      <c r="F37" s="4">
        <f t="shared" si="10"/>
        <v>118426.62</v>
      </c>
      <c r="G37" s="31">
        <v>93896.09</v>
      </c>
      <c r="H37" s="17"/>
      <c r="I37" s="4">
        <f t="shared" si="1"/>
        <v>93896.09</v>
      </c>
      <c r="J37" s="31">
        <v>22642</v>
      </c>
      <c r="K37" s="18">
        <v>5</v>
      </c>
      <c r="L37" s="19">
        <f t="shared" si="2"/>
        <v>0.2</v>
      </c>
      <c r="M37" s="18">
        <v>5</v>
      </c>
      <c r="N37" s="20">
        <f t="shared" si="3"/>
        <v>0.2</v>
      </c>
      <c r="O37" s="21">
        <f t="shared" si="15"/>
        <v>23685.324000000001</v>
      </c>
      <c r="P37" s="21">
        <f t="shared" si="5"/>
        <v>18779.218000000001</v>
      </c>
      <c r="Q37" s="22">
        <f t="shared" si="16"/>
        <v>2264.1999999999998</v>
      </c>
      <c r="R37" s="23">
        <f t="shared" si="17"/>
        <v>44728.741999999998</v>
      </c>
      <c r="S37" s="32">
        <v>42281.75</v>
      </c>
      <c r="T37" s="24">
        <f t="shared" si="18"/>
        <v>-2446.9919999999984</v>
      </c>
      <c r="V37" t="str">
        <f t="shared" si="9"/>
        <v>1915Office Equipment</v>
      </c>
    </row>
    <row r="38" spans="1:22">
      <c r="B38" s="57"/>
      <c r="C38" s="6"/>
      <c r="D38" s="31">
        <v>0</v>
      </c>
      <c r="E38" s="17"/>
      <c r="F38" s="4">
        <f t="shared" si="10"/>
        <v>0</v>
      </c>
      <c r="G38" s="31">
        <v>0</v>
      </c>
      <c r="H38" s="17"/>
      <c r="I38" s="4">
        <f t="shared" si="1"/>
        <v>0</v>
      </c>
      <c r="J38" s="31">
        <v>0</v>
      </c>
      <c r="K38" s="18">
        <v>0</v>
      </c>
      <c r="L38" s="19">
        <f t="shared" si="2"/>
        <v>0</v>
      </c>
      <c r="M38" s="18">
        <v>0</v>
      </c>
      <c r="N38" s="20">
        <f t="shared" si="3"/>
        <v>0</v>
      </c>
      <c r="O38" s="21">
        <f t="shared" si="15"/>
        <v>0</v>
      </c>
      <c r="P38" s="21">
        <f t="shared" si="5"/>
        <v>0</v>
      </c>
      <c r="Q38" s="22">
        <f t="shared" si="16"/>
        <v>0</v>
      </c>
      <c r="R38" s="23">
        <f t="shared" si="17"/>
        <v>0</v>
      </c>
      <c r="S38" s="32">
        <v>0</v>
      </c>
      <c r="T38" s="24">
        <f t="shared" si="18"/>
        <v>0</v>
      </c>
    </row>
    <row r="39" spans="1:22">
      <c r="A39" t="s">
        <v>98</v>
      </c>
      <c r="B39" s="57">
        <v>1920</v>
      </c>
      <c r="C39" s="6" t="s">
        <v>61</v>
      </c>
      <c r="D39" s="31">
        <v>473797.23</v>
      </c>
      <c r="E39" s="17">
        <v>427635</v>
      </c>
      <c r="F39" s="4">
        <f t="shared" si="10"/>
        <v>46162.229999999981</v>
      </c>
      <c r="G39" s="31">
        <v>98236.62</v>
      </c>
      <c r="H39" s="17"/>
      <c r="I39" s="4">
        <f t="shared" si="1"/>
        <v>98236.62</v>
      </c>
      <c r="J39" s="31">
        <v>76652.649999999994</v>
      </c>
      <c r="K39" s="18">
        <v>1.5</v>
      </c>
      <c r="L39" s="19">
        <f t="shared" si="2"/>
        <v>0.66666666666666663</v>
      </c>
      <c r="M39" s="18">
        <v>5</v>
      </c>
      <c r="N39" s="20">
        <f t="shared" si="3"/>
        <v>0.2</v>
      </c>
      <c r="O39" s="21">
        <f t="shared" si="15"/>
        <v>30774.819999999989</v>
      </c>
      <c r="P39" s="21">
        <f t="shared" si="5"/>
        <v>19647.324000000001</v>
      </c>
      <c r="Q39" s="22">
        <f t="shared" si="16"/>
        <v>7665.2649999999994</v>
      </c>
      <c r="R39" s="23">
        <f t="shared" si="17"/>
        <v>58087.408999999985</v>
      </c>
      <c r="S39" s="32">
        <v>57461</v>
      </c>
      <c r="T39" s="24">
        <f t="shared" si="18"/>
        <v>-626.4089999999851</v>
      </c>
      <c r="V39" t="str">
        <f t="shared" si="9"/>
        <v>1920Computer Hardware</v>
      </c>
    </row>
    <row r="40" spans="1:22">
      <c r="A40" t="s">
        <v>99</v>
      </c>
      <c r="B40" s="57">
        <v>1925</v>
      </c>
      <c r="C40" s="6" t="s">
        <v>62</v>
      </c>
      <c r="D40" s="31">
        <v>1254058.98</v>
      </c>
      <c r="E40" s="17">
        <f>495335+569043</f>
        <v>1064378</v>
      </c>
      <c r="F40" s="4">
        <f t="shared" si="10"/>
        <v>189680.97999999998</v>
      </c>
      <c r="G40" s="31">
        <v>95985.3</v>
      </c>
      <c r="H40" s="17"/>
      <c r="I40" s="4">
        <f t="shared" si="1"/>
        <v>95985.3</v>
      </c>
      <c r="J40" s="31">
        <v>27777.51</v>
      </c>
      <c r="K40" s="18">
        <v>3</v>
      </c>
      <c r="L40" s="19">
        <f t="shared" si="2"/>
        <v>0.33333333333333331</v>
      </c>
      <c r="M40" s="18">
        <v>5</v>
      </c>
      <c r="N40" s="20">
        <f t="shared" si="3"/>
        <v>0.2</v>
      </c>
      <c r="O40" s="21">
        <f t="shared" si="15"/>
        <v>63226.993333333325</v>
      </c>
      <c r="P40" s="21">
        <f t="shared" si="5"/>
        <v>19197.060000000001</v>
      </c>
      <c r="Q40" s="22">
        <v>6944.38</v>
      </c>
      <c r="R40" s="23">
        <f t="shared" si="17"/>
        <v>89368.433333333334</v>
      </c>
      <c r="S40" s="32">
        <v>89223</v>
      </c>
      <c r="T40" s="24">
        <f t="shared" si="18"/>
        <v>-145.4333333333343</v>
      </c>
      <c r="V40" t="str">
        <f t="shared" si="9"/>
        <v>1925Computer Software</v>
      </c>
    </row>
    <row r="41" spans="1:22">
      <c r="B41" s="57"/>
      <c r="C41" s="6"/>
      <c r="D41" s="31">
        <v>0</v>
      </c>
      <c r="E41" s="17"/>
      <c r="F41" s="4">
        <f t="shared" si="10"/>
        <v>0</v>
      </c>
      <c r="G41" s="31">
        <v>0</v>
      </c>
      <c r="H41" s="17"/>
      <c r="I41" s="4">
        <f t="shared" si="1"/>
        <v>0</v>
      </c>
      <c r="J41" s="31">
        <v>0</v>
      </c>
      <c r="K41" s="18">
        <v>0</v>
      </c>
      <c r="L41" s="19">
        <f t="shared" si="2"/>
        <v>0</v>
      </c>
      <c r="M41" s="18">
        <v>0</v>
      </c>
      <c r="N41" s="20">
        <f t="shared" si="3"/>
        <v>0</v>
      </c>
      <c r="O41" s="21">
        <f t="shared" si="15"/>
        <v>0</v>
      </c>
      <c r="P41" s="21">
        <f t="shared" si="5"/>
        <v>0</v>
      </c>
      <c r="Q41" s="22">
        <f t="shared" si="16"/>
        <v>0</v>
      </c>
      <c r="R41" s="23">
        <f t="shared" si="17"/>
        <v>0</v>
      </c>
      <c r="S41" s="32">
        <v>0</v>
      </c>
      <c r="T41" s="24">
        <f t="shared" si="18"/>
        <v>0</v>
      </c>
    </row>
    <row r="42" spans="1:22">
      <c r="A42" t="s">
        <v>100</v>
      </c>
      <c r="B42" s="57">
        <v>1930</v>
      </c>
      <c r="C42" s="6" t="s">
        <v>63</v>
      </c>
      <c r="D42" s="31">
        <v>1328766.01</v>
      </c>
      <c r="E42" s="17">
        <f>3199+8195</f>
        <v>11394</v>
      </c>
      <c r="F42" s="4">
        <f t="shared" si="10"/>
        <v>1317372.01</v>
      </c>
      <c r="G42" s="31">
        <v>290853.55</v>
      </c>
      <c r="H42" s="17"/>
      <c r="I42" s="4">
        <f t="shared" si="1"/>
        <v>290853.55</v>
      </c>
      <c r="J42" s="31">
        <v>0</v>
      </c>
      <c r="K42" s="18">
        <v>12</v>
      </c>
      <c r="L42" s="19">
        <f t="shared" si="2"/>
        <v>8.3333333333333329E-2</v>
      </c>
      <c r="M42" s="18">
        <v>12</v>
      </c>
      <c r="N42" s="20">
        <f t="shared" si="3"/>
        <v>8.3333333333333329E-2</v>
      </c>
      <c r="O42" s="21">
        <f t="shared" si="15"/>
        <v>109781.00083333334</v>
      </c>
      <c r="P42" s="21">
        <f t="shared" si="5"/>
        <v>24237.795833333334</v>
      </c>
      <c r="Q42" s="22">
        <f t="shared" si="16"/>
        <v>0</v>
      </c>
      <c r="R42" s="23">
        <f t="shared" si="17"/>
        <v>134018.79666666666</v>
      </c>
      <c r="S42" s="32">
        <v>135890</v>
      </c>
      <c r="T42" s="24">
        <f t="shared" si="18"/>
        <v>1871.2033333333384</v>
      </c>
      <c r="V42" t="str">
        <f t="shared" si="9"/>
        <v>1930Bucket Trucks</v>
      </c>
    </row>
    <row r="43" spans="1:22">
      <c r="A43" t="s">
        <v>101</v>
      </c>
      <c r="B43" s="57">
        <v>1930</v>
      </c>
      <c r="C43" s="6" t="s">
        <v>64</v>
      </c>
      <c r="D43" s="31">
        <v>137812.25</v>
      </c>
      <c r="E43" s="17"/>
      <c r="F43" s="4">
        <f t="shared" si="10"/>
        <v>137812.25</v>
      </c>
      <c r="G43" s="31">
        <v>0</v>
      </c>
      <c r="H43" s="17"/>
      <c r="I43" s="4">
        <f t="shared" si="1"/>
        <v>0</v>
      </c>
      <c r="J43" s="31">
        <v>0</v>
      </c>
      <c r="K43" s="18">
        <v>11</v>
      </c>
      <c r="L43" s="19">
        <f t="shared" si="2"/>
        <v>9.0909090909090912E-2</v>
      </c>
      <c r="M43" s="18">
        <v>15</v>
      </c>
      <c r="N43" s="20">
        <f t="shared" si="3"/>
        <v>6.6666666666666666E-2</v>
      </c>
      <c r="O43" s="21">
        <f t="shared" si="15"/>
        <v>12528.386363636364</v>
      </c>
      <c r="P43" s="21">
        <f t="shared" si="5"/>
        <v>0</v>
      </c>
      <c r="Q43" s="22">
        <f t="shared" si="16"/>
        <v>0</v>
      </c>
      <c r="R43" s="23">
        <f t="shared" si="17"/>
        <v>12528.386363636364</v>
      </c>
      <c r="S43" s="32">
        <v>8430.59</v>
      </c>
      <c r="T43" s="24">
        <f t="shared" si="18"/>
        <v>-4097.7963636363638</v>
      </c>
      <c r="V43" t="str">
        <f t="shared" si="9"/>
        <v>1930Trailers</v>
      </c>
    </row>
    <row r="44" spans="1:22">
      <c r="A44" t="s">
        <v>102</v>
      </c>
      <c r="B44" s="57">
        <v>1930</v>
      </c>
      <c r="C44" s="6" t="s">
        <v>65</v>
      </c>
      <c r="D44" s="31">
        <v>214880.45</v>
      </c>
      <c r="E44" s="17">
        <v>27577</v>
      </c>
      <c r="F44" s="4">
        <f t="shared" si="10"/>
        <v>187303.45</v>
      </c>
      <c r="G44" s="31">
        <v>0</v>
      </c>
      <c r="H44" s="17"/>
      <c r="I44" s="4">
        <f t="shared" si="1"/>
        <v>0</v>
      </c>
      <c r="J44" s="31">
        <v>72450</v>
      </c>
      <c r="K44" s="18">
        <v>7.5</v>
      </c>
      <c r="L44" s="19">
        <f t="shared" si="2"/>
        <v>0.13333333333333333</v>
      </c>
      <c r="M44" s="18">
        <v>8</v>
      </c>
      <c r="N44" s="20">
        <f t="shared" si="3"/>
        <v>0.125</v>
      </c>
      <c r="O44" s="21">
        <f t="shared" si="15"/>
        <v>24973.793333333335</v>
      </c>
      <c r="P44" s="21">
        <f t="shared" si="5"/>
        <v>0</v>
      </c>
      <c r="Q44" s="22">
        <f t="shared" si="16"/>
        <v>4528.125</v>
      </c>
      <c r="R44" s="23">
        <f t="shared" si="17"/>
        <v>29501.918333333335</v>
      </c>
      <c r="S44" s="32">
        <v>28144.04</v>
      </c>
      <c r="T44" s="24">
        <f t="shared" si="18"/>
        <v>-1357.878333333334</v>
      </c>
      <c r="V44" t="str">
        <f t="shared" si="9"/>
        <v>1930Vans/Cars</v>
      </c>
    </row>
    <row r="45" spans="1:22">
      <c r="B45" s="57"/>
      <c r="C45" s="6"/>
      <c r="D45" s="31">
        <v>0</v>
      </c>
      <c r="E45" s="17"/>
      <c r="F45" s="4">
        <f t="shared" si="10"/>
        <v>0</v>
      </c>
      <c r="G45" s="31">
        <v>0</v>
      </c>
      <c r="H45" s="17"/>
      <c r="I45" s="4">
        <f t="shared" si="1"/>
        <v>0</v>
      </c>
      <c r="J45" s="31">
        <v>0</v>
      </c>
      <c r="K45" s="18">
        <v>0</v>
      </c>
      <c r="L45" s="19">
        <f t="shared" si="2"/>
        <v>0</v>
      </c>
      <c r="M45" s="18">
        <v>0</v>
      </c>
      <c r="N45" s="20">
        <f t="shared" si="3"/>
        <v>0</v>
      </c>
      <c r="O45" s="21">
        <f t="shared" si="15"/>
        <v>0</v>
      </c>
      <c r="P45" s="21">
        <f t="shared" si="5"/>
        <v>0</v>
      </c>
      <c r="Q45" s="22">
        <f t="shared" si="16"/>
        <v>0</v>
      </c>
      <c r="R45" s="23">
        <f t="shared" si="17"/>
        <v>0</v>
      </c>
      <c r="S45" s="32">
        <v>0</v>
      </c>
      <c r="T45" s="24">
        <f t="shared" si="18"/>
        <v>0</v>
      </c>
    </row>
    <row r="46" spans="1:22">
      <c r="A46" t="s">
        <v>103</v>
      </c>
      <c r="B46" s="57">
        <v>1940</v>
      </c>
      <c r="C46" s="6" t="s">
        <v>66</v>
      </c>
      <c r="D46" s="31">
        <v>347862.4</v>
      </c>
      <c r="E46" s="17">
        <v>101173.66</v>
      </c>
      <c r="F46" s="4">
        <f t="shared" si="10"/>
        <v>246688.74000000002</v>
      </c>
      <c r="G46" s="31">
        <v>151477.79</v>
      </c>
      <c r="H46" s="17"/>
      <c r="I46" s="4">
        <f t="shared" si="1"/>
        <v>151477.79</v>
      </c>
      <c r="J46" s="31">
        <v>16729.93</v>
      </c>
      <c r="K46" s="18">
        <v>7</v>
      </c>
      <c r="L46" s="19">
        <f t="shared" si="2"/>
        <v>0.14285714285714285</v>
      </c>
      <c r="M46" s="18">
        <v>10</v>
      </c>
      <c r="N46" s="20">
        <f t="shared" si="3"/>
        <v>0.1</v>
      </c>
      <c r="O46" s="21">
        <f t="shared" si="15"/>
        <v>35241.248571428572</v>
      </c>
      <c r="P46" s="21">
        <f t="shared" si="5"/>
        <v>15147.779</v>
      </c>
      <c r="Q46" s="22">
        <f t="shared" si="16"/>
        <v>836.49649999999997</v>
      </c>
      <c r="R46" s="23">
        <f t="shared" si="17"/>
        <v>51225.524071428576</v>
      </c>
      <c r="S46" s="32">
        <v>50003.77</v>
      </c>
      <c r="T46" s="24">
        <f t="shared" si="18"/>
        <v>-1221.7540714285788</v>
      </c>
      <c r="V46" t="str">
        <f t="shared" si="9"/>
        <v>1940Power Tools, shop, garage, measurement testing</v>
      </c>
    </row>
    <row r="47" spans="1:22">
      <c r="A47" t="s">
        <v>104</v>
      </c>
      <c r="B47" s="57">
        <v>1940</v>
      </c>
      <c r="C47" s="6" t="s">
        <v>40</v>
      </c>
      <c r="D47" s="31">
        <v>5160.74</v>
      </c>
      <c r="E47" s="17"/>
      <c r="F47" s="4">
        <f t="shared" si="10"/>
        <v>5160.74</v>
      </c>
      <c r="G47" s="31">
        <v>0</v>
      </c>
      <c r="H47" s="17"/>
      <c r="I47" s="4">
        <f t="shared" si="1"/>
        <v>0</v>
      </c>
      <c r="J47" s="31">
        <v>0</v>
      </c>
      <c r="K47" s="18">
        <v>3</v>
      </c>
      <c r="L47" s="19">
        <f t="shared" si="2"/>
        <v>0.33333333333333331</v>
      </c>
      <c r="M47" s="18">
        <v>10</v>
      </c>
      <c r="N47" s="20">
        <f t="shared" si="3"/>
        <v>0.1</v>
      </c>
      <c r="O47" s="21">
        <f t="shared" si="15"/>
        <v>1720.2466666666667</v>
      </c>
      <c r="P47" s="21">
        <f t="shared" si="5"/>
        <v>0</v>
      </c>
      <c r="Q47" s="22">
        <f t="shared" si="16"/>
        <v>0</v>
      </c>
      <c r="R47" s="23">
        <f t="shared" si="17"/>
        <v>1720.2466666666667</v>
      </c>
      <c r="S47" s="32">
        <v>944.27</v>
      </c>
      <c r="T47" s="24">
        <f t="shared" si="18"/>
        <v>-775.97666666666669</v>
      </c>
      <c r="V47" t="str">
        <f t="shared" si="9"/>
        <v>1940Stores Equipment</v>
      </c>
    </row>
    <row r="48" spans="1:22">
      <c r="B48" s="57"/>
      <c r="C48" s="6"/>
      <c r="D48" s="31">
        <v>0</v>
      </c>
      <c r="E48" s="17"/>
      <c r="F48" s="4">
        <f t="shared" si="10"/>
        <v>0</v>
      </c>
      <c r="G48" s="31">
        <v>0</v>
      </c>
      <c r="H48" s="17"/>
      <c r="I48" s="4">
        <f t="shared" si="1"/>
        <v>0</v>
      </c>
      <c r="J48" s="31">
        <v>0</v>
      </c>
      <c r="K48" s="18">
        <v>0</v>
      </c>
      <c r="L48" s="19">
        <f t="shared" si="2"/>
        <v>0</v>
      </c>
      <c r="M48" s="18">
        <v>0</v>
      </c>
      <c r="N48" s="20">
        <f t="shared" si="3"/>
        <v>0</v>
      </c>
      <c r="O48" s="21">
        <f t="shared" si="15"/>
        <v>0</v>
      </c>
      <c r="P48" s="21">
        <f t="shared" si="5"/>
        <v>0</v>
      </c>
      <c r="Q48" s="22">
        <f t="shared" si="16"/>
        <v>0</v>
      </c>
      <c r="R48" s="23">
        <f t="shared" si="17"/>
        <v>0</v>
      </c>
      <c r="S48" s="32">
        <v>0</v>
      </c>
      <c r="T48" s="24">
        <f t="shared" si="18"/>
        <v>0</v>
      </c>
    </row>
    <row r="49" spans="1:22">
      <c r="B49" s="57"/>
      <c r="C49" s="6"/>
      <c r="D49" s="31">
        <v>0</v>
      </c>
      <c r="E49" s="17"/>
      <c r="F49" s="4">
        <f t="shared" si="10"/>
        <v>0</v>
      </c>
      <c r="G49" s="31">
        <v>0</v>
      </c>
      <c r="H49" s="17"/>
      <c r="I49" s="4">
        <f t="shared" si="1"/>
        <v>0</v>
      </c>
      <c r="J49" s="31">
        <v>0</v>
      </c>
      <c r="K49" s="18">
        <v>0</v>
      </c>
      <c r="L49" s="19">
        <f t="shared" si="2"/>
        <v>0</v>
      </c>
      <c r="M49" s="18">
        <v>0</v>
      </c>
      <c r="N49" s="20">
        <f t="shared" si="3"/>
        <v>0</v>
      </c>
      <c r="O49" s="21">
        <f t="shared" si="15"/>
        <v>0</v>
      </c>
      <c r="P49" s="21">
        <f t="shared" si="5"/>
        <v>0</v>
      </c>
      <c r="Q49" s="22">
        <f t="shared" si="16"/>
        <v>0</v>
      </c>
      <c r="R49" s="23">
        <f t="shared" si="17"/>
        <v>0</v>
      </c>
      <c r="S49" s="32">
        <v>0</v>
      </c>
      <c r="T49" s="24">
        <f t="shared" si="18"/>
        <v>0</v>
      </c>
    </row>
    <row r="50" spans="1:22">
      <c r="A50" t="s">
        <v>105</v>
      </c>
      <c r="B50" s="57">
        <v>1980</v>
      </c>
      <c r="C50" s="6" t="s">
        <v>67</v>
      </c>
      <c r="D50" s="31">
        <v>696864.05999999994</v>
      </c>
      <c r="E50" s="17"/>
      <c r="F50" s="4">
        <f t="shared" si="10"/>
        <v>696864.05999999994</v>
      </c>
      <c r="G50" s="31">
        <v>4174.7700000000004</v>
      </c>
      <c r="H50" s="17"/>
      <c r="I50" s="4">
        <f t="shared" si="1"/>
        <v>4174.7700000000004</v>
      </c>
      <c r="J50" s="31">
        <v>15960</v>
      </c>
      <c r="K50" s="18">
        <v>13.615384615384615</v>
      </c>
      <c r="L50" s="19">
        <f t="shared" si="2"/>
        <v>7.3446327683615822E-2</v>
      </c>
      <c r="M50" s="18">
        <v>20</v>
      </c>
      <c r="N50" s="20">
        <f t="shared" si="3"/>
        <v>0.05</v>
      </c>
      <c r="O50" s="21">
        <f t="shared" si="15"/>
        <v>51182.10610169491</v>
      </c>
      <c r="P50" s="21">
        <f t="shared" si="5"/>
        <v>208.73850000000002</v>
      </c>
      <c r="Q50" s="22">
        <f t="shared" si="16"/>
        <v>399</v>
      </c>
      <c r="R50" s="23">
        <f t="shared" si="17"/>
        <v>51789.844601694909</v>
      </c>
      <c r="S50" s="32">
        <v>45917.06</v>
      </c>
      <c r="T50" s="24">
        <f t="shared" si="18"/>
        <v>-5872.7846016949115</v>
      </c>
      <c r="V50" t="str">
        <f t="shared" si="9"/>
        <v>1980SCADA</v>
      </c>
    </row>
    <row r="51" spans="1:22">
      <c r="B51" s="57">
        <v>1955</v>
      </c>
      <c r="C51" s="6" t="s">
        <v>87</v>
      </c>
      <c r="D51" s="31">
        <v>0</v>
      </c>
      <c r="E51" s="17"/>
      <c r="F51" s="4">
        <f t="shared" si="10"/>
        <v>0</v>
      </c>
      <c r="G51" s="31">
        <v>0</v>
      </c>
      <c r="H51" s="17"/>
      <c r="I51" s="4">
        <f t="shared" si="1"/>
        <v>0</v>
      </c>
      <c r="J51" s="31">
        <v>0</v>
      </c>
      <c r="K51" s="18">
        <v>0</v>
      </c>
      <c r="L51" s="19">
        <f t="shared" si="2"/>
        <v>0</v>
      </c>
      <c r="M51" s="18">
        <v>0</v>
      </c>
      <c r="N51" s="20">
        <f t="shared" si="3"/>
        <v>0</v>
      </c>
      <c r="O51" s="21">
        <f t="shared" si="15"/>
        <v>0</v>
      </c>
      <c r="P51" s="21">
        <f t="shared" si="5"/>
        <v>0</v>
      </c>
      <c r="Q51" s="22">
        <f t="shared" si="16"/>
        <v>0</v>
      </c>
      <c r="R51" s="23">
        <f t="shared" si="17"/>
        <v>0</v>
      </c>
      <c r="S51" s="32">
        <v>0</v>
      </c>
      <c r="T51" s="24">
        <f t="shared" si="18"/>
        <v>0</v>
      </c>
      <c r="V51" t="str">
        <f t="shared" si="9"/>
        <v>1955Other</v>
      </c>
    </row>
    <row r="52" spans="1:22">
      <c r="B52" s="57"/>
      <c r="C52" s="6"/>
      <c r="D52" s="31">
        <v>0</v>
      </c>
      <c r="E52" s="17"/>
      <c r="F52" s="4">
        <f t="shared" si="10"/>
        <v>0</v>
      </c>
      <c r="G52" s="31">
        <v>0</v>
      </c>
      <c r="H52" s="17"/>
      <c r="I52" s="4">
        <f t="shared" si="1"/>
        <v>0</v>
      </c>
      <c r="J52" s="31">
        <v>0</v>
      </c>
      <c r="K52" s="18">
        <v>0</v>
      </c>
      <c r="L52" s="19">
        <f t="shared" si="2"/>
        <v>0</v>
      </c>
      <c r="M52" s="18">
        <v>0</v>
      </c>
      <c r="N52" s="20">
        <f t="shared" si="3"/>
        <v>0</v>
      </c>
      <c r="O52" s="21">
        <f t="shared" si="15"/>
        <v>0</v>
      </c>
      <c r="P52" s="21">
        <f t="shared" si="5"/>
        <v>0</v>
      </c>
      <c r="Q52" s="22">
        <f t="shared" si="16"/>
        <v>0</v>
      </c>
      <c r="R52" s="23">
        <f t="shared" si="17"/>
        <v>0</v>
      </c>
      <c r="S52" s="32">
        <v>0</v>
      </c>
      <c r="T52" s="24">
        <f t="shared" si="18"/>
        <v>0</v>
      </c>
    </row>
    <row r="53" spans="1:22">
      <c r="A53" t="s">
        <v>106</v>
      </c>
      <c r="B53" s="57">
        <v>1855</v>
      </c>
      <c r="C53" s="6" t="s">
        <v>68</v>
      </c>
      <c r="D53" s="31">
        <v>2477.19</v>
      </c>
      <c r="E53" s="17"/>
      <c r="F53" s="4">
        <f t="shared" si="10"/>
        <v>2477.19</v>
      </c>
      <c r="G53" s="31">
        <v>34477.75</v>
      </c>
      <c r="H53" s="17"/>
      <c r="I53" s="4">
        <f t="shared" si="1"/>
        <v>34477.75</v>
      </c>
      <c r="J53" s="31">
        <v>31708</v>
      </c>
      <c r="K53" s="18">
        <v>50</v>
      </c>
      <c r="L53" s="19">
        <f t="shared" si="2"/>
        <v>0.02</v>
      </c>
      <c r="M53" s="18">
        <v>50</v>
      </c>
      <c r="N53" s="20">
        <f t="shared" si="3"/>
        <v>0.02</v>
      </c>
      <c r="O53" s="21">
        <f t="shared" si="15"/>
        <v>49.543800000000005</v>
      </c>
      <c r="P53" s="21">
        <f t="shared" si="5"/>
        <v>689.55499999999995</v>
      </c>
      <c r="Q53" s="22">
        <f t="shared" si="16"/>
        <v>317.08</v>
      </c>
      <c r="R53" s="23">
        <f t="shared" si="17"/>
        <v>1056.1787999999999</v>
      </c>
      <c r="S53" s="32">
        <v>1056.22</v>
      </c>
      <c r="T53" s="24">
        <f t="shared" si="18"/>
        <v>4.1200000000117143E-2</v>
      </c>
      <c r="V53" t="str">
        <f t="shared" si="9"/>
        <v>1855Services</v>
      </c>
    </row>
    <row r="54" spans="1:22">
      <c r="B54" s="57"/>
      <c r="C54" s="6"/>
      <c r="D54" s="31">
        <v>0</v>
      </c>
      <c r="E54" s="17"/>
      <c r="F54" s="4">
        <f t="shared" si="10"/>
        <v>0</v>
      </c>
      <c r="G54" s="31">
        <v>0</v>
      </c>
      <c r="H54" s="17"/>
      <c r="I54" s="4">
        <f t="shared" si="1"/>
        <v>0</v>
      </c>
      <c r="J54" s="31">
        <v>0</v>
      </c>
      <c r="K54" s="18">
        <v>0</v>
      </c>
      <c r="L54" s="19">
        <f t="shared" si="2"/>
        <v>0</v>
      </c>
      <c r="M54" s="18">
        <v>0</v>
      </c>
      <c r="N54" s="20">
        <f t="shared" si="3"/>
        <v>0</v>
      </c>
      <c r="O54" s="21">
        <f t="shared" si="15"/>
        <v>0</v>
      </c>
      <c r="P54" s="21">
        <f t="shared" si="5"/>
        <v>0</v>
      </c>
      <c r="Q54" s="22">
        <f t="shared" si="16"/>
        <v>0</v>
      </c>
      <c r="R54" s="23">
        <f t="shared" si="17"/>
        <v>0</v>
      </c>
      <c r="S54" s="32">
        <v>0</v>
      </c>
      <c r="T54" s="24">
        <f t="shared" si="18"/>
        <v>0</v>
      </c>
    </row>
    <row r="55" spans="1:22">
      <c r="A55" t="s">
        <v>107</v>
      </c>
      <c r="B55" s="57">
        <v>1955</v>
      </c>
      <c r="C55" s="6" t="s">
        <v>69</v>
      </c>
      <c r="D55" s="31">
        <v>15847.3</v>
      </c>
      <c r="E55" s="17"/>
      <c r="F55" s="4">
        <f t="shared" si="10"/>
        <v>15847.3</v>
      </c>
      <c r="G55" s="31">
        <v>5184.16</v>
      </c>
      <c r="H55" s="17"/>
      <c r="I55" s="4">
        <f t="shared" si="1"/>
        <v>5184.16</v>
      </c>
      <c r="J55" s="31">
        <v>0</v>
      </c>
      <c r="K55" s="18">
        <v>2.5</v>
      </c>
      <c r="L55" s="19">
        <f t="shared" si="2"/>
        <v>0.4</v>
      </c>
      <c r="M55" s="18">
        <v>10</v>
      </c>
      <c r="N55" s="20">
        <f t="shared" si="3"/>
        <v>0.1</v>
      </c>
      <c r="O55" s="21">
        <f t="shared" si="15"/>
        <v>6338.92</v>
      </c>
      <c r="P55" s="21">
        <f t="shared" si="5"/>
        <v>518.41599999999994</v>
      </c>
      <c r="Q55" s="22">
        <f t="shared" si="16"/>
        <v>0</v>
      </c>
      <c r="R55" s="23">
        <f t="shared" si="17"/>
        <v>6857.3360000000002</v>
      </c>
      <c r="S55" s="32">
        <v>1819.93</v>
      </c>
      <c r="T55" s="24">
        <f t="shared" si="18"/>
        <v>-5037.4059999999999</v>
      </c>
      <c r="V55" t="str">
        <f t="shared" si="9"/>
        <v>1955Communication Equipment, Wireless</v>
      </c>
    </row>
    <row r="56" spans="1:22">
      <c r="B56" s="57"/>
      <c r="C56" s="6"/>
      <c r="D56" s="31">
        <v>0</v>
      </c>
      <c r="E56" s="17"/>
      <c r="F56" s="4">
        <f t="shared" si="10"/>
        <v>0</v>
      </c>
      <c r="G56" s="31">
        <v>0</v>
      </c>
      <c r="H56" s="17"/>
      <c r="I56" s="4">
        <f t="shared" si="1"/>
        <v>0</v>
      </c>
      <c r="J56" s="31"/>
      <c r="K56" s="18">
        <v>0</v>
      </c>
      <c r="L56" s="19">
        <f t="shared" si="2"/>
        <v>0</v>
      </c>
      <c r="M56" s="18">
        <v>0</v>
      </c>
      <c r="N56" s="20">
        <f t="shared" si="3"/>
        <v>0</v>
      </c>
      <c r="O56" s="21">
        <f t="shared" si="15"/>
        <v>0</v>
      </c>
      <c r="P56" s="21">
        <f t="shared" si="5"/>
        <v>0</v>
      </c>
      <c r="Q56" s="22">
        <f t="shared" si="16"/>
        <v>0</v>
      </c>
      <c r="R56" s="23">
        <f t="shared" si="17"/>
        <v>0</v>
      </c>
      <c r="S56" s="32">
        <v>0</v>
      </c>
      <c r="T56" s="24">
        <f t="shared" si="18"/>
        <v>0</v>
      </c>
    </row>
    <row r="57" spans="1:22">
      <c r="B57" s="57">
        <v>1606</v>
      </c>
      <c r="C57" s="6" t="s">
        <v>70</v>
      </c>
      <c r="D57" s="31">
        <v>192292.27</v>
      </c>
      <c r="E57" s="17"/>
      <c r="F57" s="4">
        <f t="shared" si="10"/>
        <v>192292.27</v>
      </c>
      <c r="G57" s="31">
        <v>0</v>
      </c>
      <c r="H57" s="17"/>
      <c r="I57" s="4">
        <f t="shared" si="1"/>
        <v>0</v>
      </c>
      <c r="J57" s="31"/>
      <c r="K57" s="18">
        <v>0</v>
      </c>
      <c r="L57" s="19">
        <f t="shared" si="2"/>
        <v>0</v>
      </c>
      <c r="M57" s="18">
        <v>0</v>
      </c>
      <c r="N57" s="20">
        <f t="shared" si="3"/>
        <v>0</v>
      </c>
      <c r="O57" s="21">
        <f t="shared" si="15"/>
        <v>0</v>
      </c>
      <c r="P57" s="21">
        <f t="shared" si="5"/>
        <v>0</v>
      </c>
      <c r="Q57" s="22">
        <f t="shared" si="16"/>
        <v>0</v>
      </c>
      <c r="R57" s="23">
        <f t="shared" si="17"/>
        <v>0</v>
      </c>
      <c r="S57" s="32">
        <v>0</v>
      </c>
      <c r="T57" s="24">
        <f t="shared" si="18"/>
        <v>0</v>
      </c>
      <c r="V57" t="str">
        <f t="shared" si="9"/>
        <v>1606Corporation Costs</v>
      </c>
    </row>
    <row r="58" spans="1:22">
      <c r="B58" s="57"/>
      <c r="C58" s="6"/>
      <c r="D58" s="31"/>
      <c r="E58" s="17"/>
      <c r="F58" s="4">
        <f t="shared" si="10"/>
        <v>0</v>
      </c>
      <c r="G58" s="31"/>
      <c r="H58" s="17"/>
      <c r="I58" s="4"/>
      <c r="J58" s="31"/>
      <c r="K58" s="18"/>
      <c r="L58" s="19"/>
      <c r="M58" s="18"/>
      <c r="N58" s="33"/>
      <c r="O58" s="21"/>
      <c r="P58" s="21"/>
      <c r="Q58" s="22"/>
      <c r="R58" s="23"/>
      <c r="S58" s="32"/>
      <c r="T58" s="24"/>
      <c r="V58" t="str">
        <f t="shared" si="9"/>
        <v/>
      </c>
    </row>
    <row r="59" spans="1:22">
      <c r="B59" s="57">
        <v>1995</v>
      </c>
      <c r="C59" s="6" t="s">
        <v>41</v>
      </c>
      <c r="D59" s="31">
        <v>0</v>
      </c>
      <c r="E59" s="17"/>
      <c r="F59" s="4">
        <f t="shared" si="10"/>
        <v>0</v>
      </c>
      <c r="G59" s="31">
        <v>0</v>
      </c>
      <c r="H59" s="17"/>
      <c r="I59" s="4">
        <f t="shared" ref="I59:I60" si="19">G59-H59</f>
        <v>0</v>
      </c>
      <c r="J59" s="31"/>
      <c r="K59" s="18"/>
      <c r="L59" s="34">
        <f t="shared" ref="L59:L60" si="20">IF(K59=0,0,1/K59)</f>
        <v>0</v>
      </c>
      <c r="M59" s="18"/>
      <c r="N59" s="33">
        <f t="shared" ref="N59:N60" si="21">IF(M59=0,0,1/M59)</f>
        <v>0</v>
      </c>
      <c r="O59" s="35">
        <f t="shared" si="11"/>
        <v>0</v>
      </c>
      <c r="P59" s="35">
        <f t="shared" ref="P59:P60" si="22">IF(M59=0,0,+I59/M59)</f>
        <v>0</v>
      </c>
      <c r="Q59" s="36">
        <f t="shared" si="12"/>
        <v>0</v>
      </c>
      <c r="R59" s="24">
        <f t="shared" si="13"/>
        <v>0</v>
      </c>
      <c r="S59" s="32">
        <v>0</v>
      </c>
      <c r="T59" s="24">
        <f t="shared" si="14"/>
        <v>0</v>
      </c>
      <c r="V59" t="str">
        <f t="shared" si="9"/>
        <v>1995Contributions &amp; Grants</v>
      </c>
    </row>
    <row r="60" spans="1:22" ht="15" thickBot="1">
      <c r="B60" s="58">
        <v>2440</v>
      </c>
      <c r="C60" s="59" t="s">
        <v>42</v>
      </c>
      <c r="D60" s="60">
        <v>0</v>
      </c>
      <c r="E60" s="61"/>
      <c r="F60" s="62">
        <f t="shared" si="10"/>
        <v>0</v>
      </c>
      <c r="G60" s="60">
        <v>0</v>
      </c>
      <c r="H60" s="61"/>
      <c r="I60" s="62">
        <f t="shared" si="19"/>
        <v>0</v>
      </c>
      <c r="J60" s="60"/>
      <c r="K60" s="63"/>
      <c r="L60" s="64">
        <f t="shared" si="20"/>
        <v>0</v>
      </c>
      <c r="M60" s="63"/>
      <c r="N60" s="65">
        <f t="shared" si="21"/>
        <v>0</v>
      </c>
      <c r="O60" s="66">
        <f t="shared" si="11"/>
        <v>0</v>
      </c>
      <c r="P60" s="66">
        <f t="shared" si="22"/>
        <v>0</v>
      </c>
      <c r="Q60" s="67">
        <f t="shared" si="12"/>
        <v>0</v>
      </c>
      <c r="R60" s="68">
        <f t="shared" si="13"/>
        <v>0</v>
      </c>
      <c r="S60" s="69"/>
      <c r="T60" s="68">
        <f t="shared" si="14"/>
        <v>0</v>
      </c>
      <c r="V60" t="str">
        <f t="shared" si="9"/>
        <v>2440Deferred Revenue</v>
      </c>
    </row>
    <row r="61" spans="1:22" ht="15" thickBot="1">
      <c r="B61" s="7"/>
      <c r="C61" s="8" t="s">
        <v>43</v>
      </c>
      <c r="D61" s="48">
        <f>SUM(D7:D60)</f>
        <v>63084499.019999996</v>
      </c>
      <c r="E61" s="48">
        <f t="shared" ref="E61:J61" si="23">SUM(E7:E60)</f>
        <v>1639820.66</v>
      </c>
      <c r="F61" s="48">
        <f t="shared" si="23"/>
        <v>61444678.359999999</v>
      </c>
      <c r="G61" s="48">
        <f t="shared" si="23"/>
        <v>8032839.9799999995</v>
      </c>
      <c r="H61" s="48">
        <f t="shared" si="23"/>
        <v>0</v>
      </c>
      <c r="I61" s="48">
        <f t="shared" si="23"/>
        <v>8032839.9799999995</v>
      </c>
      <c r="J61" s="48">
        <f t="shared" si="23"/>
        <v>8312770.1499999994</v>
      </c>
      <c r="K61" s="48"/>
      <c r="L61" s="49"/>
      <c r="M61" s="50"/>
      <c r="N61" s="51"/>
      <c r="O61" s="48">
        <f>SUM(O7:O60)</f>
        <v>1900578.1212584241</v>
      </c>
      <c r="P61" s="48">
        <f t="shared" ref="P61:T61" si="24">SUM(P7:P60)</f>
        <v>236415.52206031742</v>
      </c>
      <c r="Q61" s="48">
        <f t="shared" si="24"/>
        <v>119382.79689484127</v>
      </c>
      <c r="R61" s="48">
        <f t="shared" si="24"/>
        <v>2256376.4402135825</v>
      </c>
      <c r="S61" s="48">
        <f t="shared" si="24"/>
        <v>2217744.120000001</v>
      </c>
      <c r="T61" s="48">
        <f t="shared" si="24"/>
        <v>-38632.320213582418</v>
      </c>
    </row>
    <row r="62" spans="1:2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2">
      <c r="D63" s="11">
        <v>0</v>
      </c>
      <c r="G63" s="10">
        <v>0</v>
      </c>
      <c r="J63" s="11">
        <v>0</v>
      </c>
      <c r="S63" s="10">
        <v>0</v>
      </c>
      <c r="T63" s="25">
        <f>T61/S61</f>
        <v>-1.7419647228546095E-2</v>
      </c>
    </row>
    <row r="64" spans="1:22">
      <c r="S64" s="11"/>
    </row>
    <row r="65" spans="3:4">
      <c r="C65" t="s">
        <v>144</v>
      </c>
      <c r="D65" s="10">
        <f>D61</f>
        <v>63084499.019999996</v>
      </c>
    </row>
    <row r="66" spans="3:4">
      <c r="C66" t="s">
        <v>145</v>
      </c>
      <c r="D66" s="30">
        <f>-4088498+2337</f>
        <v>-4086161</v>
      </c>
    </row>
    <row r="67" spans="3:4">
      <c r="C67" t="s">
        <v>146</v>
      </c>
      <c r="D67" s="10">
        <v>-6959484</v>
      </c>
    </row>
    <row r="68" spans="3:4">
      <c r="C68" t="s">
        <v>143</v>
      </c>
      <c r="D68" s="28">
        <v>8032840</v>
      </c>
    </row>
    <row r="69" spans="3:4">
      <c r="D69" s="27">
        <f>SUM(D65:D68)</f>
        <v>60071694.019999996</v>
      </c>
    </row>
    <row r="71" spans="3:4">
      <c r="C71" t="s">
        <v>147</v>
      </c>
      <c r="D71" s="28">
        <v>60071694</v>
      </c>
    </row>
    <row r="72" spans="3:4">
      <c r="D72" s="29">
        <f>+D69-D71</f>
        <v>1.9999995827674866E-2</v>
      </c>
    </row>
  </sheetData>
  <mergeCells count="5">
    <mergeCell ref="D4:J4"/>
    <mergeCell ref="K4:N4"/>
    <mergeCell ref="O4:R4"/>
    <mergeCell ref="B5:B6"/>
    <mergeCell ref="C5:C6"/>
  </mergeCells>
  <pageMargins left="0.70866141732283505" right="0.70866141732283505" top="0.74803149606299202" bottom="0.74803149606299202" header="0.31496062992126" footer="0.31496062992126"/>
  <pageSetup paperSize="17" scale="55" orientation="landscape" r:id="rId1"/>
  <ignoredErrors>
    <ignoredError sqref="E37:E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showGridLines="0" tabSelected="1" topLeftCell="B1" zoomScale="70" zoomScaleNormal="70" workbookViewId="0">
      <selection activeCell="J20" sqref="J20"/>
    </sheetView>
  </sheetViews>
  <sheetFormatPr defaultRowHeight="14.4"/>
  <cols>
    <col min="1" max="1" width="10.44140625" hidden="1" customWidth="1"/>
    <col min="3" max="3" width="41.5546875" bestFit="1" customWidth="1"/>
    <col min="4" max="4" width="17.44140625" customWidth="1"/>
    <col min="5" max="5" width="14" customWidth="1"/>
    <col min="6" max="7" width="14.44140625" customWidth="1"/>
    <col min="8" max="8" width="12" customWidth="1"/>
    <col min="9" max="10" width="14.109375" customWidth="1"/>
    <col min="11" max="11" width="18.88671875" customWidth="1"/>
    <col min="12" max="12" width="14.554687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44140625" customWidth="1"/>
    <col min="19" max="19" width="15.88671875" customWidth="1"/>
    <col min="20" max="20" width="14.44140625" customWidth="1"/>
    <col min="22" max="22" width="49.44140625" hidden="1" customWidth="1"/>
    <col min="23" max="23" width="11.44140625" hidden="1" customWidth="1"/>
  </cols>
  <sheetData>
    <row r="1" spans="1:22" ht="21">
      <c r="B1" s="110" t="s">
        <v>149</v>
      </c>
    </row>
    <row r="3" spans="1:2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8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6"/>
      <c r="O4" s="114" t="s">
        <v>2</v>
      </c>
      <c r="P4" s="115"/>
      <c r="Q4" s="115"/>
      <c r="R4" s="116"/>
      <c r="S4" s="2"/>
      <c r="T4" s="2"/>
    </row>
    <row r="5" spans="1:22" ht="81.599999999999994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38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46" t="s">
        <v>20</v>
      </c>
      <c r="T5" s="37" t="s">
        <v>21</v>
      </c>
    </row>
    <row r="6" spans="1:22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1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42" t="s">
        <v>37</v>
      </c>
      <c r="T6" s="45" t="s">
        <v>38</v>
      </c>
    </row>
    <row r="7" spans="1:22">
      <c r="A7" t="s">
        <v>71</v>
      </c>
      <c r="B7" s="57">
        <v>1830</v>
      </c>
      <c r="C7" s="6" t="s">
        <v>44</v>
      </c>
      <c r="D7" s="31">
        <f>'2016 Dep Exp '!F7</f>
        <v>19527826.240000002</v>
      </c>
      <c r="E7" s="17"/>
      <c r="F7" s="4">
        <f>D7-E7</f>
        <v>19527826.240000002</v>
      </c>
      <c r="G7" s="70">
        <f>'2016 Dep Exp '!I7+'2016 Dep Exp '!J7</f>
        <v>7059326.8200000003</v>
      </c>
      <c r="H7" s="17"/>
      <c r="I7" s="4">
        <f>G7-H7</f>
        <v>7059326.8200000003</v>
      </c>
      <c r="J7" s="70">
        <v>1882923.7600000016</v>
      </c>
      <c r="K7" s="18">
        <v>48</v>
      </c>
      <c r="L7" s="19">
        <f>IF(K7=0,0,1/K7)</f>
        <v>2.0833333333333332E-2</v>
      </c>
      <c r="M7" s="18">
        <v>50</v>
      </c>
      <c r="N7" s="20">
        <f>IF(M7=0,0,1/M7)</f>
        <v>0.02</v>
      </c>
      <c r="O7" s="21">
        <f>IF(K7=0,0,+F7/K7)</f>
        <v>406829.71333333338</v>
      </c>
      <c r="P7" s="21">
        <f>IF(M7=0,0,+I7/M7)</f>
        <v>141186.53640000001</v>
      </c>
      <c r="Q7" s="22">
        <f>IF(M7=0,0,+(J7*0.5)/M7)</f>
        <v>18829.237600000015</v>
      </c>
      <c r="R7" s="23">
        <f>IF(ISERROR(+O7+P7+Q7),0,+O7+P7+Q7)</f>
        <v>566845.48733333335</v>
      </c>
      <c r="S7" s="70">
        <v>556161.43000000005</v>
      </c>
      <c r="T7" s="5">
        <f>IF(ISERROR(+S7-R7),0,+S7-R7)</f>
        <v>-10684.057333333301</v>
      </c>
      <c r="V7" t="str">
        <f>CONCATENATE(B7,C7)</f>
        <v>1830Poles</v>
      </c>
    </row>
    <row r="8" spans="1:22">
      <c r="A8" t="s">
        <v>72</v>
      </c>
      <c r="B8" s="57">
        <v>1835</v>
      </c>
      <c r="C8" s="6" t="s">
        <v>45</v>
      </c>
      <c r="D8" s="31">
        <f>'2016 Dep Exp '!F8</f>
        <v>6516643.6000000006</v>
      </c>
      <c r="E8" s="17"/>
      <c r="F8" s="4">
        <f t="shared" ref="F8:F18" si="0">D8-E8</f>
        <v>6516643.6000000006</v>
      </c>
      <c r="G8" s="70">
        <f>'2016 Dep Exp '!I8+'2016 Dep Exp '!J8</f>
        <v>102492.22</v>
      </c>
      <c r="H8" s="17"/>
      <c r="I8" s="4">
        <f t="shared" ref="I8:I57" si="1">G8-H8</f>
        <v>102492.22</v>
      </c>
      <c r="J8" s="70">
        <v>151793.19999999925</v>
      </c>
      <c r="K8" s="18">
        <v>46</v>
      </c>
      <c r="L8" s="19">
        <f t="shared" ref="L8:L57" si="2">IF(K8=0,0,1/K8)</f>
        <v>2.1739130434782608E-2</v>
      </c>
      <c r="M8" s="18">
        <v>50</v>
      </c>
      <c r="N8" s="20">
        <f t="shared" ref="N8:N57" si="3">IF(M8=0,0,1/M8)</f>
        <v>0.02</v>
      </c>
      <c r="O8" s="21">
        <f t="shared" ref="O8:O18" si="4">IF(K8=0,0,+F8/K8)</f>
        <v>141666.1652173913</v>
      </c>
      <c r="P8" s="21">
        <f t="shared" ref="P8:P57" si="5">IF(M8=0,0,+I8/M8)</f>
        <v>2049.8444</v>
      </c>
      <c r="Q8" s="22">
        <f>IF(M8=0,0,+(J8*0.5)/M8)</f>
        <v>1517.9319999999925</v>
      </c>
      <c r="R8" s="23">
        <f t="shared" ref="R8:R18" si="6">IF(ISERROR(+O8+P8+Q8),0,+O8+P8+Q8)</f>
        <v>145233.94161739131</v>
      </c>
      <c r="S8" s="70">
        <v>145756.5</v>
      </c>
      <c r="T8" s="5">
        <f t="shared" ref="T8:T18" si="7">IF(ISERROR(+S8-R8),0,+S8-R8)</f>
        <v>522.55838260869496</v>
      </c>
      <c r="V8" t="str">
        <f t="shared" ref="V8:V60" si="8">CONCATENATE(B8,C8)</f>
        <v>1835OH Conductors</v>
      </c>
    </row>
    <row r="9" spans="1:22">
      <c r="A9" t="s">
        <v>73</v>
      </c>
      <c r="B9" s="57">
        <v>1835</v>
      </c>
      <c r="C9" s="6" t="s">
        <v>46</v>
      </c>
      <c r="D9" s="31">
        <f>'2016 Dep Exp '!F9</f>
        <v>1292.6100000000001</v>
      </c>
      <c r="E9" s="17"/>
      <c r="F9" s="4">
        <f t="shared" si="0"/>
        <v>1292.6100000000001</v>
      </c>
      <c r="G9" s="70">
        <f>'2016 Dep Exp '!I9+'2016 Dep Exp '!J9</f>
        <v>170895.83</v>
      </c>
      <c r="H9" s="17"/>
      <c r="I9" s="4">
        <f t="shared" si="1"/>
        <v>170895.83</v>
      </c>
      <c r="J9" s="70">
        <v>923625.74</v>
      </c>
      <c r="K9" s="18">
        <v>34.5</v>
      </c>
      <c r="L9" s="19">
        <f t="shared" si="2"/>
        <v>2.8985507246376812E-2</v>
      </c>
      <c r="M9" s="18">
        <v>40</v>
      </c>
      <c r="N9" s="20">
        <f t="shared" si="3"/>
        <v>2.5000000000000001E-2</v>
      </c>
      <c r="O9" s="21">
        <f t="shared" si="4"/>
        <v>37.466956521739135</v>
      </c>
      <c r="P9" s="21">
        <f t="shared" si="5"/>
        <v>4272.3957499999997</v>
      </c>
      <c r="Q9" s="22">
        <f>IF(M9=0,0,+(J9*0.5)/M9)</f>
        <v>11545.321749999999</v>
      </c>
      <c r="R9" s="23">
        <f t="shared" si="6"/>
        <v>15855.184456521738</v>
      </c>
      <c r="S9" s="70">
        <v>23719.65</v>
      </c>
      <c r="T9" s="5">
        <f t="shared" si="7"/>
        <v>7864.4655434782635</v>
      </c>
      <c r="V9" t="str">
        <f t="shared" si="8"/>
        <v>1835OH Switches</v>
      </c>
    </row>
    <row r="10" spans="1:22">
      <c r="B10" s="57"/>
      <c r="C10" s="6"/>
      <c r="D10" s="31">
        <f>'2016 Dep Exp '!F10</f>
        <v>0</v>
      </c>
      <c r="E10" s="17"/>
      <c r="F10" s="4"/>
      <c r="G10" s="70">
        <f>'2016 Dep Exp '!I10+'2016 Dep Exp '!J10</f>
        <v>0</v>
      </c>
      <c r="H10" s="17"/>
      <c r="I10" s="4">
        <f t="shared" si="1"/>
        <v>0</v>
      </c>
      <c r="J10" s="70">
        <v>0</v>
      </c>
      <c r="K10" s="18">
        <v>0</v>
      </c>
      <c r="L10" s="19">
        <f t="shared" si="2"/>
        <v>0</v>
      </c>
      <c r="M10" s="18">
        <v>0</v>
      </c>
      <c r="N10" s="20">
        <f t="shared" si="3"/>
        <v>0</v>
      </c>
      <c r="O10" s="21"/>
      <c r="P10" s="21">
        <f t="shared" si="5"/>
        <v>0</v>
      </c>
      <c r="Q10" s="22"/>
      <c r="R10" s="23"/>
      <c r="S10" s="70">
        <v>0</v>
      </c>
      <c r="T10" s="5"/>
    </row>
    <row r="11" spans="1:22">
      <c r="A11" t="s">
        <v>74</v>
      </c>
      <c r="B11" s="57">
        <v>1845</v>
      </c>
      <c r="C11" s="6" t="s">
        <v>47</v>
      </c>
      <c r="D11" s="31">
        <f>'2016 Dep Exp '!F11</f>
        <v>7045633.0100000007</v>
      </c>
      <c r="E11" s="17"/>
      <c r="F11" s="4">
        <f t="shared" si="0"/>
        <v>7045633.0100000007</v>
      </c>
      <c r="G11" s="70">
        <f>'2016 Dep Exp '!I11+'2016 Dep Exp '!J11</f>
        <v>92759.95</v>
      </c>
      <c r="H11" s="17"/>
      <c r="I11" s="4">
        <f t="shared" si="1"/>
        <v>92759.95</v>
      </c>
      <c r="J11" s="70">
        <v>1138980.5</v>
      </c>
      <c r="K11" s="18">
        <v>36.5</v>
      </c>
      <c r="L11" s="19">
        <f t="shared" si="2"/>
        <v>2.7397260273972601E-2</v>
      </c>
      <c r="M11" s="18">
        <v>40</v>
      </c>
      <c r="N11" s="20">
        <f t="shared" si="3"/>
        <v>2.5000000000000001E-2</v>
      </c>
      <c r="O11" s="21">
        <f t="shared" si="4"/>
        <v>193031.04136986303</v>
      </c>
      <c r="P11" s="21">
        <f t="shared" si="5"/>
        <v>2318.9987499999997</v>
      </c>
      <c r="Q11" s="22">
        <f t="shared" ref="Q11:Q18" si="9">IF(M11=0,0,+(J11*0.5)/M11)</f>
        <v>14237.25625</v>
      </c>
      <c r="R11" s="23">
        <f t="shared" si="6"/>
        <v>209587.29636986303</v>
      </c>
      <c r="S11" s="70">
        <v>218519.04000000001</v>
      </c>
      <c r="T11" s="5">
        <f t="shared" si="7"/>
        <v>8931.7436301369744</v>
      </c>
      <c r="V11" t="str">
        <f t="shared" si="8"/>
        <v>1845UG Primary Cables</v>
      </c>
    </row>
    <row r="12" spans="1:22">
      <c r="A12" t="s">
        <v>75</v>
      </c>
      <c r="B12" s="57">
        <v>1845</v>
      </c>
      <c r="C12" s="6" t="s">
        <v>48</v>
      </c>
      <c r="D12" s="31">
        <f>'2016 Dep Exp '!F12</f>
        <v>3303315.36</v>
      </c>
      <c r="E12" s="17"/>
      <c r="F12" s="4">
        <f t="shared" si="0"/>
        <v>3303315.36</v>
      </c>
      <c r="G12" s="70">
        <f>'2016 Dep Exp '!I12+'2016 Dep Exp '!J12</f>
        <v>0</v>
      </c>
      <c r="H12" s="17"/>
      <c r="I12" s="4">
        <f t="shared" si="1"/>
        <v>0</v>
      </c>
      <c r="J12" s="70">
        <v>798354.05000000028</v>
      </c>
      <c r="K12" s="18">
        <v>34.5</v>
      </c>
      <c r="L12" s="19">
        <f t="shared" si="2"/>
        <v>2.8985507246376812E-2</v>
      </c>
      <c r="M12" s="18">
        <v>40</v>
      </c>
      <c r="N12" s="20">
        <f t="shared" si="3"/>
        <v>2.5000000000000001E-2</v>
      </c>
      <c r="O12" s="21">
        <f t="shared" si="4"/>
        <v>95748.271304347829</v>
      </c>
      <c r="P12" s="21">
        <f t="shared" si="5"/>
        <v>0</v>
      </c>
      <c r="Q12" s="22">
        <f t="shared" si="9"/>
        <v>9979.4256250000035</v>
      </c>
      <c r="R12" s="23">
        <f t="shared" si="6"/>
        <v>105727.69692934783</v>
      </c>
      <c r="S12" s="70">
        <v>99803.62999999999</v>
      </c>
      <c r="T12" s="5">
        <f t="shared" si="7"/>
        <v>-5924.0669293478422</v>
      </c>
      <c r="V12" t="str">
        <f t="shared" si="8"/>
        <v>1845UG Secondary Cables</v>
      </c>
    </row>
    <row r="13" spans="1:22">
      <c r="A13" t="s">
        <v>76</v>
      </c>
      <c r="B13" s="57">
        <v>1845</v>
      </c>
      <c r="C13" s="6" t="s">
        <v>49</v>
      </c>
      <c r="D13" s="31">
        <f>'2016 Dep Exp '!F13</f>
        <v>2737.28</v>
      </c>
      <c r="E13" s="17"/>
      <c r="F13" s="4">
        <f t="shared" si="0"/>
        <v>2737.28</v>
      </c>
      <c r="G13" s="70">
        <f>'2016 Dep Exp '!I13+'2016 Dep Exp '!J13</f>
        <v>293762.61</v>
      </c>
      <c r="H13" s="17"/>
      <c r="I13" s="4">
        <f t="shared" si="1"/>
        <v>293762.61</v>
      </c>
      <c r="J13" s="70">
        <v>268565</v>
      </c>
      <c r="K13" s="18">
        <v>24.181818181818183</v>
      </c>
      <c r="L13" s="19">
        <f t="shared" si="2"/>
        <v>4.1353383458646614E-2</v>
      </c>
      <c r="M13" s="18">
        <v>50</v>
      </c>
      <c r="N13" s="20">
        <f t="shared" si="3"/>
        <v>0.02</v>
      </c>
      <c r="O13" s="21">
        <f t="shared" si="4"/>
        <v>113.19578947368421</v>
      </c>
      <c r="P13" s="21">
        <f t="shared" si="5"/>
        <v>5875.2521999999999</v>
      </c>
      <c r="Q13" s="22">
        <f t="shared" si="9"/>
        <v>2685.65</v>
      </c>
      <c r="R13" s="23">
        <f t="shared" si="6"/>
        <v>8674.0979894736847</v>
      </c>
      <c r="S13" s="70">
        <v>8389.99</v>
      </c>
      <c r="T13" s="5">
        <f t="shared" si="7"/>
        <v>-284.10798947368494</v>
      </c>
      <c r="V13" t="str">
        <f t="shared" si="8"/>
        <v>1845UG Switchgear</v>
      </c>
    </row>
    <row r="14" spans="1:22">
      <c r="A14" t="s">
        <v>77</v>
      </c>
      <c r="B14" s="57">
        <v>1840</v>
      </c>
      <c r="C14" s="6" t="s">
        <v>50</v>
      </c>
      <c r="D14" s="31">
        <f>'2016 Dep Exp '!F14</f>
        <v>1053497.98</v>
      </c>
      <c r="E14" s="17"/>
      <c r="F14" s="4">
        <f t="shared" si="0"/>
        <v>1053497.98</v>
      </c>
      <c r="G14" s="70">
        <f>'2016 Dep Exp '!I14+'2016 Dep Exp '!J14</f>
        <v>151128.78</v>
      </c>
      <c r="H14" s="17"/>
      <c r="I14" s="4">
        <f t="shared" si="1"/>
        <v>151128.78</v>
      </c>
      <c r="J14" s="70">
        <v>118808.28000000003</v>
      </c>
      <c r="K14" s="18">
        <v>44.18</v>
      </c>
      <c r="L14" s="19">
        <f t="shared" si="2"/>
        <v>2.2634676324128564E-2</v>
      </c>
      <c r="M14" s="18">
        <v>50</v>
      </c>
      <c r="N14" s="20">
        <f t="shared" si="3"/>
        <v>0.02</v>
      </c>
      <c r="O14" s="21">
        <f t="shared" si="4"/>
        <v>23845.585785423267</v>
      </c>
      <c r="P14" s="21">
        <f t="shared" si="5"/>
        <v>3022.5756000000001</v>
      </c>
      <c r="Q14" s="22">
        <f t="shared" si="9"/>
        <v>1188.0828000000004</v>
      </c>
      <c r="R14" s="23">
        <f t="shared" si="6"/>
        <v>28056.244185423267</v>
      </c>
      <c r="S14" s="70">
        <v>64751.44</v>
      </c>
      <c r="T14" s="5">
        <f t="shared" si="7"/>
        <v>36695.195814576735</v>
      </c>
      <c r="V14" t="str">
        <f t="shared" si="8"/>
        <v>1840Ducts</v>
      </c>
    </row>
    <row r="15" spans="1:22">
      <c r="A15" t="s">
        <v>88</v>
      </c>
      <c r="B15" s="57"/>
      <c r="C15" s="6"/>
      <c r="D15" s="31">
        <f>'2016 Dep Exp '!F15</f>
        <v>0</v>
      </c>
      <c r="E15" s="17"/>
      <c r="F15" s="4">
        <f t="shared" si="0"/>
        <v>0</v>
      </c>
      <c r="G15" s="70">
        <f>'2016 Dep Exp '!I15+'2016 Dep Exp '!J15</f>
        <v>0</v>
      </c>
      <c r="H15" s="17"/>
      <c r="I15" s="4">
        <f t="shared" si="1"/>
        <v>0</v>
      </c>
      <c r="J15" s="70"/>
      <c r="K15" s="18">
        <v>0</v>
      </c>
      <c r="L15" s="19">
        <f t="shared" si="2"/>
        <v>0</v>
      </c>
      <c r="M15" s="18">
        <v>0</v>
      </c>
      <c r="N15" s="20">
        <f t="shared" si="3"/>
        <v>0</v>
      </c>
      <c r="O15" s="21">
        <f t="shared" si="4"/>
        <v>0</v>
      </c>
      <c r="P15" s="21">
        <f t="shared" si="5"/>
        <v>0</v>
      </c>
      <c r="Q15" s="22">
        <f t="shared" si="9"/>
        <v>0</v>
      </c>
      <c r="R15" s="23">
        <f t="shared" si="6"/>
        <v>0</v>
      </c>
      <c r="S15" s="70"/>
      <c r="T15" s="5">
        <f t="shared" si="7"/>
        <v>0</v>
      </c>
      <c r="V15" t="str">
        <f t="shared" si="8"/>
        <v/>
      </c>
    </row>
    <row r="16" spans="1:22">
      <c r="B16" s="57"/>
      <c r="C16" s="6"/>
      <c r="D16" s="31">
        <f>'2016 Dep Exp '!F16</f>
        <v>0</v>
      </c>
      <c r="E16" s="17"/>
      <c r="F16" s="4">
        <f t="shared" si="0"/>
        <v>0</v>
      </c>
      <c r="G16" s="70">
        <f>'2016 Dep Exp '!I16+'2016 Dep Exp '!J16</f>
        <v>0</v>
      </c>
      <c r="H16" s="17"/>
      <c r="I16" s="4">
        <f t="shared" si="1"/>
        <v>0</v>
      </c>
      <c r="J16" s="70"/>
      <c r="K16" s="18">
        <v>0</v>
      </c>
      <c r="L16" s="19">
        <f t="shared" si="2"/>
        <v>0</v>
      </c>
      <c r="M16" s="18">
        <v>0</v>
      </c>
      <c r="N16" s="20">
        <f t="shared" si="3"/>
        <v>0</v>
      </c>
      <c r="O16" s="21">
        <f t="shared" si="4"/>
        <v>0</v>
      </c>
      <c r="P16" s="21">
        <f t="shared" si="5"/>
        <v>0</v>
      </c>
      <c r="Q16" s="22">
        <f t="shared" si="9"/>
        <v>0</v>
      </c>
      <c r="R16" s="23">
        <f t="shared" si="6"/>
        <v>0</v>
      </c>
      <c r="S16" s="70"/>
      <c r="T16" s="5">
        <f t="shared" si="7"/>
        <v>0</v>
      </c>
      <c r="V16" t="str">
        <f t="shared" si="8"/>
        <v/>
      </c>
    </row>
    <row r="17" spans="1:22">
      <c r="A17" t="s">
        <v>78</v>
      </c>
      <c r="B17" s="57">
        <v>1850</v>
      </c>
      <c r="C17" s="6" t="s">
        <v>51</v>
      </c>
      <c r="D17" s="31">
        <f>'2016 Dep Exp '!F17</f>
        <v>1136469.78</v>
      </c>
      <c r="E17" s="17"/>
      <c r="F17" s="4">
        <f t="shared" si="0"/>
        <v>1136469.78</v>
      </c>
      <c r="G17" s="70">
        <f>'2016 Dep Exp '!I17+'2016 Dep Exp '!J17</f>
        <v>5754771.5300000003</v>
      </c>
      <c r="H17" s="17"/>
      <c r="I17" s="4">
        <f t="shared" si="1"/>
        <v>5754771.5300000003</v>
      </c>
      <c r="J17" s="70">
        <v>9322.820000000298</v>
      </c>
      <c r="K17" s="18">
        <v>40</v>
      </c>
      <c r="L17" s="19">
        <f t="shared" si="2"/>
        <v>2.5000000000000001E-2</v>
      </c>
      <c r="M17" s="18">
        <v>40</v>
      </c>
      <c r="N17" s="20">
        <f t="shared" si="3"/>
        <v>2.5000000000000001E-2</v>
      </c>
      <c r="O17" s="21">
        <f t="shared" si="4"/>
        <v>28411.744500000001</v>
      </c>
      <c r="P17" s="21">
        <f t="shared" si="5"/>
        <v>143869.28825000001</v>
      </c>
      <c r="Q17" s="22">
        <f t="shared" si="9"/>
        <v>116.53525000000373</v>
      </c>
      <c r="R17" s="23">
        <f t="shared" si="6"/>
        <v>172397.56800000003</v>
      </c>
      <c r="S17" s="70">
        <v>146441.07999999999</v>
      </c>
      <c r="T17" s="5">
        <f t="shared" si="7"/>
        <v>-25956.488000000041</v>
      </c>
      <c r="V17" t="str">
        <f t="shared" si="8"/>
        <v>1850OH Transformers &amp; Voltage Regulators</v>
      </c>
    </row>
    <row r="18" spans="1:22">
      <c r="A18" t="s">
        <v>79</v>
      </c>
      <c r="B18" s="57">
        <v>1850</v>
      </c>
      <c r="C18" s="6" t="s">
        <v>52</v>
      </c>
      <c r="D18" s="31">
        <f>'2016 Dep Exp '!F18</f>
        <v>2956741.82</v>
      </c>
      <c r="E18" s="17"/>
      <c r="F18" s="4">
        <f t="shared" si="0"/>
        <v>2956741.82</v>
      </c>
      <c r="G18" s="70">
        <f>'2016 Dep Exp '!I18+'2016 Dep Exp '!J18</f>
        <v>148470.65</v>
      </c>
      <c r="H18" s="17"/>
      <c r="I18" s="4">
        <f t="shared" si="1"/>
        <v>148470.65</v>
      </c>
      <c r="J18" s="70">
        <v>0</v>
      </c>
      <c r="K18" s="18">
        <v>28.846153846153847</v>
      </c>
      <c r="L18" s="19">
        <f t="shared" si="2"/>
        <v>3.4666666666666665E-2</v>
      </c>
      <c r="M18" s="18">
        <v>20</v>
      </c>
      <c r="N18" s="20">
        <f t="shared" si="3"/>
        <v>0.05</v>
      </c>
      <c r="O18" s="21">
        <f t="shared" si="4"/>
        <v>102500.38309333332</v>
      </c>
      <c r="P18" s="21">
        <f t="shared" si="5"/>
        <v>7423.5324999999993</v>
      </c>
      <c r="Q18" s="22">
        <f t="shared" si="9"/>
        <v>0</v>
      </c>
      <c r="R18" s="23">
        <f t="shared" si="6"/>
        <v>109923.91559333332</v>
      </c>
      <c r="S18" s="70">
        <v>101365.61000000002</v>
      </c>
      <c r="T18" s="5">
        <f t="shared" si="7"/>
        <v>-8558.3055933333089</v>
      </c>
      <c r="V18" t="str">
        <f t="shared" si="8"/>
        <v>1850Transformers incl. grounding system</v>
      </c>
    </row>
    <row r="19" spans="1:22">
      <c r="B19" s="57"/>
      <c r="C19" s="6"/>
      <c r="D19" s="31">
        <f>'2016 Dep Exp '!F19</f>
        <v>0</v>
      </c>
      <c r="E19" s="17"/>
      <c r="F19" s="4"/>
      <c r="G19" s="70">
        <f>'2016 Dep Exp '!I19+'2016 Dep Exp '!J19</f>
        <v>0</v>
      </c>
      <c r="H19" s="17"/>
      <c r="I19" s="4">
        <f t="shared" si="1"/>
        <v>0</v>
      </c>
      <c r="J19" s="70">
        <v>0</v>
      </c>
      <c r="K19" s="18">
        <v>0</v>
      </c>
      <c r="L19" s="19">
        <f t="shared" si="2"/>
        <v>0</v>
      </c>
      <c r="M19" s="18">
        <v>0</v>
      </c>
      <c r="N19" s="20">
        <f t="shared" si="3"/>
        <v>0</v>
      </c>
      <c r="O19" s="21"/>
      <c r="P19" s="21">
        <f t="shared" si="5"/>
        <v>0</v>
      </c>
      <c r="Q19" s="22"/>
      <c r="R19" s="23"/>
      <c r="S19" s="70">
        <v>0</v>
      </c>
      <c r="T19" s="5"/>
    </row>
    <row r="20" spans="1:22">
      <c r="A20" t="s">
        <v>80</v>
      </c>
      <c r="B20" s="57">
        <v>1820</v>
      </c>
      <c r="C20" s="6" t="s">
        <v>53</v>
      </c>
      <c r="D20" s="31">
        <f>'2016 Dep Exp '!F20</f>
        <v>1090831.99</v>
      </c>
      <c r="E20" s="17"/>
      <c r="F20" s="4">
        <f t="shared" ref="F20:F60" si="10">D20-E20</f>
        <v>1090831.99</v>
      </c>
      <c r="G20" s="70">
        <f>'2016 Dep Exp '!I20+'2016 Dep Exp '!J20</f>
        <v>294487.42000000004</v>
      </c>
      <c r="H20" s="17"/>
      <c r="I20" s="4">
        <f t="shared" si="1"/>
        <v>294487.42000000004</v>
      </c>
      <c r="J20" s="70">
        <v>111641.38000000012</v>
      </c>
      <c r="K20" s="18">
        <v>13.846153846153847</v>
      </c>
      <c r="L20" s="19">
        <f t="shared" si="2"/>
        <v>7.2222222222222215E-2</v>
      </c>
      <c r="M20" s="18">
        <v>20</v>
      </c>
      <c r="N20" s="20">
        <f t="shared" si="3"/>
        <v>0.05</v>
      </c>
      <c r="O20" s="21">
        <f t="shared" ref="O20:O60" si="11">IF(K20=0,0,+F20/K20)</f>
        <v>78782.310388888887</v>
      </c>
      <c r="P20" s="21">
        <f t="shared" si="5"/>
        <v>14724.371000000003</v>
      </c>
      <c r="Q20" s="22">
        <f>IF(M20=0,0,+(J20*0.5)/M20)</f>
        <v>2791.0345000000029</v>
      </c>
      <c r="R20" s="23">
        <f t="shared" ref="R20:R60" si="12">IF(ISERROR(+O20+P20+Q20),0,+O20+P20+Q20)</f>
        <v>96297.715888888895</v>
      </c>
      <c r="S20" s="70">
        <v>96539.23</v>
      </c>
      <c r="T20" s="5">
        <f t="shared" ref="T20:T60" si="13">IF(ISERROR(+S20-R20),0,+S20-R20)</f>
        <v>241.51411111110065</v>
      </c>
      <c r="V20" t="str">
        <f t="shared" si="8"/>
        <v>1820DC Service Station</v>
      </c>
    </row>
    <row r="21" spans="1:22">
      <c r="A21" t="s">
        <v>81</v>
      </c>
      <c r="B21" s="57">
        <v>1820</v>
      </c>
      <c r="C21" s="6" t="s">
        <v>83</v>
      </c>
      <c r="D21" s="31">
        <f>'2016 Dep Exp '!F21</f>
        <v>0</v>
      </c>
      <c r="E21" s="17"/>
      <c r="F21" s="4">
        <f t="shared" si="10"/>
        <v>0</v>
      </c>
      <c r="G21" s="70">
        <f>'2016 Dep Exp '!I21+'2016 Dep Exp '!J21</f>
        <v>0</v>
      </c>
      <c r="H21" s="17"/>
      <c r="I21" s="4">
        <f t="shared" si="1"/>
        <v>0</v>
      </c>
      <c r="J21" s="70">
        <v>0</v>
      </c>
      <c r="K21" s="18">
        <v>0</v>
      </c>
      <c r="L21" s="19">
        <f t="shared" si="2"/>
        <v>0</v>
      </c>
      <c r="M21" s="18">
        <v>40</v>
      </c>
      <c r="N21" s="20">
        <f t="shared" si="3"/>
        <v>2.5000000000000001E-2</v>
      </c>
      <c r="O21" s="21">
        <f t="shared" si="11"/>
        <v>0</v>
      </c>
      <c r="P21" s="21">
        <f t="shared" si="5"/>
        <v>0</v>
      </c>
      <c r="Q21" s="22">
        <f>IF(M21=0,0,+(J21*0.5)/M21)</f>
        <v>0</v>
      </c>
      <c r="R21" s="23">
        <f t="shared" si="12"/>
        <v>0</v>
      </c>
      <c r="S21" s="70">
        <v>0</v>
      </c>
      <c r="T21" s="5">
        <f t="shared" si="13"/>
        <v>0</v>
      </c>
      <c r="V21" t="str">
        <f t="shared" si="8"/>
        <v>1820DC Service Station Transformer</v>
      </c>
    </row>
    <row r="22" spans="1:22">
      <c r="A22" t="s">
        <v>82</v>
      </c>
      <c r="B22" s="57">
        <v>1820</v>
      </c>
      <c r="C22" s="6" t="s">
        <v>84</v>
      </c>
      <c r="D22" s="31">
        <f>'2016 Dep Exp '!F22</f>
        <v>0</v>
      </c>
      <c r="E22" s="17"/>
      <c r="F22" s="4">
        <f t="shared" si="10"/>
        <v>0</v>
      </c>
      <c r="G22" s="70">
        <f>'2016 Dep Exp '!I22+'2016 Dep Exp '!J22</f>
        <v>0</v>
      </c>
      <c r="H22" s="17"/>
      <c r="I22" s="4">
        <f t="shared" si="1"/>
        <v>0</v>
      </c>
      <c r="J22" s="70">
        <v>858919.14</v>
      </c>
      <c r="K22" s="18">
        <v>0</v>
      </c>
      <c r="L22" s="19">
        <f t="shared" si="2"/>
        <v>0</v>
      </c>
      <c r="M22" s="18">
        <v>40</v>
      </c>
      <c r="N22" s="20">
        <f t="shared" si="3"/>
        <v>2.5000000000000001E-2</v>
      </c>
      <c r="O22" s="21">
        <f t="shared" si="11"/>
        <v>0</v>
      </c>
      <c r="P22" s="21">
        <f t="shared" si="5"/>
        <v>0</v>
      </c>
      <c r="Q22" s="22">
        <f>IF(M22=0,0,+(J22*0.5)/M22)</f>
        <v>10736.489250000001</v>
      </c>
      <c r="R22" s="23">
        <f t="shared" si="12"/>
        <v>10736.489250000001</v>
      </c>
      <c r="S22" s="70">
        <v>10736.490000000002</v>
      </c>
      <c r="T22" s="5">
        <f t="shared" si="13"/>
        <v>7.5000000106228981E-4</v>
      </c>
      <c r="V22" t="str">
        <f t="shared" si="8"/>
        <v>1820DC Service Stations SwitchGear</v>
      </c>
    </row>
    <row r="23" spans="1:22">
      <c r="B23" s="57"/>
      <c r="C23" s="6"/>
      <c r="D23" s="31">
        <f>'2016 Dep Exp '!F23</f>
        <v>0</v>
      </c>
      <c r="E23" s="17"/>
      <c r="F23" s="4"/>
      <c r="G23" s="70">
        <f>'2016 Dep Exp '!I23+'2016 Dep Exp '!J23</f>
        <v>0</v>
      </c>
      <c r="H23" s="17"/>
      <c r="I23" s="4">
        <f t="shared" si="1"/>
        <v>0</v>
      </c>
      <c r="J23" s="70">
        <v>0</v>
      </c>
      <c r="K23" s="18">
        <v>0</v>
      </c>
      <c r="L23" s="19">
        <f t="shared" si="2"/>
        <v>0</v>
      </c>
      <c r="M23" s="18">
        <v>0</v>
      </c>
      <c r="N23" s="20">
        <f t="shared" si="3"/>
        <v>0</v>
      </c>
      <c r="O23" s="21"/>
      <c r="P23" s="21">
        <f t="shared" si="5"/>
        <v>0</v>
      </c>
      <c r="Q23" s="22"/>
      <c r="R23" s="23"/>
      <c r="S23" s="70">
        <v>0</v>
      </c>
      <c r="T23" s="5"/>
    </row>
    <row r="24" spans="1:22">
      <c r="A24" t="s">
        <v>89</v>
      </c>
      <c r="B24" s="57">
        <v>1835</v>
      </c>
      <c r="C24" s="6" t="s">
        <v>54</v>
      </c>
      <c r="D24" s="31">
        <f>'2016 Dep Exp '!F24</f>
        <v>2320724.8000000003</v>
      </c>
      <c r="E24" s="17"/>
      <c r="F24" s="4">
        <f t="shared" si="10"/>
        <v>2320724.8000000003</v>
      </c>
      <c r="G24" s="70">
        <f>'2016 Dep Exp '!I24+'2016 Dep Exp '!J24</f>
        <v>0</v>
      </c>
      <c r="H24" s="17"/>
      <c r="I24" s="4">
        <f t="shared" si="1"/>
        <v>0</v>
      </c>
      <c r="J24" s="70">
        <v>0</v>
      </c>
      <c r="K24" s="18">
        <v>33.846153846153847</v>
      </c>
      <c r="L24" s="19">
        <f t="shared" si="2"/>
        <v>2.9545454545454545E-2</v>
      </c>
      <c r="M24" s="18">
        <v>40</v>
      </c>
      <c r="N24" s="20">
        <f t="shared" si="3"/>
        <v>2.5000000000000001E-2</v>
      </c>
      <c r="O24" s="21">
        <f t="shared" si="11"/>
        <v>68566.869090909095</v>
      </c>
      <c r="P24" s="21">
        <f t="shared" si="5"/>
        <v>0</v>
      </c>
      <c r="Q24" s="22">
        <f>IF(M24=0,0,+(J24*0.5)/M24)</f>
        <v>0</v>
      </c>
      <c r="R24" s="23">
        <f t="shared" si="12"/>
        <v>68566.869090909095</v>
      </c>
      <c r="S24" s="70">
        <v>68916.34</v>
      </c>
      <c r="T24" s="5">
        <f t="shared" si="13"/>
        <v>349.47090909090184</v>
      </c>
      <c r="V24" t="str">
        <f t="shared" si="8"/>
        <v>1835Switchgear - Air &amp; Gas</v>
      </c>
    </row>
    <row r="25" spans="1:22">
      <c r="A25" t="s">
        <v>90</v>
      </c>
      <c r="B25" s="57">
        <v>1850</v>
      </c>
      <c r="C25" s="6" t="s">
        <v>55</v>
      </c>
      <c r="D25" s="31">
        <f>'2016 Dep Exp '!F25</f>
        <v>5264526.66</v>
      </c>
      <c r="E25" s="17"/>
      <c r="F25" s="4">
        <f t="shared" si="10"/>
        <v>5264526.66</v>
      </c>
      <c r="G25" s="70">
        <f>'2016 Dep Exp '!I25+'2016 Dep Exp '!J25</f>
        <v>0</v>
      </c>
      <c r="H25" s="17"/>
      <c r="I25" s="4">
        <f t="shared" si="1"/>
        <v>0</v>
      </c>
      <c r="J25" s="70">
        <v>770399.35000000056</v>
      </c>
      <c r="K25" s="18">
        <v>36.270000000000003</v>
      </c>
      <c r="L25" s="19">
        <f t="shared" si="2"/>
        <v>2.7570995312930793E-2</v>
      </c>
      <c r="M25" s="18">
        <v>40</v>
      </c>
      <c r="N25" s="20">
        <f t="shared" si="3"/>
        <v>2.5000000000000001E-2</v>
      </c>
      <c r="O25" s="21">
        <f t="shared" si="11"/>
        <v>145148.23986765923</v>
      </c>
      <c r="P25" s="21">
        <f t="shared" si="5"/>
        <v>0</v>
      </c>
      <c r="Q25" s="22">
        <f>IF(M25=0,0,+(J25*0.5)/M25)</f>
        <v>9629.991875000007</v>
      </c>
      <c r="R25" s="23">
        <f t="shared" si="12"/>
        <v>154778.23174265923</v>
      </c>
      <c r="S25" s="70">
        <v>150990.56</v>
      </c>
      <c r="T25" s="5">
        <f t="shared" si="13"/>
        <v>-3787.6717426592368</v>
      </c>
      <c r="V25" t="str">
        <f t="shared" si="8"/>
        <v>1850UG Transformer</v>
      </c>
    </row>
    <row r="26" spans="1:22">
      <c r="B26" s="57"/>
      <c r="C26" s="6"/>
      <c r="D26" s="31">
        <f>'2016 Dep Exp '!F26</f>
        <v>0</v>
      </c>
      <c r="E26" s="17"/>
      <c r="F26" s="4"/>
      <c r="G26" s="70">
        <f>'2016 Dep Exp '!I26+'2016 Dep Exp '!J26</f>
        <v>0</v>
      </c>
      <c r="H26" s="17"/>
      <c r="I26" s="4">
        <f t="shared" si="1"/>
        <v>0</v>
      </c>
      <c r="J26" s="70">
        <v>0</v>
      </c>
      <c r="K26" s="18">
        <v>0</v>
      </c>
      <c r="L26" s="19">
        <f t="shared" si="2"/>
        <v>0</v>
      </c>
      <c r="M26" s="18">
        <v>0</v>
      </c>
      <c r="N26" s="20">
        <f t="shared" si="3"/>
        <v>0</v>
      </c>
      <c r="O26" s="21"/>
      <c r="P26" s="21">
        <f t="shared" si="5"/>
        <v>0</v>
      </c>
      <c r="Q26" s="22"/>
      <c r="R26" s="23"/>
      <c r="S26" s="70">
        <v>0</v>
      </c>
      <c r="T26" s="5"/>
    </row>
    <row r="27" spans="1:22">
      <c r="A27" t="s">
        <v>91</v>
      </c>
      <c r="B27" s="57">
        <v>1860</v>
      </c>
      <c r="C27" s="6" t="s">
        <v>56</v>
      </c>
      <c r="D27" s="31">
        <f>'2016 Dep Exp '!F27</f>
        <v>1918641.54</v>
      </c>
      <c r="E27" s="17"/>
      <c r="F27" s="4">
        <f t="shared" si="10"/>
        <v>1918641.54</v>
      </c>
      <c r="G27" s="70">
        <f>'2016 Dep Exp '!I27+'2016 Dep Exp '!J27</f>
        <v>0</v>
      </c>
      <c r="H27" s="17"/>
      <c r="I27" s="4">
        <f t="shared" si="1"/>
        <v>0</v>
      </c>
      <c r="J27" s="70">
        <v>46412.979999999981</v>
      </c>
      <c r="K27" s="18">
        <v>17.100000000000001</v>
      </c>
      <c r="L27" s="19">
        <f t="shared" si="2"/>
        <v>5.8479532163742687E-2</v>
      </c>
      <c r="M27" s="18">
        <v>20</v>
      </c>
      <c r="N27" s="20">
        <f t="shared" si="3"/>
        <v>0.05</v>
      </c>
      <c r="O27" s="21">
        <f t="shared" si="11"/>
        <v>112201.2596491228</v>
      </c>
      <c r="P27" s="21">
        <f t="shared" si="5"/>
        <v>0</v>
      </c>
      <c r="Q27" s="22">
        <f>IF(M27=0,0,+(J27*0.5)/M27)</f>
        <v>1160.3244999999995</v>
      </c>
      <c r="R27" s="23">
        <f t="shared" si="12"/>
        <v>113361.58414912281</v>
      </c>
      <c r="S27" s="70">
        <v>108868.66</v>
      </c>
      <c r="T27" s="5">
        <f t="shared" si="13"/>
        <v>-4492.9241491228022</v>
      </c>
      <c r="V27" t="str">
        <f t="shared" si="8"/>
        <v>1860Industrial/Wholesale meters</v>
      </c>
    </row>
    <row r="28" spans="1:22">
      <c r="A28" t="s">
        <v>92</v>
      </c>
      <c r="B28" s="57">
        <v>1860</v>
      </c>
      <c r="C28" s="6" t="s">
        <v>57</v>
      </c>
      <c r="D28" s="31">
        <f>'2016 Dep Exp '!F28</f>
        <v>2864473.2199999997</v>
      </c>
      <c r="E28" s="17"/>
      <c r="F28" s="4">
        <f t="shared" si="10"/>
        <v>2864473.2199999997</v>
      </c>
      <c r="G28" s="70">
        <f>'2016 Dep Exp '!I28+'2016 Dep Exp '!J28</f>
        <v>37338.6</v>
      </c>
      <c r="H28" s="17"/>
      <c r="I28" s="4">
        <f t="shared" si="1"/>
        <v>37338.6</v>
      </c>
      <c r="J28" s="70">
        <v>3322</v>
      </c>
      <c r="K28" s="18">
        <v>44</v>
      </c>
      <c r="L28" s="19">
        <f t="shared" si="2"/>
        <v>2.2727272727272728E-2</v>
      </c>
      <c r="M28" s="18">
        <v>45</v>
      </c>
      <c r="N28" s="20">
        <f t="shared" si="3"/>
        <v>2.2222222222222223E-2</v>
      </c>
      <c r="O28" s="21">
        <f t="shared" si="11"/>
        <v>65101.664090909086</v>
      </c>
      <c r="P28" s="21">
        <f t="shared" si="5"/>
        <v>829.74666666666667</v>
      </c>
      <c r="Q28" s="22">
        <f>IF(M28=0,0,+(J28*0.5)/M28)</f>
        <v>36.911111111111111</v>
      </c>
      <c r="R28" s="23">
        <f t="shared" si="12"/>
        <v>65968.321868686864</v>
      </c>
      <c r="S28" s="70">
        <v>61110</v>
      </c>
      <c r="T28" s="5">
        <f t="shared" si="13"/>
        <v>-4858.321868686864</v>
      </c>
      <c r="V28" t="str">
        <f t="shared" si="8"/>
        <v>1860Other meters, PTs &amp; CTs</v>
      </c>
    </row>
    <row r="29" spans="1:22">
      <c r="A29" t="s">
        <v>93</v>
      </c>
      <c r="B29" s="57">
        <v>1860</v>
      </c>
      <c r="C29" s="6" t="s">
        <v>85</v>
      </c>
      <c r="D29" s="31">
        <f>'2016 Dep Exp '!F29</f>
        <v>0</v>
      </c>
      <c r="E29" s="17"/>
      <c r="F29" s="4">
        <f t="shared" si="10"/>
        <v>0</v>
      </c>
      <c r="G29" s="70">
        <f>'2016 Dep Exp '!I29+'2016 Dep Exp '!J29</f>
        <v>0</v>
      </c>
      <c r="H29" s="17"/>
      <c r="I29" s="4">
        <f t="shared" si="1"/>
        <v>0</v>
      </c>
      <c r="J29" s="70">
        <v>256922.12000000002</v>
      </c>
      <c r="K29" s="18">
        <v>0</v>
      </c>
      <c r="L29" s="19">
        <f t="shared" si="2"/>
        <v>0</v>
      </c>
      <c r="M29" s="18">
        <v>15</v>
      </c>
      <c r="N29" s="20">
        <f t="shared" si="3"/>
        <v>6.6666666666666666E-2</v>
      </c>
      <c r="O29" s="21">
        <f t="shared" si="11"/>
        <v>0</v>
      </c>
      <c r="P29" s="21">
        <f t="shared" si="5"/>
        <v>0</v>
      </c>
      <c r="Q29" s="22">
        <f>IF(M29=0,0,+(J29*0.5)/M29)</f>
        <v>8564.0706666666683</v>
      </c>
      <c r="R29" s="23">
        <f t="shared" si="12"/>
        <v>8564.0706666666683</v>
      </c>
      <c r="S29" s="70">
        <v>11030.79</v>
      </c>
      <c r="T29" s="5">
        <f t="shared" si="13"/>
        <v>2466.7193333333325</v>
      </c>
      <c r="V29" t="str">
        <f t="shared" si="8"/>
        <v>1860Smart Meters</v>
      </c>
    </row>
    <row r="30" spans="1:22">
      <c r="A30" t="s">
        <v>94</v>
      </c>
      <c r="B30" s="57">
        <v>1860</v>
      </c>
      <c r="C30" s="6" t="s">
        <v>86</v>
      </c>
      <c r="D30" s="31">
        <f>'2016 Dep Exp '!F30</f>
        <v>0</v>
      </c>
      <c r="E30" s="17"/>
      <c r="F30" s="4">
        <f t="shared" si="10"/>
        <v>0</v>
      </c>
      <c r="G30" s="70">
        <f>'2016 Dep Exp '!I30+'2016 Dep Exp '!J30</f>
        <v>0</v>
      </c>
      <c r="H30" s="17"/>
      <c r="I30" s="4">
        <f t="shared" si="1"/>
        <v>0</v>
      </c>
      <c r="J30" s="70">
        <v>0</v>
      </c>
      <c r="K30" s="18">
        <v>0</v>
      </c>
      <c r="L30" s="19">
        <f t="shared" si="2"/>
        <v>0</v>
      </c>
      <c r="M30" s="18">
        <v>0</v>
      </c>
      <c r="N30" s="20">
        <f t="shared" si="3"/>
        <v>0</v>
      </c>
      <c r="O30" s="21">
        <f t="shared" si="11"/>
        <v>0</v>
      </c>
      <c r="P30" s="21">
        <f t="shared" si="5"/>
        <v>0</v>
      </c>
      <c r="Q30" s="22">
        <f>IF(M30=0,0,+(J30*0.5)/M30)</f>
        <v>0</v>
      </c>
      <c r="R30" s="23">
        <f t="shared" si="12"/>
        <v>0</v>
      </c>
      <c r="S30" s="70">
        <v>0</v>
      </c>
      <c r="T30" s="5">
        <f t="shared" si="13"/>
        <v>0</v>
      </c>
      <c r="V30" t="str">
        <f t="shared" si="8"/>
        <v>1860Smart meters -Data Collectors</v>
      </c>
    </row>
    <row r="31" spans="1:22">
      <c r="B31" s="57"/>
      <c r="C31" s="6"/>
      <c r="D31" s="31">
        <f>'2016 Dep Exp '!F31</f>
        <v>0</v>
      </c>
      <c r="E31" s="17"/>
      <c r="F31" s="4"/>
      <c r="G31" s="70">
        <f>'2016 Dep Exp '!I31+'2016 Dep Exp '!J31</f>
        <v>0</v>
      </c>
      <c r="H31" s="17"/>
      <c r="I31" s="4">
        <f t="shared" si="1"/>
        <v>0</v>
      </c>
      <c r="J31" s="70">
        <v>0</v>
      </c>
      <c r="K31" s="18">
        <v>0</v>
      </c>
      <c r="L31" s="19">
        <f t="shared" si="2"/>
        <v>0</v>
      </c>
      <c r="M31" s="18">
        <v>0</v>
      </c>
      <c r="N31" s="20">
        <f t="shared" si="3"/>
        <v>0</v>
      </c>
      <c r="O31" s="21"/>
      <c r="P31" s="21">
        <f t="shared" si="5"/>
        <v>0</v>
      </c>
      <c r="Q31" s="22"/>
      <c r="R31" s="23"/>
      <c r="S31" s="70">
        <v>0</v>
      </c>
      <c r="T31" s="5"/>
    </row>
    <row r="32" spans="1:22">
      <c r="A32" t="s">
        <v>95</v>
      </c>
      <c r="B32" s="57">
        <v>1805</v>
      </c>
      <c r="C32" s="6" t="s">
        <v>39</v>
      </c>
      <c r="D32" s="31">
        <f>'2016 Dep Exp '!F32</f>
        <v>591340.80000000005</v>
      </c>
      <c r="E32" s="17"/>
      <c r="F32" s="4">
        <f t="shared" si="10"/>
        <v>591340.80000000005</v>
      </c>
      <c r="G32" s="70">
        <f>'2016 Dep Exp '!I32+'2016 Dep Exp '!J32</f>
        <v>980478.61</v>
      </c>
      <c r="H32" s="17"/>
      <c r="I32" s="4">
        <f t="shared" si="1"/>
        <v>980478.61</v>
      </c>
      <c r="J32" s="70">
        <v>0</v>
      </c>
      <c r="K32" s="18">
        <v>0</v>
      </c>
      <c r="L32" s="19">
        <f t="shared" si="2"/>
        <v>0</v>
      </c>
      <c r="M32" s="18">
        <v>0</v>
      </c>
      <c r="N32" s="20">
        <f t="shared" si="3"/>
        <v>0</v>
      </c>
      <c r="O32" s="21">
        <f t="shared" si="11"/>
        <v>0</v>
      </c>
      <c r="P32" s="21">
        <f t="shared" si="5"/>
        <v>0</v>
      </c>
      <c r="Q32" s="22">
        <f t="shared" ref="Q32:Q57" si="14">IF(M32=0,0,+(J32*0.5)/M32)</f>
        <v>0</v>
      </c>
      <c r="R32" s="23">
        <f t="shared" si="12"/>
        <v>0</v>
      </c>
      <c r="S32" s="70">
        <v>0</v>
      </c>
      <c r="T32" s="5">
        <f t="shared" si="13"/>
        <v>0</v>
      </c>
      <c r="V32" t="str">
        <f t="shared" si="8"/>
        <v>1805Land</v>
      </c>
    </row>
    <row r="33" spans="1:23">
      <c r="B33" s="57">
        <v>1806</v>
      </c>
      <c r="C33" s="6" t="s">
        <v>58</v>
      </c>
      <c r="D33" s="31">
        <f>'2016 Dep Exp '!F33</f>
        <v>4738.32</v>
      </c>
      <c r="E33" s="17"/>
      <c r="F33" s="4">
        <f t="shared" si="10"/>
        <v>4738.32</v>
      </c>
      <c r="G33" s="70">
        <f>'2016 Dep Exp '!I33+'2016 Dep Exp '!J33</f>
        <v>0</v>
      </c>
      <c r="H33" s="17"/>
      <c r="I33" s="4">
        <f t="shared" si="1"/>
        <v>0</v>
      </c>
      <c r="J33" s="70">
        <v>0</v>
      </c>
      <c r="K33" s="18">
        <v>0</v>
      </c>
      <c r="L33" s="19">
        <f t="shared" si="2"/>
        <v>0</v>
      </c>
      <c r="M33" s="18">
        <v>0</v>
      </c>
      <c r="N33" s="20">
        <f t="shared" si="3"/>
        <v>0</v>
      </c>
      <c r="O33" s="21">
        <f t="shared" si="11"/>
        <v>0</v>
      </c>
      <c r="P33" s="21">
        <f t="shared" si="5"/>
        <v>0</v>
      </c>
      <c r="Q33" s="22">
        <f t="shared" si="14"/>
        <v>0</v>
      </c>
      <c r="R33" s="23">
        <f t="shared" si="12"/>
        <v>0</v>
      </c>
      <c r="S33" s="70">
        <v>0</v>
      </c>
      <c r="T33" s="5">
        <f t="shared" si="13"/>
        <v>0</v>
      </c>
      <c r="V33" t="str">
        <f t="shared" si="8"/>
        <v>1806Land Rights</v>
      </c>
    </row>
    <row r="34" spans="1:23">
      <c r="B34" s="57">
        <v>1806</v>
      </c>
      <c r="C34" s="6"/>
      <c r="D34" s="31">
        <f>'2016 Dep Exp '!F34</f>
        <v>0</v>
      </c>
      <c r="E34" s="17"/>
      <c r="F34" s="4">
        <f t="shared" si="10"/>
        <v>0</v>
      </c>
      <c r="G34" s="70">
        <f>'2016 Dep Exp '!I34+'2016 Dep Exp '!J34</f>
        <v>0</v>
      </c>
      <c r="H34" s="17"/>
      <c r="I34" s="4">
        <f t="shared" si="1"/>
        <v>0</v>
      </c>
      <c r="J34" s="70">
        <v>0</v>
      </c>
      <c r="K34" s="18">
        <v>0</v>
      </c>
      <c r="L34" s="19">
        <f t="shared" si="2"/>
        <v>0</v>
      </c>
      <c r="M34" s="18">
        <v>0</v>
      </c>
      <c r="N34" s="20">
        <f t="shared" si="3"/>
        <v>0</v>
      </c>
      <c r="O34" s="21">
        <f t="shared" si="11"/>
        <v>0</v>
      </c>
      <c r="P34" s="21">
        <f t="shared" si="5"/>
        <v>0</v>
      </c>
      <c r="Q34" s="22">
        <f t="shared" si="14"/>
        <v>0</v>
      </c>
      <c r="R34" s="23">
        <f t="shared" si="12"/>
        <v>0</v>
      </c>
      <c r="S34" s="70">
        <v>0</v>
      </c>
      <c r="T34" s="5">
        <f t="shared" si="13"/>
        <v>0</v>
      </c>
      <c r="V34" t="str">
        <f t="shared" si="8"/>
        <v>1806</v>
      </c>
    </row>
    <row r="35" spans="1:23">
      <c r="A35" t="s">
        <v>96</v>
      </c>
      <c r="B35" s="57">
        <v>1908</v>
      </c>
      <c r="C35" s="6" t="s">
        <v>59</v>
      </c>
      <c r="D35" s="31">
        <f>'2016 Dep Exp '!F35</f>
        <v>2689155.5100000002</v>
      </c>
      <c r="E35" s="17"/>
      <c r="F35" s="4">
        <f t="shared" si="10"/>
        <v>2689155.5100000002</v>
      </c>
      <c r="G35" s="70">
        <f>'2016 Dep Exp '!I35+'2016 Dep Exp '!J35</f>
        <v>221490.99</v>
      </c>
      <c r="H35" s="17"/>
      <c r="I35" s="4">
        <f t="shared" si="1"/>
        <v>221490.99</v>
      </c>
      <c r="J35" s="70">
        <v>58174.930000000168</v>
      </c>
      <c r="K35" s="18">
        <v>34</v>
      </c>
      <c r="L35" s="19">
        <f t="shared" si="2"/>
        <v>2.9411764705882353E-2</v>
      </c>
      <c r="M35" s="18">
        <v>42</v>
      </c>
      <c r="N35" s="20">
        <f t="shared" si="3"/>
        <v>2.3809523809523808E-2</v>
      </c>
      <c r="O35" s="21">
        <f t="shared" si="11"/>
        <v>79092.809117647063</v>
      </c>
      <c r="P35" s="21">
        <f t="shared" si="5"/>
        <v>5273.5949999999993</v>
      </c>
      <c r="Q35" s="22">
        <f t="shared" si="14"/>
        <v>692.55869047619251</v>
      </c>
      <c r="R35" s="23">
        <f t="shared" si="12"/>
        <v>85058.962808123251</v>
      </c>
      <c r="S35" s="70">
        <v>87476.250000000029</v>
      </c>
      <c r="T35" s="5">
        <f t="shared" si="13"/>
        <v>2417.2871918767778</v>
      </c>
      <c r="V35" t="str">
        <f t="shared" si="8"/>
        <v>1908Buildings and Fixtures</v>
      </c>
    </row>
    <row r="36" spans="1:23">
      <c r="B36" s="57"/>
      <c r="C36" s="6"/>
      <c r="D36" s="31">
        <f>'2016 Dep Exp '!F36</f>
        <v>0</v>
      </c>
      <c r="E36" s="17"/>
      <c r="F36" s="4">
        <f t="shared" si="10"/>
        <v>0</v>
      </c>
      <c r="G36" s="70">
        <f>'2016 Dep Exp '!I36+'2016 Dep Exp '!J36</f>
        <v>0</v>
      </c>
      <c r="H36" s="17"/>
      <c r="I36" s="4">
        <f t="shared" si="1"/>
        <v>0</v>
      </c>
      <c r="J36" s="70">
        <v>0</v>
      </c>
      <c r="K36" s="18">
        <v>0</v>
      </c>
      <c r="L36" s="19">
        <f t="shared" si="2"/>
        <v>0</v>
      </c>
      <c r="M36" s="18">
        <v>0</v>
      </c>
      <c r="N36" s="20">
        <f t="shared" si="3"/>
        <v>0</v>
      </c>
      <c r="O36" s="21">
        <f t="shared" si="11"/>
        <v>0</v>
      </c>
      <c r="P36" s="21">
        <f t="shared" si="5"/>
        <v>0</v>
      </c>
      <c r="Q36" s="22">
        <f t="shared" si="14"/>
        <v>0</v>
      </c>
      <c r="R36" s="23">
        <f t="shared" si="12"/>
        <v>0</v>
      </c>
      <c r="S36" s="70">
        <v>0</v>
      </c>
      <c r="T36" s="5">
        <f t="shared" si="13"/>
        <v>0</v>
      </c>
    </row>
    <row r="37" spans="1:23">
      <c r="A37" t="s">
        <v>97</v>
      </c>
      <c r="B37" s="57">
        <v>1915</v>
      </c>
      <c r="C37" s="6" t="s">
        <v>60</v>
      </c>
      <c r="D37" s="31">
        <f>'2016 Dep Exp '!F37</f>
        <v>118426.62</v>
      </c>
      <c r="E37" s="17">
        <v>102626</v>
      </c>
      <c r="F37" s="4">
        <f t="shared" si="10"/>
        <v>15800.619999999995</v>
      </c>
      <c r="G37" s="70">
        <f>'2016 Dep Exp '!I37+'2016 Dep Exp '!J37</f>
        <v>116538.09</v>
      </c>
      <c r="H37" s="17"/>
      <c r="I37" s="4">
        <f t="shared" si="1"/>
        <v>116538.09</v>
      </c>
      <c r="J37" s="70">
        <v>538</v>
      </c>
      <c r="K37" s="18">
        <v>5</v>
      </c>
      <c r="L37" s="19">
        <f t="shared" si="2"/>
        <v>0.2</v>
      </c>
      <c r="M37" s="18">
        <v>5</v>
      </c>
      <c r="N37" s="20">
        <f t="shared" si="3"/>
        <v>0.2</v>
      </c>
      <c r="O37" s="21">
        <f t="shared" si="11"/>
        <v>3160.1239999999989</v>
      </c>
      <c r="P37" s="21">
        <f t="shared" si="5"/>
        <v>23307.617999999999</v>
      </c>
      <c r="Q37" s="22">
        <f t="shared" si="14"/>
        <v>53.8</v>
      </c>
      <c r="R37" s="23">
        <f t="shared" si="12"/>
        <v>26521.541999999998</v>
      </c>
      <c r="S37" s="70">
        <v>25444.030000000002</v>
      </c>
      <c r="T37" s="5">
        <f t="shared" si="13"/>
        <v>-1077.5119999999952</v>
      </c>
      <c r="V37" t="str">
        <f t="shared" si="8"/>
        <v>1915Office Equipment</v>
      </c>
    </row>
    <row r="38" spans="1:23">
      <c r="B38" s="57"/>
      <c r="C38" s="6"/>
      <c r="D38" s="31">
        <f>'2016 Dep Exp '!F38</f>
        <v>0</v>
      </c>
      <c r="E38" s="17"/>
      <c r="F38" s="4">
        <f t="shared" si="10"/>
        <v>0</v>
      </c>
      <c r="G38" s="70">
        <f>'2016 Dep Exp '!I38+'2016 Dep Exp '!J38</f>
        <v>0</v>
      </c>
      <c r="H38" s="17"/>
      <c r="I38" s="4">
        <f t="shared" si="1"/>
        <v>0</v>
      </c>
      <c r="J38" s="70">
        <v>0</v>
      </c>
      <c r="K38" s="18">
        <v>0</v>
      </c>
      <c r="L38" s="19">
        <f t="shared" si="2"/>
        <v>0</v>
      </c>
      <c r="M38" s="18">
        <v>0</v>
      </c>
      <c r="N38" s="20">
        <f t="shared" si="3"/>
        <v>0</v>
      </c>
      <c r="O38" s="21">
        <f t="shared" si="11"/>
        <v>0</v>
      </c>
      <c r="P38" s="21">
        <f t="shared" si="5"/>
        <v>0</v>
      </c>
      <c r="Q38" s="22">
        <f t="shared" si="14"/>
        <v>0</v>
      </c>
      <c r="R38" s="23">
        <f t="shared" si="12"/>
        <v>0</v>
      </c>
      <c r="S38" s="70">
        <v>0</v>
      </c>
      <c r="T38" s="5">
        <f t="shared" si="13"/>
        <v>0</v>
      </c>
    </row>
    <row r="39" spans="1:23">
      <c r="A39" t="s">
        <v>98</v>
      </c>
      <c r="B39" s="57">
        <v>1920</v>
      </c>
      <c r="C39" s="6" t="s">
        <v>61</v>
      </c>
      <c r="D39" s="31">
        <f>'2016 Dep Exp '!F39</f>
        <v>46162.229999999981</v>
      </c>
      <c r="E39" s="17"/>
      <c r="F39" s="4">
        <f t="shared" si="10"/>
        <v>46162.229999999981</v>
      </c>
      <c r="G39" s="70">
        <f>'2016 Dep Exp '!I39+'2016 Dep Exp '!J39</f>
        <v>174889.27</v>
      </c>
      <c r="H39" s="17">
        <v>49158</v>
      </c>
      <c r="I39" s="4">
        <f t="shared" si="1"/>
        <v>125731.26999999999</v>
      </c>
      <c r="J39" s="70">
        <v>24472.059999999998</v>
      </c>
      <c r="K39" s="18">
        <v>1.5</v>
      </c>
      <c r="L39" s="19">
        <f t="shared" si="2"/>
        <v>0.66666666666666663</v>
      </c>
      <c r="M39" s="18">
        <v>5</v>
      </c>
      <c r="N39" s="20">
        <f t="shared" si="3"/>
        <v>0.2</v>
      </c>
      <c r="O39" s="21">
        <f t="shared" si="11"/>
        <v>30774.819999999989</v>
      </c>
      <c r="P39" s="21">
        <f t="shared" si="5"/>
        <v>25146.253999999997</v>
      </c>
      <c r="Q39" s="22">
        <f t="shared" si="14"/>
        <v>2447.2059999999997</v>
      </c>
      <c r="R39" s="23">
        <f t="shared" si="12"/>
        <v>58368.279999999984</v>
      </c>
      <c r="S39" s="70">
        <v>60101</v>
      </c>
      <c r="T39" s="5">
        <f t="shared" si="13"/>
        <v>1732.7200000000157</v>
      </c>
      <c r="V39" t="str">
        <f t="shared" si="8"/>
        <v>1920Computer Hardware</v>
      </c>
    </row>
    <row r="40" spans="1:23">
      <c r="A40" t="s">
        <v>99</v>
      </c>
      <c r="B40" s="57">
        <v>1925</v>
      </c>
      <c r="C40" s="6" t="s">
        <v>62</v>
      </c>
      <c r="D40" s="31">
        <f>'2016 Dep Exp '!F40</f>
        <v>189680.97999999998</v>
      </c>
      <c r="E40" s="17"/>
      <c r="F40" s="4">
        <f t="shared" si="10"/>
        <v>189680.97999999998</v>
      </c>
      <c r="G40" s="70">
        <f>'2016 Dep Exp '!I40+'2016 Dep Exp '!J40</f>
        <v>123762.81</v>
      </c>
      <c r="H40" s="17"/>
      <c r="I40" s="4">
        <f t="shared" si="1"/>
        <v>123762.81</v>
      </c>
      <c r="J40" s="70">
        <v>123563.96999999997</v>
      </c>
      <c r="K40" s="18">
        <v>5</v>
      </c>
      <c r="L40" s="19">
        <f t="shared" si="2"/>
        <v>0.2</v>
      </c>
      <c r="M40" s="18">
        <v>5</v>
      </c>
      <c r="N40" s="20">
        <f t="shared" si="3"/>
        <v>0.2</v>
      </c>
      <c r="O40" s="21">
        <f t="shared" si="11"/>
        <v>37936.195999999996</v>
      </c>
      <c r="P40" s="21">
        <f t="shared" si="5"/>
        <v>24752.561999999998</v>
      </c>
      <c r="Q40" s="22">
        <f t="shared" si="14"/>
        <v>12356.396999999997</v>
      </c>
      <c r="R40" s="23">
        <f t="shared" si="12"/>
        <v>75045.154999999999</v>
      </c>
      <c r="S40" s="70">
        <v>71320</v>
      </c>
      <c r="T40" s="5">
        <f t="shared" si="13"/>
        <v>-3725.1549999999988</v>
      </c>
      <c r="V40" t="str">
        <f t="shared" si="8"/>
        <v>1925Computer Software</v>
      </c>
      <c r="W40">
        <f>J40*0.5</f>
        <v>61781.984999999986</v>
      </c>
    </row>
    <row r="41" spans="1:23">
      <c r="B41" s="57"/>
      <c r="C41" s="6"/>
      <c r="D41" s="31">
        <f>'2016 Dep Exp '!F41</f>
        <v>0</v>
      </c>
      <c r="E41" s="17"/>
      <c r="F41" s="4">
        <f t="shared" si="10"/>
        <v>0</v>
      </c>
      <c r="G41" s="70">
        <f>'2016 Dep Exp '!I41+'2016 Dep Exp '!J41</f>
        <v>0</v>
      </c>
      <c r="H41" s="17"/>
      <c r="I41" s="4">
        <f t="shared" si="1"/>
        <v>0</v>
      </c>
      <c r="J41" s="70">
        <v>0</v>
      </c>
      <c r="K41" s="18">
        <v>0</v>
      </c>
      <c r="L41" s="19">
        <f t="shared" si="2"/>
        <v>0</v>
      </c>
      <c r="M41" s="18">
        <v>0</v>
      </c>
      <c r="N41" s="20">
        <f t="shared" si="3"/>
        <v>0</v>
      </c>
      <c r="O41" s="21">
        <f t="shared" si="11"/>
        <v>0</v>
      </c>
      <c r="P41" s="21">
        <f t="shared" si="5"/>
        <v>0</v>
      </c>
      <c r="Q41" s="22">
        <f t="shared" si="14"/>
        <v>0</v>
      </c>
      <c r="R41" s="23">
        <f t="shared" si="12"/>
        <v>0</v>
      </c>
      <c r="S41" s="70">
        <v>0</v>
      </c>
      <c r="T41" s="5">
        <f t="shared" si="13"/>
        <v>0</v>
      </c>
    </row>
    <row r="42" spans="1:23">
      <c r="A42" t="s">
        <v>100</v>
      </c>
      <c r="B42" s="57">
        <v>1930</v>
      </c>
      <c r="C42" s="6" t="s">
        <v>63</v>
      </c>
      <c r="D42" s="31">
        <f>'2016 Dep Exp '!F42</f>
        <v>1317372.01</v>
      </c>
      <c r="E42" s="17"/>
      <c r="F42" s="4">
        <f t="shared" si="10"/>
        <v>1317372.01</v>
      </c>
      <c r="G42" s="70">
        <f>'2016 Dep Exp '!I42+'2016 Dep Exp '!J42</f>
        <v>290853.55</v>
      </c>
      <c r="H42" s="17"/>
      <c r="I42" s="4">
        <f t="shared" si="1"/>
        <v>290853.55</v>
      </c>
      <c r="J42" s="70">
        <v>441145</v>
      </c>
      <c r="K42" s="18">
        <v>12</v>
      </c>
      <c r="L42" s="19">
        <f t="shared" si="2"/>
        <v>8.3333333333333329E-2</v>
      </c>
      <c r="M42" s="18">
        <v>12</v>
      </c>
      <c r="N42" s="20">
        <f t="shared" si="3"/>
        <v>8.3333333333333329E-2</v>
      </c>
      <c r="O42" s="21">
        <f t="shared" si="11"/>
        <v>109781.00083333334</v>
      </c>
      <c r="P42" s="21">
        <f t="shared" si="5"/>
        <v>24237.795833333334</v>
      </c>
      <c r="Q42" s="22">
        <f t="shared" si="14"/>
        <v>18381.041666666668</v>
      </c>
      <c r="R42" s="23">
        <f t="shared" si="12"/>
        <v>152399.83833333332</v>
      </c>
      <c r="S42" s="70">
        <v>153689.70000000001</v>
      </c>
      <c r="T42" s="5">
        <f t="shared" si="13"/>
        <v>1289.8616666666931</v>
      </c>
      <c r="V42" t="str">
        <f t="shared" si="8"/>
        <v>1930Bucket Trucks</v>
      </c>
    </row>
    <row r="43" spans="1:23">
      <c r="A43" t="s">
        <v>101</v>
      </c>
      <c r="B43" s="57">
        <v>1930</v>
      </c>
      <c r="C43" s="6" t="s">
        <v>64</v>
      </c>
      <c r="D43" s="31">
        <f>'2016 Dep Exp '!F43</f>
        <v>137812.25</v>
      </c>
      <c r="E43" s="17"/>
      <c r="F43" s="4">
        <f t="shared" si="10"/>
        <v>137812.25</v>
      </c>
      <c r="G43" s="70">
        <f>'2016 Dep Exp '!I43+'2016 Dep Exp '!J43</f>
        <v>0</v>
      </c>
      <c r="H43" s="17"/>
      <c r="I43" s="4">
        <f t="shared" si="1"/>
        <v>0</v>
      </c>
      <c r="J43" s="70">
        <v>0</v>
      </c>
      <c r="K43" s="18">
        <v>11</v>
      </c>
      <c r="L43" s="19">
        <f t="shared" si="2"/>
        <v>9.0909090909090912E-2</v>
      </c>
      <c r="M43" s="18">
        <v>15</v>
      </c>
      <c r="N43" s="20">
        <f t="shared" si="3"/>
        <v>6.6666666666666666E-2</v>
      </c>
      <c r="O43" s="21">
        <f t="shared" si="11"/>
        <v>12528.386363636364</v>
      </c>
      <c r="P43" s="21">
        <f t="shared" si="5"/>
        <v>0</v>
      </c>
      <c r="Q43" s="22">
        <f t="shared" si="14"/>
        <v>0</v>
      </c>
      <c r="R43" s="23">
        <f t="shared" si="12"/>
        <v>12528.386363636364</v>
      </c>
      <c r="S43" s="70">
        <v>8407.5400000000009</v>
      </c>
      <c r="T43" s="5">
        <f t="shared" si="13"/>
        <v>-4120.8463636363631</v>
      </c>
      <c r="V43" t="str">
        <f t="shared" si="8"/>
        <v>1930Trailers</v>
      </c>
    </row>
    <row r="44" spans="1:23">
      <c r="A44" t="s">
        <v>102</v>
      </c>
      <c r="B44" s="57">
        <v>1930</v>
      </c>
      <c r="C44" s="6" t="s">
        <v>65</v>
      </c>
      <c r="D44" s="31">
        <f>'2016 Dep Exp '!F44</f>
        <v>187303.45</v>
      </c>
      <c r="E44" s="17"/>
      <c r="F44" s="4">
        <f t="shared" si="10"/>
        <v>187303.45</v>
      </c>
      <c r="G44" s="70">
        <f>'2016 Dep Exp '!I44+'2016 Dep Exp '!J44</f>
        <v>72450</v>
      </c>
      <c r="H44" s="17"/>
      <c r="I44" s="4">
        <f t="shared" si="1"/>
        <v>72450</v>
      </c>
      <c r="J44" s="70">
        <v>0</v>
      </c>
      <c r="K44" s="18">
        <v>7.5</v>
      </c>
      <c r="L44" s="19">
        <f t="shared" si="2"/>
        <v>0.13333333333333333</v>
      </c>
      <c r="M44" s="18">
        <v>8</v>
      </c>
      <c r="N44" s="20">
        <f t="shared" si="3"/>
        <v>0.125</v>
      </c>
      <c r="O44" s="21">
        <f t="shared" si="11"/>
        <v>24973.793333333335</v>
      </c>
      <c r="P44" s="21">
        <f t="shared" si="5"/>
        <v>9056.25</v>
      </c>
      <c r="Q44" s="22">
        <f t="shared" si="14"/>
        <v>0</v>
      </c>
      <c r="R44" s="23">
        <f t="shared" si="12"/>
        <v>34030.043333333335</v>
      </c>
      <c r="S44" s="70">
        <v>30936.080000000002</v>
      </c>
      <c r="T44" s="5">
        <f t="shared" si="13"/>
        <v>-3093.9633333333331</v>
      </c>
      <c r="V44" t="str">
        <f t="shared" si="8"/>
        <v>1930Vans/Cars</v>
      </c>
    </row>
    <row r="45" spans="1:23">
      <c r="B45" s="57"/>
      <c r="C45" s="6"/>
      <c r="D45" s="31">
        <f>'2016 Dep Exp '!F45</f>
        <v>0</v>
      </c>
      <c r="E45" s="17"/>
      <c r="F45" s="4">
        <f t="shared" si="10"/>
        <v>0</v>
      </c>
      <c r="G45" s="70">
        <f>'2016 Dep Exp '!I45+'2016 Dep Exp '!J45</f>
        <v>0</v>
      </c>
      <c r="H45" s="17"/>
      <c r="I45" s="4">
        <f t="shared" si="1"/>
        <v>0</v>
      </c>
      <c r="J45" s="70">
        <v>0</v>
      </c>
      <c r="K45" s="18">
        <v>0</v>
      </c>
      <c r="L45" s="19">
        <f t="shared" si="2"/>
        <v>0</v>
      </c>
      <c r="M45" s="18">
        <v>0</v>
      </c>
      <c r="N45" s="20">
        <f t="shared" si="3"/>
        <v>0</v>
      </c>
      <c r="O45" s="21">
        <f t="shared" si="11"/>
        <v>0</v>
      </c>
      <c r="P45" s="21">
        <f t="shared" si="5"/>
        <v>0</v>
      </c>
      <c r="Q45" s="22">
        <f t="shared" si="14"/>
        <v>0</v>
      </c>
      <c r="R45" s="23">
        <f t="shared" si="12"/>
        <v>0</v>
      </c>
      <c r="S45" s="70">
        <v>0</v>
      </c>
      <c r="T45" s="5">
        <f t="shared" si="13"/>
        <v>0</v>
      </c>
    </row>
    <row r="46" spans="1:23" ht="24" customHeight="1">
      <c r="A46" t="s">
        <v>103</v>
      </c>
      <c r="B46" s="57">
        <v>1940</v>
      </c>
      <c r="C46" s="6" t="s">
        <v>66</v>
      </c>
      <c r="D46" s="31">
        <f>'2016 Dep Exp '!F46</f>
        <v>246688.74000000002</v>
      </c>
      <c r="E46" s="17">
        <v>28596</v>
      </c>
      <c r="F46" s="4">
        <f t="shared" si="10"/>
        <v>218092.74000000002</v>
      </c>
      <c r="G46" s="70">
        <f>'2016 Dep Exp '!I46+'2016 Dep Exp '!J46</f>
        <v>168207.72</v>
      </c>
      <c r="H46" s="17"/>
      <c r="I46" s="4">
        <f t="shared" si="1"/>
        <v>168207.72</v>
      </c>
      <c r="J46" s="70">
        <v>86378</v>
      </c>
      <c r="K46" s="18">
        <v>7</v>
      </c>
      <c r="L46" s="19">
        <f t="shared" si="2"/>
        <v>0.14285714285714285</v>
      </c>
      <c r="M46" s="18">
        <v>10</v>
      </c>
      <c r="N46" s="20">
        <f t="shared" si="3"/>
        <v>0.1</v>
      </c>
      <c r="O46" s="21">
        <f t="shared" si="11"/>
        <v>31156.105714285717</v>
      </c>
      <c r="P46" s="21">
        <f t="shared" si="5"/>
        <v>16820.772000000001</v>
      </c>
      <c r="Q46" s="22">
        <f t="shared" si="14"/>
        <v>4318.8999999999996</v>
      </c>
      <c r="R46" s="23">
        <f t="shared" si="12"/>
        <v>52295.777714285716</v>
      </c>
      <c r="S46" s="70">
        <v>50447</v>
      </c>
      <c r="T46" s="5">
        <f t="shared" si="13"/>
        <v>-1848.7777142857158</v>
      </c>
      <c r="V46" t="str">
        <f t="shared" si="8"/>
        <v>1940Power Tools, shop, garage, measurement testing</v>
      </c>
    </row>
    <row r="47" spans="1:23">
      <c r="A47" t="s">
        <v>104</v>
      </c>
      <c r="B47" s="57">
        <v>1940</v>
      </c>
      <c r="C47" s="6" t="s">
        <v>40</v>
      </c>
      <c r="D47" s="31">
        <f>'2016 Dep Exp '!F47</f>
        <v>5160.74</v>
      </c>
      <c r="E47" s="17"/>
      <c r="F47" s="4">
        <f t="shared" si="10"/>
        <v>5160.74</v>
      </c>
      <c r="G47" s="70">
        <f>'2016 Dep Exp '!I47+'2016 Dep Exp '!J47</f>
        <v>0</v>
      </c>
      <c r="H47" s="17"/>
      <c r="I47" s="4">
        <f t="shared" si="1"/>
        <v>0</v>
      </c>
      <c r="J47" s="70">
        <v>0</v>
      </c>
      <c r="K47" s="18">
        <v>3</v>
      </c>
      <c r="L47" s="19">
        <f t="shared" si="2"/>
        <v>0.33333333333333331</v>
      </c>
      <c r="M47" s="18">
        <v>10</v>
      </c>
      <c r="N47" s="20">
        <f t="shared" si="3"/>
        <v>0.1</v>
      </c>
      <c r="O47" s="21">
        <f t="shared" si="11"/>
        <v>1720.2466666666667</v>
      </c>
      <c r="P47" s="21">
        <f t="shared" si="5"/>
        <v>0</v>
      </c>
      <c r="Q47" s="22">
        <f t="shared" si="14"/>
        <v>0</v>
      </c>
      <c r="R47" s="23">
        <f t="shared" si="12"/>
        <v>1720.2466666666667</v>
      </c>
      <c r="S47" s="70">
        <v>0</v>
      </c>
      <c r="T47" s="5">
        <f t="shared" si="13"/>
        <v>-1720.2466666666667</v>
      </c>
      <c r="V47" t="str">
        <f t="shared" si="8"/>
        <v>1940Stores Equipment</v>
      </c>
    </row>
    <row r="48" spans="1:23">
      <c r="B48" s="57"/>
      <c r="C48" s="6"/>
      <c r="D48" s="31">
        <f>'2016 Dep Exp '!F48</f>
        <v>0</v>
      </c>
      <c r="E48" s="17"/>
      <c r="F48" s="4">
        <f t="shared" si="10"/>
        <v>0</v>
      </c>
      <c r="G48" s="70">
        <f>'2016 Dep Exp '!I48+'2016 Dep Exp '!J48</f>
        <v>0</v>
      </c>
      <c r="H48" s="17"/>
      <c r="I48" s="4">
        <f t="shared" si="1"/>
        <v>0</v>
      </c>
      <c r="J48" s="70">
        <v>0</v>
      </c>
      <c r="K48" s="18">
        <v>0</v>
      </c>
      <c r="L48" s="19">
        <f t="shared" si="2"/>
        <v>0</v>
      </c>
      <c r="M48" s="18">
        <v>0</v>
      </c>
      <c r="N48" s="20">
        <f t="shared" si="3"/>
        <v>0</v>
      </c>
      <c r="O48" s="21">
        <f t="shared" si="11"/>
        <v>0</v>
      </c>
      <c r="P48" s="21">
        <f t="shared" si="5"/>
        <v>0</v>
      </c>
      <c r="Q48" s="22">
        <f t="shared" si="14"/>
        <v>0</v>
      </c>
      <c r="R48" s="23">
        <f t="shared" si="12"/>
        <v>0</v>
      </c>
      <c r="S48" s="70">
        <v>0</v>
      </c>
      <c r="T48" s="5">
        <f t="shared" si="13"/>
        <v>0</v>
      </c>
    </row>
    <row r="49" spans="1:22">
      <c r="B49" s="57"/>
      <c r="C49" s="6"/>
      <c r="D49" s="31">
        <f>'2016 Dep Exp '!F49</f>
        <v>0</v>
      </c>
      <c r="E49" s="17"/>
      <c r="F49" s="4">
        <f t="shared" si="10"/>
        <v>0</v>
      </c>
      <c r="G49" s="70">
        <f>'2016 Dep Exp '!I49+'2016 Dep Exp '!J49</f>
        <v>0</v>
      </c>
      <c r="H49" s="17"/>
      <c r="I49" s="4">
        <f t="shared" si="1"/>
        <v>0</v>
      </c>
      <c r="J49" s="70">
        <v>0</v>
      </c>
      <c r="K49" s="18">
        <v>0</v>
      </c>
      <c r="L49" s="19">
        <f t="shared" si="2"/>
        <v>0</v>
      </c>
      <c r="M49" s="18">
        <v>0</v>
      </c>
      <c r="N49" s="20">
        <f t="shared" si="3"/>
        <v>0</v>
      </c>
      <c r="O49" s="21">
        <f t="shared" si="11"/>
        <v>0</v>
      </c>
      <c r="P49" s="21">
        <f t="shared" si="5"/>
        <v>0</v>
      </c>
      <c r="Q49" s="22">
        <f t="shared" si="14"/>
        <v>0</v>
      </c>
      <c r="R49" s="23">
        <f t="shared" si="12"/>
        <v>0</v>
      </c>
      <c r="S49" s="70">
        <v>0</v>
      </c>
      <c r="T49" s="5">
        <f t="shared" si="13"/>
        <v>0</v>
      </c>
    </row>
    <row r="50" spans="1:22">
      <c r="A50" t="s">
        <v>105</v>
      </c>
      <c r="B50" s="57">
        <v>1980</v>
      </c>
      <c r="C50" s="6" t="s">
        <v>67</v>
      </c>
      <c r="D50" s="31">
        <f>'2016 Dep Exp '!F50</f>
        <v>696864.05999999994</v>
      </c>
      <c r="E50" s="17"/>
      <c r="F50" s="4">
        <f t="shared" si="10"/>
        <v>696864.05999999994</v>
      </c>
      <c r="G50" s="70">
        <f>'2016 Dep Exp '!I50+'2016 Dep Exp '!J50</f>
        <v>20134.77</v>
      </c>
      <c r="H50" s="17"/>
      <c r="I50" s="4">
        <f t="shared" si="1"/>
        <v>20134.77</v>
      </c>
      <c r="J50" s="70">
        <v>0</v>
      </c>
      <c r="K50" s="18">
        <v>13.615384615384615</v>
      </c>
      <c r="L50" s="19">
        <f t="shared" si="2"/>
        <v>7.3446327683615822E-2</v>
      </c>
      <c r="M50" s="18">
        <v>20</v>
      </c>
      <c r="N50" s="20">
        <f t="shared" si="3"/>
        <v>0.05</v>
      </c>
      <c r="O50" s="21">
        <f t="shared" si="11"/>
        <v>51182.10610169491</v>
      </c>
      <c r="P50" s="21">
        <f t="shared" si="5"/>
        <v>1006.7385</v>
      </c>
      <c r="Q50" s="22">
        <f t="shared" si="14"/>
        <v>0</v>
      </c>
      <c r="R50" s="23">
        <f t="shared" si="12"/>
        <v>52188.844601694909</v>
      </c>
      <c r="S50" s="70">
        <v>46192.15</v>
      </c>
      <c r="T50" s="5">
        <f t="shared" si="13"/>
        <v>-5996.6946016949078</v>
      </c>
      <c r="V50" t="str">
        <f t="shared" si="8"/>
        <v>1980SCADA</v>
      </c>
    </row>
    <row r="51" spans="1:22">
      <c r="B51" s="57">
        <v>1955</v>
      </c>
      <c r="C51" s="6" t="s">
        <v>87</v>
      </c>
      <c r="D51" s="31">
        <f>'2016 Dep Exp '!F51</f>
        <v>0</v>
      </c>
      <c r="E51" s="17"/>
      <c r="F51" s="4">
        <f t="shared" si="10"/>
        <v>0</v>
      </c>
      <c r="G51" s="70">
        <f>'2016 Dep Exp '!I51+'2016 Dep Exp '!J51</f>
        <v>0</v>
      </c>
      <c r="H51" s="17"/>
      <c r="I51" s="4">
        <f t="shared" si="1"/>
        <v>0</v>
      </c>
      <c r="J51" s="70">
        <v>300</v>
      </c>
      <c r="K51" s="18">
        <v>0</v>
      </c>
      <c r="L51" s="19">
        <f t="shared" si="2"/>
        <v>0</v>
      </c>
      <c r="M51" s="18">
        <v>0</v>
      </c>
      <c r="N51" s="20">
        <f t="shared" si="3"/>
        <v>0</v>
      </c>
      <c r="O51" s="21">
        <f t="shared" si="11"/>
        <v>0</v>
      </c>
      <c r="P51" s="21">
        <f t="shared" si="5"/>
        <v>0</v>
      </c>
      <c r="Q51" s="22">
        <f t="shared" si="14"/>
        <v>0</v>
      </c>
      <c r="R51" s="23">
        <f t="shared" si="12"/>
        <v>0</v>
      </c>
      <c r="S51" s="70">
        <v>0</v>
      </c>
      <c r="T51" s="5">
        <f t="shared" si="13"/>
        <v>0</v>
      </c>
      <c r="V51" t="str">
        <f t="shared" si="8"/>
        <v>1955Other</v>
      </c>
    </row>
    <row r="52" spans="1:22">
      <c r="B52" s="57"/>
      <c r="C52" s="6"/>
      <c r="D52" s="31">
        <f>'2016 Dep Exp '!F52</f>
        <v>0</v>
      </c>
      <c r="E52" s="17"/>
      <c r="F52" s="4">
        <f t="shared" si="10"/>
        <v>0</v>
      </c>
      <c r="G52" s="70">
        <f>'2016 Dep Exp '!I52+'2016 Dep Exp '!J52</f>
        <v>0</v>
      </c>
      <c r="H52" s="17"/>
      <c r="I52" s="4">
        <f t="shared" si="1"/>
        <v>0</v>
      </c>
      <c r="J52" s="70">
        <v>0</v>
      </c>
      <c r="K52" s="18">
        <v>0</v>
      </c>
      <c r="L52" s="19">
        <f t="shared" si="2"/>
        <v>0</v>
      </c>
      <c r="M52" s="18">
        <v>0</v>
      </c>
      <c r="N52" s="20">
        <f t="shared" si="3"/>
        <v>0</v>
      </c>
      <c r="O52" s="21">
        <f t="shared" si="11"/>
        <v>0</v>
      </c>
      <c r="P52" s="21">
        <f t="shared" si="5"/>
        <v>0</v>
      </c>
      <c r="Q52" s="22">
        <f t="shared" si="14"/>
        <v>0</v>
      </c>
      <c r="R52" s="23">
        <f t="shared" si="12"/>
        <v>0</v>
      </c>
      <c r="S52" s="70">
        <v>0</v>
      </c>
      <c r="T52" s="5">
        <f t="shared" si="13"/>
        <v>0</v>
      </c>
    </row>
    <row r="53" spans="1:22">
      <c r="A53" t="s">
        <v>106</v>
      </c>
      <c r="B53" s="57">
        <v>1855</v>
      </c>
      <c r="C53" s="6" t="s">
        <v>68</v>
      </c>
      <c r="D53" s="31">
        <f>'2016 Dep Exp '!F53</f>
        <v>2477.19</v>
      </c>
      <c r="E53" s="17"/>
      <c r="F53" s="4">
        <f t="shared" si="10"/>
        <v>2477.19</v>
      </c>
      <c r="G53" s="70">
        <f>'2016 Dep Exp '!I53+'2016 Dep Exp '!J53</f>
        <v>66185.75</v>
      </c>
      <c r="H53" s="17"/>
      <c r="I53" s="4">
        <f t="shared" si="1"/>
        <v>66185.75</v>
      </c>
      <c r="J53" s="70">
        <v>325611.36</v>
      </c>
      <c r="K53" s="18">
        <v>50</v>
      </c>
      <c r="L53" s="19">
        <f t="shared" si="2"/>
        <v>0.02</v>
      </c>
      <c r="M53" s="18">
        <v>50</v>
      </c>
      <c r="N53" s="20">
        <f t="shared" si="3"/>
        <v>0.02</v>
      </c>
      <c r="O53" s="21">
        <f t="shared" si="11"/>
        <v>49.543800000000005</v>
      </c>
      <c r="P53" s="21">
        <f t="shared" si="5"/>
        <v>1323.7149999999999</v>
      </c>
      <c r="Q53" s="22">
        <f t="shared" si="14"/>
        <v>3256.1135999999997</v>
      </c>
      <c r="R53" s="23">
        <f>IF(ISERROR(+O53+P53+Q53),0,+O53+P53+Q53)</f>
        <v>4629.3723999999993</v>
      </c>
      <c r="S53" s="70">
        <v>11573.32</v>
      </c>
      <c r="T53" s="5">
        <f t="shared" si="13"/>
        <v>6943.9476000000004</v>
      </c>
      <c r="V53" t="str">
        <f t="shared" si="8"/>
        <v>1855Services</v>
      </c>
    </row>
    <row r="54" spans="1:22">
      <c r="B54" s="57"/>
      <c r="C54" s="6"/>
      <c r="D54" s="31">
        <f>'2016 Dep Exp '!F54</f>
        <v>0</v>
      </c>
      <c r="E54" s="17"/>
      <c r="F54" s="4">
        <f t="shared" si="10"/>
        <v>0</v>
      </c>
      <c r="G54" s="70">
        <f>'2016 Dep Exp '!I54+'2016 Dep Exp '!J54</f>
        <v>0</v>
      </c>
      <c r="H54" s="17"/>
      <c r="I54" s="4">
        <f t="shared" si="1"/>
        <v>0</v>
      </c>
      <c r="J54" s="70">
        <v>0</v>
      </c>
      <c r="K54" s="18">
        <v>0</v>
      </c>
      <c r="L54" s="19">
        <f t="shared" si="2"/>
        <v>0</v>
      </c>
      <c r="M54" s="18">
        <v>0</v>
      </c>
      <c r="N54" s="20">
        <f t="shared" si="3"/>
        <v>0</v>
      </c>
      <c r="O54" s="21">
        <f t="shared" si="11"/>
        <v>0</v>
      </c>
      <c r="P54" s="21">
        <f t="shared" si="5"/>
        <v>0</v>
      </c>
      <c r="Q54" s="22">
        <f t="shared" si="14"/>
        <v>0</v>
      </c>
      <c r="R54" s="23">
        <f t="shared" si="12"/>
        <v>0</v>
      </c>
      <c r="S54" s="70">
        <v>0</v>
      </c>
      <c r="T54" s="5">
        <f t="shared" si="13"/>
        <v>0</v>
      </c>
    </row>
    <row r="55" spans="1:22">
      <c r="A55" t="s">
        <v>107</v>
      </c>
      <c r="B55" s="57">
        <v>1955</v>
      </c>
      <c r="C55" s="6" t="s">
        <v>69</v>
      </c>
      <c r="D55" s="31">
        <f>'2016 Dep Exp '!F55</f>
        <v>15847.3</v>
      </c>
      <c r="E55" s="17"/>
      <c r="F55" s="4">
        <f t="shared" si="10"/>
        <v>15847.3</v>
      </c>
      <c r="G55" s="70">
        <f>'2016 Dep Exp '!I55+'2016 Dep Exp '!J55</f>
        <v>5184.16</v>
      </c>
      <c r="H55" s="17"/>
      <c r="I55" s="4">
        <f t="shared" si="1"/>
        <v>5184.16</v>
      </c>
      <c r="J55" s="70">
        <v>0</v>
      </c>
      <c r="K55" s="18">
        <v>2.5</v>
      </c>
      <c r="L55" s="19">
        <f t="shared" si="2"/>
        <v>0.4</v>
      </c>
      <c r="M55" s="18">
        <v>10</v>
      </c>
      <c r="N55" s="20">
        <f t="shared" si="3"/>
        <v>0.1</v>
      </c>
      <c r="O55" s="21">
        <f t="shared" si="11"/>
        <v>6338.92</v>
      </c>
      <c r="P55" s="21">
        <f t="shared" si="5"/>
        <v>518.41599999999994</v>
      </c>
      <c r="Q55" s="22">
        <f t="shared" si="14"/>
        <v>0</v>
      </c>
      <c r="R55" s="23">
        <f t="shared" si="12"/>
        <v>6857.3360000000002</v>
      </c>
      <c r="S55" s="70">
        <v>893.98</v>
      </c>
      <c r="T55" s="5">
        <f t="shared" si="13"/>
        <v>-5963.3559999999998</v>
      </c>
      <c r="V55" t="str">
        <f t="shared" si="8"/>
        <v>1955Communication Equipment, Wireless</v>
      </c>
    </row>
    <row r="56" spans="1:22">
      <c r="B56" s="57"/>
      <c r="C56" s="6"/>
      <c r="D56" s="31">
        <f>'2016 Dep Exp '!F56</f>
        <v>0</v>
      </c>
      <c r="E56" s="17"/>
      <c r="F56" s="4">
        <f t="shared" si="10"/>
        <v>0</v>
      </c>
      <c r="G56" s="70">
        <f>'2016 Dep Exp '!I56+'2016 Dep Exp '!J56</f>
        <v>0</v>
      </c>
      <c r="H56" s="17"/>
      <c r="I56" s="4">
        <f t="shared" si="1"/>
        <v>0</v>
      </c>
      <c r="J56" s="70">
        <v>0</v>
      </c>
      <c r="K56" s="18">
        <v>0</v>
      </c>
      <c r="L56" s="19">
        <f t="shared" si="2"/>
        <v>0</v>
      </c>
      <c r="M56" s="18">
        <v>0</v>
      </c>
      <c r="N56" s="20">
        <f t="shared" si="3"/>
        <v>0</v>
      </c>
      <c r="O56" s="21">
        <f t="shared" si="11"/>
        <v>0</v>
      </c>
      <c r="P56" s="21">
        <f t="shared" si="5"/>
        <v>0</v>
      </c>
      <c r="Q56" s="22">
        <f t="shared" si="14"/>
        <v>0</v>
      </c>
      <c r="R56" s="23">
        <f t="shared" si="12"/>
        <v>0</v>
      </c>
      <c r="S56" s="70">
        <v>0</v>
      </c>
      <c r="T56" s="5">
        <f t="shared" si="13"/>
        <v>0</v>
      </c>
    </row>
    <row r="57" spans="1:22">
      <c r="B57" s="57">
        <v>1606</v>
      </c>
      <c r="C57" s="6" t="s">
        <v>70</v>
      </c>
      <c r="D57" s="31">
        <f>'2016 Dep Exp '!F57</f>
        <v>192292.27</v>
      </c>
      <c r="E57" s="17"/>
      <c r="F57" s="4">
        <f t="shared" si="10"/>
        <v>192292.27</v>
      </c>
      <c r="G57" s="70">
        <f>'2016 Dep Exp '!I57+'2016 Dep Exp '!J57</f>
        <v>0</v>
      </c>
      <c r="H57" s="17"/>
      <c r="I57" s="4">
        <f t="shared" si="1"/>
        <v>0</v>
      </c>
      <c r="J57" s="70">
        <v>0</v>
      </c>
      <c r="K57" s="18">
        <v>0</v>
      </c>
      <c r="L57" s="19">
        <f t="shared" si="2"/>
        <v>0</v>
      </c>
      <c r="M57" s="18">
        <v>0</v>
      </c>
      <c r="N57" s="20">
        <f t="shared" si="3"/>
        <v>0</v>
      </c>
      <c r="O57" s="21">
        <f t="shared" si="11"/>
        <v>0</v>
      </c>
      <c r="P57" s="21">
        <f t="shared" si="5"/>
        <v>0</v>
      </c>
      <c r="Q57" s="22">
        <f t="shared" si="14"/>
        <v>0</v>
      </c>
      <c r="R57" s="23">
        <f t="shared" si="12"/>
        <v>0</v>
      </c>
      <c r="S57" s="70">
        <v>0</v>
      </c>
      <c r="T57" s="5">
        <f t="shared" si="13"/>
        <v>0</v>
      </c>
      <c r="V57" t="str">
        <f t="shared" si="8"/>
        <v>1606Corporation Costs</v>
      </c>
    </row>
    <row r="58" spans="1:22">
      <c r="B58" s="57"/>
      <c r="C58" s="6"/>
      <c r="D58" s="31">
        <f>'2016 Dep Exp '!F58</f>
        <v>0</v>
      </c>
      <c r="E58" s="17"/>
      <c r="F58" s="4">
        <f t="shared" si="10"/>
        <v>0</v>
      </c>
      <c r="G58" s="70">
        <f>'2016 Dep Exp '!I58+'2016 Dep Exp '!J58</f>
        <v>0</v>
      </c>
      <c r="H58" s="17"/>
      <c r="I58" s="4"/>
      <c r="J58" s="70"/>
      <c r="K58" s="18"/>
      <c r="L58" s="19"/>
      <c r="M58" s="18"/>
      <c r="N58" s="33"/>
      <c r="O58" s="21"/>
      <c r="P58" s="21"/>
      <c r="Q58" s="22"/>
      <c r="R58" s="23"/>
      <c r="S58" s="70"/>
      <c r="T58" s="5"/>
      <c r="V58" t="str">
        <f t="shared" si="8"/>
        <v/>
      </c>
    </row>
    <row r="59" spans="1:22">
      <c r="B59" s="57">
        <v>1995</v>
      </c>
      <c r="C59" s="6" t="s">
        <v>41</v>
      </c>
      <c r="D59" s="31">
        <f>'2016 Dep Exp '!F59</f>
        <v>0</v>
      </c>
      <c r="E59" s="17"/>
      <c r="F59" s="4">
        <f t="shared" si="10"/>
        <v>0</v>
      </c>
      <c r="G59" s="70">
        <f>'2016 Dep Exp '!I59+'2016 Dep Exp '!J59</f>
        <v>0</v>
      </c>
      <c r="H59" s="17"/>
      <c r="I59" s="4">
        <f t="shared" ref="I59:I60" si="15">G59-H59</f>
        <v>0</v>
      </c>
      <c r="J59" s="70">
        <v>0</v>
      </c>
      <c r="K59" s="18"/>
      <c r="L59" s="34">
        <f t="shared" ref="L59:L60" si="16">IF(K59=0,0,1/K59)</f>
        <v>0</v>
      </c>
      <c r="M59" s="18"/>
      <c r="N59" s="33">
        <f t="shared" ref="N59:N60" si="17">IF(M59=0,0,1/M59)</f>
        <v>0</v>
      </c>
      <c r="O59" s="35">
        <f t="shared" si="11"/>
        <v>0</v>
      </c>
      <c r="P59" s="35">
        <f t="shared" ref="P59:P60" si="18">IF(M59=0,0,+I59/M59)</f>
        <v>0</v>
      </c>
      <c r="Q59" s="36">
        <f>IF(M59=0,0,+(J59*0.5)/M59)</f>
        <v>0</v>
      </c>
      <c r="R59" s="24">
        <f t="shared" si="12"/>
        <v>0</v>
      </c>
      <c r="S59" s="70">
        <v>0</v>
      </c>
      <c r="T59" s="5">
        <f t="shared" si="13"/>
        <v>0</v>
      </c>
      <c r="V59" t="str">
        <f t="shared" si="8"/>
        <v>1995Contributions &amp; Grants</v>
      </c>
    </row>
    <row r="60" spans="1:22" ht="15" thickBot="1">
      <c r="B60" s="58">
        <v>2440</v>
      </c>
      <c r="C60" s="59" t="s">
        <v>42</v>
      </c>
      <c r="D60" s="60">
        <f>'2016 Dep Exp '!F60</f>
        <v>0</v>
      </c>
      <c r="E60" s="75"/>
      <c r="F60" s="62">
        <f t="shared" si="10"/>
        <v>0</v>
      </c>
      <c r="G60" s="76">
        <f>'2016 Dep Exp '!I60+'2016 Dep Exp '!J60</f>
        <v>0</v>
      </c>
      <c r="H60" s="61"/>
      <c r="I60" s="62">
        <f t="shared" si="15"/>
        <v>0</v>
      </c>
      <c r="J60" s="76">
        <v>0</v>
      </c>
      <c r="K60" s="63"/>
      <c r="L60" s="64">
        <f t="shared" si="16"/>
        <v>0</v>
      </c>
      <c r="M60" s="63"/>
      <c r="N60" s="65">
        <f t="shared" si="17"/>
        <v>0</v>
      </c>
      <c r="O60" s="66">
        <f t="shared" si="11"/>
        <v>0</v>
      </c>
      <c r="P60" s="66">
        <f t="shared" si="18"/>
        <v>0</v>
      </c>
      <c r="Q60" s="67">
        <f>IF(M60=0,0,+(J60*0.5)/M60)</f>
        <v>0</v>
      </c>
      <c r="R60" s="68">
        <f t="shared" si="12"/>
        <v>0</v>
      </c>
      <c r="S60" s="76"/>
      <c r="T60" s="77">
        <f t="shared" si="13"/>
        <v>0</v>
      </c>
      <c r="V60" t="str">
        <f t="shared" si="8"/>
        <v>2440Deferred Revenue</v>
      </c>
    </row>
    <row r="61" spans="1:22" ht="15" thickBot="1">
      <c r="B61" s="7"/>
      <c r="C61" s="8" t="s">
        <v>43</v>
      </c>
      <c r="D61" s="72">
        <f>SUM(D7:D60)</f>
        <v>61444678.359999999</v>
      </c>
      <c r="E61" s="72">
        <f t="shared" ref="E61:I61" si="19">SUM(E7:E60)</f>
        <v>131222</v>
      </c>
      <c r="F61" s="72">
        <f t="shared" si="19"/>
        <v>61313456.359999999</v>
      </c>
      <c r="G61" s="72">
        <f t="shared" si="19"/>
        <v>16345610.130000003</v>
      </c>
      <c r="H61" s="72">
        <f t="shared" si="19"/>
        <v>49158</v>
      </c>
      <c r="I61" s="72">
        <f t="shared" si="19"/>
        <v>16296452.130000003</v>
      </c>
      <c r="J61" s="72">
        <f>SUM(J7:J60)</f>
        <v>8400173.6400000025</v>
      </c>
      <c r="K61" s="72"/>
      <c r="L61" s="49"/>
      <c r="M61" s="73"/>
      <c r="N61" s="74"/>
      <c r="O61" s="72">
        <f>SUM(O7:O60)</f>
        <v>1850677.9623677745</v>
      </c>
      <c r="P61" s="72">
        <f t="shared" ref="P61:T61" si="20">SUM(P7:P60)</f>
        <v>457016.25784999999</v>
      </c>
      <c r="Q61" s="72">
        <f t="shared" si="20"/>
        <v>134524.2801349207</v>
      </c>
      <c r="R61" s="72">
        <f t="shared" si="20"/>
        <v>2442218.5003526947</v>
      </c>
      <c r="S61" s="72">
        <f t="shared" si="20"/>
        <v>2419581.4900000007</v>
      </c>
      <c r="T61" s="72">
        <f t="shared" si="20"/>
        <v>-22637.010352694571</v>
      </c>
    </row>
    <row r="62" spans="1:2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2">
      <c r="D63" s="11">
        <v>0</v>
      </c>
      <c r="G63" s="10">
        <v>0</v>
      </c>
      <c r="J63" s="11">
        <v>0.34999999962747097</v>
      </c>
      <c r="S63" s="10">
        <v>0</v>
      </c>
      <c r="T63" s="26">
        <f>T61/S61</f>
        <v>-9.3557544749999569E-3</v>
      </c>
    </row>
    <row r="64" spans="1:22">
      <c r="S64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65" orientation="landscape" r:id="rId1"/>
  <ignoredErrors>
    <ignoredError sqref="D7:T13 D15:T61 D14:J14 L14:T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showGridLines="0" topLeftCell="B1" zoomScale="70" zoomScaleNormal="70" workbookViewId="0">
      <selection activeCell="O40" sqref="O40"/>
    </sheetView>
  </sheetViews>
  <sheetFormatPr defaultRowHeight="14.4"/>
  <cols>
    <col min="1" max="1" width="10.44140625" customWidth="1"/>
    <col min="3" max="3" width="41.5546875" bestFit="1" customWidth="1"/>
    <col min="4" max="4" width="17.44140625" customWidth="1"/>
    <col min="5" max="5" width="14" customWidth="1"/>
    <col min="6" max="7" width="14.44140625" customWidth="1"/>
    <col min="8" max="8" width="12" customWidth="1"/>
    <col min="9" max="10" width="14.109375" customWidth="1"/>
    <col min="11" max="11" width="13.44140625" customWidth="1"/>
    <col min="12" max="12" width="14.554687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44140625" customWidth="1"/>
    <col min="19" max="19" width="15.88671875" customWidth="1"/>
    <col min="20" max="20" width="14.44140625" customWidth="1"/>
    <col min="21" max="21" width="0" hidden="1" customWidth="1"/>
    <col min="22" max="22" width="49.44140625" hidden="1" customWidth="1"/>
    <col min="23" max="23" width="11.44140625" customWidth="1"/>
  </cols>
  <sheetData>
    <row r="1" spans="1:22" ht="21">
      <c r="B1" s="110" t="s">
        <v>150</v>
      </c>
    </row>
    <row r="3" spans="1:2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8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6"/>
      <c r="O4" s="114" t="s">
        <v>2</v>
      </c>
      <c r="P4" s="115"/>
      <c r="Q4" s="115"/>
      <c r="R4" s="116"/>
      <c r="S4" s="2"/>
      <c r="T4" s="2"/>
    </row>
    <row r="5" spans="1:22" ht="81.599999999999994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38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1:22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1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45" t="s">
        <v>37</v>
      </c>
      <c r="T6" s="41" t="s">
        <v>38</v>
      </c>
    </row>
    <row r="7" spans="1:22">
      <c r="A7" t="s">
        <v>71</v>
      </c>
      <c r="B7" s="3">
        <v>1830</v>
      </c>
      <c r="C7" s="6" t="s">
        <v>44</v>
      </c>
      <c r="D7" s="31">
        <f>'2017 Dep Exp '!F7</f>
        <v>19527826.240000002</v>
      </c>
      <c r="E7" s="17"/>
      <c r="F7" s="4">
        <f>D7-E7</f>
        <v>19527826.240000002</v>
      </c>
      <c r="G7" s="70">
        <f>'2017 Dep Exp '!I7+'2017 Dep Exp '!J7</f>
        <v>8942250.5800000019</v>
      </c>
      <c r="H7" s="17"/>
      <c r="I7" s="4">
        <f>G7-H7</f>
        <v>8942250.5800000019</v>
      </c>
      <c r="J7" s="70">
        <v>1838091.1600000001</v>
      </c>
      <c r="K7" s="18">
        <v>49</v>
      </c>
      <c r="L7" s="19">
        <f>IF(K7=0,0,1/K7)</f>
        <v>2.0408163265306121E-2</v>
      </c>
      <c r="M7" s="18">
        <v>50</v>
      </c>
      <c r="N7" s="20">
        <f>IF(M7=0,0,1/M7)</f>
        <v>0.02</v>
      </c>
      <c r="O7" s="21">
        <f>IF(K7=0,0,+F7/K7)</f>
        <v>398527.066122449</v>
      </c>
      <c r="P7" s="21">
        <f>IF(M7=0,0,+I7/M7)</f>
        <v>178845.01160000003</v>
      </c>
      <c r="Q7" s="22">
        <f>IF(M7=0,0,+(J7*0.5)/M7)</f>
        <v>18380.911600000003</v>
      </c>
      <c r="R7" s="23">
        <f>IF(ISERROR(+O7+P7+Q7),0,+O7+P7+Q7)</f>
        <v>595752.98932244908</v>
      </c>
      <c r="S7" s="70">
        <v>582051.88</v>
      </c>
      <c r="T7" s="24">
        <f>IF(ISERROR(+S7-R7),0,+S7-R7)</f>
        <v>-13701.109322449076</v>
      </c>
      <c r="V7" t="str">
        <f>CONCATENATE(B7,C7)</f>
        <v>1830Poles</v>
      </c>
    </row>
    <row r="8" spans="1:22">
      <c r="A8" t="s">
        <v>72</v>
      </c>
      <c r="B8" s="3">
        <v>1835</v>
      </c>
      <c r="C8" s="6" t="s">
        <v>45</v>
      </c>
      <c r="D8" s="31">
        <f>'2017 Dep Exp '!F8</f>
        <v>6516643.6000000006</v>
      </c>
      <c r="E8" s="17"/>
      <c r="F8" s="4">
        <f t="shared" ref="F8:F18" si="0">D8-E8</f>
        <v>6516643.6000000006</v>
      </c>
      <c r="G8" s="70">
        <f>'2017 Dep Exp '!I8+'2017 Dep Exp '!J8</f>
        <v>254285.41999999926</v>
      </c>
      <c r="H8" s="17"/>
      <c r="I8" s="4">
        <f t="shared" ref="I8:I57" si="1">G8-H8</f>
        <v>254285.41999999926</v>
      </c>
      <c r="J8" s="70">
        <v>90049.900000000373</v>
      </c>
      <c r="K8" s="18">
        <v>46</v>
      </c>
      <c r="L8" s="19">
        <f t="shared" ref="L8:L57" si="2">IF(K8=0,0,1/K8)</f>
        <v>2.1739130434782608E-2</v>
      </c>
      <c r="M8" s="18">
        <v>50</v>
      </c>
      <c r="N8" s="20">
        <f t="shared" ref="N8:N57" si="3">IF(M8=0,0,1/M8)</f>
        <v>0.02</v>
      </c>
      <c r="O8" s="21">
        <f t="shared" ref="O8:O18" si="4">IF(K8=0,0,+F8/K8)</f>
        <v>141666.1652173913</v>
      </c>
      <c r="P8" s="21">
        <f t="shared" ref="P8:P57" si="5">IF(M8=0,0,+I8/M8)</f>
        <v>5085.708399999985</v>
      </c>
      <c r="Q8" s="22">
        <f>IF(M8=0,0,+(J8*0.5)/M8)</f>
        <v>900.49900000000378</v>
      </c>
      <c r="R8" s="23">
        <f t="shared" ref="R8:R18" si="6">IF(ISERROR(+O8+P8+Q8),0,+O8+P8+Q8)</f>
        <v>147652.37261739129</v>
      </c>
      <c r="S8" s="70">
        <v>152752.57</v>
      </c>
      <c r="T8" s="24">
        <f t="shared" ref="T8:T18" si="7">IF(ISERROR(+S8-R8),0,+S8-R8)</f>
        <v>5100.1973826087196</v>
      </c>
      <c r="V8" t="str">
        <f t="shared" ref="V8:V60" si="8">CONCATENATE(B8,C8)</f>
        <v>1835OH Conductors</v>
      </c>
    </row>
    <row r="9" spans="1:22">
      <c r="A9" t="s">
        <v>73</v>
      </c>
      <c r="B9" s="3">
        <v>1835</v>
      </c>
      <c r="C9" s="6" t="s">
        <v>46</v>
      </c>
      <c r="D9" s="31">
        <f>'2017 Dep Exp '!F9</f>
        <v>1292.6100000000001</v>
      </c>
      <c r="E9" s="17"/>
      <c r="F9" s="4">
        <f t="shared" si="0"/>
        <v>1292.6100000000001</v>
      </c>
      <c r="G9" s="70">
        <f>'2017 Dep Exp '!I9+'2017 Dep Exp '!J9</f>
        <v>1094521.57</v>
      </c>
      <c r="H9" s="17"/>
      <c r="I9" s="4">
        <f t="shared" si="1"/>
        <v>1094521.57</v>
      </c>
      <c r="J9" s="70">
        <v>872638.30999999994</v>
      </c>
      <c r="K9" s="18">
        <v>34.5</v>
      </c>
      <c r="L9" s="19">
        <f t="shared" si="2"/>
        <v>2.8985507246376812E-2</v>
      </c>
      <c r="M9" s="18">
        <v>40</v>
      </c>
      <c r="N9" s="20">
        <f t="shared" si="3"/>
        <v>2.5000000000000001E-2</v>
      </c>
      <c r="O9" s="21">
        <f t="shared" si="4"/>
        <v>37.466956521739135</v>
      </c>
      <c r="P9" s="21">
        <f t="shared" si="5"/>
        <v>27363.039250000002</v>
      </c>
      <c r="Q9" s="22">
        <f>IF(M9=0,0,+(J9*0.5)/M9)</f>
        <v>10907.978874999999</v>
      </c>
      <c r="R9" s="23">
        <f t="shared" si="6"/>
        <v>38308.485081521743</v>
      </c>
      <c r="S9" s="70">
        <v>57500.66</v>
      </c>
      <c r="T9" s="24">
        <f t="shared" si="7"/>
        <v>19192.17491847826</v>
      </c>
      <c r="V9" t="str">
        <f t="shared" si="8"/>
        <v>1835OH Switches</v>
      </c>
    </row>
    <row r="10" spans="1:22">
      <c r="B10" s="3"/>
      <c r="C10" s="6"/>
      <c r="D10" s="31">
        <f>'2017 Dep Exp '!F10</f>
        <v>0</v>
      </c>
      <c r="E10" s="17"/>
      <c r="F10" s="4"/>
      <c r="G10" s="70">
        <f>'2017 Dep Exp '!I10+'2017 Dep Exp '!J10</f>
        <v>0</v>
      </c>
      <c r="H10" s="17"/>
      <c r="I10" s="4">
        <f t="shared" si="1"/>
        <v>0</v>
      </c>
      <c r="J10" s="70">
        <v>0</v>
      </c>
      <c r="K10" s="18">
        <v>0</v>
      </c>
      <c r="L10" s="19">
        <f t="shared" si="2"/>
        <v>0</v>
      </c>
      <c r="M10" s="18">
        <v>0</v>
      </c>
      <c r="N10" s="20">
        <f t="shared" si="3"/>
        <v>0</v>
      </c>
      <c r="O10" s="21"/>
      <c r="P10" s="21">
        <f t="shared" si="5"/>
        <v>0</v>
      </c>
      <c r="Q10" s="22"/>
      <c r="R10" s="23"/>
      <c r="S10" s="70">
        <v>0</v>
      </c>
      <c r="T10" s="24"/>
    </row>
    <row r="11" spans="1:22">
      <c r="A11" t="s">
        <v>74</v>
      </c>
      <c r="B11" s="3">
        <v>1845</v>
      </c>
      <c r="C11" s="6" t="s">
        <v>47</v>
      </c>
      <c r="D11" s="31">
        <f>'2017 Dep Exp '!F11</f>
        <v>7045633.0100000007</v>
      </c>
      <c r="E11" s="17"/>
      <c r="F11" s="4">
        <f t="shared" si="0"/>
        <v>7045633.0100000007</v>
      </c>
      <c r="G11" s="70">
        <f>'2017 Dep Exp '!I11+'2017 Dep Exp '!J11</f>
        <v>1231740.45</v>
      </c>
      <c r="H11" s="17"/>
      <c r="I11" s="4">
        <f t="shared" si="1"/>
        <v>1231740.45</v>
      </c>
      <c r="J11" s="70">
        <v>839235.14999999944</v>
      </c>
      <c r="K11" s="18">
        <v>36.5</v>
      </c>
      <c r="L11" s="19">
        <f t="shared" si="2"/>
        <v>2.7397260273972601E-2</v>
      </c>
      <c r="M11" s="18">
        <v>40</v>
      </c>
      <c r="N11" s="20">
        <f t="shared" si="3"/>
        <v>2.5000000000000001E-2</v>
      </c>
      <c r="O11" s="21">
        <f t="shared" si="4"/>
        <v>193031.04136986303</v>
      </c>
      <c r="P11" s="21">
        <f t="shared" si="5"/>
        <v>30793.51125</v>
      </c>
      <c r="Q11" s="22">
        <f t="shared" ref="Q11:Q18" si="9">IF(M11=0,0,+(J11*0.5)/M11)</f>
        <v>10490.439374999993</v>
      </c>
      <c r="R11" s="23">
        <f t="shared" si="6"/>
        <v>234314.99199486303</v>
      </c>
      <c r="S11" s="70">
        <v>259304.24</v>
      </c>
      <c r="T11" s="24">
        <f t="shared" si="7"/>
        <v>24989.248005136964</v>
      </c>
      <c r="V11" t="str">
        <f t="shared" si="8"/>
        <v>1845UG Primary Cables</v>
      </c>
    </row>
    <row r="12" spans="1:22">
      <c r="A12" t="s">
        <v>75</v>
      </c>
      <c r="B12" s="3">
        <v>1845</v>
      </c>
      <c r="C12" s="6" t="s">
        <v>48</v>
      </c>
      <c r="D12" s="31">
        <f>'2017 Dep Exp '!F12</f>
        <v>3303315.36</v>
      </c>
      <c r="E12" s="17"/>
      <c r="F12" s="4">
        <f t="shared" si="0"/>
        <v>3303315.36</v>
      </c>
      <c r="G12" s="70">
        <f>'2017 Dep Exp '!I12+'2017 Dep Exp '!J12</f>
        <v>798354.05000000028</v>
      </c>
      <c r="H12" s="17"/>
      <c r="I12" s="4">
        <f t="shared" si="1"/>
        <v>798354.05000000028</v>
      </c>
      <c r="J12" s="70">
        <v>850223.76999999955</v>
      </c>
      <c r="K12" s="18">
        <v>34.5</v>
      </c>
      <c r="L12" s="19">
        <f t="shared" si="2"/>
        <v>2.8985507246376812E-2</v>
      </c>
      <c r="M12" s="18">
        <v>40</v>
      </c>
      <c r="N12" s="20">
        <f t="shared" si="3"/>
        <v>2.5000000000000001E-2</v>
      </c>
      <c r="O12" s="21">
        <f t="shared" si="4"/>
        <v>95748.271304347829</v>
      </c>
      <c r="P12" s="21">
        <f t="shared" si="5"/>
        <v>19958.851250000007</v>
      </c>
      <c r="Q12" s="22">
        <f t="shared" si="9"/>
        <v>10627.797124999994</v>
      </c>
      <c r="R12" s="23">
        <f t="shared" si="6"/>
        <v>126334.91967934783</v>
      </c>
      <c r="S12" s="70">
        <v>119854.65</v>
      </c>
      <c r="T12" s="24">
        <f t="shared" si="7"/>
        <v>-6480.269679347839</v>
      </c>
      <c r="V12" t="str">
        <f t="shared" si="8"/>
        <v>1845UG Secondary Cables</v>
      </c>
    </row>
    <row r="13" spans="1:22">
      <c r="A13" t="s">
        <v>76</v>
      </c>
      <c r="B13" s="3">
        <v>1845</v>
      </c>
      <c r="C13" s="6" t="s">
        <v>49</v>
      </c>
      <c r="D13" s="31">
        <f>'2017 Dep Exp '!F13</f>
        <v>2737.28</v>
      </c>
      <c r="E13" s="17"/>
      <c r="F13" s="4">
        <f t="shared" si="0"/>
        <v>2737.28</v>
      </c>
      <c r="G13" s="70">
        <f>'2017 Dep Exp '!I13+'2017 Dep Exp '!J13</f>
        <v>562327.61</v>
      </c>
      <c r="H13" s="17"/>
      <c r="I13" s="4">
        <f t="shared" si="1"/>
        <v>562327.61</v>
      </c>
      <c r="J13" s="70">
        <v>53936.410000000033</v>
      </c>
      <c r="K13" s="18">
        <v>24.181818181818183</v>
      </c>
      <c r="L13" s="19">
        <f t="shared" si="2"/>
        <v>4.1353383458646614E-2</v>
      </c>
      <c r="M13" s="18">
        <v>50</v>
      </c>
      <c r="N13" s="20">
        <f t="shared" si="3"/>
        <v>0.02</v>
      </c>
      <c r="O13" s="21">
        <f t="shared" si="4"/>
        <v>113.19578947368421</v>
      </c>
      <c r="P13" s="21">
        <f t="shared" si="5"/>
        <v>11246.5522</v>
      </c>
      <c r="Q13" s="22">
        <f t="shared" si="9"/>
        <v>539.36410000000035</v>
      </c>
      <c r="R13" s="23">
        <f t="shared" si="6"/>
        <v>11899.112089473685</v>
      </c>
      <c r="S13" s="70">
        <v>11361.83</v>
      </c>
      <c r="T13" s="24">
        <f t="shared" si="7"/>
        <v>-537.28208947368512</v>
      </c>
      <c r="V13" t="str">
        <f t="shared" si="8"/>
        <v>1845UG Switchgear</v>
      </c>
    </row>
    <row r="14" spans="1:22">
      <c r="A14" t="s">
        <v>77</v>
      </c>
      <c r="B14" s="3">
        <v>1840</v>
      </c>
      <c r="C14" s="6" t="s">
        <v>50</v>
      </c>
      <c r="D14" s="31">
        <f>'2017 Dep Exp '!F14</f>
        <v>1053497.98</v>
      </c>
      <c r="E14" s="17"/>
      <c r="F14" s="4">
        <f t="shared" si="0"/>
        <v>1053497.98</v>
      </c>
      <c r="G14" s="70">
        <f>'2017 Dep Exp '!I14+'2017 Dep Exp '!J14</f>
        <v>269937.06000000006</v>
      </c>
      <c r="H14" s="17"/>
      <c r="I14" s="4">
        <f t="shared" si="1"/>
        <v>269937.06000000006</v>
      </c>
      <c r="J14" s="70">
        <v>6985.3400000000838</v>
      </c>
      <c r="K14" s="18">
        <v>44.18181818181818</v>
      </c>
      <c r="L14" s="19">
        <f t="shared" si="2"/>
        <v>2.2633744855967079E-2</v>
      </c>
      <c r="M14" s="18">
        <v>50</v>
      </c>
      <c r="N14" s="20">
        <f t="shared" si="3"/>
        <v>0.02</v>
      </c>
      <c r="O14" s="21">
        <f t="shared" si="4"/>
        <v>23844.604485596708</v>
      </c>
      <c r="P14" s="21">
        <f t="shared" si="5"/>
        <v>5398.7412000000013</v>
      </c>
      <c r="Q14" s="22">
        <f t="shared" si="9"/>
        <v>69.853400000000832</v>
      </c>
      <c r="R14" s="23">
        <f t="shared" si="6"/>
        <v>29313.199085596709</v>
      </c>
      <c r="S14" s="70">
        <v>27112.11</v>
      </c>
      <c r="T14" s="24">
        <f t="shared" si="7"/>
        <v>-2201.0890855967082</v>
      </c>
      <c r="V14" t="str">
        <f t="shared" si="8"/>
        <v>1840Ducts</v>
      </c>
    </row>
    <row r="15" spans="1:22">
      <c r="A15" t="s">
        <v>88</v>
      </c>
      <c r="B15" s="3"/>
      <c r="C15" s="6"/>
      <c r="D15" s="31">
        <f>'2017 Dep Exp '!F15</f>
        <v>0</v>
      </c>
      <c r="E15" s="17"/>
      <c r="F15" s="4">
        <f t="shared" si="0"/>
        <v>0</v>
      </c>
      <c r="G15" s="70">
        <f>'2017 Dep Exp '!I15+'2017 Dep Exp '!J15</f>
        <v>0</v>
      </c>
      <c r="H15" s="17"/>
      <c r="I15" s="4">
        <f t="shared" si="1"/>
        <v>0</v>
      </c>
      <c r="J15" s="70"/>
      <c r="K15" s="18">
        <v>0</v>
      </c>
      <c r="L15" s="19">
        <f t="shared" si="2"/>
        <v>0</v>
      </c>
      <c r="M15" s="18">
        <v>0</v>
      </c>
      <c r="N15" s="20">
        <f t="shared" si="3"/>
        <v>0</v>
      </c>
      <c r="O15" s="21">
        <f t="shared" si="4"/>
        <v>0</v>
      </c>
      <c r="P15" s="21">
        <f t="shared" si="5"/>
        <v>0</v>
      </c>
      <c r="Q15" s="22">
        <f t="shared" si="9"/>
        <v>0</v>
      </c>
      <c r="R15" s="23">
        <f t="shared" si="6"/>
        <v>0</v>
      </c>
      <c r="S15" s="70"/>
      <c r="T15" s="24">
        <f t="shared" si="7"/>
        <v>0</v>
      </c>
      <c r="V15" t="str">
        <f t="shared" si="8"/>
        <v/>
      </c>
    </row>
    <row r="16" spans="1:22">
      <c r="B16" s="3"/>
      <c r="C16" s="6"/>
      <c r="D16" s="31">
        <f>'2017 Dep Exp '!F16</f>
        <v>0</v>
      </c>
      <c r="E16" s="17"/>
      <c r="F16" s="4">
        <f t="shared" si="0"/>
        <v>0</v>
      </c>
      <c r="G16" s="70">
        <f>'2017 Dep Exp '!I16+'2017 Dep Exp '!J16</f>
        <v>0</v>
      </c>
      <c r="H16" s="17"/>
      <c r="I16" s="4">
        <f t="shared" si="1"/>
        <v>0</v>
      </c>
      <c r="J16" s="70"/>
      <c r="K16" s="18">
        <v>0</v>
      </c>
      <c r="L16" s="19">
        <f t="shared" si="2"/>
        <v>0</v>
      </c>
      <c r="M16" s="18">
        <v>0</v>
      </c>
      <c r="N16" s="20">
        <f t="shared" si="3"/>
        <v>0</v>
      </c>
      <c r="O16" s="21">
        <f t="shared" si="4"/>
        <v>0</v>
      </c>
      <c r="P16" s="21">
        <f t="shared" si="5"/>
        <v>0</v>
      </c>
      <c r="Q16" s="22">
        <f t="shared" si="9"/>
        <v>0</v>
      </c>
      <c r="R16" s="23">
        <f t="shared" si="6"/>
        <v>0</v>
      </c>
      <c r="S16" s="70"/>
      <c r="T16" s="24">
        <f t="shared" si="7"/>
        <v>0</v>
      </c>
      <c r="V16" t="str">
        <f t="shared" si="8"/>
        <v/>
      </c>
    </row>
    <row r="17" spans="1:22">
      <c r="A17" t="s">
        <v>78</v>
      </c>
      <c r="B17" s="3">
        <v>1850</v>
      </c>
      <c r="C17" s="6" t="s">
        <v>51</v>
      </c>
      <c r="D17" s="31">
        <f>'2017 Dep Exp '!F17</f>
        <v>1136469.78</v>
      </c>
      <c r="E17" s="17"/>
      <c r="F17" s="4">
        <f t="shared" si="0"/>
        <v>1136469.78</v>
      </c>
      <c r="G17" s="70">
        <f>'2017 Dep Exp '!I17+'2017 Dep Exp '!J17</f>
        <v>5764094.3500000006</v>
      </c>
      <c r="H17" s="17"/>
      <c r="I17" s="4">
        <f t="shared" si="1"/>
        <v>5764094.3500000006</v>
      </c>
      <c r="J17" s="70">
        <v>1123944.96</v>
      </c>
      <c r="K17" s="18">
        <v>40</v>
      </c>
      <c r="L17" s="19">
        <f t="shared" si="2"/>
        <v>2.5000000000000001E-2</v>
      </c>
      <c r="M17" s="18">
        <v>40</v>
      </c>
      <c r="N17" s="20">
        <f t="shared" si="3"/>
        <v>2.5000000000000001E-2</v>
      </c>
      <c r="O17" s="21">
        <f t="shared" si="4"/>
        <v>28411.744500000001</v>
      </c>
      <c r="P17" s="21">
        <f t="shared" si="5"/>
        <v>144102.35875000001</v>
      </c>
      <c r="Q17" s="22">
        <f t="shared" si="9"/>
        <v>14049.312</v>
      </c>
      <c r="R17" s="23">
        <f t="shared" si="6"/>
        <v>186563.41525000002</v>
      </c>
      <c r="S17" s="70">
        <v>139002.9</v>
      </c>
      <c r="T17" s="24">
        <f t="shared" si="7"/>
        <v>-47560.515250000026</v>
      </c>
      <c r="V17" t="str">
        <f t="shared" si="8"/>
        <v>1850OH Transformers &amp; Voltage Regulators</v>
      </c>
    </row>
    <row r="18" spans="1:22">
      <c r="A18" t="s">
        <v>79</v>
      </c>
      <c r="B18" s="3">
        <v>1850</v>
      </c>
      <c r="C18" s="6" t="s">
        <v>52</v>
      </c>
      <c r="D18" s="31">
        <f>'2017 Dep Exp '!F18</f>
        <v>2956741.82</v>
      </c>
      <c r="E18" s="17"/>
      <c r="F18" s="4">
        <f t="shared" si="0"/>
        <v>2956741.82</v>
      </c>
      <c r="G18" s="70">
        <f>'2017 Dep Exp '!I18+'2017 Dep Exp '!J18</f>
        <v>148470.65</v>
      </c>
      <c r="H18" s="17"/>
      <c r="I18" s="4">
        <f t="shared" si="1"/>
        <v>148470.65</v>
      </c>
      <c r="J18" s="70">
        <v>1491.4700000002049</v>
      </c>
      <c r="K18" s="18">
        <v>28.846153846153847</v>
      </c>
      <c r="L18" s="19">
        <f t="shared" si="2"/>
        <v>3.4666666666666665E-2</v>
      </c>
      <c r="M18" s="18">
        <v>20</v>
      </c>
      <c r="N18" s="20">
        <f t="shared" si="3"/>
        <v>0.05</v>
      </c>
      <c r="O18" s="21">
        <f t="shared" si="4"/>
        <v>102500.38309333332</v>
      </c>
      <c r="P18" s="21">
        <f t="shared" si="5"/>
        <v>7423.5324999999993</v>
      </c>
      <c r="Q18" s="22">
        <f t="shared" si="9"/>
        <v>37.286750000005121</v>
      </c>
      <c r="R18" s="23">
        <f t="shared" si="6"/>
        <v>109961.20234333332</v>
      </c>
      <c r="S18" s="70">
        <v>102164.36</v>
      </c>
      <c r="T18" s="24">
        <f t="shared" si="7"/>
        <v>-7796.8423433333228</v>
      </c>
      <c r="V18" t="str">
        <f t="shared" si="8"/>
        <v>1850Transformers incl. grounding system</v>
      </c>
    </row>
    <row r="19" spans="1:22">
      <c r="B19" s="3"/>
      <c r="C19" s="6"/>
      <c r="D19" s="31">
        <f>'2017 Dep Exp '!F19</f>
        <v>0</v>
      </c>
      <c r="E19" s="17"/>
      <c r="F19" s="4"/>
      <c r="G19" s="70">
        <f>'2017 Dep Exp '!I19+'2017 Dep Exp '!J19</f>
        <v>0</v>
      </c>
      <c r="H19" s="17"/>
      <c r="I19" s="4">
        <f t="shared" si="1"/>
        <v>0</v>
      </c>
      <c r="J19" s="70">
        <v>0</v>
      </c>
      <c r="K19" s="18">
        <v>0</v>
      </c>
      <c r="L19" s="19">
        <f t="shared" si="2"/>
        <v>0</v>
      </c>
      <c r="M19" s="18">
        <v>0</v>
      </c>
      <c r="N19" s="20">
        <f t="shared" si="3"/>
        <v>0</v>
      </c>
      <c r="O19" s="21"/>
      <c r="P19" s="21">
        <f t="shared" si="5"/>
        <v>0</v>
      </c>
      <c r="Q19" s="22"/>
      <c r="R19" s="23"/>
      <c r="S19" s="70">
        <v>0</v>
      </c>
      <c r="T19" s="24"/>
    </row>
    <row r="20" spans="1:22">
      <c r="A20" t="s">
        <v>80</v>
      </c>
      <c r="B20" s="3">
        <v>1820</v>
      </c>
      <c r="C20" s="6" t="s">
        <v>53</v>
      </c>
      <c r="D20" s="31">
        <f>'2017 Dep Exp '!F20</f>
        <v>1090831.99</v>
      </c>
      <c r="E20" s="17"/>
      <c r="F20" s="4">
        <f t="shared" ref="F20:F60" si="10">D20-E20</f>
        <v>1090831.99</v>
      </c>
      <c r="G20" s="70">
        <f>'2017 Dep Exp '!I20+'2017 Dep Exp '!J20</f>
        <v>406128.80000000016</v>
      </c>
      <c r="H20" s="17"/>
      <c r="I20" s="4">
        <f t="shared" si="1"/>
        <v>406128.80000000016</v>
      </c>
      <c r="J20" s="70">
        <v>16021.790000000037</v>
      </c>
      <c r="K20" s="18">
        <v>13.846153846153847</v>
      </c>
      <c r="L20" s="19">
        <f t="shared" si="2"/>
        <v>7.2222222222222215E-2</v>
      </c>
      <c r="M20" s="18">
        <v>20</v>
      </c>
      <c r="N20" s="20">
        <f t="shared" si="3"/>
        <v>0.05</v>
      </c>
      <c r="O20" s="21">
        <f t="shared" ref="O20:O60" si="11">IF(K20=0,0,+F20/K20)</f>
        <v>78782.310388888887</v>
      </c>
      <c r="P20" s="21">
        <f t="shared" si="5"/>
        <v>20306.44000000001</v>
      </c>
      <c r="Q20" s="22">
        <f>IF(M20=0,0,+(J20*0.5)/M20)</f>
        <v>400.54475000000093</v>
      </c>
      <c r="R20" s="23">
        <f t="shared" ref="R20:R60" si="12">IF(ISERROR(+O20+P20+Q20),0,+O20+P20+Q20)</f>
        <v>99489.295138888905</v>
      </c>
      <c r="S20" s="70">
        <v>99375.03</v>
      </c>
      <c r="T20" s="24">
        <f t="shared" ref="T20:T60" si="13">IF(ISERROR(+S20-R20),0,+S20-R20)</f>
        <v>-114.26513888890622</v>
      </c>
      <c r="V20" t="str">
        <f t="shared" si="8"/>
        <v>1820DC Service Station</v>
      </c>
    </row>
    <row r="21" spans="1:22">
      <c r="A21" t="s">
        <v>81</v>
      </c>
      <c r="B21" s="3">
        <v>1820</v>
      </c>
      <c r="C21" s="6" t="s">
        <v>83</v>
      </c>
      <c r="D21" s="31">
        <f>'2017 Dep Exp '!F21</f>
        <v>0</v>
      </c>
      <c r="E21" s="17"/>
      <c r="F21" s="4">
        <f t="shared" si="10"/>
        <v>0</v>
      </c>
      <c r="G21" s="70">
        <f>'2017 Dep Exp '!I21+'2017 Dep Exp '!J21</f>
        <v>0</v>
      </c>
      <c r="H21" s="17"/>
      <c r="I21" s="4">
        <f t="shared" si="1"/>
        <v>0</v>
      </c>
      <c r="J21" s="70">
        <v>0</v>
      </c>
      <c r="K21" s="18">
        <v>0</v>
      </c>
      <c r="L21" s="19">
        <f t="shared" si="2"/>
        <v>0</v>
      </c>
      <c r="M21" s="18">
        <v>40</v>
      </c>
      <c r="N21" s="20">
        <f t="shared" si="3"/>
        <v>2.5000000000000001E-2</v>
      </c>
      <c r="O21" s="21">
        <f t="shared" si="11"/>
        <v>0</v>
      </c>
      <c r="P21" s="21">
        <f t="shared" si="5"/>
        <v>0</v>
      </c>
      <c r="Q21" s="22">
        <f>IF(M21=0,0,+(J21*0.5)/M21)</f>
        <v>0</v>
      </c>
      <c r="R21" s="23">
        <f t="shared" si="12"/>
        <v>0</v>
      </c>
      <c r="S21" s="70">
        <v>0</v>
      </c>
      <c r="T21" s="24">
        <f t="shared" si="13"/>
        <v>0</v>
      </c>
      <c r="V21" t="str">
        <f t="shared" si="8"/>
        <v>1820DC Service Station Transformer</v>
      </c>
    </row>
    <row r="22" spans="1:22">
      <c r="A22" t="s">
        <v>82</v>
      </c>
      <c r="B22" s="3">
        <v>1820</v>
      </c>
      <c r="C22" s="6" t="s">
        <v>84</v>
      </c>
      <c r="D22" s="31">
        <f>'2017 Dep Exp '!F22</f>
        <v>0</v>
      </c>
      <c r="E22" s="17"/>
      <c r="F22" s="4">
        <f t="shared" si="10"/>
        <v>0</v>
      </c>
      <c r="G22" s="70">
        <f>'2017 Dep Exp '!I22+'2017 Dep Exp '!J22</f>
        <v>858919.14</v>
      </c>
      <c r="H22" s="17"/>
      <c r="I22" s="4">
        <f t="shared" si="1"/>
        <v>858919.14</v>
      </c>
      <c r="J22" s="70">
        <v>1837.3800000000047</v>
      </c>
      <c r="K22" s="18">
        <v>0</v>
      </c>
      <c r="L22" s="19">
        <f t="shared" si="2"/>
        <v>0</v>
      </c>
      <c r="M22" s="18">
        <v>40</v>
      </c>
      <c r="N22" s="20">
        <f t="shared" si="3"/>
        <v>2.5000000000000001E-2</v>
      </c>
      <c r="O22" s="21">
        <f t="shared" si="11"/>
        <v>0</v>
      </c>
      <c r="P22" s="21">
        <f t="shared" si="5"/>
        <v>21472.978500000001</v>
      </c>
      <c r="Q22" s="22">
        <f>IF(M22=0,0,+(J22*0.5)/M22)</f>
        <v>22.967250000000057</v>
      </c>
      <c r="R22" s="23">
        <f t="shared" si="12"/>
        <v>21495.945750000003</v>
      </c>
      <c r="S22" s="70">
        <v>21495.95</v>
      </c>
      <c r="T22" s="24">
        <f t="shared" si="13"/>
        <v>4.2499999981373549E-3</v>
      </c>
      <c r="V22" t="str">
        <f t="shared" si="8"/>
        <v>1820DC Service Stations SwitchGear</v>
      </c>
    </row>
    <row r="23" spans="1:22">
      <c r="B23" s="3"/>
      <c r="C23" s="6"/>
      <c r="D23" s="31">
        <f>'2017 Dep Exp '!F23</f>
        <v>0</v>
      </c>
      <c r="E23" s="17"/>
      <c r="F23" s="4"/>
      <c r="G23" s="70">
        <f>'2017 Dep Exp '!I23+'2017 Dep Exp '!J23</f>
        <v>0</v>
      </c>
      <c r="H23" s="17"/>
      <c r="I23" s="4">
        <f t="shared" si="1"/>
        <v>0</v>
      </c>
      <c r="J23" s="70">
        <v>0</v>
      </c>
      <c r="K23" s="18">
        <v>0</v>
      </c>
      <c r="L23" s="19">
        <f t="shared" si="2"/>
        <v>0</v>
      </c>
      <c r="M23" s="18">
        <v>0</v>
      </c>
      <c r="N23" s="20">
        <f t="shared" si="3"/>
        <v>0</v>
      </c>
      <c r="O23" s="21"/>
      <c r="P23" s="21">
        <f t="shared" si="5"/>
        <v>0</v>
      </c>
      <c r="Q23" s="22"/>
      <c r="R23" s="23"/>
      <c r="S23" s="70">
        <v>0</v>
      </c>
      <c r="T23" s="24"/>
    </row>
    <row r="24" spans="1:22">
      <c r="A24" t="s">
        <v>89</v>
      </c>
      <c r="B24" s="3">
        <v>1835</v>
      </c>
      <c r="C24" s="6" t="s">
        <v>54</v>
      </c>
      <c r="D24" s="31">
        <f>'2017 Dep Exp '!F24</f>
        <v>2320724.8000000003</v>
      </c>
      <c r="E24" s="17"/>
      <c r="F24" s="4">
        <f t="shared" si="10"/>
        <v>2320724.8000000003</v>
      </c>
      <c r="G24" s="70">
        <f>'2017 Dep Exp '!I24+'2017 Dep Exp '!J24</f>
        <v>0</v>
      </c>
      <c r="H24" s="17"/>
      <c r="I24" s="4">
        <f t="shared" si="1"/>
        <v>0</v>
      </c>
      <c r="J24" s="70">
        <v>0</v>
      </c>
      <c r="K24" s="18">
        <v>33.846153846153847</v>
      </c>
      <c r="L24" s="19">
        <f t="shared" si="2"/>
        <v>2.9545454545454545E-2</v>
      </c>
      <c r="M24" s="18">
        <v>40</v>
      </c>
      <c r="N24" s="20">
        <f t="shared" si="3"/>
        <v>2.5000000000000001E-2</v>
      </c>
      <c r="O24" s="21">
        <f t="shared" si="11"/>
        <v>68566.869090909095</v>
      </c>
      <c r="P24" s="21">
        <f t="shared" si="5"/>
        <v>0</v>
      </c>
      <c r="Q24" s="22">
        <f>IF(M24=0,0,+(J24*0.5)/M24)</f>
        <v>0</v>
      </c>
      <c r="R24" s="23">
        <f t="shared" si="12"/>
        <v>68566.869090909095</v>
      </c>
      <c r="S24" s="70">
        <v>68916.33</v>
      </c>
      <c r="T24" s="24">
        <f t="shared" si="13"/>
        <v>349.46090909090708</v>
      </c>
      <c r="V24" t="str">
        <f t="shared" si="8"/>
        <v>1835Switchgear - Air &amp; Gas</v>
      </c>
    </row>
    <row r="25" spans="1:22">
      <c r="A25" t="s">
        <v>90</v>
      </c>
      <c r="B25" s="3">
        <v>1850</v>
      </c>
      <c r="C25" s="6" t="s">
        <v>55</v>
      </c>
      <c r="D25" s="31">
        <f>'2017 Dep Exp '!F25</f>
        <v>5264526.66</v>
      </c>
      <c r="E25" s="17"/>
      <c r="F25" s="4">
        <f t="shared" si="10"/>
        <v>5264526.66</v>
      </c>
      <c r="G25" s="70">
        <f>'2017 Dep Exp '!I25+'2017 Dep Exp '!J25</f>
        <v>770399.35000000056</v>
      </c>
      <c r="H25" s="17"/>
      <c r="I25" s="4">
        <f t="shared" si="1"/>
        <v>770399.35000000056</v>
      </c>
      <c r="J25" s="70">
        <v>835900.83999999985</v>
      </c>
      <c r="K25" s="18">
        <v>36.270000000000003</v>
      </c>
      <c r="L25" s="19">
        <f t="shared" si="2"/>
        <v>2.7570995312930793E-2</v>
      </c>
      <c r="M25" s="18">
        <v>40</v>
      </c>
      <c r="N25" s="20">
        <f t="shared" si="3"/>
        <v>2.5000000000000001E-2</v>
      </c>
      <c r="O25" s="21">
        <f t="shared" si="11"/>
        <v>145148.23986765923</v>
      </c>
      <c r="P25" s="21">
        <f t="shared" si="5"/>
        <v>19259.983750000014</v>
      </c>
      <c r="Q25" s="22">
        <f>IF(M25=0,0,+(J25*0.5)/M25)</f>
        <v>10448.760499999999</v>
      </c>
      <c r="R25" s="23">
        <f t="shared" si="12"/>
        <v>174856.98411765925</v>
      </c>
      <c r="S25" s="70">
        <v>169741.01</v>
      </c>
      <c r="T25" s="24">
        <f t="shared" si="13"/>
        <v>-5115.9741176592361</v>
      </c>
      <c r="V25" t="str">
        <f t="shared" si="8"/>
        <v>1850UG Transformer</v>
      </c>
    </row>
    <row r="26" spans="1:22">
      <c r="B26" s="3"/>
      <c r="C26" s="6"/>
      <c r="D26" s="31">
        <f>'2017 Dep Exp '!F26</f>
        <v>0</v>
      </c>
      <c r="E26" s="17"/>
      <c r="F26" s="4"/>
      <c r="G26" s="70">
        <f>'2017 Dep Exp '!I26+'2017 Dep Exp '!J26</f>
        <v>0</v>
      </c>
      <c r="H26" s="17"/>
      <c r="I26" s="4">
        <f t="shared" si="1"/>
        <v>0</v>
      </c>
      <c r="J26" s="70">
        <v>0</v>
      </c>
      <c r="K26" s="18">
        <v>0</v>
      </c>
      <c r="L26" s="19">
        <f t="shared" si="2"/>
        <v>0</v>
      </c>
      <c r="M26" s="18">
        <v>0</v>
      </c>
      <c r="N26" s="20">
        <f t="shared" si="3"/>
        <v>0</v>
      </c>
      <c r="O26" s="21"/>
      <c r="P26" s="21">
        <f t="shared" si="5"/>
        <v>0</v>
      </c>
      <c r="Q26" s="22"/>
      <c r="R26" s="23"/>
      <c r="S26" s="70">
        <v>0</v>
      </c>
      <c r="T26" s="24"/>
    </row>
    <row r="27" spans="1:22">
      <c r="A27" t="s">
        <v>91</v>
      </c>
      <c r="B27" s="3">
        <v>1860</v>
      </c>
      <c r="C27" s="6" t="s">
        <v>56</v>
      </c>
      <c r="D27" s="31">
        <f>'2017 Dep Exp '!F27</f>
        <v>1918641.54</v>
      </c>
      <c r="E27" s="17"/>
      <c r="F27" s="4">
        <f t="shared" si="10"/>
        <v>1918641.54</v>
      </c>
      <c r="G27" s="70">
        <f>'2017 Dep Exp '!I27+'2017 Dep Exp '!J27</f>
        <v>46412.979999999981</v>
      </c>
      <c r="H27" s="17"/>
      <c r="I27" s="4">
        <f t="shared" si="1"/>
        <v>46412.979999999981</v>
      </c>
      <c r="J27" s="70">
        <v>8306.589999999851</v>
      </c>
      <c r="K27" s="18">
        <v>17.100000000000001</v>
      </c>
      <c r="L27" s="19">
        <f t="shared" si="2"/>
        <v>5.8479532163742687E-2</v>
      </c>
      <c r="M27" s="18">
        <v>20</v>
      </c>
      <c r="N27" s="20">
        <f t="shared" si="3"/>
        <v>0.05</v>
      </c>
      <c r="O27" s="21">
        <f t="shared" si="11"/>
        <v>112201.2596491228</v>
      </c>
      <c r="P27" s="21">
        <f t="shared" si="5"/>
        <v>2320.648999999999</v>
      </c>
      <c r="Q27" s="22">
        <f>IF(M27=0,0,+(J27*0.5)/M27)</f>
        <v>207.66474999999627</v>
      </c>
      <c r="R27" s="23">
        <f t="shared" si="12"/>
        <v>114729.5733991228</v>
      </c>
      <c r="S27" s="70">
        <v>110230.16</v>
      </c>
      <c r="T27" s="24">
        <f t="shared" si="13"/>
        <v>-4499.4133991228009</v>
      </c>
      <c r="V27" t="str">
        <f t="shared" si="8"/>
        <v>1860Industrial/Wholesale meters</v>
      </c>
    </row>
    <row r="28" spans="1:22">
      <c r="A28" t="s">
        <v>92</v>
      </c>
      <c r="B28" s="3">
        <v>1860</v>
      </c>
      <c r="C28" s="6" t="s">
        <v>57</v>
      </c>
      <c r="D28" s="31">
        <f>'2017 Dep Exp '!F28</f>
        <v>2864473.2199999997</v>
      </c>
      <c r="E28" s="17"/>
      <c r="F28" s="4">
        <f t="shared" si="10"/>
        <v>2864473.2199999997</v>
      </c>
      <c r="G28" s="70">
        <f>'2017 Dep Exp '!I28+'2017 Dep Exp '!J28</f>
        <v>40660.6</v>
      </c>
      <c r="H28" s="17"/>
      <c r="I28" s="4">
        <f t="shared" si="1"/>
        <v>40660.6</v>
      </c>
      <c r="J28" s="70">
        <v>33018.989999999991</v>
      </c>
      <c r="K28" s="18">
        <v>44</v>
      </c>
      <c r="L28" s="19">
        <f t="shared" si="2"/>
        <v>2.2727272727272728E-2</v>
      </c>
      <c r="M28" s="18">
        <v>45</v>
      </c>
      <c r="N28" s="20">
        <f t="shared" si="3"/>
        <v>2.2222222222222223E-2</v>
      </c>
      <c r="O28" s="21">
        <f t="shared" si="11"/>
        <v>65101.664090909086</v>
      </c>
      <c r="P28" s="21">
        <f t="shared" si="5"/>
        <v>903.56888888888886</v>
      </c>
      <c r="Q28" s="22">
        <f>IF(M28=0,0,+(J28*0.5)/M28)</f>
        <v>366.87766666666658</v>
      </c>
      <c r="R28" s="23">
        <f t="shared" si="12"/>
        <v>66372.110646464644</v>
      </c>
      <c r="S28" s="70">
        <v>61825.05</v>
      </c>
      <c r="T28" s="24">
        <f t="shared" si="13"/>
        <v>-4547.0606464646407</v>
      </c>
      <c r="V28" t="str">
        <f t="shared" si="8"/>
        <v>1860Other meters, PTs &amp; CTs</v>
      </c>
    </row>
    <row r="29" spans="1:22">
      <c r="A29" t="s">
        <v>93</v>
      </c>
      <c r="B29" s="3">
        <v>1860</v>
      </c>
      <c r="C29" s="6" t="s">
        <v>85</v>
      </c>
      <c r="D29" s="31">
        <f>'2017 Dep Exp '!F29</f>
        <v>0</v>
      </c>
      <c r="E29" s="17"/>
      <c r="F29" s="4">
        <f t="shared" si="10"/>
        <v>0</v>
      </c>
      <c r="G29" s="70">
        <f>'2017 Dep Exp '!I29+'2017 Dep Exp '!J29</f>
        <v>256922.12000000002</v>
      </c>
      <c r="H29" s="17"/>
      <c r="I29" s="4">
        <f t="shared" si="1"/>
        <v>256922.12000000002</v>
      </c>
      <c r="J29" s="70">
        <v>284379.74999999994</v>
      </c>
      <c r="K29" s="18">
        <v>0</v>
      </c>
      <c r="L29" s="19">
        <f t="shared" si="2"/>
        <v>0</v>
      </c>
      <c r="M29" s="18">
        <v>15</v>
      </c>
      <c r="N29" s="20">
        <f t="shared" si="3"/>
        <v>6.6666666666666666E-2</v>
      </c>
      <c r="O29" s="21">
        <f t="shared" si="11"/>
        <v>0</v>
      </c>
      <c r="P29" s="21">
        <f t="shared" si="5"/>
        <v>17128.141333333337</v>
      </c>
      <c r="Q29" s="22">
        <f>IF(M29=0,0,+(J29*0.5)/M29)</f>
        <v>9479.3249999999989</v>
      </c>
      <c r="R29" s="23">
        <f t="shared" si="12"/>
        <v>26607.466333333337</v>
      </c>
      <c r="S29" s="70">
        <v>29321.83</v>
      </c>
      <c r="T29" s="24">
        <f t="shared" si="13"/>
        <v>2714.3636666666644</v>
      </c>
      <c r="V29" t="str">
        <f t="shared" si="8"/>
        <v>1860Smart Meters</v>
      </c>
    </row>
    <row r="30" spans="1:22">
      <c r="A30" t="s">
        <v>94</v>
      </c>
      <c r="B30" s="3">
        <v>1860</v>
      </c>
      <c r="C30" s="6" t="s">
        <v>86</v>
      </c>
      <c r="D30" s="31">
        <f>'2017 Dep Exp '!F30</f>
        <v>0</v>
      </c>
      <c r="E30" s="17"/>
      <c r="F30" s="4">
        <f t="shared" si="10"/>
        <v>0</v>
      </c>
      <c r="G30" s="70">
        <f>'2017 Dep Exp '!I30+'2017 Dep Exp '!J30</f>
        <v>0</v>
      </c>
      <c r="H30" s="17"/>
      <c r="I30" s="4">
        <f t="shared" si="1"/>
        <v>0</v>
      </c>
      <c r="J30" s="70">
        <v>0</v>
      </c>
      <c r="K30" s="18">
        <v>0</v>
      </c>
      <c r="L30" s="19">
        <f t="shared" si="2"/>
        <v>0</v>
      </c>
      <c r="M30" s="18">
        <v>0</v>
      </c>
      <c r="N30" s="20">
        <f t="shared" si="3"/>
        <v>0</v>
      </c>
      <c r="O30" s="21">
        <f t="shared" si="11"/>
        <v>0</v>
      </c>
      <c r="P30" s="21">
        <f t="shared" si="5"/>
        <v>0</v>
      </c>
      <c r="Q30" s="22">
        <f>IF(M30=0,0,+(J30*0.5)/M30)</f>
        <v>0</v>
      </c>
      <c r="R30" s="23">
        <f t="shared" si="12"/>
        <v>0</v>
      </c>
      <c r="S30" s="70">
        <v>0</v>
      </c>
      <c r="T30" s="24">
        <f t="shared" si="13"/>
        <v>0</v>
      </c>
      <c r="V30" t="str">
        <f t="shared" si="8"/>
        <v>1860Smart meters -Data Collectors</v>
      </c>
    </row>
    <row r="31" spans="1:22">
      <c r="B31" s="3"/>
      <c r="C31" s="6"/>
      <c r="D31" s="31">
        <f>'2017 Dep Exp '!F31</f>
        <v>0</v>
      </c>
      <c r="E31" s="17"/>
      <c r="F31" s="4"/>
      <c r="G31" s="70">
        <f>'2017 Dep Exp '!I31+'2017 Dep Exp '!J31</f>
        <v>0</v>
      </c>
      <c r="H31" s="17"/>
      <c r="I31" s="4">
        <f t="shared" si="1"/>
        <v>0</v>
      </c>
      <c r="J31" s="70">
        <v>0</v>
      </c>
      <c r="K31" s="18">
        <v>0</v>
      </c>
      <c r="L31" s="19">
        <f t="shared" si="2"/>
        <v>0</v>
      </c>
      <c r="M31" s="18">
        <v>0</v>
      </c>
      <c r="N31" s="20">
        <f t="shared" si="3"/>
        <v>0</v>
      </c>
      <c r="O31" s="21"/>
      <c r="P31" s="21">
        <f t="shared" si="5"/>
        <v>0</v>
      </c>
      <c r="Q31" s="22"/>
      <c r="R31" s="23"/>
      <c r="S31" s="70">
        <v>0</v>
      </c>
      <c r="T31" s="24"/>
    </row>
    <row r="32" spans="1:22">
      <c r="A32" t="s">
        <v>95</v>
      </c>
      <c r="B32" s="3">
        <v>1805</v>
      </c>
      <c r="C32" s="6" t="s">
        <v>39</v>
      </c>
      <c r="D32" s="31">
        <f>'2017 Dep Exp '!F32</f>
        <v>591340.80000000005</v>
      </c>
      <c r="E32" s="17"/>
      <c r="F32" s="4">
        <f t="shared" si="10"/>
        <v>591340.80000000005</v>
      </c>
      <c r="G32" s="70">
        <f>'2017 Dep Exp '!I32+'2017 Dep Exp '!J32</f>
        <v>980478.61</v>
      </c>
      <c r="H32" s="17"/>
      <c r="I32" s="4">
        <f t="shared" si="1"/>
        <v>980478.61</v>
      </c>
      <c r="J32" s="70">
        <v>0</v>
      </c>
      <c r="K32" s="18">
        <v>0</v>
      </c>
      <c r="L32" s="19">
        <f t="shared" si="2"/>
        <v>0</v>
      </c>
      <c r="M32" s="18">
        <v>0</v>
      </c>
      <c r="N32" s="20">
        <f t="shared" si="3"/>
        <v>0</v>
      </c>
      <c r="O32" s="21">
        <f t="shared" si="11"/>
        <v>0</v>
      </c>
      <c r="P32" s="21">
        <f t="shared" si="5"/>
        <v>0</v>
      </c>
      <c r="Q32" s="22">
        <f t="shared" ref="Q32:Q57" si="14">IF(M32=0,0,+(J32*0.5)/M32)</f>
        <v>0</v>
      </c>
      <c r="R32" s="23">
        <f t="shared" si="12"/>
        <v>0</v>
      </c>
      <c r="S32" s="70">
        <v>0</v>
      </c>
      <c r="T32" s="24">
        <f t="shared" si="13"/>
        <v>0</v>
      </c>
      <c r="V32" t="str">
        <f t="shared" si="8"/>
        <v>1805Land</v>
      </c>
    </row>
    <row r="33" spans="1:22">
      <c r="B33" s="3">
        <v>1806</v>
      </c>
      <c r="C33" s="6" t="s">
        <v>58</v>
      </c>
      <c r="D33" s="31">
        <f>'2017 Dep Exp '!F33</f>
        <v>4738.32</v>
      </c>
      <c r="E33" s="17"/>
      <c r="F33" s="4">
        <f t="shared" si="10"/>
        <v>4738.32</v>
      </c>
      <c r="G33" s="70">
        <f>'2017 Dep Exp '!I33+'2017 Dep Exp '!J33</f>
        <v>0</v>
      </c>
      <c r="H33" s="17"/>
      <c r="I33" s="4">
        <f t="shared" si="1"/>
        <v>0</v>
      </c>
      <c r="J33" s="70">
        <v>0</v>
      </c>
      <c r="K33" s="18">
        <v>0</v>
      </c>
      <c r="L33" s="19">
        <f t="shared" si="2"/>
        <v>0</v>
      </c>
      <c r="M33" s="18">
        <v>0</v>
      </c>
      <c r="N33" s="20">
        <f t="shared" si="3"/>
        <v>0</v>
      </c>
      <c r="O33" s="21">
        <f t="shared" si="11"/>
        <v>0</v>
      </c>
      <c r="P33" s="21">
        <f t="shared" si="5"/>
        <v>0</v>
      </c>
      <c r="Q33" s="22">
        <f t="shared" si="14"/>
        <v>0</v>
      </c>
      <c r="R33" s="23">
        <f t="shared" si="12"/>
        <v>0</v>
      </c>
      <c r="S33" s="70">
        <v>0</v>
      </c>
      <c r="T33" s="24">
        <f t="shared" si="13"/>
        <v>0</v>
      </c>
      <c r="V33" t="str">
        <f t="shared" si="8"/>
        <v>1806Land Rights</v>
      </c>
    </row>
    <row r="34" spans="1:22">
      <c r="B34" s="3">
        <v>1806</v>
      </c>
      <c r="C34" s="6"/>
      <c r="D34" s="31">
        <f>'2017 Dep Exp '!F34</f>
        <v>0</v>
      </c>
      <c r="E34" s="17"/>
      <c r="F34" s="4">
        <f t="shared" si="10"/>
        <v>0</v>
      </c>
      <c r="G34" s="70">
        <f>'2017 Dep Exp '!I34+'2017 Dep Exp '!J34</f>
        <v>0</v>
      </c>
      <c r="H34" s="17"/>
      <c r="I34" s="4">
        <f t="shared" si="1"/>
        <v>0</v>
      </c>
      <c r="J34" s="70">
        <v>0</v>
      </c>
      <c r="K34" s="18">
        <v>0</v>
      </c>
      <c r="L34" s="19">
        <f t="shared" si="2"/>
        <v>0</v>
      </c>
      <c r="M34" s="18">
        <v>0</v>
      </c>
      <c r="N34" s="20">
        <f t="shared" si="3"/>
        <v>0</v>
      </c>
      <c r="O34" s="21">
        <f t="shared" si="11"/>
        <v>0</v>
      </c>
      <c r="P34" s="21">
        <f t="shared" si="5"/>
        <v>0</v>
      </c>
      <c r="Q34" s="22">
        <f t="shared" si="14"/>
        <v>0</v>
      </c>
      <c r="R34" s="23">
        <f t="shared" si="12"/>
        <v>0</v>
      </c>
      <c r="S34" s="70">
        <v>0</v>
      </c>
      <c r="T34" s="24">
        <f t="shared" si="13"/>
        <v>0</v>
      </c>
      <c r="V34" t="str">
        <f t="shared" si="8"/>
        <v>1806</v>
      </c>
    </row>
    <row r="35" spans="1:22">
      <c r="A35" t="s">
        <v>96</v>
      </c>
      <c r="B35" s="3">
        <v>1908</v>
      </c>
      <c r="C35" s="6" t="s">
        <v>59</v>
      </c>
      <c r="D35" s="31">
        <f>'2017 Dep Exp '!F35</f>
        <v>2689155.5100000002</v>
      </c>
      <c r="E35" s="17"/>
      <c r="F35" s="4">
        <f t="shared" si="10"/>
        <v>2689155.5100000002</v>
      </c>
      <c r="G35" s="70">
        <f>'2017 Dep Exp '!I35+'2017 Dep Exp '!J35</f>
        <v>279665.92000000016</v>
      </c>
      <c r="H35" s="17"/>
      <c r="I35" s="4">
        <f t="shared" si="1"/>
        <v>279665.92000000016</v>
      </c>
      <c r="J35" s="70">
        <v>71249</v>
      </c>
      <c r="K35" s="18">
        <v>34</v>
      </c>
      <c r="L35" s="19">
        <f t="shared" si="2"/>
        <v>2.9411764705882353E-2</v>
      </c>
      <c r="M35" s="18">
        <v>42</v>
      </c>
      <c r="N35" s="20">
        <f t="shared" si="3"/>
        <v>2.3809523809523808E-2</v>
      </c>
      <c r="O35" s="21">
        <f t="shared" si="11"/>
        <v>79092.809117647063</v>
      </c>
      <c r="P35" s="21">
        <f t="shared" si="5"/>
        <v>6658.7123809523846</v>
      </c>
      <c r="Q35" s="22">
        <f t="shared" si="14"/>
        <v>848.20238095238096</v>
      </c>
      <c r="R35" s="23">
        <f t="shared" si="12"/>
        <v>86599.723879551835</v>
      </c>
      <c r="S35" s="70">
        <v>89017.01</v>
      </c>
      <c r="T35" s="24">
        <f t="shared" si="13"/>
        <v>2417.2861204481596</v>
      </c>
      <c r="V35" t="str">
        <f t="shared" si="8"/>
        <v>1908Buildings and Fixtures</v>
      </c>
    </row>
    <row r="36" spans="1:22">
      <c r="B36" s="3"/>
      <c r="C36" s="6"/>
      <c r="D36" s="31">
        <f>'2017 Dep Exp '!F36</f>
        <v>0</v>
      </c>
      <c r="E36" s="17"/>
      <c r="F36" s="4">
        <f t="shared" si="10"/>
        <v>0</v>
      </c>
      <c r="G36" s="70">
        <f>'2017 Dep Exp '!I36+'2017 Dep Exp '!J36</f>
        <v>0</v>
      </c>
      <c r="H36" s="17"/>
      <c r="I36" s="4">
        <f t="shared" si="1"/>
        <v>0</v>
      </c>
      <c r="J36" s="70">
        <v>0</v>
      </c>
      <c r="K36" s="18">
        <v>0</v>
      </c>
      <c r="L36" s="19">
        <f t="shared" si="2"/>
        <v>0</v>
      </c>
      <c r="M36" s="18">
        <v>0</v>
      </c>
      <c r="N36" s="20">
        <f t="shared" si="3"/>
        <v>0</v>
      </c>
      <c r="O36" s="21">
        <f t="shared" si="11"/>
        <v>0</v>
      </c>
      <c r="P36" s="21">
        <f t="shared" si="5"/>
        <v>0</v>
      </c>
      <c r="Q36" s="22">
        <f t="shared" si="14"/>
        <v>0</v>
      </c>
      <c r="R36" s="23">
        <f t="shared" si="12"/>
        <v>0</v>
      </c>
      <c r="S36" s="70">
        <v>0</v>
      </c>
      <c r="T36" s="24">
        <f t="shared" si="13"/>
        <v>0</v>
      </c>
    </row>
    <row r="37" spans="1:22">
      <c r="A37" t="s">
        <v>97</v>
      </c>
      <c r="B37" s="3">
        <v>1915</v>
      </c>
      <c r="C37" s="6" t="s">
        <v>60</v>
      </c>
      <c r="D37" s="31">
        <f>'2017 Dep Exp '!F37</f>
        <v>15800.619999999995</v>
      </c>
      <c r="E37" s="17">
        <v>12708</v>
      </c>
      <c r="F37" s="4">
        <f t="shared" si="10"/>
        <v>3092.6199999999953</v>
      </c>
      <c r="G37" s="70">
        <f>'2017 Dep Exp '!I37+'2017 Dep Exp '!J37</f>
        <v>117076.09</v>
      </c>
      <c r="H37" s="17"/>
      <c r="I37" s="4">
        <f t="shared" si="1"/>
        <v>117076.09</v>
      </c>
      <c r="J37" s="70">
        <v>2677</v>
      </c>
      <c r="K37" s="18">
        <v>5</v>
      </c>
      <c r="L37" s="19">
        <f t="shared" si="2"/>
        <v>0.2</v>
      </c>
      <c r="M37" s="18">
        <v>5</v>
      </c>
      <c r="N37" s="20">
        <f t="shared" si="3"/>
        <v>0.2</v>
      </c>
      <c r="O37" s="21">
        <f t="shared" si="11"/>
        <v>618.52399999999909</v>
      </c>
      <c r="P37" s="21">
        <f t="shared" si="5"/>
        <v>23415.218000000001</v>
      </c>
      <c r="Q37" s="22">
        <f t="shared" si="14"/>
        <v>267.7</v>
      </c>
      <c r="R37" s="23">
        <f t="shared" si="12"/>
        <v>24301.441999999999</v>
      </c>
      <c r="S37" s="70">
        <v>24325.66</v>
      </c>
      <c r="T37" s="24">
        <f t="shared" si="13"/>
        <v>24.218000000000757</v>
      </c>
      <c r="V37" t="str">
        <f t="shared" si="8"/>
        <v>1915Office Equipment</v>
      </c>
    </row>
    <row r="38" spans="1:22">
      <c r="B38" s="3"/>
      <c r="C38" s="6"/>
      <c r="D38" s="31">
        <f>'2017 Dep Exp '!F38</f>
        <v>0</v>
      </c>
      <c r="E38" s="17"/>
      <c r="F38" s="4">
        <f t="shared" si="10"/>
        <v>0</v>
      </c>
      <c r="G38" s="70">
        <f>'2017 Dep Exp '!I38+'2017 Dep Exp '!J38</f>
        <v>0</v>
      </c>
      <c r="H38" s="17"/>
      <c r="I38" s="4">
        <f t="shared" si="1"/>
        <v>0</v>
      </c>
      <c r="J38" s="70">
        <v>0</v>
      </c>
      <c r="K38" s="18">
        <v>0</v>
      </c>
      <c r="L38" s="19">
        <f t="shared" si="2"/>
        <v>0</v>
      </c>
      <c r="M38" s="18">
        <v>0</v>
      </c>
      <c r="N38" s="20">
        <f t="shared" si="3"/>
        <v>0</v>
      </c>
      <c r="O38" s="21">
        <f t="shared" si="11"/>
        <v>0</v>
      </c>
      <c r="P38" s="21">
        <f t="shared" si="5"/>
        <v>0</v>
      </c>
      <c r="Q38" s="22">
        <f t="shared" si="14"/>
        <v>0</v>
      </c>
      <c r="R38" s="23">
        <f t="shared" si="12"/>
        <v>0</v>
      </c>
      <c r="S38" s="70">
        <v>0</v>
      </c>
      <c r="T38" s="24">
        <f t="shared" si="13"/>
        <v>0</v>
      </c>
    </row>
    <row r="39" spans="1:22">
      <c r="A39" t="s">
        <v>98</v>
      </c>
      <c r="B39" s="3">
        <v>1920</v>
      </c>
      <c r="C39" s="6" t="s">
        <v>61</v>
      </c>
      <c r="D39" s="31">
        <f>'2017 Dep Exp '!F39</f>
        <v>46162.229999999981</v>
      </c>
      <c r="E39" s="17"/>
      <c r="F39" s="4">
        <f t="shared" si="10"/>
        <v>46162.229999999981</v>
      </c>
      <c r="G39" s="70">
        <f>'2017 Dep Exp '!I39+'2017 Dep Exp '!J39</f>
        <v>150203.32999999999</v>
      </c>
      <c r="H39" s="17">
        <f>46162</f>
        <v>46162</v>
      </c>
      <c r="I39" s="4">
        <f t="shared" si="1"/>
        <v>104041.32999999999</v>
      </c>
      <c r="J39" s="70">
        <v>57853</v>
      </c>
      <c r="K39" s="18">
        <v>1.5</v>
      </c>
      <c r="L39" s="19">
        <f t="shared" si="2"/>
        <v>0.66666666666666663</v>
      </c>
      <c r="M39" s="18">
        <v>5</v>
      </c>
      <c r="N39" s="20">
        <f t="shared" si="3"/>
        <v>0.2</v>
      </c>
      <c r="O39" s="21">
        <f t="shared" si="11"/>
        <v>30774.819999999989</v>
      </c>
      <c r="P39" s="21">
        <f t="shared" si="5"/>
        <v>20808.265999999996</v>
      </c>
      <c r="Q39" s="22">
        <f t="shared" si="14"/>
        <v>5785.3</v>
      </c>
      <c r="R39" s="23">
        <f t="shared" si="12"/>
        <v>57368.385999999984</v>
      </c>
      <c r="S39" s="70">
        <v>54422.03</v>
      </c>
      <c r="T39" s="24">
        <f t="shared" si="13"/>
        <v>-2946.3559999999852</v>
      </c>
      <c r="V39" t="str">
        <f t="shared" si="8"/>
        <v>1920Computer Hardware</v>
      </c>
    </row>
    <row r="40" spans="1:22">
      <c r="A40" t="s">
        <v>99</v>
      </c>
      <c r="B40" s="3">
        <v>1925</v>
      </c>
      <c r="C40" s="6" t="s">
        <v>62</v>
      </c>
      <c r="D40" s="31">
        <f>'2017 Dep Exp '!F40</f>
        <v>189680.97999999998</v>
      </c>
      <c r="E40" s="17"/>
      <c r="F40" s="4">
        <f t="shared" si="10"/>
        <v>189680.97999999998</v>
      </c>
      <c r="G40" s="70">
        <f>'2017 Dep Exp '!I40+'2017 Dep Exp '!J40</f>
        <v>247326.77999999997</v>
      </c>
      <c r="H40" s="17">
        <f>122900/2</f>
        <v>61450</v>
      </c>
      <c r="I40" s="4">
        <f t="shared" si="1"/>
        <v>185876.77999999997</v>
      </c>
      <c r="J40" s="70">
        <v>43495.860000000102</v>
      </c>
      <c r="K40" s="18">
        <v>3</v>
      </c>
      <c r="L40" s="19">
        <f t="shared" si="2"/>
        <v>0.33333333333333331</v>
      </c>
      <c r="M40" s="18">
        <v>5</v>
      </c>
      <c r="N40" s="20">
        <f t="shared" si="3"/>
        <v>0.2</v>
      </c>
      <c r="O40" s="21">
        <f>9781+305</f>
        <v>10086</v>
      </c>
      <c r="P40" s="21">
        <f t="shared" si="5"/>
        <v>37175.355999999992</v>
      </c>
      <c r="Q40" s="22">
        <f t="shared" si="14"/>
        <v>4349.5860000000102</v>
      </c>
      <c r="R40" s="23">
        <f t="shared" si="12"/>
        <v>51610.942000000003</v>
      </c>
      <c r="S40" s="70">
        <v>51306.37</v>
      </c>
      <c r="T40" s="24">
        <f t="shared" si="13"/>
        <v>-304.57200000000012</v>
      </c>
      <c r="V40" t="str">
        <f t="shared" si="8"/>
        <v>1925Computer Software</v>
      </c>
    </row>
    <row r="41" spans="1:22">
      <c r="B41" s="3"/>
      <c r="C41" s="6"/>
      <c r="D41" s="31">
        <f>'2017 Dep Exp '!F41</f>
        <v>0</v>
      </c>
      <c r="E41" s="17"/>
      <c r="F41" s="4">
        <f t="shared" si="10"/>
        <v>0</v>
      </c>
      <c r="G41" s="70">
        <f>'2017 Dep Exp '!I41+'2017 Dep Exp '!J41</f>
        <v>0</v>
      </c>
      <c r="H41" s="17"/>
      <c r="I41" s="4">
        <f t="shared" si="1"/>
        <v>0</v>
      </c>
      <c r="J41" s="70">
        <v>0</v>
      </c>
      <c r="K41" s="18">
        <v>0</v>
      </c>
      <c r="L41" s="19">
        <f t="shared" si="2"/>
        <v>0</v>
      </c>
      <c r="M41" s="18">
        <v>0</v>
      </c>
      <c r="N41" s="20">
        <f t="shared" si="3"/>
        <v>0</v>
      </c>
      <c r="O41" s="21">
        <f t="shared" si="11"/>
        <v>0</v>
      </c>
      <c r="P41" s="21">
        <f t="shared" si="5"/>
        <v>0</v>
      </c>
      <c r="Q41" s="22">
        <f t="shared" si="14"/>
        <v>0</v>
      </c>
      <c r="R41" s="23">
        <f t="shared" si="12"/>
        <v>0</v>
      </c>
      <c r="S41" s="70">
        <v>0</v>
      </c>
      <c r="T41" s="24">
        <f t="shared" si="13"/>
        <v>0</v>
      </c>
    </row>
    <row r="42" spans="1:22">
      <c r="A42" t="s">
        <v>100</v>
      </c>
      <c r="B42" s="3">
        <v>1930</v>
      </c>
      <c r="C42" s="6" t="s">
        <v>63</v>
      </c>
      <c r="D42" s="31">
        <f>'2017 Dep Exp '!F42</f>
        <v>1317372.01</v>
      </c>
      <c r="E42" s="17"/>
      <c r="F42" s="4">
        <f t="shared" si="10"/>
        <v>1317372.01</v>
      </c>
      <c r="G42" s="70">
        <f>'2017 Dep Exp '!I42+'2017 Dep Exp '!J42</f>
        <v>731998.55</v>
      </c>
      <c r="H42" s="17"/>
      <c r="I42" s="4">
        <f t="shared" si="1"/>
        <v>731998.55</v>
      </c>
      <c r="J42" s="70">
        <v>0</v>
      </c>
      <c r="K42" s="18">
        <v>12</v>
      </c>
      <c r="L42" s="19">
        <f t="shared" si="2"/>
        <v>8.3333333333333329E-2</v>
      </c>
      <c r="M42" s="18">
        <v>12</v>
      </c>
      <c r="N42" s="20">
        <f t="shared" si="3"/>
        <v>8.3333333333333329E-2</v>
      </c>
      <c r="O42" s="21">
        <f t="shared" si="11"/>
        <v>109781.00083333334</v>
      </c>
      <c r="P42" s="21">
        <f t="shared" si="5"/>
        <v>60999.879166666673</v>
      </c>
      <c r="Q42" s="22">
        <f t="shared" si="14"/>
        <v>0</v>
      </c>
      <c r="R42" s="23">
        <f t="shared" si="12"/>
        <v>170780.88</v>
      </c>
      <c r="S42" s="70">
        <v>171186.45</v>
      </c>
      <c r="T42" s="24">
        <f t="shared" si="13"/>
        <v>405.57000000000698</v>
      </c>
      <c r="V42" t="str">
        <f t="shared" si="8"/>
        <v>1930Bucket Trucks</v>
      </c>
    </row>
    <row r="43" spans="1:22">
      <c r="A43" t="s">
        <v>101</v>
      </c>
      <c r="B43" s="3">
        <v>1930</v>
      </c>
      <c r="C43" s="6" t="s">
        <v>64</v>
      </c>
      <c r="D43" s="31">
        <f>'2017 Dep Exp '!F43</f>
        <v>137812.25</v>
      </c>
      <c r="E43" s="17"/>
      <c r="F43" s="4">
        <f t="shared" si="10"/>
        <v>137812.25</v>
      </c>
      <c r="G43" s="70">
        <f>'2017 Dep Exp '!I43+'2017 Dep Exp '!J43</f>
        <v>0</v>
      </c>
      <c r="H43" s="17"/>
      <c r="I43" s="4">
        <f t="shared" si="1"/>
        <v>0</v>
      </c>
      <c r="J43" s="70">
        <v>98504</v>
      </c>
      <c r="K43" s="18">
        <v>11</v>
      </c>
      <c r="L43" s="19">
        <f t="shared" si="2"/>
        <v>9.0909090909090912E-2</v>
      </c>
      <c r="M43" s="18">
        <v>15</v>
      </c>
      <c r="N43" s="20">
        <f t="shared" si="3"/>
        <v>6.6666666666666666E-2</v>
      </c>
      <c r="O43" s="21">
        <f t="shared" si="11"/>
        <v>12528.386363636364</v>
      </c>
      <c r="P43" s="21">
        <f t="shared" si="5"/>
        <v>0</v>
      </c>
      <c r="Q43" s="22">
        <f t="shared" si="14"/>
        <v>3283.4666666666667</v>
      </c>
      <c r="R43" s="23">
        <f t="shared" si="12"/>
        <v>15811.853030303031</v>
      </c>
      <c r="S43" s="70">
        <v>11691.02</v>
      </c>
      <c r="T43" s="24">
        <f t="shared" si="13"/>
        <v>-4120.8330303030307</v>
      </c>
      <c r="V43" t="str">
        <f t="shared" si="8"/>
        <v>1930Trailers</v>
      </c>
    </row>
    <row r="44" spans="1:22">
      <c r="A44" t="s">
        <v>102</v>
      </c>
      <c r="B44" s="3">
        <v>1930</v>
      </c>
      <c r="C44" s="6" t="s">
        <v>65</v>
      </c>
      <c r="D44" s="31">
        <f>'2017 Dep Exp '!F44</f>
        <v>187303.45</v>
      </c>
      <c r="E44" s="17">
        <f>207+29538</f>
        <v>29745</v>
      </c>
      <c r="F44" s="4">
        <f t="shared" si="10"/>
        <v>157558.45000000001</v>
      </c>
      <c r="G44" s="70">
        <f>'2017 Dep Exp '!I44+'2017 Dep Exp '!J44</f>
        <v>72450</v>
      </c>
      <c r="H44" s="17"/>
      <c r="I44" s="4">
        <f t="shared" si="1"/>
        <v>72450</v>
      </c>
      <c r="J44" s="70">
        <v>76665</v>
      </c>
      <c r="K44" s="18">
        <v>7.5</v>
      </c>
      <c r="L44" s="19">
        <f t="shared" si="2"/>
        <v>0.13333333333333333</v>
      </c>
      <c r="M44" s="18">
        <v>8</v>
      </c>
      <c r="N44" s="20">
        <f t="shared" si="3"/>
        <v>0.125</v>
      </c>
      <c r="O44" s="21">
        <f t="shared" si="11"/>
        <v>21007.793333333335</v>
      </c>
      <c r="P44" s="21">
        <f t="shared" si="5"/>
        <v>9056.25</v>
      </c>
      <c r="Q44" s="22">
        <f t="shared" si="14"/>
        <v>4791.5625</v>
      </c>
      <c r="R44" s="23">
        <f t="shared" si="12"/>
        <v>34855.605833333335</v>
      </c>
      <c r="S44" s="70">
        <v>33503.370000000003</v>
      </c>
      <c r="T44" s="24">
        <f t="shared" si="13"/>
        <v>-1352.2358333333323</v>
      </c>
      <c r="V44" t="str">
        <f t="shared" si="8"/>
        <v>1930Vans/Cars</v>
      </c>
    </row>
    <row r="45" spans="1:22">
      <c r="B45" s="3"/>
      <c r="C45" s="6"/>
      <c r="D45" s="31">
        <f>'2017 Dep Exp '!F45</f>
        <v>0</v>
      </c>
      <c r="E45" s="17"/>
      <c r="F45" s="4">
        <f t="shared" si="10"/>
        <v>0</v>
      </c>
      <c r="G45" s="70">
        <f>'2017 Dep Exp '!I45+'2017 Dep Exp '!J45</f>
        <v>0</v>
      </c>
      <c r="H45" s="17"/>
      <c r="I45" s="4">
        <f t="shared" si="1"/>
        <v>0</v>
      </c>
      <c r="J45" s="70">
        <v>0</v>
      </c>
      <c r="K45" s="18">
        <v>0</v>
      </c>
      <c r="L45" s="19">
        <f t="shared" si="2"/>
        <v>0</v>
      </c>
      <c r="M45" s="18">
        <v>0</v>
      </c>
      <c r="N45" s="20">
        <f t="shared" si="3"/>
        <v>0</v>
      </c>
      <c r="O45" s="21">
        <f t="shared" si="11"/>
        <v>0</v>
      </c>
      <c r="P45" s="21">
        <f t="shared" si="5"/>
        <v>0</v>
      </c>
      <c r="Q45" s="22">
        <f t="shared" si="14"/>
        <v>0</v>
      </c>
      <c r="R45" s="23">
        <f t="shared" si="12"/>
        <v>0</v>
      </c>
      <c r="S45" s="70">
        <v>0</v>
      </c>
      <c r="T45" s="24">
        <f t="shared" si="13"/>
        <v>0</v>
      </c>
    </row>
    <row r="46" spans="1:22" ht="25.95" customHeight="1">
      <c r="A46" t="s">
        <v>103</v>
      </c>
      <c r="B46" s="3">
        <v>1940</v>
      </c>
      <c r="C46" s="6" t="s">
        <v>66</v>
      </c>
      <c r="D46" s="31">
        <f>'2017 Dep Exp '!F46</f>
        <v>218092.74000000002</v>
      </c>
      <c r="E46" s="17">
        <v>44328</v>
      </c>
      <c r="F46" s="4">
        <f t="shared" si="10"/>
        <v>173764.74000000002</v>
      </c>
      <c r="G46" s="70">
        <f>'2017 Dep Exp '!I46+'2017 Dep Exp '!J46</f>
        <v>254585.72</v>
      </c>
      <c r="H46" s="17"/>
      <c r="I46" s="4">
        <f t="shared" si="1"/>
        <v>254585.72</v>
      </c>
      <c r="J46" s="70">
        <v>80577</v>
      </c>
      <c r="K46" s="18">
        <v>7</v>
      </c>
      <c r="L46" s="19">
        <f t="shared" si="2"/>
        <v>0.14285714285714285</v>
      </c>
      <c r="M46" s="18">
        <v>10</v>
      </c>
      <c r="N46" s="20">
        <f t="shared" si="3"/>
        <v>0.1</v>
      </c>
      <c r="O46" s="21">
        <f t="shared" si="11"/>
        <v>24823.53428571429</v>
      </c>
      <c r="P46" s="21">
        <f t="shared" si="5"/>
        <v>25458.572</v>
      </c>
      <c r="Q46" s="22">
        <f t="shared" si="14"/>
        <v>4028.85</v>
      </c>
      <c r="R46" s="23">
        <f t="shared" si="12"/>
        <v>54310.956285714288</v>
      </c>
      <c r="S46" s="70">
        <v>55215.93</v>
      </c>
      <c r="T46" s="24">
        <f t="shared" si="13"/>
        <v>904.97371428571205</v>
      </c>
      <c r="V46" t="str">
        <f t="shared" si="8"/>
        <v>1940Power Tools, shop, garage, measurement testing</v>
      </c>
    </row>
    <row r="47" spans="1:22">
      <c r="A47" t="s">
        <v>104</v>
      </c>
      <c r="B47" s="3">
        <v>1940</v>
      </c>
      <c r="C47" s="6" t="s">
        <v>40</v>
      </c>
      <c r="D47" s="31">
        <f>'2017 Dep Exp '!F47</f>
        <v>5160.74</v>
      </c>
      <c r="E47" s="17"/>
      <c r="F47" s="4">
        <f t="shared" si="10"/>
        <v>5160.74</v>
      </c>
      <c r="G47" s="70">
        <f>'2017 Dep Exp '!I47+'2017 Dep Exp '!J47</f>
        <v>0</v>
      </c>
      <c r="H47" s="17"/>
      <c r="I47" s="4">
        <f t="shared" si="1"/>
        <v>0</v>
      </c>
      <c r="J47" s="70">
        <v>0</v>
      </c>
      <c r="K47" s="18">
        <v>3</v>
      </c>
      <c r="L47" s="19">
        <f t="shared" si="2"/>
        <v>0.33333333333333331</v>
      </c>
      <c r="M47" s="18">
        <v>10</v>
      </c>
      <c r="N47" s="20">
        <f t="shared" si="3"/>
        <v>0.1</v>
      </c>
      <c r="O47" s="21">
        <f t="shared" si="11"/>
        <v>1720.2466666666667</v>
      </c>
      <c r="P47" s="21">
        <f t="shared" si="5"/>
        <v>0</v>
      </c>
      <c r="Q47" s="22">
        <f t="shared" si="14"/>
        <v>0</v>
      </c>
      <c r="R47" s="23">
        <f t="shared" si="12"/>
        <v>1720.2466666666667</v>
      </c>
      <c r="S47" s="70">
        <v>0</v>
      </c>
      <c r="T47" s="24">
        <f t="shared" si="13"/>
        <v>-1720.2466666666667</v>
      </c>
      <c r="V47" t="str">
        <f t="shared" si="8"/>
        <v>1940Stores Equipment</v>
      </c>
    </row>
    <row r="48" spans="1:22">
      <c r="B48" s="3"/>
      <c r="C48" s="6"/>
      <c r="D48" s="31">
        <f>'2017 Dep Exp '!F48</f>
        <v>0</v>
      </c>
      <c r="E48" s="17"/>
      <c r="F48" s="4">
        <f t="shared" si="10"/>
        <v>0</v>
      </c>
      <c r="G48" s="70">
        <f>'2017 Dep Exp '!I48+'2017 Dep Exp '!J48</f>
        <v>0</v>
      </c>
      <c r="H48" s="17"/>
      <c r="I48" s="4">
        <f t="shared" si="1"/>
        <v>0</v>
      </c>
      <c r="J48" s="70">
        <v>0</v>
      </c>
      <c r="K48" s="18">
        <v>0</v>
      </c>
      <c r="L48" s="19">
        <f t="shared" si="2"/>
        <v>0</v>
      </c>
      <c r="M48" s="18">
        <v>0</v>
      </c>
      <c r="N48" s="20">
        <f t="shared" si="3"/>
        <v>0</v>
      </c>
      <c r="O48" s="21">
        <f t="shared" si="11"/>
        <v>0</v>
      </c>
      <c r="P48" s="21">
        <f t="shared" si="5"/>
        <v>0</v>
      </c>
      <c r="Q48" s="22">
        <f t="shared" si="14"/>
        <v>0</v>
      </c>
      <c r="R48" s="23">
        <f t="shared" si="12"/>
        <v>0</v>
      </c>
      <c r="S48" s="70">
        <v>0</v>
      </c>
      <c r="T48" s="24">
        <f t="shared" si="13"/>
        <v>0</v>
      </c>
    </row>
    <row r="49" spans="1:22">
      <c r="B49" s="3"/>
      <c r="C49" s="6"/>
      <c r="D49" s="31">
        <f>'2017 Dep Exp '!F49</f>
        <v>0</v>
      </c>
      <c r="E49" s="17"/>
      <c r="F49" s="4">
        <f t="shared" si="10"/>
        <v>0</v>
      </c>
      <c r="G49" s="70">
        <f>'2017 Dep Exp '!I49+'2017 Dep Exp '!J49</f>
        <v>0</v>
      </c>
      <c r="H49" s="17"/>
      <c r="I49" s="4">
        <f t="shared" si="1"/>
        <v>0</v>
      </c>
      <c r="J49" s="70">
        <v>0</v>
      </c>
      <c r="K49" s="18">
        <v>0</v>
      </c>
      <c r="L49" s="19">
        <f t="shared" si="2"/>
        <v>0</v>
      </c>
      <c r="M49" s="18">
        <v>0</v>
      </c>
      <c r="N49" s="20">
        <f t="shared" si="3"/>
        <v>0</v>
      </c>
      <c r="O49" s="21">
        <f t="shared" si="11"/>
        <v>0</v>
      </c>
      <c r="P49" s="21">
        <f t="shared" si="5"/>
        <v>0</v>
      </c>
      <c r="Q49" s="22">
        <f t="shared" si="14"/>
        <v>0</v>
      </c>
      <c r="R49" s="23">
        <f t="shared" si="12"/>
        <v>0</v>
      </c>
      <c r="S49" s="70">
        <v>0</v>
      </c>
      <c r="T49" s="24">
        <f t="shared" si="13"/>
        <v>0</v>
      </c>
    </row>
    <row r="50" spans="1:22">
      <c r="A50" t="s">
        <v>105</v>
      </c>
      <c r="B50" s="3">
        <v>1980</v>
      </c>
      <c r="C50" s="6" t="s">
        <v>67</v>
      </c>
      <c r="D50" s="31">
        <f>'2017 Dep Exp '!F50</f>
        <v>696864.05999999994</v>
      </c>
      <c r="E50" s="17"/>
      <c r="F50" s="4">
        <f t="shared" si="10"/>
        <v>696864.05999999994</v>
      </c>
      <c r="G50" s="70">
        <f>'2017 Dep Exp '!I50+'2017 Dep Exp '!J50</f>
        <v>20134.77</v>
      </c>
      <c r="H50" s="17"/>
      <c r="I50" s="4">
        <f t="shared" si="1"/>
        <v>20134.77</v>
      </c>
      <c r="J50" s="70">
        <v>0</v>
      </c>
      <c r="K50" s="18">
        <v>13.615384615384615</v>
      </c>
      <c r="L50" s="19">
        <f t="shared" si="2"/>
        <v>7.3446327683615822E-2</v>
      </c>
      <c r="M50" s="18">
        <v>20</v>
      </c>
      <c r="N50" s="20">
        <f t="shared" si="3"/>
        <v>0.05</v>
      </c>
      <c r="O50" s="21">
        <f t="shared" si="11"/>
        <v>51182.10610169491</v>
      </c>
      <c r="P50" s="21">
        <f t="shared" si="5"/>
        <v>1006.7385</v>
      </c>
      <c r="Q50" s="22">
        <f t="shared" si="14"/>
        <v>0</v>
      </c>
      <c r="R50" s="23">
        <f t="shared" si="12"/>
        <v>52188.844601694909</v>
      </c>
      <c r="S50" s="70">
        <v>46192.160000000003</v>
      </c>
      <c r="T50" s="24">
        <f t="shared" si="13"/>
        <v>-5996.6846016949057</v>
      </c>
      <c r="V50" t="str">
        <f t="shared" si="8"/>
        <v>1980SCADA</v>
      </c>
    </row>
    <row r="51" spans="1:22">
      <c r="B51" s="3">
        <v>1955</v>
      </c>
      <c r="C51" s="6" t="s">
        <v>87</v>
      </c>
      <c r="D51" s="31">
        <f>'2017 Dep Exp '!F51</f>
        <v>0</v>
      </c>
      <c r="E51" s="17"/>
      <c r="F51" s="4">
        <f t="shared" si="10"/>
        <v>0</v>
      </c>
      <c r="G51" s="70">
        <f>'2017 Dep Exp '!I51+'2017 Dep Exp '!J51</f>
        <v>300</v>
      </c>
      <c r="H51" s="17"/>
      <c r="I51" s="4">
        <f t="shared" si="1"/>
        <v>300</v>
      </c>
      <c r="J51" s="70">
        <v>0</v>
      </c>
      <c r="K51" s="18">
        <v>0</v>
      </c>
      <c r="L51" s="19">
        <f t="shared" si="2"/>
        <v>0</v>
      </c>
      <c r="M51" s="18">
        <v>0</v>
      </c>
      <c r="N51" s="20">
        <f t="shared" si="3"/>
        <v>0</v>
      </c>
      <c r="O51" s="21">
        <f t="shared" si="11"/>
        <v>0</v>
      </c>
      <c r="P51" s="21">
        <f t="shared" si="5"/>
        <v>0</v>
      </c>
      <c r="Q51" s="22">
        <f t="shared" si="14"/>
        <v>0</v>
      </c>
      <c r="R51" s="23">
        <f t="shared" si="12"/>
        <v>0</v>
      </c>
      <c r="S51" s="70">
        <v>0</v>
      </c>
      <c r="T51" s="24">
        <f t="shared" si="13"/>
        <v>0</v>
      </c>
      <c r="V51" t="str">
        <f t="shared" si="8"/>
        <v>1955Other</v>
      </c>
    </row>
    <row r="52" spans="1:22">
      <c r="B52" s="3"/>
      <c r="C52" s="6"/>
      <c r="D52" s="31">
        <f>'2017 Dep Exp '!F52</f>
        <v>0</v>
      </c>
      <c r="E52" s="17"/>
      <c r="F52" s="4">
        <f t="shared" si="10"/>
        <v>0</v>
      </c>
      <c r="G52" s="70">
        <f>'2017 Dep Exp '!I52+'2017 Dep Exp '!J52</f>
        <v>0</v>
      </c>
      <c r="H52" s="17"/>
      <c r="I52" s="4">
        <f t="shared" si="1"/>
        <v>0</v>
      </c>
      <c r="J52" s="70">
        <v>0</v>
      </c>
      <c r="K52" s="18">
        <v>0</v>
      </c>
      <c r="L52" s="19">
        <f t="shared" si="2"/>
        <v>0</v>
      </c>
      <c r="M52" s="18">
        <v>0</v>
      </c>
      <c r="N52" s="20">
        <f t="shared" si="3"/>
        <v>0</v>
      </c>
      <c r="O52" s="21">
        <f t="shared" si="11"/>
        <v>0</v>
      </c>
      <c r="P52" s="21">
        <f t="shared" si="5"/>
        <v>0</v>
      </c>
      <c r="Q52" s="22">
        <f t="shared" si="14"/>
        <v>0</v>
      </c>
      <c r="R52" s="23">
        <f t="shared" si="12"/>
        <v>0</v>
      </c>
      <c r="S52" s="70">
        <v>0</v>
      </c>
      <c r="T52" s="24">
        <f t="shared" si="13"/>
        <v>0</v>
      </c>
    </row>
    <row r="53" spans="1:22">
      <c r="A53" t="s">
        <v>106</v>
      </c>
      <c r="B53" s="3">
        <v>1855</v>
      </c>
      <c r="C53" s="6" t="s">
        <v>68</v>
      </c>
      <c r="D53" s="31">
        <f>'2017 Dep Exp '!F53</f>
        <v>2477.19</v>
      </c>
      <c r="E53" s="17"/>
      <c r="F53" s="4">
        <f t="shared" si="10"/>
        <v>2477.19</v>
      </c>
      <c r="G53" s="70">
        <f>'2017 Dep Exp '!I53+'2017 Dep Exp '!J53</f>
        <v>391797.11</v>
      </c>
      <c r="H53" s="17"/>
      <c r="I53" s="4">
        <f t="shared" si="1"/>
        <v>391797.11</v>
      </c>
      <c r="J53" s="70">
        <v>233877.30999999994</v>
      </c>
      <c r="K53" s="18">
        <v>50</v>
      </c>
      <c r="L53" s="19">
        <f t="shared" si="2"/>
        <v>0.02</v>
      </c>
      <c r="M53" s="18">
        <v>50</v>
      </c>
      <c r="N53" s="20">
        <f t="shared" si="3"/>
        <v>0.02</v>
      </c>
      <c r="O53" s="21">
        <f t="shared" si="11"/>
        <v>49.543800000000005</v>
      </c>
      <c r="P53" s="21">
        <f t="shared" si="5"/>
        <v>7835.9421999999995</v>
      </c>
      <c r="Q53" s="22">
        <f t="shared" si="14"/>
        <v>2338.7730999999994</v>
      </c>
      <c r="R53" s="23">
        <f t="shared" si="12"/>
        <v>10224.259099999999</v>
      </c>
      <c r="S53" s="70">
        <v>26366.91</v>
      </c>
      <c r="T53" s="24">
        <f t="shared" si="13"/>
        <v>16142.650900000001</v>
      </c>
      <c r="V53" t="str">
        <f t="shared" si="8"/>
        <v>1855Services</v>
      </c>
    </row>
    <row r="54" spans="1:22">
      <c r="B54" s="3"/>
      <c r="C54" s="6"/>
      <c r="D54" s="31">
        <f>'2017 Dep Exp '!F54</f>
        <v>0</v>
      </c>
      <c r="E54" s="17"/>
      <c r="F54" s="4">
        <f t="shared" si="10"/>
        <v>0</v>
      </c>
      <c r="G54" s="70">
        <f>'2017 Dep Exp '!I54+'2017 Dep Exp '!J54</f>
        <v>0</v>
      </c>
      <c r="H54" s="17"/>
      <c r="I54" s="4">
        <f t="shared" si="1"/>
        <v>0</v>
      </c>
      <c r="J54" s="70">
        <v>0</v>
      </c>
      <c r="K54" s="18">
        <v>0</v>
      </c>
      <c r="L54" s="19">
        <f t="shared" si="2"/>
        <v>0</v>
      </c>
      <c r="M54" s="18">
        <v>0</v>
      </c>
      <c r="N54" s="20">
        <f t="shared" si="3"/>
        <v>0</v>
      </c>
      <c r="O54" s="21">
        <f t="shared" si="11"/>
        <v>0</v>
      </c>
      <c r="P54" s="21">
        <f t="shared" si="5"/>
        <v>0</v>
      </c>
      <c r="Q54" s="22">
        <f t="shared" si="14"/>
        <v>0</v>
      </c>
      <c r="R54" s="23">
        <f t="shared" si="12"/>
        <v>0</v>
      </c>
      <c r="S54" s="70">
        <v>0</v>
      </c>
      <c r="T54" s="24">
        <f t="shared" si="13"/>
        <v>0</v>
      </c>
    </row>
    <row r="55" spans="1:22">
      <c r="A55" t="s">
        <v>107</v>
      </c>
      <c r="B55" s="3">
        <v>1955</v>
      </c>
      <c r="C55" s="6" t="s">
        <v>69</v>
      </c>
      <c r="D55" s="31">
        <f>'2017 Dep Exp '!F55</f>
        <v>15847.3</v>
      </c>
      <c r="E55" s="17"/>
      <c r="F55" s="4">
        <f t="shared" si="10"/>
        <v>15847.3</v>
      </c>
      <c r="G55" s="70">
        <f>'2017 Dep Exp '!I55+'2017 Dep Exp '!J55</f>
        <v>5184.16</v>
      </c>
      <c r="H55" s="17"/>
      <c r="I55" s="4">
        <f t="shared" si="1"/>
        <v>5184.16</v>
      </c>
      <c r="J55" s="70">
        <v>7255.9999999999982</v>
      </c>
      <c r="K55" s="18">
        <v>2.5</v>
      </c>
      <c r="L55" s="19">
        <f t="shared" si="2"/>
        <v>0.4</v>
      </c>
      <c r="M55" s="18">
        <v>10</v>
      </c>
      <c r="N55" s="20">
        <f t="shared" si="3"/>
        <v>0.1</v>
      </c>
      <c r="O55" s="21">
        <f t="shared" si="11"/>
        <v>6338.92</v>
      </c>
      <c r="P55" s="21">
        <f t="shared" si="5"/>
        <v>518.41599999999994</v>
      </c>
      <c r="Q55" s="22">
        <f t="shared" si="14"/>
        <v>362.7999999999999</v>
      </c>
      <c r="R55" s="23">
        <f t="shared" si="12"/>
        <v>7220.1360000000004</v>
      </c>
      <c r="S55" s="70">
        <v>1019.96</v>
      </c>
      <c r="T55" s="24">
        <f t="shared" si="13"/>
        <v>-6200.1760000000004</v>
      </c>
      <c r="V55" t="str">
        <f t="shared" si="8"/>
        <v>1955Communication Equipment, Wireless</v>
      </c>
    </row>
    <row r="56" spans="1:22">
      <c r="B56" s="3"/>
      <c r="C56" s="6"/>
      <c r="D56" s="31">
        <f>'2017 Dep Exp '!F56</f>
        <v>0</v>
      </c>
      <c r="E56" s="17"/>
      <c r="F56" s="4">
        <f t="shared" si="10"/>
        <v>0</v>
      </c>
      <c r="G56" s="70">
        <f>'2017 Dep Exp '!I56+'2017 Dep Exp '!J56</f>
        <v>0</v>
      </c>
      <c r="H56" s="17"/>
      <c r="I56" s="4">
        <f t="shared" si="1"/>
        <v>0</v>
      </c>
      <c r="J56" s="70">
        <v>0</v>
      </c>
      <c r="K56" s="18">
        <v>0</v>
      </c>
      <c r="L56" s="19">
        <f t="shared" si="2"/>
        <v>0</v>
      </c>
      <c r="M56" s="18">
        <v>0</v>
      </c>
      <c r="N56" s="20">
        <f t="shared" si="3"/>
        <v>0</v>
      </c>
      <c r="O56" s="21">
        <f t="shared" si="11"/>
        <v>0</v>
      </c>
      <c r="P56" s="21">
        <f t="shared" si="5"/>
        <v>0</v>
      </c>
      <c r="Q56" s="22">
        <f t="shared" si="14"/>
        <v>0</v>
      </c>
      <c r="R56" s="23">
        <f t="shared" si="12"/>
        <v>0</v>
      </c>
      <c r="S56" s="70">
        <v>0</v>
      </c>
      <c r="T56" s="24">
        <f t="shared" si="13"/>
        <v>0</v>
      </c>
    </row>
    <row r="57" spans="1:22">
      <c r="B57" s="3">
        <v>1606</v>
      </c>
      <c r="C57" s="6" t="s">
        <v>70</v>
      </c>
      <c r="D57" s="31">
        <f>'2017 Dep Exp '!F57</f>
        <v>192292.27</v>
      </c>
      <c r="E57" s="17"/>
      <c r="F57" s="4">
        <f t="shared" si="10"/>
        <v>192292.27</v>
      </c>
      <c r="G57" s="70">
        <f>'2017 Dep Exp '!I57+'2017 Dep Exp '!J57</f>
        <v>0</v>
      </c>
      <c r="H57" s="17"/>
      <c r="I57" s="4">
        <f t="shared" si="1"/>
        <v>0</v>
      </c>
      <c r="J57" s="70">
        <v>0</v>
      </c>
      <c r="K57" s="18">
        <v>0</v>
      </c>
      <c r="L57" s="19">
        <f t="shared" si="2"/>
        <v>0</v>
      </c>
      <c r="M57" s="18">
        <v>0</v>
      </c>
      <c r="N57" s="20">
        <f t="shared" si="3"/>
        <v>0</v>
      </c>
      <c r="O57" s="21">
        <f t="shared" si="11"/>
        <v>0</v>
      </c>
      <c r="P57" s="21">
        <f t="shared" si="5"/>
        <v>0</v>
      </c>
      <c r="Q57" s="22">
        <f t="shared" si="14"/>
        <v>0</v>
      </c>
      <c r="R57" s="23">
        <f t="shared" si="12"/>
        <v>0</v>
      </c>
      <c r="S57" s="70">
        <v>0</v>
      </c>
      <c r="T57" s="24">
        <f t="shared" si="13"/>
        <v>0</v>
      </c>
      <c r="V57" t="str">
        <f t="shared" si="8"/>
        <v>1606Corporation Costs</v>
      </c>
    </row>
    <row r="58" spans="1:22">
      <c r="B58" s="3"/>
      <c r="C58" s="6"/>
      <c r="D58" s="31">
        <f>'2017 Dep Exp '!F58</f>
        <v>0</v>
      </c>
      <c r="E58" s="17"/>
      <c r="F58" s="4">
        <f t="shared" si="10"/>
        <v>0</v>
      </c>
      <c r="G58" s="70">
        <f>'2017 Dep Exp '!I58+'2017 Dep Exp '!J58</f>
        <v>0</v>
      </c>
      <c r="H58" s="17"/>
      <c r="I58" s="4"/>
      <c r="J58" s="70"/>
      <c r="K58" s="18"/>
      <c r="L58" s="19"/>
      <c r="M58" s="18"/>
      <c r="N58" s="33"/>
      <c r="O58" s="21"/>
      <c r="P58" s="21"/>
      <c r="Q58" s="22"/>
      <c r="R58" s="23"/>
      <c r="S58" s="70"/>
      <c r="T58" s="24"/>
      <c r="V58" t="str">
        <f t="shared" si="8"/>
        <v/>
      </c>
    </row>
    <row r="59" spans="1:22">
      <c r="B59" s="3">
        <v>1995</v>
      </c>
      <c r="C59" s="6" t="s">
        <v>41</v>
      </c>
      <c r="D59" s="31">
        <f>'2017 Dep Exp '!F59</f>
        <v>0</v>
      </c>
      <c r="E59" s="17"/>
      <c r="F59" s="4">
        <f t="shared" si="10"/>
        <v>0</v>
      </c>
      <c r="G59" s="70">
        <f>'2017 Dep Exp '!I59+'2017 Dep Exp '!J59</f>
        <v>0</v>
      </c>
      <c r="H59" s="17"/>
      <c r="I59" s="4">
        <f t="shared" ref="I59:I60" si="15">G59-H59</f>
        <v>0</v>
      </c>
      <c r="J59" s="70">
        <v>0</v>
      </c>
      <c r="K59" s="18"/>
      <c r="L59" s="34">
        <f t="shared" ref="L59:L60" si="16">IF(K59=0,0,1/K59)</f>
        <v>0</v>
      </c>
      <c r="M59" s="18"/>
      <c r="N59" s="33">
        <f t="shared" ref="N59:N60" si="17">IF(M59=0,0,1/M59)</f>
        <v>0</v>
      </c>
      <c r="O59" s="35">
        <f t="shared" si="11"/>
        <v>0</v>
      </c>
      <c r="P59" s="35">
        <f t="shared" ref="P59:P60" si="18">IF(M59=0,0,+I59/M59)</f>
        <v>0</v>
      </c>
      <c r="Q59" s="36">
        <f>IF(M59=0,0,+(J59*0.5)/M59)</f>
        <v>0</v>
      </c>
      <c r="R59" s="24">
        <f t="shared" si="12"/>
        <v>0</v>
      </c>
      <c r="S59" s="70">
        <v>0</v>
      </c>
      <c r="T59" s="24">
        <f t="shared" si="13"/>
        <v>0</v>
      </c>
      <c r="V59" t="str">
        <f t="shared" si="8"/>
        <v>1995Contributions &amp; Grants</v>
      </c>
    </row>
    <row r="60" spans="1:22" ht="15" thickBot="1">
      <c r="B60" s="78">
        <v>2440</v>
      </c>
      <c r="C60" s="81" t="s">
        <v>42</v>
      </c>
      <c r="D60" s="93">
        <f>'2017 Dep Exp '!F60</f>
        <v>0</v>
      </c>
      <c r="E60" s="94"/>
      <c r="F60" s="79">
        <f t="shared" si="10"/>
        <v>0</v>
      </c>
      <c r="G60" s="92">
        <f>'2017 Dep Exp '!G60+'2017 Dep Exp '!J60</f>
        <v>0</v>
      </c>
      <c r="H60" s="95"/>
      <c r="I60" s="79">
        <f t="shared" si="15"/>
        <v>0</v>
      </c>
      <c r="J60" s="92">
        <v>0</v>
      </c>
      <c r="K60" s="96"/>
      <c r="L60" s="97">
        <f t="shared" si="16"/>
        <v>0</v>
      </c>
      <c r="M60" s="96"/>
      <c r="N60" s="98">
        <f t="shared" si="17"/>
        <v>0</v>
      </c>
      <c r="O60" s="89">
        <f t="shared" si="11"/>
        <v>0</v>
      </c>
      <c r="P60" s="89">
        <f t="shared" si="18"/>
        <v>0</v>
      </c>
      <c r="Q60" s="90">
        <f>IF(M60=0,0,+(J60*0.5)/M60)</f>
        <v>0</v>
      </c>
      <c r="R60" s="91">
        <f t="shared" si="12"/>
        <v>0</v>
      </c>
      <c r="S60" s="92">
        <v>0</v>
      </c>
      <c r="T60" s="91">
        <f t="shared" si="13"/>
        <v>0</v>
      </c>
      <c r="V60" t="str">
        <f t="shared" si="8"/>
        <v>2440Deferred Revenue</v>
      </c>
    </row>
    <row r="61" spans="1:22" ht="15" thickBot="1">
      <c r="B61" s="82"/>
      <c r="C61" s="83" t="s">
        <v>43</v>
      </c>
      <c r="D61" s="84">
        <f>SUM(D7:D60)</f>
        <v>61313456.359999999</v>
      </c>
      <c r="E61" s="84">
        <f t="shared" ref="E61:I61" si="19">SUM(E7:E60)</f>
        <v>86781</v>
      </c>
      <c r="F61" s="84">
        <f t="shared" si="19"/>
        <v>61226675.359999999</v>
      </c>
      <c r="G61" s="84">
        <f t="shared" si="19"/>
        <v>24696625.770000007</v>
      </c>
      <c r="H61" s="84">
        <f t="shared" si="19"/>
        <v>107612</v>
      </c>
      <c r="I61" s="84">
        <f t="shared" si="19"/>
        <v>24589013.770000007</v>
      </c>
      <c r="J61" s="84">
        <f>SUM(J7:J60)</f>
        <v>7528215.9799999986</v>
      </c>
      <c r="K61" s="84"/>
      <c r="L61" s="85"/>
      <c r="M61" s="86"/>
      <c r="N61" s="87"/>
      <c r="O61" s="84">
        <f>SUM(O7:O60)</f>
        <v>1801683.9664284922</v>
      </c>
      <c r="P61" s="84">
        <f t="shared" ref="P61:T61" si="20">SUM(P7:P60)</f>
        <v>704542.41811984126</v>
      </c>
      <c r="Q61" s="84">
        <f t="shared" si="20"/>
        <v>112985.82278928572</v>
      </c>
      <c r="R61" s="84">
        <f t="shared" si="20"/>
        <v>2619212.2073376183</v>
      </c>
      <c r="S61" s="84">
        <f t="shared" si="20"/>
        <v>2576257.4300000011</v>
      </c>
      <c r="T61" s="88">
        <f t="shared" si="20"/>
        <v>-42954.777337618769</v>
      </c>
    </row>
    <row r="62" spans="1:2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2">
      <c r="D63" s="11"/>
      <c r="G63" s="10">
        <v>0</v>
      </c>
      <c r="J63" s="11">
        <v>0</v>
      </c>
      <c r="S63" s="10">
        <v>0</v>
      </c>
      <c r="T63" s="25">
        <f>T61/S61</f>
        <v>-1.6673324970330604E-2</v>
      </c>
    </row>
    <row r="64" spans="1:22">
      <c r="S64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63" orientation="landscape" r:id="rId1"/>
  <ignoredErrors>
    <ignoredError sqref="D7:T39 D41:T61 D40:N40 P40:T40" unlockedFormula="1"/>
    <ignoredError sqref="O40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showGridLines="0" topLeftCell="B1" zoomScale="70" zoomScaleNormal="70" workbookViewId="0">
      <selection activeCell="S82" sqref="S82"/>
    </sheetView>
  </sheetViews>
  <sheetFormatPr defaultRowHeight="14.4"/>
  <cols>
    <col min="1" max="1" width="10.44140625" customWidth="1"/>
    <col min="3" max="3" width="41.5546875" bestFit="1" customWidth="1"/>
    <col min="4" max="4" width="17.44140625" customWidth="1"/>
    <col min="5" max="5" width="14" customWidth="1"/>
    <col min="6" max="7" width="14.44140625" customWidth="1"/>
    <col min="8" max="8" width="12" customWidth="1"/>
    <col min="9" max="10" width="14.109375" customWidth="1"/>
    <col min="11" max="11" width="13.44140625" customWidth="1"/>
    <col min="12" max="12" width="14.554687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9" width="15.88671875" customWidth="1"/>
    <col min="20" max="20" width="14.44140625" customWidth="1"/>
    <col min="21" max="21" width="0" hidden="1" customWidth="1"/>
    <col min="22" max="22" width="49.44140625" hidden="1" customWidth="1"/>
    <col min="23" max="23" width="11.44140625" customWidth="1"/>
  </cols>
  <sheetData>
    <row r="1" spans="1:20" ht="21">
      <c r="B1" s="110" t="s">
        <v>151</v>
      </c>
    </row>
    <row r="3" spans="1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5"/>
      <c r="O4" s="114" t="s">
        <v>2</v>
      </c>
      <c r="P4" s="115"/>
      <c r="Q4" s="115"/>
      <c r="R4" s="116"/>
      <c r="S4" s="2"/>
      <c r="T4" s="2"/>
    </row>
    <row r="5" spans="1:20" ht="81.599999999999994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56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1:20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4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105" t="s">
        <v>37</v>
      </c>
      <c r="T6" s="41" t="s">
        <v>38</v>
      </c>
    </row>
    <row r="7" spans="1:20">
      <c r="A7" s="14" t="s">
        <v>108</v>
      </c>
      <c r="B7" s="57">
        <v>1815</v>
      </c>
      <c r="C7" s="103" t="s">
        <v>128</v>
      </c>
      <c r="D7" s="31">
        <v>0</v>
      </c>
      <c r="E7" s="17"/>
      <c r="F7" s="4"/>
      <c r="G7" s="70">
        <v>0</v>
      </c>
      <c r="H7" s="17"/>
      <c r="I7" s="4">
        <f t="shared" ref="I7:I26" si="0">G7-H7</f>
        <v>0</v>
      </c>
      <c r="J7" s="70">
        <v>3833332.7281641681</v>
      </c>
      <c r="K7" s="13">
        <v>0</v>
      </c>
      <c r="L7" s="19"/>
      <c r="M7" s="18">
        <v>35</v>
      </c>
      <c r="N7" s="20">
        <f>IF(M7=0,0,1/M7)</f>
        <v>2.8571428571428571E-2</v>
      </c>
      <c r="O7" s="21">
        <f>IF(K7=0,0,+F7/K7)</f>
        <v>0</v>
      </c>
      <c r="P7" s="21">
        <f>IF(M7=0,0,+I7/M7)</f>
        <v>0</v>
      </c>
      <c r="Q7" s="22">
        <f>IF(M7=0,0,+(J7)/M7)</f>
        <v>109523.79223326195</v>
      </c>
      <c r="R7" s="23">
        <f>IF(ISERROR(+O7+P7+Q7),0,+O7+P7+Q7)</f>
        <v>109523.79223326195</v>
      </c>
      <c r="S7" s="70">
        <v>109523.79223326195</v>
      </c>
      <c r="T7" s="5">
        <f>IF(ISERROR(+S7-R7),0,+S7-R7)</f>
        <v>0</v>
      </c>
    </row>
    <row r="8" spans="1:20">
      <c r="A8" s="14" t="s">
        <v>109</v>
      </c>
      <c r="B8" s="57">
        <v>1815</v>
      </c>
      <c r="C8" s="103" t="s">
        <v>128</v>
      </c>
      <c r="D8" s="31">
        <v>0</v>
      </c>
      <c r="E8" s="17"/>
      <c r="F8" s="4"/>
      <c r="G8" s="70">
        <v>0</v>
      </c>
      <c r="H8" s="17"/>
      <c r="I8" s="4">
        <f t="shared" si="0"/>
        <v>0</v>
      </c>
      <c r="J8" s="70">
        <v>565868.70959099254</v>
      </c>
      <c r="K8" s="13">
        <v>0</v>
      </c>
      <c r="L8" s="19"/>
      <c r="M8" s="18">
        <v>20</v>
      </c>
      <c r="N8" s="20">
        <f t="shared" ref="N8:N26" si="1">IF(M8=0,0,1/M8)</f>
        <v>0.05</v>
      </c>
      <c r="O8" s="21">
        <f t="shared" ref="O8:O26" si="2">IF(K8=0,0,+F8/K8)</f>
        <v>0</v>
      </c>
      <c r="P8" s="21">
        <f t="shared" ref="P8:P26" si="3">IF(M8=0,0,+I8/M8)</f>
        <v>0</v>
      </c>
      <c r="Q8" s="22">
        <f t="shared" ref="Q8:Q26" si="4">IF(M8=0,0,+(J8)/M8)</f>
        <v>28293.435479549626</v>
      </c>
      <c r="R8" s="23">
        <f t="shared" ref="R8:R26" si="5">IF(ISERROR(+O8+P8+Q8),0,+O8+P8+Q8)</f>
        <v>28293.435479549626</v>
      </c>
      <c r="S8" s="70">
        <v>28293.435479549626</v>
      </c>
      <c r="T8" s="5">
        <f t="shared" ref="T8:T26" si="6">IF(ISERROR(+S8-R8),0,+S8-R8)</f>
        <v>0</v>
      </c>
    </row>
    <row r="9" spans="1:20">
      <c r="A9" s="14" t="s">
        <v>110</v>
      </c>
      <c r="B9" s="57">
        <v>1815</v>
      </c>
      <c r="C9" s="103" t="s">
        <v>128</v>
      </c>
      <c r="D9" s="31">
        <v>0</v>
      </c>
      <c r="E9" s="17"/>
      <c r="F9" s="4"/>
      <c r="G9" s="70">
        <v>0</v>
      </c>
      <c r="H9" s="17"/>
      <c r="I9" s="4">
        <f t="shared" si="0"/>
        <v>0</v>
      </c>
      <c r="J9" s="70">
        <v>408663.07012833247</v>
      </c>
      <c r="K9" s="13">
        <v>0</v>
      </c>
      <c r="L9" s="19"/>
      <c r="M9" s="18">
        <v>20</v>
      </c>
      <c r="N9" s="20">
        <f t="shared" si="1"/>
        <v>0.05</v>
      </c>
      <c r="O9" s="21">
        <f t="shared" si="2"/>
        <v>0</v>
      </c>
      <c r="P9" s="21">
        <f t="shared" si="3"/>
        <v>0</v>
      </c>
      <c r="Q9" s="22">
        <f t="shared" si="4"/>
        <v>20433.153506416624</v>
      </c>
      <c r="R9" s="23">
        <f t="shared" si="5"/>
        <v>20433.153506416624</v>
      </c>
      <c r="S9" s="70">
        <v>20433.153506416624</v>
      </c>
      <c r="T9" s="5">
        <f t="shared" si="6"/>
        <v>0</v>
      </c>
    </row>
    <row r="10" spans="1:20">
      <c r="A10" s="14" t="s">
        <v>111</v>
      </c>
      <c r="B10" s="57">
        <v>1815</v>
      </c>
      <c r="C10" s="103" t="s">
        <v>129</v>
      </c>
      <c r="D10" s="31">
        <v>0</v>
      </c>
      <c r="E10" s="17"/>
      <c r="F10" s="4"/>
      <c r="G10" s="70">
        <v>0</v>
      </c>
      <c r="H10" s="17"/>
      <c r="I10" s="4">
        <f t="shared" si="0"/>
        <v>0</v>
      </c>
      <c r="J10" s="70">
        <v>596046.90666405892</v>
      </c>
      <c r="K10" s="13">
        <v>0</v>
      </c>
      <c r="L10" s="19"/>
      <c r="M10" s="18">
        <v>45</v>
      </c>
      <c r="N10" s="20">
        <f t="shared" si="1"/>
        <v>2.2222222222222223E-2</v>
      </c>
      <c r="O10" s="21">
        <f t="shared" si="2"/>
        <v>0</v>
      </c>
      <c r="P10" s="21">
        <f t="shared" si="3"/>
        <v>0</v>
      </c>
      <c r="Q10" s="22">
        <f t="shared" si="4"/>
        <v>13245.486814756865</v>
      </c>
      <c r="R10" s="23">
        <f t="shared" si="5"/>
        <v>13245.486814756865</v>
      </c>
      <c r="S10" s="70">
        <v>13245.486814756865</v>
      </c>
      <c r="T10" s="5">
        <f t="shared" si="6"/>
        <v>0</v>
      </c>
    </row>
    <row r="11" spans="1:20">
      <c r="A11" s="14" t="s">
        <v>112</v>
      </c>
      <c r="B11" s="57">
        <v>1815</v>
      </c>
      <c r="C11" s="103" t="s">
        <v>130</v>
      </c>
      <c r="D11" s="31">
        <v>0</v>
      </c>
      <c r="E11" s="17"/>
      <c r="F11" s="4"/>
      <c r="G11" s="70">
        <v>0</v>
      </c>
      <c r="H11" s="17"/>
      <c r="I11" s="4">
        <f t="shared" si="0"/>
        <v>0</v>
      </c>
      <c r="J11" s="70">
        <v>251193.14547744716</v>
      </c>
      <c r="K11" s="13">
        <v>0</v>
      </c>
      <c r="L11" s="19"/>
      <c r="M11" s="18">
        <v>40</v>
      </c>
      <c r="N11" s="20">
        <f t="shared" si="1"/>
        <v>2.5000000000000001E-2</v>
      </c>
      <c r="O11" s="21">
        <f t="shared" si="2"/>
        <v>0</v>
      </c>
      <c r="P11" s="21">
        <f t="shared" si="3"/>
        <v>0</v>
      </c>
      <c r="Q11" s="22">
        <f t="shared" si="4"/>
        <v>6279.8286369361795</v>
      </c>
      <c r="R11" s="23">
        <f t="shared" si="5"/>
        <v>6279.8286369361795</v>
      </c>
      <c r="S11" s="70">
        <v>6279.8286369361795</v>
      </c>
      <c r="T11" s="5">
        <f t="shared" si="6"/>
        <v>0</v>
      </c>
    </row>
    <row r="12" spans="1:20">
      <c r="A12" s="14" t="s">
        <v>113</v>
      </c>
      <c r="B12" s="57">
        <v>1815</v>
      </c>
      <c r="C12" s="6" t="s">
        <v>131</v>
      </c>
      <c r="D12" s="31">
        <v>0</v>
      </c>
      <c r="E12" s="17"/>
      <c r="F12" s="4"/>
      <c r="G12" s="70">
        <v>0</v>
      </c>
      <c r="H12" s="17"/>
      <c r="I12" s="4">
        <f t="shared" si="0"/>
        <v>0</v>
      </c>
      <c r="J12" s="70">
        <v>2136807.3484157315</v>
      </c>
      <c r="K12" s="13">
        <v>0</v>
      </c>
      <c r="L12" s="19"/>
      <c r="M12" s="18">
        <v>50</v>
      </c>
      <c r="N12" s="20">
        <f t="shared" si="1"/>
        <v>0.02</v>
      </c>
      <c r="O12" s="21">
        <f t="shared" si="2"/>
        <v>0</v>
      </c>
      <c r="P12" s="21">
        <f t="shared" si="3"/>
        <v>0</v>
      </c>
      <c r="Q12" s="22">
        <f t="shared" si="4"/>
        <v>42736.146968314628</v>
      </c>
      <c r="R12" s="23">
        <f t="shared" si="5"/>
        <v>42736.146968314628</v>
      </c>
      <c r="S12" s="70">
        <v>42736.146968314628</v>
      </c>
      <c r="T12" s="5">
        <f t="shared" si="6"/>
        <v>0</v>
      </c>
    </row>
    <row r="13" spans="1:20">
      <c r="A13" s="14" t="s">
        <v>114</v>
      </c>
      <c r="B13" s="57">
        <v>1815</v>
      </c>
      <c r="C13" s="6" t="s">
        <v>132</v>
      </c>
      <c r="D13" s="31">
        <v>0</v>
      </c>
      <c r="E13" s="17"/>
      <c r="F13" s="4"/>
      <c r="G13" s="70">
        <v>0</v>
      </c>
      <c r="H13" s="17"/>
      <c r="I13" s="4">
        <f t="shared" si="0"/>
        <v>0</v>
      </c>
      <c r="J13" s="70">
        <v>1353416.1157671742</v>
      </c>
      <c r="K13" s="13">
        <v>0</v>
      </c>
      <c r="L13" s="19"/>
      <c r="M13" s="18">
        <v>45</v>
      </c>
      <c r="N13" s="20">
        <f t="shared" si="1"/>
        <v>2.2222222222222223E-2</v>
      </c>
      <c r="O13" s="21">
        <f t="shared" si="2"/>
        <v>0</v>
      </c>
      <c r="P13" s="21">
        <f t="shared" si="3"/>
        <v>0</v>
      </c>
      <c r="Q13" s="22">
        <f t="shared" si="4"/>
        <v>30075.913683714982</v>
      </c>
      <c r="R13" s="23">
        <f t="shared" si="5"/>
        <v>30075.913683714982</v>
      </c>
      <c r="S13" s="70">
        <v>30075.913683714982</v>
      </c>
      <c r="T13" s="5">
        <f t="shared" si="6"/>
        <v>0</v>
      </c>
    </row>
    <row r="14" spans="1:20">
      <c r="A14" s="14" t="s">
        <v>115</v>
      </c>
      <c r="B14" s="57">
        <v>1815</v>
      </c>
      <c r="C14" s="6" t="s">
        <v>133</v>
      </c>
      <c r="D14" s="31">
        <v>0</v>
      </c>
      <c r="E14" s="17"/>
      <c r="F14" s="4"/>
      <c r="G14" s="70">
        <v>0</v>
      </c>
      <c r="H14" s="17"/>
      <c r="I14" s="4">
        <f t="shared" si="0"/>
        <v>0</v>
      </c>
      <c r="J14" s="70">
        <v>709884.96860426047</v>
      </c>
      <c r="K14" s="13">
        <v>0</v>
      </c>
      <c r="L14" s="19"/>
      <c r="M14" s="18">
        <v>50</v>
      </c>
      <c r="N14" s="20">
        <f t="shared" si="1"/>
        <v>0.02</v>
      </c>
      <c r="O14" s="21">
        <f t="shared" si="2"/>
        <v>0</v>
      </c>
      <c r="P14" s="21">
        <f t="shared" si="3"/>
        <v>0</v>
      </c>
      <c r="Q14" s="22">
        <f t="shared" si="4"/>
        <v>14197.69937208521</v>
      </c>
      <c r="R14" s="23">
        <f t="shared" si="5"/>
        <v>14197.69937208521</v>
      </c>
      <c r="S14" s="70">
        <v>14197.69937208521</v>
      </c>
      <c r="T14" s="5">
        <f t="shared" si="6"/>
        <v>0</v>
      </c>
    </row>
    <row r="15" spans="1:20">
      <c r="A15" s="14" t="s">
        <v>116</v>
      </c>
      <c r="B15" s="57">
        <v>1815</v>
      </c>
      <c r="C15" s="6" t="s">
        <v>134</v>
      </c>
      <c r="D15" s="31">
        <v>0</v>
      </c>
      <c r="E15" s="17"/>
      <c r="F15" s="4"/>
      <c r="G15" s="70">
        <v>0</v>
      </c>
      <c r="H15" s="17"/>
      <c r="I15" s="4">
        <f t="shared" si="0"/>
        <v>0</v>
      </c>
      <c r="J15" s="70">
        <v>1938786.9022932483</v>
      </c>
      <c r="K15" s="13">
        <v>0</v>
      </c>
      <c r="L15" s="19"/>
      <c r="M15" s="18">
        <v>20</v>
      </c>
      <c r="N15" s="20">
        <f t="shared" si="1"/>
        <v>0.05</v>
      </c>
      <c r="O15" s="21">
        <f t="shared" si="2"/>
        <v>0</v>
      </c>
      <c r="P15" s="21">
        <f t="shared" si="3"/>
        <v>0</v>
      </c>
      <c r="Q15" s="22">
        <f t="shared" si="4"/>
        <v>96939.345114662414</v>
      </c>
      <c r="R15" s="23">
        <f t="shared" si="5"/>
        <v>96939.345114662414</v>
      </c>
      <c r="S15" s="70">
        <v>96939.345114662414</v>
      </c>
      <c r="T15" s="5">
        <f t="shared" si="6"/>
        <v>0</v>
      </c>
    </row>
    <row r="16" spans="1:20">
      <c r="A16" s="14" t="s">
        <v>117</v>
      </c>
      <c r="B16" s="57">
        <v>1815</v>
      </c>
      <c r="C16" s="6" t="s">
        <v>135</v>
      </c>
      <c r="D16" s="31">
        <v>0</v>
      </c>
      <c r="E16" s="17"/>
      <c r="F16" s="4"/>
      <c r="G16" s="70">
        <v>0</v>
      </c>
      <c r="H16" s="17"/>
      <c r="I16" s="4">
        <f t="shared" si="0"/>
        <v>0</v>
      </c>
      <c r="J16" s="70">
        <v>798005.77388687769</v>
      </c>
      <c r="K16" s="13">
        <v>0</v>
      </c>
      <c r="L16" s="19"/>
      <c r="M16" s="18">
        <v>55</v>
      </c>
      <c r="N16" s="20">
        <f t="shared" si="1"/>
        <v>1.8181818181818181E-2</v>
      </c>
      <c r="O16" s="21">
        <f t="shared" si="2"/>
        <v>0</v>
      </c>
      <c r="P16" s="21">
        <f t="shared" si="3"/>
        <v>0</v>
      </c>
      <c r="Q16" s="22">
        <f t="shared" si="4"/>
        <v>14509.195888852322</v>
      </c>
      <c r="R16" s="23">
        <f t="shared" si="5"/>
        <v>14509.195888852322</v>
      </c>
      <c r="S16" s="70">
        <v>14509.195888852322</v>
      </c>
      <c r="T16" s="5">
        <f t="shared" si="6"/>
        <v>0</v>
      </c>
    </row>
    <row r="17" spans="1:22">
      <c r="A17" s="14" t="s">
        <v>118</v>
      </c>
      <c r="B17" s="57">
        <v>1815</v>
      </c>
      <c r="C17" s="6" t="s">
        <v>136</v>
      </c>
      <c r="D17" s="31">
        <v>0</v>
      </c>
      <c r="E17" s="17"/>
      <c r="F17" s="4"/>
      <c r="G17" s="70">
        <v>0</v>
      </c>
      <c r="H17" s="17"/>
      <c r="I17" s="4">
        <f t="shared" si="0"/>
        <v>0</v>
      </c>
      <c r="J17" s="70">
        <v>2227408.2396015017</v>
      </c>
      <c r="K17" s="13">
        <v>0</v>
      </c>
      <c r="L17" s="19"/>
      <c r="M17" s="18">
        <v>50</v>
      </c>
      <c r="N17" s="20">
        <f t="shared" si="1"/>
        <v>0.02</v>
      </c>
      <c r="O17" s="21">
        <f t="shared" si="2"/>
        <v>0</v>
      </c>
      <c r="P17" s="21">
        <f t="shared" si="3"/>
        <v>0</v>
      </c>
      <c r="Q17" s="22">
        <f t="shared" si="4"/>
        <v>44548.164792030031</v>
      </c>
      <c r="R17" s="23">
        <f t="shared" si="5"/>
        <v>44548.164792030031</v>
      </c>
      <c r="S17" s="70">
        <v>44548.164792030031</v>
      </c>
      <c r="T17" s="5">
        <f t="shared" si="6"/>
        <v>0</v>
      </c>
    </row>
    <row r="18" spans="1:22">
      <c r="A18" s="14" t="s">
        <v>119</v>
      </c>
      <c r="B18" s="57">
        <v>1815</v>
      </c>
      <c r="C18" s="6" t="s">
        <v>137</v>
      </c>
      <c r="D18" s="31">
        <v>0</v>
      </c>
      <c r="E18" s="17"/>
      <c r="F18" s="4"/>
      <c r="G18" s="70">
        <v>0</v>
      </c>
      <c r="H18" s="17"/>
      <c r="I18" s="4">
        <f t="shared" si="0"/>
        <v>0</v>
      </c>
      <c r="J18" s="70">
        <v>1627038.3438421127</v>
      </c>
      <c r="K18" s="13">
        <v>0</v>
      </c>
      <c r="L18" s="19"/>
      <c r="M18" s="18">
        <v>40</v>
      </c>
      <c r="N18" s="20">
        <f t="shared" si="1"/>
        <v>2.5000000000000001E-2</v>
      </c>
      <c r="O18" s="21">
        <f t="shared" si="2"/>
        <v>0</v>
      </c>
      <c r="P18" s="21">
        <f t="shared" si="3"/>
        <v>0</v>
      </c>
      <c r="Q18" s="22">
        <f t="shared" si="4"/>
        <v>40675.95859605282</v>
      </c>
      <c r="R18" s="23">
        <f t="shared" si="5"/>
        <v>40675.95859605282</v>
      </c>
      <c r="S18" s="70">
        <v>40675.95859605282</v>
      </c>
      <c r="T18" s="5">
        <f t="shared" si="6"/>
        <v>0</v>
      </c>
    </row>
    <row r="19" spans="1:22">
      <c r="A19" s="14" t="s">
        <v>120</v>
      </c>
      <c r="B19" s="57">
        <v>1815</v>
      </c>
      <c r="C19" s="6" t="s">
        <v>138</v>
      </c>
      <c r="D19" s="31">
        <v>0</v>
      </c>
      <c r="E19" s="17"/>
      <c r="F19" s="4"/>
      <c r="G19" s="70">
        <v>0</v>
      </c>
      <c r="H19" s="17"/>
      <c r="I19" s="4">
        <f t="shared" si="0"/>
        <v>0</v>
      </c>
      <c r="J19" s="70">
        <v>1542573.8910516659</v>
      </c>
      <c r="K19" s="13">
        <v>0</v>
      </c>
      <c r="L19" s="19"/>
      <c r="M19" s="18">
        <v>55</v>
      </c>
      <c r="N19" s="20">
        <f t="shared" si="1"/>
        <v>1.8181818181818181E-2</v>
      </c>
      <c r="O19" s="21">
        <f t="shared" si="2"/>
        <v>0</v>
      </c>
      <c r="P19" s="21">
        <f t="shared" si="3"/>
        <v>0</v>
      </c>
      <c r="Q19" s="22">
        <f t="shared" si="4"/>
        <v>28046.798019121197</v>
      </c>
      <c r="R19" s="23">
        <f t="shared" si="5"/>
        <v>28046.798019121197</v>
      </c>
      <c r="S19" s="70">
        <v>28046.798019121197</v>
      </c>
      <c r="T19" s="5">
        <f t="shared" si="6"/>
        <v>0</v>
      </c>
    </row>
    <row r="20" spans="1:22">
      <c r="A20" s="14" t="s">
        <v>121</v>
      </c>
      <c r="B20" s="57">
        <v>1815</v>
      </c>
      <c r="C20" s="6" t="s">
        <v>139</v>
      </c>
      <c r="D20" s="31">
        <v>0</v>
      </c>
      <c r="E20" s="17"/>
      <c r="F20" s="4"/>
      <c r="G20" s="70">
        <v>0</v>
      </c>
      <c r="H20" s="17"/>
      <c r="I20" s="4">
        <f t="shared" si="0"/>
        <v>0</v>
      </c>
      <c r="J20" s="70">
        <v>445953.10949764022</v>
      </c>
      <c r="K20" s="13">
        <v>0</v>
      </c>
      <c r="L20" s="19"/>
      <c r="M20" s="18">
        <v>15</v>
      </c>
      <c r="N20" s="20">
        <f t="shared" si="1"/>
        <v>6.6666666666666666E-2</v>
      </c>
      <c r="O20" s="21">
        <f t="shared" si="2"/>
        <v>0</v>
      </c>
      <c r="P20" s="21">
        <f t="shared" si="3"/>
        <v>0</v>
      </c>
      <c r="Q20" s="22">
        <f t="shared" si="4"/>
        <v>29730.207299842681</v>
      </c>
      <c r="R20" s="23">
        <f t="shared" si="5"/>
        <v>29730.207299842681</v>
      </c>
      <c r="S20" s="70">
        <v>29730.207299842681</v>
      </c>
      <c r="T20" s="5">
        <f t="shared" si="6"/>
        <v>0</v>
      </c>
    </row>
    <row r="21" spans="1:22">
      <c r="A21" s="14" t="s">
        <v>122</v>
      </c>
      <c r="B21" s="57">
        <v>1815</v>
      </c>
      <c r="C21" s="6" t="s">
        <v>140</v>
      </c>
      <c r="D21" s="31">
        <v>0</v>
      </c>
      <c r="E21" s="17"/>
      <c r="F21" s="4"/>
      <c r="G21" s="70">
        <v>0</v>
      </c>
      <c r="H21" s="17"/>
      <c r="I21" s="4">
        <f t="shared" si="0"/>
        <v>0</v>
      </c>
      <c r="J21" s="70">
        <v>3251988.7997565572</v>
      </c>
      <c r="K21" s="13">
        <v>0</v>
      </c>
      <c r="L21" s="19"/>
      <c r="M21" s="18">
        <v>50</v>
      </c>
      <c r="N21" s="20">
        <f t="shared" si="1"/>
        <v>0.02</v>
      </c>
      <c r="O21" s="21">
        <f t="shared" si="2"/>
        <v>0</v>
      </c>
      <c r="P21" s="21">
        <f t="shared" si="3"/>
        <v>0</v>
      </c>
      <c r="Q21" s="22">
        <f t="shared" si="4"/>
        <v>65039.775995131145</v>
      </c>
      <c r="R21" s="23">
        <f t="shared" si="5"/>
        <v>65039.775995131145</v>
      </c>
      <c r="S21" s="70">
        <v>65039.775995131145</v>
      </c>
      <c r="T21" s="5">
        <f t="shared" si="6"/>
        <v>0</v>
      </c>
    </row>
    <row r="22" spans="1:22">
      <c r="A22" s="14" t="s">
        <v>123</v>
      </c>
      <c r="B22" s="57">
        <v>1815</v>
      </c>
      <c r="C22" s="6" t="s">
        <v>140</v>
      </c>
      <c r="D22" s="31">
        <v>0</v>
      </c>
      <c r="E22" s="17"/>
      <c r="F22" s="4"/>
      <c r="G22" s="70">
        <v>0</v>
      </c>
      <c r="H22" s="17"/>
      <c r="I22" s="4">
        <f t="shared" si="0"/>
        <v>0</v>
      </c>
      <c r="J22" s="70">
        <v>285337.7016197496</v>
      </c>
      <c r="K22" s="13">
        <v>0</v>
      </c>
      <c r="L22" s="19"/>
      <c r="M22" s="18">
        <v>25</v>
      </c>
      <c r="N22" s="20">
        <f t="shared" si="1"/>
        <v>0.04</v>
      </c>
      <c r="O22" s="21">
        <f t="shared" si="2"/>
        <v>0</v>
      </c>
      <c r="P22" s="21">
        <f t="shared" si="3"/>
        <v>0</v>
      </c>
      <c r="Q22" s="22">
        <f t="shared" si="4"/>
        <v>11413.508064789983</v>
      </c>
      <c r="R22" s="23">
        <f t="shared" si="5"/>
        <v>11413.508064789983</v>
      </c>
      <c r="S22" s="70">
        <v>11413.508064789983</v>
      </c>
      <c r="T22" s="5">
        <f t="shared" si="6"/>
        <v>0</v>
      </c>
    </row>
    <row r="23" spans="1:22">
      <c r="A23" s="14" t="s">
        <v>124</v>
      </c>
      <c r="B23" s="57">
        <v>1815</v>
      </c>
      <c r="C23" s="6" t="s">
        <v>140</v>
      </c>
      <c r="D23" s="31">
        <v>0</v>
      </c>
      <c r="E23" s="17"/>
      <c r="F23" s="4"/>
      <c r="G23" s="70">
        <v>0</v>
      </c>
      <c r="H23" s="17"/>
      <c r="I23" s="4">
        <f t="shared" si="0"/>
        <v>0</v>
      </c>
      <c r="J23" s="70">
        <v>315382.03969105484</v>
      </c>
      <c r="K23" s="13">
        <v>0</v>
      </c>
      <c r="L23" s="19"/>
      <c r="M23" s="18">
        <v>35</v>
      </c>
      <c r="N23" s="20">
        <f t="shared" si="1"/>
        <v>2.8571428571428571E-2</v>
      </c>
      <c r="O23" s="21">
        <f t="shared" si="2"/>
        <v>0</v>
      </c>
      <c r="P23" s="21">
        <f t="shared" si="3"/>
        <v>0</v>
      </c>
      <c r="Q23" s="22">
        <f t="shared" si="4"/>
        <v>9010.9154197444241</v>
      </c>
      <c r="R23" s="23">
        <f t="shared" si="5"/>
        <v>9010.9154197444241</v>
      </c>
      <c r="S23" s="70">
        <v>9010.9154197444241</v>
      </c>
      <c r="T23" s="5">
        <f t="shared" si="6"/>
        <v>0</v>
      </c>
    </row>
    <row r="24" spans="1:22">
      <c r="A24" s="14" t="s">
        <v>125</v>
      </c>
      <c r="B24" s="57">
        <v>1815</v>
      </c>
      <c r="C24" s="6" t="s">
        <v>140</v>
      </c>
      <c r="D24" s="31">
        <v>0</v>
      </c>
      <c r="E24" s="17"/>
      <c r="F24" s="4"/>
      <c r="G24" s="70">
        <v>0</v>
      </c>
      <c r="H24" s="17"/>
      <c r="I24" s="4">
        <f t="shared" si="0"/>
        <v>0</v>
      </c>
      <c r="J24" s="70">
        <v>339830.48615598527</v>
      </c>
      <c r="K24" s="13">
        <v>0</v>
      </c>
      <c r="L24" s="19"/>
      <c r="M24" s="18">
        <v>20</v>
      </c>
      <c r="N24" s="20">
        <f t="shared" si="1"/>
        <v>0.05</v>
      </c>
      <c r="O24" s="21">
        <f t="shared" si="2"/>
        <v>0</v>
      </c>
      <c r="P24" s="21">
        <f t="shared" si="3"/>
        <v>0</v>
      </c>
      <c r="Q24" s="22">
        <f t="shared" si="4"/>
        <v>16991.524307799264</v>
      </c>
      <c r="R24" s="23">
        <f t="shared" si="5"/>
        <v>16991.524307799264</v>
      </c>
      <c r="S24" s="70">
        <v>16991.524307799264</v>
      </c>
      <c r="T24" s="5">
        <f t="shared" si="6"/>
        <v>0</v>
      </c>
    </row>
    <row r="25" spans="1:22">
      <c r="A25" s="14" t="s">
        <v>126</v>
      </c>
      <c r="B25" s="57">
        <v>1815</v>
      </c>
      <c r="C25" s="6" t="s">
        <v>141</v>
      </c>
      <c r="D25" s="31">
        <v>0</v>
      </c>
      <c r="E25" s="17"/>
      <c r="F25" s="4"/>
      <c r="G25" s="70">
        <v>0</v>
      </c>
      <c r="H25" s="17"/>
      <c r="I25" s="4">
        <f t="shared" si="0"/>
        <v>0</v>
      </c>
      <c r="J25" s="70">
        <v>320207.57662488916</v>
      </c>
      <c r="K25" s="13">
        <v>0</v>
      </c>
      <c r="L25" s="19"/>
      <c r="M25" s="18">
        <v>20</v>
      </c>
      <c r="N25" s="20">
        <f t="shared" si="1"/>
        <v>0.05</v>
      </c>
      <c r="O25" s="21">
        <f t="shared" si="2"/>
        <v>0</v>
      </c>
      <c r="P25" s="21">
        <f t="shared" si="3"/>
        <v>0</v>
      </c>
      <c r="Q25" s="22">
        <f t="shared" si="4"/>
        <v>16010.378831244458</v>
      </c>
      <c r="R25" s="23">
        <f t="shared" si="5"/>
        <v>16010.378831244458</v>
      </c>
      <c r="S25" s="70">
        <v>16010.378831244458</v>
      </c>
      <c r="T25" s="5">
        <f t="shared" si="6"/>
        <v>0</v>
      </c>
    </row>
    <row r="26" spans="1:22">
      <c r="A26" s="14" t="s">
        <v>127</v>
      </c>
      <c r="B26" s="57">
        <v>1815</v>
      </c>
      <c r="C26" s="6" t="s">
        <v>142</v>
      </c>
      <c r="D26" s="31"/>
      <c r="E26" s="17"/>
      <c r="F26" s="4"/>
      <c r="G26" s="70">
        <v>0</v>
      </c>
      <c r="H26" s="17"/>
      <c r="I26" s="4">
        <f t="shared" si="0"/>
        <v>0</v>
      </c>
      <c r="J26" s="70">
        <v>546807.14039024559</v>
      </c>
      <c r="K26" s="13">
        <v>0</v>
      </c>
      <c r="L26" s="19"/>
      <c r="M26" s="18">
        <v>45</v>
      </c>
      <c r="N26" s="20">
        <f t="shared" si="1"/>
        <v>2.2222222222222223E-2</v>
      </c>
      <c r="O26" s="21">
        <f t="shared" si="2"/>
        <v>0</v>
      </c>
      <c r="P26" s="21">
        <f t="shared" si="3"/>
        <v>0</v>
      </c>
      <c r="Q26" s="22">
        <f t="shared" si="4"/>
        <v>12151.269786449902</v>
      </c>
      <c r="R26" s="23">
        <f t="shared" si="5"/>
        <v>12151.269786449902</v>
      </c>
      <c r="S26" s="70">
        <v>12151.269786449902</v>
      </c>
      <c r="T26" s="5">
        <f t="shared" si="6"/>
        <v>0</v>
      </c>
    </row>
    <row r="27" spans="1:22">
      <c r="B27" s="57"/>
      <c r="C27" s="6"/>
      <c r="D27" s="31"/>
      <c r="E27" s="17"/>
      <c r="F27" s="4"/>
      <c r="G27" s="70"/>
      <c r="H27" s="17"/>
      <c r="I27" s="4"/>
      <c r="J27" s="70"/>
      <c r="K27" s="13"/>
      <c r="L27" s="19"/>
      <c r="M27" s="18"/>
      <c r="N27" s="20"/>
      <c r="O27" s="99"/>
      <c r="P27" s="100"/>
      <c r="Q27" s="101"/>
      <c r="R27" s="102"/>
      <c r="S27" s="70"/>
      <c r="T27" s="5"/>
    </row>
    <row r="28" spans="1:22">
      <c r="A28" t="s">
        <v>71</v>
      </c>
      <c r="B28" s="57">
        <v>1830</v>
      </c>
      <c r="C28" s="6" t="s">
        <v>44</v>
      </c>
      <c r="D28" s="31">
        <f>'2018 Dep Exp '!F7</f>
        <v>19527826.240000002</v>
      </c>
      <c r="E28" s="17"/>
      <c r="F28" s="4">
        <f>D28-E28</f>
        <v>19527826.240000002</v>
      </c>
      <c r="G28" s="70">
        <f>'2018 Dep Exp '!I7+'2018 Dep Exp '!J7</f>
        <v>10780341.740000002</v>
      </c>
      <c r="H28" s="17"/>
      <c r="I28" s="4">
        <f>G28-H28</f>
        <v>10780341.740000002</v>
      </c>
      <c r="J28" s="70">
        <v>1289310.4899999984</v>
      </c>
      <c r="K28" s="18">
        <v>49</v>
      </c>
      <c r="L28" s="19">
        <f>IF(K28=0,0,1/K28)</f>
        <v>2.0408163265306121E-2</v>
      </c>
      <c r="M28" s="18">
        <v>50</v>
      </c>
      <c r="N28" s="20">
        <f>IF(M28=0,0,1/M28)</f>
        <v>0.02</v>
      </c>
      <c r="O28" s="21">
        <f>IF(K28=0,0,+F28/K28)</f>
        <v>398527.066122449</v>
      </c>
      <c r="P28" s="21">
        <f>IF(M28=0,0,+I28/M28)</f>
        <v>215606.83480000004</v>
      </c>
      <c r="Q28" s="22">
        <f>IF(M28=0,0,+(J28*0.5)/M28)</f>
        <v>12893.104899999984</v>
      </c>
      <c r="R28" s="23">
        <f>IF(ISERROR(+O28+P28+Q28),0,+O28+P28+Q28)</f>
        <v>627027.00582244911</v>
      </c>
      <c r="S28" s="70">
        <v>614182.29</v>
      </c>
      <c r="T28" s="5">
        <f>IF(ISERROR(+S28-R28),0,+S28-R28)</f>
        <v>-12844.71582244907</v>
      </c>
      <c r="V28" t="str">
        <f>CONCATENATE(B28,C28)</f>
        <v>1830Poles</v>
      </c>
    </row>
    <row r="29" spans="1:22">
      <c r="A29" t="s">
        <v>72</v>
      </c>
      <c r="B29" s="57">
        <v>1835</v>
      </c>
      <c r="C29" s="6" t="s">
        <v>45</v>
      </c>
      <c r="D29" s="31">
        <f>'2018 Dep Exp '!F8</f>
        <v>6516643.6000000006</v>
      </c>
      <c r="E29" s="17"/>
      <c r="F29" s="4">
        <f t="shared" ref="F29:F39" si="7">D29-E29</f>
        <v>6516643.6000000006</v>
      </c>
      <c r="G29" s="70">
        <f>'2018 Dep Exp '!I8+'2018 Dep Exp '!J8</f>
        <v>344335.3199999996</v>
      </c>
      <c r="H29" s="17"/>
      <c r="I29" s="4">
        <f t="shared" ref="I29:I78" si="8">G29-H29</f>
        <v>344335.3199999996</v>
      </c>
      <c r="J29" s="70">
        <v>794390.21</v>
      </c>
      <c r="K29" s="18">
        <v>44.5</v>
      </c>
      <c r="L29" s="19">
        <f t="shared" ref="L29:L78" si="9">IF(K29=0,0,1/K29)</f>
        <v>2.247191011235955E-2</v>
      </c>
      <c r="M29" s="18">
        <v>50</v>
      </c>
      <c r="N29" s="20">
        <f t="shared" ref="N29:N78" si="10">IF(M29=0,0,1/M29)</f>
        <v>0.02</v>
      </c>
      <c r="O29" s="21">
        <f t="shared" ref="O29:O39" si="11">IF(K29=0,0,+F29/K29)</f>
        <v>146441.42921348315</v>
      </c>
      <c r="P29" s="21">
        <f t="shared" ref="P29:P78" si="12">IF(M29=0,0,+I29/M29)</f>
        <v>6886.7063999999918</v>
      </c>
      <c r="Q29" s="22">
        <f>IF(M29=0,0,+(J29*0.5)/M29)</f>
        <v>7943.9020999999993</v>
      </c>
      <c r="R29" s="23">
        <f t="shared" ref="R29:R39" si="13">IF(ISERROR(+O29+P29+Q29),0,+O29+P29+Q29)</f>
        <v>161272.03771348315</v>
      </c>
      <c r="S29" s="70">
        <v>161546.75</v>
      </c>
      <c r="T29" s="5">
        <f t="shared" ref="T29:T39" si="14">IF(ISERROR(+S29-R29),0,+S29-R29)</f>
        <v>274.71228651684942</v>
      </c>
      <c r="V29" t="str">
        <f t="shared" ref="V29:V81" si="15">CONCATENATE(B29,C29)</f>
        <v>1835OH Conductors</v>
      </c>
    </row>
    <row r="30" spans="1:22">
      <c r="A30" t="s">
        <v>73</v>
      </c>
      <c r="B30" s="57">
        <v>1835</v>
      </c>
      <c r="C30" s="6" t="s">
        <v>46</v>
      </c>
      <c r="D30" s="31">
        <f>'2018 Dep Exp '!F9</f>
        <v>1292.6100000000001</v>
      </c>
      <c r="E30" s="17"/>
      <c r="F30" s="4">
        <f t="shared" si="7"/>
        <v>1292.6100000000001</v>
      </c>
      <c r="G30" s="70">
        <f>'2018 Dep Exp '!I9+'2018 Dep Exp '!J9</f>
        <v>1967159.88</v>
      </c>
      <c r="H30" s="17"/>
      <c r="I30" s="4">
        <f t="shared" si="8"/>
        <v>1967159.88</v>
      </c>
      <c r="J30" s="70">
        <v>830780.40000000014</v>
      </c>
      <c r="K30" s="18">
        <v>34.5</v>
      </c>
      <c r="L30" s="19">
        <f t="shared" si="9"/>
        <v>2.8985507246376812E-2</v>
      </c>
      <c r="M30" s="18">
        <v>40</v>
      </c>
      <c r="N30" s="20">
        <f t="shared" si="10"/>
        <v>2.5000000000000001E-2</v>
      </c>
      <c r="O30" s="21">
        <f t="shared" si="11"/>
        <v>37.466956521739135</v>
      </c>
      <c r="P30" s="21">
        <f t="shared" si="12"/>
        <v>49178.996999999996</v>
      </c>
      <c r="Q30" s="22">
        <f>IF(M30=0,0,+(J30*0.5)/M30)</f>
        <v>10384.755000000001</v>
      </c>
      <c r="R30" s="23">
        <f t="shared" si="13"/>
        <v>59601.218956521741</v>
      </c>
      <c r="S30" s="70">
        <v>79135.5</v>
      </c>
      <c r="T30" s="5">
        <f t="shared" si="14"/>
        <v>19534.281043478259</v>
      </c>
      <c r="V30" t="str">
        <f t="shared" si="15"/>
        <v>1835OH Switches</v>
      </c>
    </row>
    <row r="31" spans="1:22">
      <c r="B31" s="57"/>
      <c r="C31" s="6"/>
      <c r="D31" s="31">
        <f>'2018 Dep Exp '!F10</f>
        <v>0</v>
      </c>
      <c r="E31" s="17"/>
      <c r="F31" s="4"/>
      <c r="G31" s="70">
        <f>'2018 Dep Exp '!I10+'2018 Dep Exp '!J10</f>
        <v>0</v>
      </c>
      <c r="H31" s="17"/>
      <c r="I31" s="4">
        <f t="shared" si="8"/>
        <v>0</v>
      </c>
      <c r="J31" s="70">
        <v>0</v>
      </c>
      <c r="K31" s="18">
        <v>0</v>
      </c>
      <c r="L31" s="19">
        <f t="shared" si="9"/>
        <v>0</v>
      </c>
      <c r="M31" s="18">
        <v>0</v>
      </c>
      <c r="N31" s="20">
        <f t="shared" si="10"/>
        <v>0</v>
      </c>
      <c r="O31" s="21"/>
      <c r="P31" s="21">
        <f t="shared" si="12"/>
        <v>0</v>
      </c>
      <c r="Q31" s="22"/>
      <c r="R31" s="23"/>
      <c r="S31" s="70">
        <v>0</v>
      </c>
      <c r="T31" s="5"/>
    </row>
    <row r="32" spans="1:22">
      <c r="A32" t="s">
        <v>74</v>
      </c>
      <c r="B32" s="57">
        <v>1845</v>
      </c>
      <c r="C32" s="6" t="s">
        <v>47</v>
      </c>
      <c r="D32" s="31">
        <f>'2018 Dep Exp '!F11</f>
        <v>7045633.0100000007</v>
      </c>
      <c r="E32" s="17"/>
      <c r="F32" s="4">
        <f t="shared" si="7"/>
        <v>7045633.0100000007</v>
      </c>
      <c r="G32" s="70">
        <f>'2018 Dep Exp '!I11+'2018 Dep Exp '!J11</f>
        <v>2070975.5999999994</v>
      </c>
      <c r="H32" s="17"/>
      <c r="I32" s="4">
        <f t="shared" si="8"/>
        <v>2070975.5999999994</v>
      </c>
      <c r="J32" s="70">
        <v>893478.83999999985</v>
      </c>
      <c r="K32" s="18">
        <v>36.5</v>
      </c>
      <c r="L32" s="19">
        <f t="shared" si="9"/>
        <v>2.7397260273972601E-2</v>
      </c>
      <c r="M32" s="18">
        <v>40</v>
      </c>
      <c r="N32" s="20">
        <f t="shared" si="10"/>
        <v>2.5000000000000001E-2</v>
      </c>
      <c r="O32" s="21">
        <f t="shared" si="11"/>
        <v>193031.04136986303</v>
      </c>
      <c r="P32" s="21">
        <f t="shared" si="12"/>
        <v>51774.389999999985</v>
      </c>
      <c r="Q32" s="22">
        <f t="shared" ref="Q32:Q39" si="16">IF(M32=0,0,+(J32*0.5)/M32)</f>
        <v>11168.485499999999</v>
      </c>
      <c r="R32" s="23">
        <f t="shared" si="13"/>
        <v>255973.91686986302</v>
      </c>
      <c r="S32" s="70">
        <v>281515.08</v>
      </c>
      <c r="T32" s="5">
        <f t="shared" si="14"/>
        <v>25541.163130136993</v>
      </c>
      <c r="V32" t="str">
        <f t="shared" si="15"/>
        <v>1845UG Primary Cables</v>
      </c>
    </row>
    <row r="33" spans="1:22">
      <c r="A33" t="s">
        <v>75</v>
      </c>
      <c r="B33" s="57">
        <v>1845</v>
      </c>
      <c r="C33" s="6" t="s">
        <v>48</v>
      </c>
      <c r="D33" s="31">
        <f>'2018 Dep Exp '!F12</f>
        <v>3303315.36</v>
      </c>
      <c r="E33" s="17"/>
      <c r="F33" s="4">
        <f t="shared" si="7"/>
        <v>3303315.36</v>
      </c>
      <c r="G33" s="70">
        <f>'2018 Dep Exp '!I12+'2018 Dep Exp '!J12</f>
        <v>1648577.8199999998</v>
      </c>
      <c r="H33" s="17"/>
      <c r="I33" s="4">
        <f t="shared" si="8"/>
        <v>1648577.8199999998</v>
      </c>
      <c r="J33" s="70">
        <v>326318.68000000063</v>
      </c>
      <c r="K33" s="18">
        <v>34.5</v>
      </c>
      <c r="L33" s="19">
        <f t="shared" si="9"/>
        <v>2.8985507246376812E-2</v>
      </c>
      <c r="M33" s="18">
        <v>40</v>
      </c>
      <c r="N33" s="20">
        <f t="shared" si="10"/>
        <v>2.5000000000000001E-2</v>
      </c>
      <c r="O33" s="21">
        <f t="shared" si="11"/>
        <v>95748.271304347829</v>
      </c>
      <c r="P33" s="21">
        <f t="shared" si="12"/>
        <v>41214.445499999994</v>
      </c>
      <c r="Q33" s="22">
        <f t="shared" si="16"/>
        <v>4078.983500000008</v>
      </c>
      <c r="R33" s="23">
        <f t="shared" si="13"/>
        <v>141041.70030434782</v>
      </c>
      <c r="S33" s="70">
        <v>135117.65</v>
      </c>
      <c r="T33" s="5">
        <f t="shared" si="14"/>
        <v>-5924.0503043478238</v>
      </c>
      <c r="V33" t="str">
        <f t="shared" si="15"/>
        <v>1845UG Secondary Cables</v>
      </c>
    </row>
    <row r="34" spans="1:22">
      <c r="A34" t="s">
        <v>76</v>
      </c>
      <c r="B34" s="57">
        <v>1845</v>
      </c>
      <c r="C34" s="6" t="s">
        <v>49</v>
      </c>
      <c r="D34" s="31">
        <f>'2018 Dep Exp '!F13</f>
        <v>2737.28</v>
      </c>
      <c r="E34" s="17"/>
      <c r="F34" s="4">
        <f t="shared" si="7"/>
        <v>2737.28</v>
      </c>
      <c r="G34" s="70">
        <f>'2018 Dep Exp '!I13+'2018 Dep Exp '!J13</f>
        <v>616264.02</v>
      </c>
      <c r="H34" s="17"/>
      <c r="I34" s="4">
        <f t="shared" si="8"/>
        <v>616264.02</v>
      </c>
      <c r="J34" s="70">
        <v>0</v>
      </c>
      <c r="K34" s="18">
        <v>24.181818181818183</v>
      </c>
      <c r="L34" s="19">
        <f t="shared" si="9"/>
        <v>4.1353383458646614E-2</v>
      </c>
      <c r="M34" s="18">
        <v>50</v>
      </c>
      <c r="N34" s="20">
        <f t="shared" si="10"/>
        <v>0.02</v>
      </c>
      <c r="O34" s="21">
        <f t="shared" si="11"/>
        <v>113.19578947368421</v>
      </c>
      <c r="P34" s="21">
        <f t="shared" si="12"/>
        <v>12325.2804</v>
      </c>
      <c r="Q34" s="22">
        <f t="shared" si="16"/>
        <v>0</v>
      </c>
      <c r="R34" s="23">
        <f t="shared" si="13"/>
        <v>12438.476189473684</v>
      </c>
      <c r="S34" s="70">
        <v>11925.77</v>
      </c>
      <c r="T34" s="5">
        <f t="shared" si="14"/>
        <v>-512.70618947368348</v>
      </c>
      <c r="V34" t="str">
        <f t="shared" si="15"/>
        <v>1845UG Switchgear</v>
      </c>
    </row>
    <row r="35" spans="1:22">
      <c r="A35" t="s">
        <v>77</v>
      </c>
      <c r="B35" s="57">
        <v>1840</v>
      </c>
      <c r="C35" s="6" t="s">
        <v>50</v>
      </c>
      <c r="D35" s="31">
        <f>'2018 Dep Exp '!F14</f>
        <v>1053497.98</v>
      </c>
      <c r="E35" s="17"/>
      <c r="F35" s="4">
        <f t="shared" si="7"/>
        <v>1053497.98</v>
      </c>
      <c r="G35" s="70">
        <f>'2018 Dep Exp '!I14+'2018 Dep Exp '!J14</f>
        <v>276922.40000000014</v>
      </c>
      <c r="H35" s="17"/>
      <c r="I35" s="4">
        <f t="shared" si="8"/>
        <v>276922.40000000014</v>
      </c>
      <c r="J35" s="70">
        <v>186911.5399999998</v>
      </c>
      <c r="K35" s="18">
        <v>44.18181818181818</v>
      </c>
      <c r="L35" s="19">
        <f t="shared" si="9"/>
        <v>2.2633744855967079E-2</v>
      </c>
      <c r="M35" s="18">
        <v>50</v>
      </c>
      <c r="N35" s="20">
        <f t="shared" si="10"/>
        <v>0.02</v>
      </c>
      <c r="O35" s="21">
        <f t="shared" si="11"/>
        <v>23844.604485596708</v>
      </c>
      <c r="P35" s="21">
        <f t="shared" si="12"/>
        <v>5538.448000000003</v>
      </c>
      <c r="Q35" s="22">
        <f t="shared" si="16"/>
        <v>1869.1153999999981</v>
      </c>
      <c r="R35" s="23">
        <f t="shared" si="13"/>
        <v>31252.167885596711</v>
      </c>
      <c r="S35" s="70">
        <v>29051.759999999998</v>
      </c>
      <c r="T35" s="5">
        <f t="shared" si="14"/>
        <v>-2200.4078855967127</v>
      </c>
      <c r="V35" t="str">
        <f t="shared" si="15"/>
        <v>1840Ducts</v>
      </c>
    </row>
    <row r="36" spans="1:22">
      <c r="A36" t="s">
        <v>88</v>
      </c>
      <c r="B36" s="57"/>
      <c r="C36" s="6"/>
      <c r="D36" s="31">
        <f>'2018 Dep Exp '!F15</f>
        <v>0</v>
      </c>
      <c r="E36" s="17"/>
      <c r="F36" s="4">
        <f t="shared" si="7"/>
        <v>0</v>
      </c>
      <c r="G36" s="70">
        <f>'2018 Dep Exp '!I15+'2018 Dep Exp '!J15</f>
        <v>0</v>
      </c>
      <c r="H36" s="17"/>
      <c r="I36" s="4">
        <f t="shared" si="8"/>
        <v>0</v>
      </c>
      <c r="J36" s="70"/>
      <c r="K36" s="18">
        <v>0</v>
      </c>
      <c r="L36" s="19">
        <f t="shared" si="9"/>
        <v>0</v>
      </c>
      <c r="M36" s="18">
        <v>0</v>
      </c>
      <c r="N36" s="20">
        <f t="shared" si="10"/>
        <v>0</v>
      </c>
      <c r="O36" s="21">
        <f t="shared" si="11"/>
        <v>0</v>
      </c>
      <c r="P36" s="21">
        <f t="shared" si="12"/>
        <v>0</v>
      </c>
      <c r="Q36" s="22">
        <f t="shared" si="16"/>
        <v>0</v>
      </c>
      <c r="R36" s="23">
        <f t="shared" si="13"/>
        <v>0</v>
      </c>
      <c r="S36" s="70"/>
      <c r="T36" s="5">
        <f t="shared" si="14"/>
        <v>0</v>
      </c>
      <c r="V36" t="str">
        <f t="shared" si="15"/>
        <v/>
      </c>
    </row>
    <row r="37" spans="1:22">
      <c r="B37" s="57"/>
      <c r="C37" s="6"/>
      <c r="D37" s="31">
        <f>'2018 Dep Exp '!F16</f>
        <v>0</v>
      </c>
      <c r="E37" s="17"/>
      <c r="F37" s="4">
        <f t="shared" si="7"/>
        <v>0</v>
      </c>
      <c r="G37" s="70">
        <f>'2018 Dep Exp '!I16+'2018 Dep Exp '!J16</f>
        <v>0</v>
      </c>
      <c r="H37" s="17"/>
      <c r="I37" s="4">
        <f t="shared" si="8"/>
        <v>0</v>
      </c>
      <c r="J37" s="70"/>
      <c r="K37" s="18">
        <v>0</v>
      </c>
      <c r="L37" s="19">
        <f t="shared" si="9"/>
        <v>0</v>
      </c>
      <c r="M37" s="18">
        <v>0</v>
      </c>
      <c r="N37" s="20">
        <f t="shared" si="10"/>
        <v>0</v>
      </c>
      <c r="O37" s="21">
        <f t="shared" si="11"/>
        <v>0</v>
      </c>
      <c r="P37" s="21">
        <f t="shared" si="12"/>
        <v>0</v>
      </c>
      <c r="Q37" s="22">
        <f t="shared" si="16"/>
        <v>0</v>
      </c>
      <c r="R37" s="23">
        <f t="shared" si="13"/>
        <v>0</v>
      </c>
      <c r="S37" s="70"/>
      <c r="T37" s="5">
        <f t="shared" si="14"/>
        <v>0</v>
      </c>
      <c r="V37" t="str">
        <f t="shared" si="15"/>
        <v/>
      </c>
    </row>
    <row r="38" spans="1:22">
      <c r="A38" t="s">
        <v>78</v>
      </c>
      <c r="B38" s="57">
        <v>1850</v>
      </c>
      <c r="C38" s="6" t="s">
        <v>51</v>
      </c>
      <c r="D38" s="31">
        <f>'2018 Dep Exp '!F17</f>
        <v>1136469.78</v>
      </c>
      <c r="E38" s="17"/>
      <c r="F38" s="4">
        <f t="shared" si="7"/>
        <v>1136469.78</v>
      </c>
      <c r="G38" s="70">
        <f>'2018 Dep Exp '!I17+'2018 Dep Exp '!J17</f>
        <v>6888039.3100000005</v>
      </c>
      <c r="H38" s="17"/>
      <c r="I38" s="4">
        <f t="shared" si="8"/>
        <v>6888039.3100000005</v>
      </c>
      <c r="J38" s="70">
        <v>248257.1400000006</v>
      </c>
      <c r="K38" s="18">
        <v>40</v>
      </c>
      <c r="L38" s="19">
        <f t="shared" si="9"/>
        <v>2.5000000000000001E-2</v>
      </c>
      <c r="M38" s="18">
        <v>40</v>
      </c>
      <c r="N38" s="20">
        <f t="shared" si="10"/>
        <v>2.5000000000000001E-2</v>
      </c>
      <c r="O38" s="21">
        <f t="shared" si="11"/>
        <v>28411.744500000001</v>
      </c>
      <c r="P38" s="21">
        <f t="shared" si="12"/>
        <v>172200.98275000002</v>
      </c>
      <c r="Q38" s="22">
        <f t="shared" si="16"/>
        <v>3103.2142500000073</v>
      </c>
      <c r="R38" s="23">
        <f t="shared" si="13"/>
        <v>203715.94150000004</v>
      </c>
      <c r="S38" s="70">
        <v>159762.74</v>
      </c>
      <c r="T38" s="5">
        <f t="shared" si="14"/>
        <v>-43953.201500000054</v>
      </c>
      <c r="V38" t="str">
        <f t="shared" si="15"/>
        <v>1850OH Transformers &amp; Voltage Regulators</v>
      </c>
    </row>
    <row r="39" spans="1:22">
      <c r="A39" t="s">
        <v>79</v>
      </c>
      <c r="B39" s="57">
        <v>1850</v>
      </c>
      <c r="C39" s="6" t="s">
        <v>52</v>
      </c>
      <c r="D39" s="31">
        <f>'2018 Dep Exp '!F18</f>
        <v>2956741.82</v>
      </c>
      <c r="E39" s="17"/>
      <c r="F39" s="4">
        <f t="shared" si="7"/>
        <v>2956741.82</v>
      </c>
      <c r="G39" s="70">
        <f>'2018 Dep Exp '!I18+'2018 Dep Exp '!J18</f>
        <v>149962.1200000002</v>
      </c>
      <c r="H39" s="17"/>
      <c r="I39" s="4">
        <f t="shared" si="8"/>
        <v>149962.1200000002</v>
      </c>
      <c r="J39" s="70">
        <v>8389.2999999998137</v>
      </c>
      <c r="K39" s="18">
        <v>28.846153846153847</v>
      </c>
      <c r="L39" s="19">
        <f t="shared" si="9"/>
        <v>3.4666666666666665E-2</v>
      </c>
      <c r="M39" s="18">
        <v>20</v>
      </c>
      <c r="N39" s="20">
        <f t="shared" si="10"/>
        <v>0.05</v>
      </c>
      <c r="O39" s="21">
        <f t="shared" si="11"/>
        <v>102500.38309333332</v>
      </c>
      <c r="P39" s="21">
        <f t="shared" si="12"/>
        <v>7498.1060000000098</v>
      </c>
      <c r="Q39" s="22">
        <f t="shared" si="16"/>
        <v>209.73249999999535</v>
      </c>
      <c r="R39" s="23">
        <f t="shared" si="13"/>
        <v>110208.22159333334</v>
      </c>
      <c r="S39" s="70">
        <v>102411.35</v>
      </c>
      <c r="T39" s="5">
        <f t="shared" si="14"/>
        <v>-7796.8715933333297</v>
      </c>
      <c r="V39" t="str">
        <f t="shared" si="15"/>
        <v>1850Transformers incl. grounding system</v>
      </c>
    </row>
    <row r="40" spans="1:22">
      <c r="B40" s="57"/>
      <c r="C40" s="6"/>
      <c r="D40" s="31">
        <f>'2018 Dep Exp '!F19</f>
        <v>0</v>
      </c>
      <c r="E40" s="17"/>
      <c r="F40" s="4"/>
      <c r="G40" s="70">
        <f>'2018 Dep Exp '!I19+'2018 Dep Exp '!J19</f>
        <v>0</v>
      </c>
      <c r="H40" s="17"/>
      <c r="I40" s="4">
        <f t="shared" si="8"/>
        <v>0</v>
      </c>
      <c r="J40" s="70">
        <v>0</v>
      </c>
      <c r="K40" s="18">
        <v>0</v>
      </c>
      <c r="L40" s="19">
        <f t="shared" si="9"/>
        <v>0</v>
      </c>
      <c r="M40" s="18">
        <v>0</v>
      </c>
      <c r="N40" s="20">
        <f t="shared" si="10"/>
        <v>0</v>
      </c>
      <c r="O40" s="21"/>
      <c r="P40" s="21">
        <f t="shared" si="12"/>
        <v>0</v>
      </c>
      <c r="Q40" s="22"/>
      <c r="R40" s="23"/>
      <c r="S40" s="70">
        <v>0</v>
      </c>
      <c r="T40" s="5"/>
    </row>
    <row r="41" spans="1:22">
      <c r="A41" t="s">
        <v>80</v>
      </c>
      <c r="B41" s="57">
        <v>1820</v>
      </c>
      <c r="C41" s="6" t="s">
        <v>53</v>
      </c>
      <c r="D41" s="31">
        <f>'2018 Dep Exp '!F20</f>
        <v>1090831.99</v>
      </c>
      <c r="E41" s="17"/>
      <c r="F41" s="4">
        <f t="shared" ref="F41:F81" si="17">D41-E41</f>
        <v>1090831.99</v>
      </c>
      <c r="G41" s="70">
        <f>'2018 Dep Exp '!I20+'2018 Dep Exp '!J20</f>
        <v>422150.5900000002</v>
      </c>
      <c r="H41" s="17"/>
      <c r="I41" s="4">
        <f t="shared" si="8"/>
        <v>422150.5900000002</v>
      </c>
      <c r="J41" s="70">
        <v>2567.8799999998882</v>
      </c>
      <c r="K41" s="18">
        <v>13.846153846153847</v>
      </c>
      <c r="L41" s="19">
        <f t="shared" si="9"/>
        <v>7.2222222222222215E-2</v>
      </c>
      <c r="M41" s="18">
        <v>20</v>
      </c>
      <c r="N41" s="20">
        <f t="shared" si="10"/>
        <v>0.05</v>
      </c>
      <c r="O41" s="21">
        <f t="shared" ref="O41:O81" si="18">IF(K41=0,0,+F41/K41)</f>
        <v>78782.310388888887</v>
      </c>
      <c r="P41" s="21">
        <f t="shared" si="12"/>
        <v>21107.529500000011</v>
      </c>
      <c r="Q41" s="22">
        <f>IF(M41=0,0,+(J41*0.5)/M41)</f>
        <v>64.196999999997203</v>
      </c>
      <c r="R41" s="23">
        <f t="shared" ref="R41:R81" si="19">IF(ISERROR(+O41+P41+Q41),0,+O41+P41+Q41)</f>
        <v>99954.036888888906</v>
      </c>
      <c r="S41" s="70">
        <v>99839.8</v>
      </c>
      <c r="T41" s="5">
        <f t="shared" ref="T41:T81" si="20">IF(ISERROR(+S41-R41),0,+S41-R41)</f>
        <v>-114.2368888889032</v>
      </c>
      <c r="V41" t="str">
        <f t="shared" si="15"/>
        <v>1820DC Service Station</v>
      </c>
    </row>
    <row r="42" spans="1:22">
      <c r="A42" t="s">
        <v>81</v>
      </c>
      <c r="B42" s="57">
        <v>1820</v>
      </c>
      <c r="C42" s="6" t="s">
        <v>83</v>
      </c>
      <c r="D42" s="31">
        <f>'2018 Dep Exp '!F21</f>
        <v>0</v>
      </c>
      <c r="E42" s="17"/>
      <c r="F42" s="4">
        <f t="shared" si="17"/>
        <v>0</v>
      </c>
      <c r="G42" s="70">
        <f>'2018 Dep Exp '!I21+'2018 Dep Exp '!J21</f>
        <v>0</v>
      </c>
      <c r="H42" s="17"/>
      <c r="I42" s="4">
        <f t="shared" si="8"/>
        <v>0</v>
      </c>
      <c r="J42" s="70">
        <v>595632.85</v>
      </c>
      <c r="K42" s="18">
        <v>0</v>
      </c>
      <c r="L42" s="19">
        <f t="shared" si="9"/>
        <v>0</v>
      </c>
      <c r="M42" s="18">
        <v>40</v>
      </c>
      <c r="N42" s="20">
        <f t="shared" si="10"/>
        <v>2.5000000000000001E-2</v>
      </c>
      <c r="O42" s="21">
        <f t="shared" si="18"/>
        <v>0</v>
      </c>
      <c r="P42" s="21">
        <f t="shared" si="12"/>
        <v>0</v>
      </c>
      <c r="Q42" s="22">
        <f>IF(M42=0,0,+(J42*0.5)/M42)</f>
        <v>7445.4106249999995</v>
      </c>
      <c r="R42" s="23">
        <f t="shared" si="19"/>
        <v>7445.4106249999995</v>
      </c>
      <c r="S42" s="70">
        <v>7445.41</v>
      </c>
      <c r="T42" s="5">
        <f t="shared" si="20"/>
        <v>-6.2499999967258191E-4</v>
      </c>
      <c r="V42" t="str">
        <f t="shared" si="15"/>
        <v>1820DC Service Station Transformer</v>
      </c>
    </row>
    <row r="43" spans="1:22">
      <c r="A43" t="s">
        <v>82</v>
      </c>
      <c r="B43" s="57">
        <v>1820</v>
      </c>
      <c r="C43" s="6" t="s">
        <v>84</v>
      </c>
      <c r="D43" s="31">
        <f>'2018 Dep Exp '!F22</f>
        <v>0</v>
      </c>
      <c r="E43" s="17"/>
      <c r="F43" s="4">
        <f t="shared" si="17"/>
        <v>0</v>
      </c>
      <c r="G43" s="70">
        <f>'2018 Dep Exp '!I22+'2018 Dep Exp '!J22</f>
        <v>860756.52</v>
      </c>
      <c r="H43" s="17"/>
      <c r="I43" s="4">
        <f t="shared" si="8"/>
        <v>860756.52</v>
      </c>
      <c r="J43" s="70">
        <v>0</v>
      </c>
      <c r="K43" s="18">
        <v>0</v>
      </c>
      <c r="L43" s="19">
        <f t="shared" si="9"/>
        <v>0</v>
      </c>
      <c r="M43" s="18">
        <v>40</v>
      </c>
      <c r="N43" s="20">
        <f t="shared" si="10"/>
        <v>2.5000000000000001E-2</v>
      </c>
      <c r="O43" s="21">
        <f t="shared" si="18"/>
        <v>0</v>
      </c>
      <c r="P43" s="21">
        <f t="shared" si="12"/>
        <v>21518.913</v>
      </c>
      <c r="Q43" s="22">
        <f>IF(M43=0,0,+(J43*0.5)/M43)</f>
        <v>0</v>
      </c>
      <c r="R43" s="23">
        <f t="shared" si="19"/>
        <v>21518.913</v>
      </c>
      <c r="S43" s="70">
        <v>21518.92</v>
      </c>
      <c r="T43" s="5">
        <f t="shared" si="20"/>
        <v>6.9999999977881089E-3</v>
      </c>
      <c r="V43" t="str">
        <f t="shared" si="15"/>
        <v>1820DC Service Stations SwitchGear</v>
      </c>
    </row>
    <row r="44" spans="1:22">
      <c r="B44" s="57"/>
      <c r="C44" s="6"/>
      <c r="D44" s="31">
        <f>'2018 Dep Exp '!F23</f>
        <v>0</v>
      </c>
      <c r="E44" s="17"/>
      <c r="F44" s="4"/>
      <c r="G44" s="70">
        <f>'2018 Dep Exp '!I23+'2018 Dep Exp '!J23</f>
        <v>0</v>
      </c>
      <c r="H44" s="17"/>
      <c r="I44" s="4">
        <f t="shared" si="8"/>
        <v>0</v>
      </c>
      <c r="J44" s="70">
        <v>0</v>
      </c>
      <c r="K44" s="18">
        <v>0</v>
      </c>
      <c r="L44" s="19">
        <f t="shared" si="9"/>
        <v>0</v>
      </c>
      <c r="M44" s="18">
        <v>0</v>
      </c>
      <c r="N44" s="20">
        <f t="shared" si="10"/>
        <v>0</v>
      </c>
      <c r="O44" s="21"/>
      <c r="P44" s="21">
        <f t="shared" si="12"/>
        <v>0</v>
      </c>
      <c r="Q44" s="22"/>
      <c r="R44" s="23"/>
      <c r="S44" s="70">
        <v>0</v>
      </c>
      <c r="T44" s="5"/>
    </row>
    <row r="45" spans="1:22">
      <c r="A45" t="s">
        <v>89</v>
      </c>
      <c r="B45" s="57">
        <v>1835</v>
      </c>
      <c r="C45" s="6" t="s">
        <v>54</v>
      </c>
      <c r="D45" s="31">
        <f>'2018 Dep Exp '!F24</f>
        <v>2320724.8000000003</v>
      </c>
      <c r="E45" s="17"/>
      <c r="F45" s="4">
        <f t="shared" si="17"/>
        <v>2320724.8000000003</v>
      </c>
      <c r="G45" s="70">
        <f>'2018 Dep Exp '!I24+'2018 Dep Exp '!J24</f>
        <v>0</v>
      </c>
      <c r="H45" s="17"/>
      <c r="I45" s="4">
        <f t="shared" si="8"/>
        <v>0</v>
      </c>
      <c r="J45" s="70">
        <v>0</v>
      </c>
      <c r="K45" s="18">
        <v>33.846153846153847</v>
      </c>
      <c r="L45" s="19">
        <f t="shared" si="9"/>
        <v>2.9545454545454545E-2</v>
      </c>
      <c r="M45" s="18">
        <v>40</v>
      </c>
      <c r="N45" s="20">
        <f t="shared" si="10"/>
        <v>2.5000000000000001E-2</v>
      </c>
      <c r="O45" s="21">
        <f t="shared" si="18"/>
        <v>68566.869090909095</v>
      </c>
      <c r="P45" s="21">
        <f t="shared" si="12"/>
        <v>0</v>
      </c>
      <c r="Q45" s="22">
        <f>IF(M45=0,0,+(J45*0.5)/M45)</f>
        <v>0</v>
      </c>
      <c r="R45" s="23">
        <f t="shared" si="19"/>
        <v>68566.869090909095</v>
      </c>
      <c r="S45" s="70">
        <v>68916.33</v>
      </c>
      <c r="T45" s="5">
        <f t="shared" si="20"/>
        <v>349.46090909090708</v>
      </c>
      <c r="V45" t="str">
        <f t="shared" si="15"/>
        <v>1835Switchgear - Air &amp; Gas</v>
      </c>
    </row>
    <row r="46" spans="1:22">
      <c r="A46" t="s">
        <v>90</v>
      </c>
      <c r="B46" s="57">
        <v>1850</v>
      </c>
      <c r="C46" s="6" t="s">
        <v>55</v>
      </c>
      <c r="D46" s="31">
        <f>'2018 Dep Exp '!F25</f>
        <v>5264526.66</v>
      </c>
      <c r="E46" s="17"/>
      <c r="F46" s="4">
        <f t="shared" si="17"/>
        <v>5264526.66</v>
      </c>
      <c r="G46" s="70">
        <f>'2018 Dep Exp '!I25+'2018 Dep Exp '!J25</f>
        <v>1606300.1900000004</v>
      </c>
      <c r="H46" s="17"/>
      <c r="I46" s="4">
        <f t="shared" si="8"/>
        <v>1606300.1900000004</v>
      </c>
      <c r="J46" s="70">
        <v>960537.8200000003</v>
      </c>
      <c r="K46" s="18">
        <v>36.270000000000003</v>
      </c>
      <c r="L46" s="19">
        <f t="shared" si="9"/>
        <v>2.7570995312930793E-2</v>
      </c>
      <c r="M46" s="18">
        <v>40</v>
      </c>
      <c r="N46" s="20">
        <f t="shared" si="10"/>
        <v>2.5000000000000001E-2</v>
      </c>
      <c r="O46" s="21">
        <f t="shared" si="18"/>
        <v>145148.23986765923</v>
      </c>
      <c r="P46" s="21">
        <f t="shared" si="12"/>
        <v>40157.504750000007</v>
      </c>
      <c r="Q46" s="22">
        <f>IF(M46=0,0,+(J46*0.5)/M46)</f>
        <v>12006.722750000004</v>
      </c>
      <c r="R46" s="23">
        <f t="shared" si="19"/>
        <v>197312.46736765926</v>
      </c>
      <c r="S46" s="70">
        <v>191894.94</v>
      </c>
      <c r="T46" s="5">
        <f t="shared" si="20"/>
        <v>-5417.5273676592624</v>
      </c>
      <c r="V46" t="str">
        <f t="shared" si="15"/>
        <v>1850UG Transformer</v>
      </c>
    </row>
    <row r="47" spans="1:22">
      <c r="B47" s="57"/>
      <c r="C47" s="6"/>
      <c r="D47" s="31">
        <f>'2018 Dep Exp '!F26</f>
        <v>0</v>
      </c>
      <c r="E47" s="17"/>
      <c r="F47" s="4"/>
      <c r="G47" s="70">
        <f>'2018 Dep Exp '!I26+'2018 Dep Exp '!J26</f>
        <v>0</v>
      </c>
      <c r="H47" s="17"/>
      <c r="I47" s="4">
        <f t="shared" si="8"/>
        <v>0</v>
      </c>
      <c r="J47" s="70">
        <v>0</v>
      </c>
      <c r="K47" s="18">
        <v>0</v>
      </c>
      <c r="L47" s="19">
        <f t="shared" si="9"/>
        <v>0</v>
      </c>
      <c r="M47" s="18">
        <v>0</v>
      </c>
      <c r="N47" s="20">
        <f t="shared" si="10"/>
        <v>0</v>
      </c>
      <c r="O47" s="21"/>
      <c r="P47" s="21">
        <f t="shared" si="12"/>
        <v>0</v>
      </c>
      <c r="Q47" s="22"/>
      <c r="R47" s="23"/>
      <c r="S47" s="70">
        <v>0</v>
      </c>
      <c r="T47" s="5"/>
    </row>
    <row r="48" spans="1:22">
      <c r="A48" t="s">
        <v>91</v>
      </c>
      <c r="B48" s="57">
        <v>1860</v>
      </c>
      <c r="C48" s="6" t="s">
        <v>56</v>
      </c>
      <c r="D48" s="31">
        <f>'2018 Dep Exp '!F27</f>
        <v>1918641.54</v>
      </c>
      <c r="E48" s="17"/>
      <c r="F48" s="4">
        <f t="shared" si="17"/>
        <v>1918641.54</v>
      </c>
      <c r="G48" s="70">
        <f>'2018 Dep Exp '!I27+'2018 Dep Exp '!J27</f>
        <v>54719.569999999832</v>
      </c>
      <c r="H48" s="17"/>
      <c r="I48" s="4">
        <f t="shared" si="8"/>
        <v>54719.569999999832</v>
      </c>
      <c r="J48" s="70">
        <v>0</v>
      </c>
      <c r="K48" s="18">
        <v>17.100000000000001</v>
      </c>
      <c r="L48" s="19">
        <f t="shared" si="9"/>
        <v>5.8479532163742687E-2</v>
      </c>
      <c r="M48" s="18">
        <v>20</v>
      </c>
      <c r="N48" s="20">
        <f t="shared" si="10"/>
        <v>0.05</v>
      </c>
      <c r="O48" s="21">
        <f t="shared" si="18"/>
        <v>112201.2596491228</v>
      </c>
      <c r="P48" s="21">
        <f t="shared" si="12"/>
        <v>2735.9784999999915</v>
      </c>
      <c r="Q48" s="22">
        <f>IF(M48=0,0,+(J48*0.5)/M48)</f>
        <v>0</v>
      </c>
      <c r="R48" s="23">
        <f t="shared" si="19"/>
        <v>114937.2381491228</v>
      </c>
      <c r="S48" s="70">
        <v>110444.33</v>
      </c>
      <c r="T48" s="5">
        <f t="shared" si="20"/>
        <v>-4492.9081491227989</v>
      </c>
      <c r="V48" t="str">
        <f t="shared" si="15"/>
        <v>1860Industrial/Wholesale meters</v>
      </c>
    </row>
    <row r="49" spans="1:22">
      <c r="A49" t="s">
        <v>92</v>
      </c>
      <c r="B49" s="57">
        <v>1860</v>
      </c>
      <c r="C49" s="6" t="s">
        <v>57</v>
      </c>
      <c r="D49" s="31">
        <f>'2018 Dep Exp '!F28</f>
        <v>2864473.2199999997</v>
      </c>
      <c r="E49" s="17"/>
      <c r="F49" s="4">
        <f t="shared" si="17"/>
        <v>2864473.2199999997</v>
      </c>
      <c r="G49" s="70">
        <f>'2018 Dep Exp '!I28+'2018 Dep Exp '!J28</f>
        <v>73679.59</v>
      </c>
      <c r="H49" s="17"/>
      <c r="I49" s="4">
        <f t="shared" si="8"/>
        <v>73679.59</v>
      </c>
      <c r="J49" s="70">
        <v>8552.0800000000745</v>
      </c>
      <c r="K49" s="18">
        <v>44</v>
      </c>
      <c r="L49" s="19">
        <f t="shared" si="9"/>
        <v>2.2727272727272728E-2</v>
      </c>
      <c r="M49" s="18">
        <v>45</v>
      </c>
      <c r="N49" s="20">
        <f t="shared" si="10"/>
        <v>2.2222222222222223E-2</v>
      </c>
      <c r="O49" s="21">
        <f t="shared" si="18"/>
        <v>65101.664090909086</v>
      </c>
      <c r="P49" s="21">
        <f t="shared" si="12"/>
        <v>1637.324222222222</v>
      </c>
      <c r="Q49" s="22">
        <f>IF(M49=0,0,+(J49*0.5)/M49)</f>
        <v>95.023111111111945</v>
      </c>
      <c r="R49" s="23">
        <f t="shared" si="19"/>
        <v>66834.011424242417</v>
      </c>
      <c r="S49" s="70">
        <v>62298.46</v>
      </c>
      <c r="T49" s="5">
        <f t="shared" si="20"/>
        <v>-4535.5514242424179</v>
      </c>
      <c r="V49" t="str">
        <f t="shared" si="15"/>
        <v>1860Other meters, PTs &amp; CTs</v>
      </c>
    </row>
    <row r="50" spans="1:22">
      <c r="A50" t="s">
        <v>93</v>
      </c>
      <c r="B50" s="57">
        <v>1860</v>
      </c>
      <c r="C50" s="6" t="s">
        <v>85</v>
      </c>
      <c r="D50" s="31">
        <f>'2018 Dep Exp '!F29</f>
        <v>0</v>
      </c>
      <c r="E50" s="17"/>
      <c r="F50" s="4">
        <f t="shared" si="17"/>
        <v>0</v>
      </c>
      <c r="G50" s="70">
        <f>'2018 Dep Exp '!I29+'2018 Dep Exp '!J29</f>
        <v>541301.87</v>
      </c>
      <c r="H50" s="17"/>
      <c r="I50" s="4">
        <f t="shared" si="8"/>
        <v>541301.87</v>
      </c>
      <c r="J50" s="70">
        <v>629760.62</v>
      </c>
      <c r="K50" s="18">
        <v>0</v>
      </c>
      <c r="L50" s="19">
        <f t="shared" si="9"/>
        <v>0</v>
      </c>
      <c r="M50" s="18">
        <v>15</v>
      </c>
      <c r="N50" s="20">
        <f t="shared" si="10"/>
        <v>6.6666666666666666E-2</v>
      </c>
      <c r="O50" s="21">
        <f t="shared" si="18"/>
        <v>0</v>
      </c>
      <c r="P50" s="21">
        <f t="shared" si="12"/>
        <v>36086.791333333334</v>
      </c>
      <c r="Q50" s="22">
        <f>IF(M50=0,0,+(J50*0.5)/M50)</f>
        <v>20992.020666666667</v>
      </c>
      <c r="R50" s="23">
        <f t="shared" si="19"/>
        <v>57078.812000000005</v>
      </c>
      <c r="S50" s="70">
        <v>59793.14</v>
      </c>
      <c r="T50" s="5">
        <f t="shared" si="20"/>
        <v>2714.3279999999941</v>
      </c>
      <c r="V50" t="str">
        <f t="shared" si="15"/>
        <v>1860Smart Meters</v>
      </c>
    </row>
    <row r="51" spans="1:22">
      <c r="A51" t="s">
        <v>94</v>
      </c>
      <c r="B51" s="57">
        <v>1860</v>
      </c>
      <c r="C51" s="6" t="s">
        <v>86</v>
      </c>
      <c r="D51" s="31">
        <f>'2018 Dep Exp '!F30</f>
        <v>0</v>
      </c>
      <c r="E51" s="17"/>
      <c r="F51" s="4">
        <f t="shared" si="17"/>
        <v>0</v>
      </c>
      <c r="G51" s="70">
        <f>'2018 Dep Exp '!I30+'2018 Dep Exp '!J30</f>
        <v>0</v>
      </c>
      <c r="H51" s="17"/>
      <c r="I51" s="4">
        <f t="shared" si="8"/>
        <v>0</v>
      </c>
      <c r="J51" s="70">
        <v>0</v>
      </c>
      <c r="K51" s="18">
        <v>0</v>
      </c>
      <c r="L51" s="19">
        <f t="shared" si="9"/>
        <v>0</v>
      </c>
      <c r="M51" s="18">
        <v>0</v>
      </c>
      <c r="N51" s="20">
        <f t="shared" si="10"/>
        <v>0</v>
      </c>
      <c r="O51" s="21">
        <f t="shared" si="18"/>
        <v>0</v>
      </c>
      <c r="P51" s="21">
        <f t="shared" si="12"/>
        <v>0</v>
      </c>
      <c r="Q51" s="22">
        <f>IF(M51=0,0,+(J51*0.5)/M51)</f>
        <v>0</v>
      </c>
      <c r="R51" s="23">
        <f t="shared" si="19"/>
        <v>0</v>
      </c>
      <c r="S51" s="70">
        <v>0</v>
      </c>
      <c r="T51" s="5">
        <f t="shared" si="20"/>
        <v>0</v>
      </c>
      <c r="V51" t="str">
        <f t="shared" si="15"/>
        <v>1860Smart meters -Data Collectors</v>
      </c>
    </row>
    <row r="52" spans="1:22">
      <c r="B52" s="57"/>
      <c r="C52" s="6"/>
      <c r="D52" s="31">
        <f>'2018 Dep Exp '!F31</f>
        <v>0</v>
      </c>
      <c r="E52" s="17"/>
      <c r="F52" s="4"/>
      <c r="G52" s="70">
        <f>'2018 Dep Exp '!I31+'2018 Dep Exp '!J31</f>
        <v>0</v>
      </c>
      <c r="H52" s="17"/>
      <c r="I52" s="4">
        <f t="shared" si="8"/>
        <v>0</v>
      </c>
      <c r="J52" s="70">
        <v>0</v>
      </c>
      <c r="K52" s="18">
        <v>0</v>
      </c>
      <c r="L52" s="19">
        <f t="shared" si="9"/>
        <v>0</v>
      </c>
      <c r="M52" s="18">
        <v>0</v>
      </c>
      <c r="N52" s="20">
        <f t="shared" si="10"/>
        <v>0</v>
      </c>
      <c r="O52" s="21"/>
      <c r="P52" s="21">
        <f t="shared" si="12"/>
        <v>0</v>
      </c>
      <c r="Q52" s="22"/>
      <c r="R52" s="23"/>
      <c r="S52" s="70">
        <v>0</v>
      </c>
      <c r="T52" s="5"/>
    </row>
    <row r="53" spans="1:22">
      <c r="A53" t="s">
        <v>95</v>
      </c>
      <c r="B53" s="57">
        <v>1805</v>
      </c>
      <c r="C53" s="6" t="s">
        <v>39</v>
      </c>
      <c r="D53" s="31">
        <f>'2018 Dep Exp '!F32</f>
        <v>591340.80000000005</v>
      </c>
      <c r="E53" s="17"/>
      <c r="F53" s="4">
        <f t="shared" si="17"/>
        <v>591340.80000000005</v>
      </c>
      <c r="G53" s="70">
        <f>'2018 Dep Exp '!I32+'2018 Dep Exp '!J32</f>
        <v>980478.61</v>
      </c>
      <c r="H53" s="17"/>
      <c r="I53" s="4">
        <f t="shared" si="8"/>
        <v>980478.61</v>
      </c>
      <c r="J53" s="70">
        <v>0</v>
      </c>
      <c r="K53" s="18">
        <v>0</v>
      </c>
      <c r="L53" s="19">
        <f t="shared" si="9"/>
        <v>0</v>
      </c>
      <c r="M53" s="18">
        <v>0</v>
      </c>
      <c r="N53" s="20">
        <f t="shared" si="10"/>
        <v>0</v>
      </c>
      <c r="O53" s="21">
        <f t="shared" si="18"/>
        <v>0</v>
      </c>
      <c r="P53" s="21">
        <f t="shared" si="12"/>
        <v>0</v>
      </c>
      <c r="Q53" s="22">
        <f t="shared" ref="Q53:Q78" si="21">IF(M53=0,0,+(J53*0.5)/M53)</f>
        <v>0</v>
      </c>
      <c r="R53" s="23">
        <f t="shared" si="19"/>
        <v>0</v>
      </c>
      <c r="S53" s="70">
        <v>0</v>
      </c>
      <c r="T53" s="5">
        <f t="shared" si="20"/>
        <v>0</v>
      </c>
      <c r="V53" t="str">
        <f t="shared" si="15"/>
        <v>1805Land</v>
      </c>
    </row>
    <row r="54" spans="1:22">
      <c r="B54" s="57">
        <v>1806</v>
      </c>
      <c r="C54" s="6" t="s">
        <v>58</v>
      </c>
      <c r="D54" s="31">
        <f>'2018 Dep Exp '!F33</f>
        <v>4738.32</v>
      </c>
      <c r="E54" s="17"/>
      <c r="F54" s="4">
        <f t="shared" si="17"/>
        <v>4738.32</v>
      </c>
      <c r="G54" s="70">
        <f>'2018 Dep Exp '!I33+'2018 Dep Exp '!J33</f>
        <v>0</v>
      </c>
      <c r="H54" s="17"/>
      <c r="I54" s="4">
        <f t="shared" si="8"/>
        <v>0</v>
      </c>
      <c r="J54" s="70">
        <v>0</v>
      </c>
      <c r="K54" s="18">
        <v>0</v>
      </c>
      <c r="L54" s="19">
        <f t="shared" si="9"/>
        <v>0</v>
      </c>
      <c r="M54" s="18">
        <v>0</v>
      </c>
      <c r="N54" s="20">
        <f t="shared" si="10"/>
        <v>0</v>
      </c>
      <c r="O54" s="21">
        <f t="shared" si="18"/>
        <v>0</v>
      </c>
      <c r="P54" s="21">
        <f t="shared" si="12"/>
        <v>0</v>
      </c>
      <c r="Q54" s="22">
        <f t="shared" si="21"/>
        <v>0</v>
      </c>
      <c r="R54" s="23">
        <f t="shared" si="19"/>
        <v>0</v>
      </c>
      <c r="S54" s="70">
        <v>0</v>
      </c>
      <c r="T54" s="5">
        <f t="shared" si="20"/>
        <v>0</v>
      </c>
      <c r="V54" t="str">
        <f t="shared" si="15"/>
        <v>1806Land Rights</v>
      </c>
    </row>
    <row r="55" spans="1:22">
      <c r="B55" s="57">
        <v>1806</v>
      </c>
      <c r="C55" s="6"/>
      <c r="D55" s="31">
        <f>'2018 Dep Exp '!F34</f>
        <v>0</v>
      </c>
      <c r="E55" s="17"/>
      <c r="F55" s="4">
        <f t="shared" si="17"/>
        <v>0</v>
      </c>
      <c r="G55" s="70">
        <f>'2018 Dep Exp '!I34+'2018 Dep Exp '!J34</f>
        <v>0</v>
      </c>
      <c r="H55" s="17"/>
      <c r="I55" s="4">
        <f t="shared" si="8"/>
        <v>0</v>
      </c>
      <c r="J55" s="70">
        <v>0</v>
      </c>
      <c r="K55" s="18">
        <v>0</v>
      </c>
      <c r="L55" s="19">
        <f t="shared" si="9"/>
        <v>0</v>
      </c>
      <c r="M55" s="18">
        <v>0</v>
      </c>
      <c r="N55" s="20">
        <f t="shared" si="10"/>
        <v>0</v>
      </c>
      <c r="O55" s="21">
        <f t="shared" si="18"/>
        <v>0</v>
      </c>
      <c r="P55" s="21">
        <f t="shared" si="12"/>
        <v>0</v>
      </c>
      <c r="Q55" s="22">
        <f t="shared" si="21"/>
        <v>0</v>
      </c>
      <c r="R55" s="23">
        <f t="shared" si="19"/>
        <v>0</v>
      </c>
      <c r="S55" s="70">
        <v>0</v>
      </c>
      <c r="T55" s="5">
        <f t="shared" si="20"/>
        <v>0</v>
      </c>
      <c r="V55" t="str">
        <f t="shared" si="15"/>
        <v>1806</v>
      </c>
    </row>
    <row r="56" spans="1:22">
      <c r="A56" t="s">
        <v>96</v>
      </c>
      <c r="B56" s="57">
        <v>1908</v>
      </c>
      <c r="C56" s="6" t="s">
        <v>59</v>
      </c>
      <c r="D56" s="31">
        <f>'2018 Dep Exp '!F35</f>
        <v>2689155.5100000002</v>
      </c>
      <c r="E56" s="17"/>
      <c r="F56" s="4">
        <f t="shared" si="17"/>
        <v>2689155.5100000002</v>
      </c>
      <c r="G56" s="70">
        <f>'2018 Dep Exp '!I35+'2018 Dep Exp '!J35</f>
        <v>350914.92000000016</v>
      </c>
      <c r="H56" s="17"/>
      <c r="I56" s="4">
        <f t="shared" si="8"/>
        <v>350914.92000000016</v>
      </c>
      <c r="J56" s="70">
        <v>100493.02000000002</v>
      </c>
      <c r="K56" s="18">
        <v>34</v>
      </c>
      <c r="L56" s="19">
        <f t="shared" si="9"/>
        <v>2.9411764705882353E-2</v>
      </c>
      <c r="M56" s="18">
        <v>42</v>
      </c>
      <c r="N56" s="20">
        <f t="shared" si="10"/>
        <v>2.3809523809523808E-2</v>
      </c>
      <c r="O56" s="21">
        <f t="shared" si="18"/>
        <v>79092.809117647063</v>
      </c>
      <c r="P56" s="21">
        <f t="shared" si="12"/>
        <v>8355.117142857147</v>
      </c>
      <c r="Q56" s="22">
        <f t="shared" si="21"/>
        <v>1196.3454761904763</v>
      </c>
      <c r="R56" s="23">
        <f t="shared" si="19"/>
        <v>88644.271736694674</v>
      </c>
      <c r="S56" s="70">
        <v>91061.56</v>
      </c>
      <c r="T56" s="5">
        <f t="shared" si="20"/>
        <v>2417.2882633053232</v>
      </c>
      <c r="V56" t="str">
        <f t="shared" si="15"/>
        <v>1908Buildings and Fixtures</v>
      </c>
    </row>
    <row r="57" spans="1:22">
      <c r="B57" s="57"/>
      <c r="C57" s="6"/>
      <c r="D57" s="31">
        <f>'2018 Dep Exp '!F36</f>
        <v>0</v>
      </c>
      <c r="E57" s="17"/>
      <c r="F57" s="4">
        <f t="shared" si="17"/>
        <v>0</v>
      </c>
      <c r="G57" s="70">
        <f>'2018 Dep Exp '!I36+'2018 Dep Exp '!J36</f>
        <v>0</v>
      </c>
      <c r="H57" s="17"/>
      <c r="I57" s="4">
        <f t="shared" si="8"/>
        <v>0</v>
      </c>
      <c r="J57" s="70">
        <v>0</v>
      </c>
      <c r="K57" s="18">
        <v>0</v>
      </c>
      <c r="L57" s="19">
        <f t="shared" si="9"/>
        <v>0</v>
      </c>
      <c r="M57" s="18">
        <v>0</v>
      </c>
      <c r="N57" s="20">
        <f t="shared" si="10"/>
        <v>0</v>
      </c>
      <c r="O57" s="21">
        <f t="shared" si="18"/>
        <v>0</v>
      </c>
      <c r="P57" s="21">
        <f t="shared" si="12"/>
        <v>0</v>
      </c>
      <c r="Q57" s="22">
        <f t="shared" si="21"/>
        <v>0</v>
      </c>
      <c r="R57" s="23">
        <f t="shared" si="19"/>
        <v>0</v>
      </c>
      <c r="S57" s="70">
        <v>0</v>
      </c>
      <c r="T57" s="5">
        <f t="shared" si="20"/>
        <v>0</v>
      </c>
    </row>
    <row r="58" spans="1:22">
      <c r="A58" t="s">
        <v>97</v>
      </c>
      <c r="B58" s="57">
        <v>1915</v>
      </c>
      <c r="C58" s="6" t="s">
        <v>60</v>
      </c>
      <c r="D58" s="31">
        <f>'2018 Dep Exp '!F37</f>
        <v>3092.6199999999953</v>
      </c>
      <c r="E58" s="17"/>
      <c r="F58" s="4">
        <f t="shared" si="17"/>
        <v>3092.6199999999953</v>
      </c>
      <c r="G58" s="70">
        <f>'2018 Dep Exp '!I37+'2018 Dep Exp '!J37</f>
        <v>119753.09</v>
      </c>
      <c r="H58" s="17"/>
      <c r="I58" s="4">
        <f t="shared" si="8"/>
        <v>119753.09</v>
      </c>
      <c r="J58" s="70">
        <v>472</v>
      </c>
      <c r="K58" s="18">
        <v>5</v>
      </c>
      <c r="L58" s="19">
        <f t="shared" si="9"/>
        <v>0.2</v>
      </c>
      <c r="M58" s="18">
        <v>5</v>
      </c>
      <c r="N58" s="20">
        <f t="shared" si="10"/>
        <v>0.2</v>
      </c>
      <c r="O58" s="21">
        <f t="shared" si="18"/>
        <v>618.52399999999909</v>
      </c>
      <c r="P58" s="21">
        <f t="shared" si="12"/>
        <v>23950.617999999999</v>
      </c>
      <c r="Q58" s="22">
        <f t="shared" si="21"/>
        <v>47.2</v>
      </c>
      <c r="R58" s="23">
        <f t="shared" si="19"/>
        <v>24616.341999999997</v>
      </c>
      <c r="S58" s="70">
        <v>24355.01</v>
      </c>
      <c r="T58" s="5">
        <f t="shared" si="20"/>
        <v>-261.33199999999852</v>
      </c>
      <c r="V58" t="str">
        <f t="shared" si="15"/>
        <v>1915Office Equipment</v>
      </c>
    </row>
    <row r="59" spans="1:22">
      <c r="B59" s="57"/>
      <c r="C59" s="6"/>
      <c r="D59" s="31">
        <f>'2018 Dep Exp '!F38</f>
        <v>0</v>
      </c>
      <c r="E59" s="17"/>
      <c r="F59" s="4">
        <f t="shared" si="17"/>
        <v>0</v>
      </c>
      <c r="G59" s="70">
        <f>'2018 Dep Exp '!I38+'2018 Dep Exp '!J38</f>
        <v>0</v>
      </c>
      <c r="H59" s="17"/>
      <c r="I59" s="4">
        <f t="shared" si="8"/>
        <v>0</v>
      </c>
      <c r="J59" s="70">
        <v>0</v>
      </c>
      <c r="K59" s="18">
        <v>0</v>
      </c>
      <c r="L59" s="19">
        <f t="shared" si="9"/>
        <v>0</v>
      </c>
      <c r="M59" s="18">
        <v>0</v>
      </c>
      <c r="N59" s="20">
        <f t="shared" si="10"/>
        <v>0</v>
      </c>
      <c r="O59" s="21">
        <f t="shared" si="18"/>
        <v>0</v>
      </c>
      <c r="P59" s="21">
        <f t="shared" si="12"/>
        <v>0</v>
      </c>
      <c r="Q59" s="22">
        <f t="shared" si="21"/>
        <v>0</v>
      </c>
      <c r="R59" s="23">
        <f t="shared" si="19"/>
        <v>0</v>
      </c>
      <c r="S59" s="70">
        <v>0</v>
      </c>
      <c r="T59" s="5">
        <f t="shared" si="20"/>
        <v>0</v>
      </c>
    </row>
    <row r="60" spans="1:22">
      <c r="A60" t="s">
        <v>98</v>
      </c>
      <c r="B60" s="57">
        <v>1920</v>
      </c>
      <c r="C60" s="6" t="s">
        <v>61</v>
      </c>
      <c r="D60" s="31">
        <f>'2018 Dep Exp '!F39</f>
        <v>46162.229999999981</v>
      </c>
      <c r="E60" s="17">
        <f>'2018 Dep Exp '!E39</f>
        <v>0</v>
      </c>
      <c r="F60" s="4">
        <f t="shared" si="17"/>
        <v>46162.229999999981</v>
      </c>
      <c r="G60" s="70">
        <f>'2018 Dep Exp '!I39+'2018 Dep Exp '!J39</f>
        <v>161894.32999999999</v>
      </c>
      <c r="H60" s="17">
        <f>76653</f>
        <v>76653</v>
      </c>
      <c r="I60" s="4">
        <f t="shared" si="8"/>
        <v>85241.329999999987</v>
      </c>
      <c r="J60" s="70">
        <v>79104.5</v>
      </c>
      <c r="K60" s="18">
        <v>1.5</v>
      </c>
      <c r="L60" s="19">
        <f t="shared" si="9"/>
        <v>0.66666666666666663</v>
      </c>
      <c r="M60" s="18">
        <v>5</v>
      </c>
      <c r="N60" s="20">
        <f t="shared" si="10"/>
        <v>0.2</v>
      </c>
      <c r="O60" s="21">
        <f t="shared" si="18"/>
        <v>30774.819999999989</v>
      </c>
      <c r="P60" s="21">
        <f t="shared" si="12"/>
        <v>17048.265999999996</v>
      </c>
      <c r="Q60" s="22">
        <f t="shared" si="21"/>
        <v>7910.45</v>
      </c>
      <c r="R60" s="23">
        <f t="shared" si="19"/>
        <v>55733.535999999978</v>
      </c>
      <c r="S60" s="70">
        <v>55828.18</v>
      </c>
      <c r="T60" s="5">
        <f t="shared" si="20"/>
        <v>94.644000000022061</v>
      </c>
      <c r="V60" t="str">
        <f t="shared" si="15"/>
        <v>1920Computer Hardware</v>
      </c>
    </row>
    <row r="61" spans="1:22">
      <c r="A61" t="s">
        <v>99</v>
      </c>
      <c r="B61" s="57">
        <v>1925</v>
      </c>
      <c r="C61" s="6" t="s">
        <v>62</v>
      </c>
      <c r="D61" s="31">
        <f>'2018 Dep Exp '!F40</f>
        <v>189680.97999999998</v>
      </c>
      <c r="E61" s="17">
        <f>'2018 Dep Exp '!E40</f>
        <v>0</v>
      </c>
      <c r="F61" s="4">
        <f t="shared" si="17"/>
        <v>189680.97999999998</v>
      </c>
      <c r="G61" s="70">
        <f>'2018 Dep Exp '!I40+'2018 Dep Exp '!J40</f>
        <v>229372.64000000007</v>
      </c>
      <c r="H61" s="17">
        <f>122900/2</f>
        <v>61450</v>
      </c>
      <c r="I61" s="4">
        <f t="shared" si="8"/>
        <v>167922.64000000007</v>
      </c>
      <c r="J61" s="70">
        <v>179320.44999999995</v>
      </c>
      <c r="K61" s="18">
        <v>3</v>
      </c>
      <c r="L61" s="19">
        <f t="shared" si="9"/>
        <v>0.33333333333333331</v>
      </c>
      <c r="M61" s="18">
        <v>5</v>
      </c>
      <c r="N61" s="20">
        <f t="shared" si="10"/>
        <v>0.2</v>
      </c>
      <c r="O61" s="21">
        <v>0</v>
      </c>
      <c r="P61" s="21">
        <f t="shared" si="12"/>
        <v>33584.528000000013</v>
      </c>
      <c r="Q61" s="22">
        <f t="shared" si="21"/>
        <v>17932.044999999995</v>
      </c>
      <c r="R61" s="23">
        <f t="shared" si="19"/>
        <v>51516.573000000004</v>
      </c>
      <c r="S61" s="70">
        <v>51211.199999999997</v>
      </c>
      <c r="T61" s="5">
        <f t="shared" si="20"/>
        <v>-305.37300000000687</v>
      </c>
      <c r="V61" t="str">
        <f t="shared" si="15"/>
        <v>1925Computer Software</v>
      </c>
    </row>
    <row r="62" spans="1:22">
      <c r="B62" s="57"/>
      <c r="C62" s="6"/>
      <c r="D62" s="31">
        <f>'2018 Dep Exp '!F41</f>
        <v>0</v>
      </c>
      <c r="E62" s="17"/>
      <c r="F62" s="4">
        <f t="shared" si="17"/>
        <v>0</v>
      </c>
      <c r="G62" s="70">
        <f>'2018 Dep Exp '!I41+'2018 Dep Exp '!J41</f>
        <v>0</v>
      </c>
      <c r="H62" s="17"/>
      <c r="I62" s="4">
        <f t="shared" si="8"/>
        <v>0</v>
      </c>
      <c r="J62" s="70">
        <v>0</v>
      </c>
      <c r="K62" s="18">
        <v>0</v>
      </c>
      <c r="L62" s="19">
        <f t="shared" si="9"/>
        <v>0</v>
      </c>
      <c r="M62" s="18">
        <v>0</v>
      </c>
      <c r="N62" s="20">
        <f t="shared" si="10"/>
        <v>0</v>
      </c>
      <c r="O62" s="21">
        <f t="shared" si="18"/>
        <v>0</v>
      </c>
      <c r="P62" s="21">
        <f t="shared" si="12"/>
        <v>0</v>
      </c>
      <c r="Q62" s="22">
        <f t="shared" si="21"/>
        <v>0</v>
      </c>
      <c r="R62" s="23">
        <f t="shared" si="19"/>
        <v>0</v>
      </c>
      <c r="S62" s="70">
        <v>0</v>
      </c>
      <c r="T62" s="5">
        <f t="shared" si="20"/>
        <v>0</v>
      </c>
    </row>
    <row r="63" spans="1:22">
      <c r="A63" t="s">
        <v>100</v>
      </c>
      <c r="B63" s="57">
        <v>1930</v>
      </c>
      <c r="C63" s="6" t="s">
        <v>63</v>
      </c>
      <c r="D63" s="31">
        <f>'2018 Dep Exp '!F42</f>
        <v>1317372.01</v>
      </c>
      <c r="E63" s="17"/>
      <c r="F63" s="4">
        <f t="shared" si="17"/>
        <v>1317372.01</v>
      </c>
      <c r="G63" s="70">
        <f>'2018 Dep Exp '!I42+'2018 Dep Exp '!J42</f>
        <v>731998.55</v>
      </c>
      <c r="H63" s="17"/>
      <c r="I63" s="4">
        <f t="shared" si="8"/>
        <v>731998.55</v>
      </c>
      <c r="J63" s="70">
        <v>0</v>
      </c>
      <c r="K63" s="18">
        <v>12</v>
      </c>
      <c r="L63" s="19">
        <f t="shared" si="9"/>
        <v>8.3333333333333329E-2</v>
      </c>
      <c r="M63" s="18">
        <v>12</v>
      </c>
      <c r="N63" s="20">
        <f t="shared" si="10"/>
        <v>8.3333333333333329E-2</v>
      </c>
      <c r="O63" s="21">
        <f t="shared" si="18"/>
        <v>109781.00083333334</v>
      </c>
      <c r="P63" s="21">
        <f t="shared" si="12"/>
        <v>60999.879166666673</v>
      </c>
      <c r="Q63" s="22">
        <f t="shared" si="21"/>
        <v>0</v>
      </c>
      <c r="R63" s="23">
        <f t="shared" si="19"/>
        <v>170780.88</v>
      </c>
      <c r="S63" s="70">
        <v>166040.66</v>
      </c>
      <c r="T63" s="5">
        <f t="shared" si="20"/>
        <v>-4740.2200000000012</v>
      </c>
      <c r="V63" t="str">
        <f t="shared" si="15"/>
        <v>1930Bucket Trucks</v>
      </c>
    </row>
    <row r="64" spans="1:22">
      <c r="A64" t="s">
        <v>101</v>
      </c>
      <c r="B64" s="57">
        <v>1930</v>
      </c>
      <c r="C64" s="6" t="s">
        <v>64</v>
      </c>
      <c r="D64" s="31">
        <f>'2018 Dep Exp '!F43</f>
        <v>137812.25</v>
      </c>
      <c r="E64" s="17"/>
      <c r="F64" s="4">
        <f t="shared" si="17"/>
        <v>137812.25</v>
      </c>
      <c r="G64" s="70">
        <f>'2018 Dep Exp '!I43+'2018 Dep Exp '!J43</f>
        <v>98504</v>
      </c>
      <c r="H64" s="17"/>
      <c r="I64" s="4">
        <f t="shared" si="8"/>
        <v>98504</v>
      </c>
      <c r="J64" s="70">
        <v>0</v>
      </c>
      <c r="K64" s="18">
        <v>11</v>
      </c>
      <c r="L64" s="19">
        <f t="shared" si="9"/>
        <v>9.0909090909090912E-2</v>
      </c>
      <c r="M64" s="18">
        <v>15</v>
      </c>
      <c r="N64" s="20">
        <f t="shared" si="10"/>
        <v>6.6666666666666666E-2</v>
      </c>
      <c r="O64" s="21">
        <f t="shared" si="18"/>
        <v>12528.386363636364</v>
      </c>
      <c r="P64" s="21">
        <f t="shared" si="12"/>
        <v>6566.9333333333334</v>
      </c>
      <c r="Q64" s="22">
        <f t="shared" si="21"/>
        <v>0</v>
      </c>
      <c r="R64" s="23">
        <f t="shared" si="19"/>
        <v>19095.319696969698</v>
      </c>
      <c r="S64" s="70">
        <v>14974.48</v>
      </c>
      <c r="T64" s="5">
        <f t="shared" si="20"/>
        <v>-4120.8396969696987</v>
      </c>
      <c r="V64" t="str">
        <f t="shared" si="15"/>
        <v>1930Trailers</v>
      </c>
    </row>
    <row r="65" spans="1:22">
      <c r="A65" t="s">
        <v>102</v>
      </c>
      <c r="B65" s="57">
        <v>1930</v>
      </c>
      <c r="C65" s="6" t="s">
        <v>65</v>
      </c>
      <c r="D65" s="31">
        <f>'2018 Dep Exp '!F44</f>
        <v>157558.45000000001</v>
      </c>
      <c r="E65" s="17">
        <v>43703</v>
      </c>
      <c r="F65" s="4">
        <f t="shared" si="17"/>
        <v>113855.45000000001</v>
      </c>
      <c r="G65" s="70">
        <f>'2018 Dep Exp '!I44+'2018 Dep Exp '!J44</f>
        <v>149115</v>
      </c>
      <c r="H65" s="17"/>
      <c r="I65" s="4">
        <f t="shared" si="8"/>
        <v>149115</v>
      </c>
      <c r="J65" s="70">
        <v>92120</v>
      </c>
      <c r="K65" s="18">
        <v>7.5</v>
      </c>
      <c r="L65" s="19">
        <f t="shared" si="9"/>
        <v>0.13333333333333333</v>
      </c>
      <c r="M65" s="18">
        <v>8</v>
      </c>
      <c r="N65" s="20">
        <f t="shared" si="10"/>
        <v>0.125</v>
      </c>
      <c r="O65" s="21">
        <f t="shared" si="18"/>
        <v>15180.726666666667</v>
      </c>
      <c r="P65" s="21">
        <f t="shared" si="12"/>
        <v>18639.375</v>
      </c>
      <c r="Q65" s="22">
        <f t="shared" si="21"/>
        <v>5757.5</v>
      </c>
      <c r="R65" s="23">
        <f t="shared" si="19"/>
        <v>39577.601666666669</v>
      </c>
      <c r="S65" s="70">
        <v>38445.870000000003</v>
      </c>
      <c r="T65" s="5">
        <f t="shared" si="20"/>
        <v>-1131.7316666666666</v>
      </c>
      <c r="V65" t="str">
        <f t="shared" si="15"/>
        <v>1930Vans/Cars</v>
      </c>
    </row>
    <row r="66" spans="1:22">
      <c r="B66" s="57"/>
      <c r="C66" s="6"/>
      <c r="D66" s="31">
        <f>'2018 Dep Exp '!F45</f>
        <v>0</v>
      </c>
      <c r="E66" s="17"/>
      <c r="F66" s="4">
        <f t="shared" si="17"/>
        <v>0</v>
      </c>
      <c r="G66" s="70">
        <f>'2018 Dep Exp '!I45+'2018 Dep Exp '!J45</f>
        <v>0</v>
      </c>
      <c r="H66" s="17"/>
      <c r="I66" s="4">
        <f t="shared" si="8"/>
        <v>0</v>
      </c>
      <c r="J66" s="70">
        <v>0</v>
      </c>
      <c r="K66" s="18">
        <v>0</v>
      </c>
      <c r="L66" s="19">
        <f t="shared" si="9"/>
        <v>0</v>
      </c>
      <c r="M66" s="18">
        <v>0</v>
      </c>
      <c r="N66" s="20">
        <f t="shared" si="10"/>
        <v>0</v>
      </c>
      <c r="O66" s="21">
        <f t="shared" si="18"/>
        <v>0</v>
      </c>
      <c r="P66" s="21">
        <f t="shared" si="12"/>
        <v>0</v>
      </c>
      <c r="Q66" s="22">
        <f t="shared" si="21"/>
        <v>0</v>
      </c>
      <c r="R66" s="23">
        <f t="shared" si="19"/>
        <v>0</v>
      </c>
      <c r="S66" s="70">
        <v>0</v>
      </c>
      <c r="T66" s="5">
        <f t="shared" si="20"/>
        <v>0</v>
      </c>
    </row>
    <row r="67" spans="1:22">
      <c r="A67" t="s">
        <v>103</v>
      </c>
      <c r="B67" s="57">
        <v>1940</v>
      </c>
      <c r="C67" s="6" t="s">
        <v>66</v>
      </c>
      <c r="D67" s="31">
        <f>'2018 Dep Exp '!F46</f>
        <v>173764.74000000002</v>
      </c>
      <c r="E67" s="17"/>
      <c r="F67" s="4">
        <f t="shared" si="17"/>
        <v>173764.74000000002</v>
      </c>
      <c r="G67" s="70">
        <f>'2018 Dep Exp '!I46+'2018 Dep Exp '!J46</f>
        <v>335162.71999999997</v>
      </c>
      <c r="H67" s="17"/>
      <c r="I67" s="4">
        <f t="shared" si="8"/>
        <v>335162.71999999997</v>
      </c>
      <c r="J67" s="70">
        <v>36069</v>
      </c>
      <c r="K67" s="18">
        <v>7</v>
      </c>
      <c r="L67" s="19">
        <f t="shared" si="9"/>
        <v>0.14285714285714285</v>
      </c>
      <c r="M67" s="18">
        <v>10</v>
      </c>
      <c r="N67" s="20">
        <f t="shared" si="10"/>
        <v>0.1</v>
      </c>
      <c r="O67" s="21">
        <f t="shared" si="18"/>
        <v>24823.53428571429</v>
      </c>
      <c r="P67" s="21">
        <f t="shared" si="12"/>
        <v>33516.271999999997</v>
      </c>
      <c r="Q67" s="22">
        <f t="shared" si="21"/>
        <v>1803.45</v>
      </c>
      <c r="R67" s="23">
        <f t="shared" si="19"/>
        <v>60143.256285714284</v>
      </c>
      <c r="S67" s="70">
        <v>58438.67</v>
      </c>
      <c r="T67" s="5">
        <f t="shared" si="20"/>
        <v>-1704.5862857142856</v>
      </c>
      <c r="V67" t="str">
        <f t="shared" si="15"/>
        <v>1940Power Tools, shop, garage, measurement testing</v>
      </c>
    </row>
    <row r="68" spans="1:22">
      <c r="A68" t="s">
        <v>104</v>
      </c>
      <c r="B68" s="57">
        <v>1940</v>
      </c>
      <c r="C68" s="6" t="s">
        <v>40</v>
      </c>
      <c r="D68" s="31">
        <f>'2018 Dep Exp '!F47</f>
        <v>5160.74</v>
      </c>
      <c r="E68" s="17"/>
      <c r="F68" s="4">
        <f t="shared" si="17"/>
        <v>5160.74</v>
      </c>
      <c r="G68" s="70">
        <f>'2018 Dep Exp '!I47+'2018 Dep Exp '!J47</f>
        <v>0</v>
      </c>
      <c r="H68" s="17"/>
      <c r="I68" s="4">
        <f t="shared" si="8"/>
        <v>0</v>
      </c>
      <c r="J68" s="70">
        <v>0</v>
      </c>
      <c r="K68" s="18">
        <v>3</v>
      </c>
      <c r="L68" s="19">
        <f t="shared" si="9"/>
        <v>0.33333333333333331</v>
      </c>
      <c r="M68" s="18">
        <v>10</v>
      </c>
      <c r="N68" s="20">
        <f t="shared" si="10"/>
        <v>0.1</v>
      </c>
      <c r="O68" s="21">
        <f t="shared" si="18"/>
        <v>1720.2466666666667</v>
      </c>
      <c r="P68" s="21">
        <f t="shared" si="12"/>
        <v>0</v>
      </c>
      <c r="Q68" s="22">
        <f t="shared" si="21"/>
        <v>0</v>
      </c>
      <c r="R68" s="23">
        <f t="shared" si="19"/>
        <v>1720.2466666666667</v>
      </c>
      <c r="S68" s="70">
        <v>0</v>
      </c>
      <c r="T68" s="5">
        <f t="shared" si="20"/>
        <v>-1720.2466666666667</v>
      </c>
      <c r="V68" t="str">
        <f t="shared" si="15"/>
        <v>1940Stores Equipment</v>
      </c>
    </row>
    <row r="69" spans="1:22">
      <c r="B69" s="57"/>
      <c r="C69" s="6"/>
      <c r="D69" s="31">
        <f>'2018 Dep Exp '!F48</f>
        <v>0</v>
      </c>
      <c r="E69" s="17"/>
      <c r="F69" s="4">
        <f t="shared" si="17"/>
        <v>0</v>
      </c>
      <c r="G69" s="70">
        <f>'2018 Dep Exp '!I48+'2018 Dep Exp '!J48</f>
        <v>0</v>
      </c>
      <c r="H69" s="17"/>
      <c r="I69" s="4">
        <f t="shared" si="8"/>
        <v>0</v>
      </c>
      <c r="J69" s="70">
        <v>0</v>
      </c>
      <c r="K69" s="18">
        <v>0</v>
      </c>
      <c r="L69" s="19">
        <f t="shared" si="9"/>
        <v>0</v>
      </c>
      <c r="M69" s="18">
        <v>0</v>
      </c>
      <c r="N69" s="20">
        <f t="shared" si="10"/>
        <v>0</v>
      </c>
      <c r="O69" s="21">
        <f t="shared" si="18"/>
        <v>0</v>
      </c>
      <c r="P69" s="21">
        <f t="shared" si="12"/>
        <v>0</v>
      </c>
      <c r="Q69" s="22">
        <f t="shared" si="21"/>
        <v>0</v>
      </c>
      <c r="R69" s="23">
        <f t="shared" si="19"/>
        <v>0</v>
      </c>
      <c r="S69" s="70">
        <v>0</v>
      </c>
      <c r="T69" s="5">
        <f t="shared" si="20"/>
        <v>0</v>
      </c>
    </row>
    <row r="70" spans="1:22">
      <c r="B70" s="57"/>
      <c r="C70" s="6"/>
      <c r="D70" s="31">
        <f>'2018 Dep Exp '!F49</f>
        <v>0</v>
      </c>
      <c r="E70" s="17"/>
      <c r="F70" s="4">
        <f t="shared" si="17"/>
        <v>0</v>
      </c>
      <c r="G70" s="70">
        <f>'2018 Dep Exp '!I49+'2018 Dep Exp '!J49</f>
        <v>0</v>
      </c>
      <c r="H70" s="17"/>
      <c r="I70" s="4">
        <f t="shared" si="8"/>
        <v>0</v>
      </c>
      <c r="J70" s="70">
        <v>0</v>
      </c>
      <c r="K70" s="18">
        <v>0</v>
      </c>
      <c r="L70" s="19">
        <f t="shared" si="9"/>
        <v>0</v>
      </c>
      <c r="M70" s="18">
        <v>0</v>
      </c>
      <c r="N70" s="20">
        <f t="shared" si="10"/>
        <v>0</v>
      </c>
      <c r="O70" s="21">
        <f t="shared" si="18"/>
        <v>0</v>
      </c>
      <c r="P70" s="21">
        <f t="shared" si="12"/>
        <v>0</v>
      </c>
      <c r="Q70" s="22">
        <f t="shared" si="21"/>
        <v>0</v>
      </c>
      <c r="R70" s="23">
        <f t="shared" si="19"/>
        <v>0</v>
      </c>
      <c r="S70" s="70">
        <v>0</v>
      </c>
      <c r="T70" s="5">
        <f t="shared" si="20"/>
        <v>0</v>
      </c>
    </row>
    <row r="71" spans="1:22">
      <c r="A71" t="s">
        <v>105</v>
      </c>
      <c r="B71" s="57">
        <v>1980</v>
      </c>
      <c r="C71" s="6" t="s">
        <v>67</v>
      </c>
      <c r="D71" s="31">
        <f>'2018 Dep Exp '!F50</f>
        <v>696864.05999999994</v>
      </c>
      <c r="E71" s="17"/>
      <c r="F71" s="4">
        <f t="shared" si="17"/>
        <v>696864.05999999994</v>
      </c>
      <c r="G71" s="70">
        <f>'2018 Dep Exp '!I50+'2018 Dep Exp '!J50</f>
        <v>20134.77</v>
      </c>
      <c r="H71" s="17"/>
      <c r="I71" s="4">
        <f t="shared" si="8"/>
        <v>20134.77</v>
      </c>
      <c r="J71" s="70">
        <v>0</v>
      </c>
      <c r="K71" s="18">
        <v>13.615384615384615</v>
      </c>
      <c r="L71" s="19">
        <f t="shared" si="9"/>
        <v>7.3446327683615822E-2</v>
      </c>
      <c r="M71" s="18">
        <v>20</v>
      </c>
      <c r="N71" s="20">
        <f t="shared" si="10"/>
        <v>0.05</v>
      </c>
      <c r="O71" s="21">
        <f t="shared" si="18"/>
        <v>51182.10610169491</v>
      </c>
      <c r="P71" s="21">
        <f t="shared" si="12"/>
        <v>1006.7385</v>
      </c>
      <c r="Q71" s="22">
        <f t="shared" si="21"/>
        <v>0</v>
      </c>
      <c r="R71" s="23">
        <f t="shared" si="19"/>
        <v>52188.844601694909</v>
      </c>
      <c r="S71" s="70">
        <v>46192.14</v>
      </c>
      <c r="T71" s="5">
        <f t="shared" si="20"/>
        <v>-5996.7046016949098</v>
      </c>
      <c r="V71" t="str">
        <f t="shared" si="15"/>
        <v>1980SCADA</v>
      </c>
    </row>
    <row r="72" spans="1:22">
      <c r="B72" s="57">
        <v>1955</v>
      </c>
      <c r="C72" s="6" t="s">
        <v>87</v>
      </c>
      <c r="D72" s="31">
        <f>'2018 Dep Exp '!F51</f>
        <v>0</v>
      </c>
      <c r="E72" s="17"/>
      <c r="F72" s="4">
        <f t="shared" si="17"/>
        <v>0</v>
      </c>
      <c r="G72" s="70">
        <f>'2018 Dep Exp '!I51+'2018 Dep Exp '!J51</f>
        <v>300</v>
      </c>
      <c r="H72" s="17"/>
      <c r="I72" s="4">
        <f t="shared" si="8"/>
        <v>300</v>
      </c>
      <c r="J72" s="70">
        <v>0</v>
      </c>
      <c r="K72" s="18">
        <v>0</v>
      </c>
      <c r="L72" s="19">
        <f t="shared" si="9"/>
        <v>0</v>
      </c>
      <c r="M72" s="18">
        <v>0</v>
      </c>
      <c r="N72" s="20">
        <f t="shared" si="10"/>
        <v>0</v>
      </c>
      <c r="O72" s="21">
        <f t="shared" si="18"/>
        <v>0</v>
      </c>
      <c r="P72" s="21">
        <f t="shared" si="12"/>
        <v>0</v>
      </c>
      <c r="Q72" s="22">
        <f t="shared" si="21"/>
        <v>0</v>
      </c>
      <c r="R72" s="23">
        <f t="shared" si="19"/>
        <v>0</v>
      </c>
      <c r="S72" s="70">
        <v>0</v>
      </c>
      <c r="T72" s="5">
        <f t="shared" si="20"/>
        <v>0</v>
      </c>
      <c r="V72" t="str">
        <f t="shared" si="15"/>
        <v>1955Other</v>
      </c>
    </row>
    <row r="73" spans="1:22">
      <c r="B73" s="57"/>
      <c r="C73" s="6"/>
      <c r="D73" s="31">
        <f>'2018 Dep Exp '!F52</f>
        <v>0</v>
      </c>
      <c r="E73" s="17"/>
      <c r="F73" s="4">
        <f t="shared" si="17"/>
        <v>0</v>
      </c>
      <c r="G73" s="70">
        <f>'2018 Dep Exp '!I52+'2018 Dep Exp '!J52</f>
        <v>0</v>
      </c>
      <c r="H73" s="17"/>
      <c r="I73" s="4">
        <f t="shared" si="8"/>
        <v>0</v>
      </c>
      <c r="J73" s="70">
        <v>0</v>
      </c>
      <c r="K73" s="18">
        <v>0</v>
      </c>
      <c r="L73" s="19">
        <f t="shared" si="9"/>
        <v>0</v>
      </c>
      <c r="M73" s="18">
        <v>0</v>
      </c>
      <c r="N73" s="20">
        <f t="shared" si="10"/>
        <v>0</v>
      </c>
      <c r="O73" s="21">
        <f t="shared" si="18"/>
        <v>0</v>
      </c>
      <c r="P73" s="21">
        <f t="shared" si="12"/>
        <v>0</v>
      </c>
      <c r="Q73" s="22">
        <f t="shared" si="21"/>
        <v>0</v>
      </c>
      <c r="R73" s="23">
        <f t="shared" si="19"/>
        <v>0</v>
      </c>
      <c r="S73" s="70">
        <v>0</v>
      </c>
      <c r="T73" s="5">
        <f t="shared" si="20"/>
        <v>0</v>
      </c>
    </row>
    <row r="74" spans="1:22">
      <c r="A74" t="s">
        <v>106</v>
      </c>
      <c r="B74" s="57">
        <v>1855</v>
      </c>
      <c r="C74" s="6" t="s">
        <v>68</v>
      </c>
      <c r="D74" s="31">
        <f>'2018 Dep Exp '!F53</f>
        <v>2477.19</v>
      </c>
      <c r="E74" s="17"/>
      <c r="F74" s="4">
        <f t="shared" si="17"/>
        <v>2477.19</v>
      </c>
      <c r="G74" s="70">
        <f>'2018 Dep Exp '!I53+'2018 Dep Exp '!J53</f>
        <v>625674.41999999993</v>
      </c>
      <c r="H74" s="17"/>
      <c r="I74" s="4">
        <f t="shared" si="8"/>
        <v>625674.41999999993</v>
      </c>
      <c r="J74" s="70">
        <v>168461.38</v>
      </c>
      <c r="K74" s="18">
        <v>50</v>
      </c>
      <c r="L74" s="19">
        <f t="shared" si="9"/>
        <v>0.02</v>
      </c>
      <c r="M74" s="18">
        <v>50</v>
      </c>
      <c r="N74" s="20">
        <f t="shared" si="10"/>
        <v>0.02</v>
      </c>
      <c r="O74" s="21">
        <f t="shared" si="18"/>
        <v>49.543800000000005</v>
      </c>
      <c r="P74" s="21">
        <f t="shared" si="12"/>
        <v>12513.488399999998</v>
      </c>
      <c r="Q74" s="22">
        <f t="shared" si="21"/>
        <v>1684.6138000000001</v>
      </c>
      <c r="R74" s="23">
        <f t="shared" si="19"/>
        <v>14247.645999999997</v>
      </c>
      <c r="S74" s="70">
        <v>30390.36</v>
      </c>
      <c r="T74" s="5">
        <f t="shared" si="20"/>
        <v>16142.714000000004</v>
      </c>
      <c r="V74" t="str">
        <f t="shared" si="15"/>
        <v>1855Services</v>
      </c>
    </row>
    <row r="75" spans="1:22">
      <c r="B75" s="57"/>
      <c r="C75" s="6"/>
      <c r="D75" s="31">
        <f>'2018 Dep Exp '!F54</f>
        <v>0</v>
      </c>
      <c r="E75" s="17"/>
      <c r="F75" s="4">
        <f t="shared" si="17"/>
        <v>0</v>
      </c>
      <c r="G75" s="70">
        <f>'2018 Dep Exp '!I54+'2018 Dep Exp '!J54</f>
        <v>0</v>
      </c>
      <c r="H75" s="17"/>
      <c r="I75" s="4">
        <f t="shared" si="8"/>
        <v>0</v>
      </c>
      <c r="J75" s="70">
        <v>0</v>
      </c>
      <c r="K75" s="18">
        <v>0</v>
      </c>
      <c r="L75" s="19">
        <f t="shared" si="9"/>
        <v>0</v>
      </c>
      <c r="M75" s="18">
        <v>0</v>
      </c>
      <c r="N75" s="20">
        <f t="shared" si="10"/>
        <v>0</v>
      </c>
      <c r="O75" s="21">
        <f t="shared" si="18"/>
        <v>0</v>
      </c>
      <c r="P75" s="21">
        <f t="shared" si="12"/>
        <v>0</v>
      </c>
      <c r="Q75" s="22">
        <f t="shared" si="21"/>
        <v>0</v>
      </c>
      <c r="R75" s="23">
        <f t="shared" si="19"/>
        <v>0</v>
      </c>
      <c r="S75" s="70">
        <v>0</v>
      </c>
      <c r="T75" s="5">
        <f t="shared" si="20"/>
        <v>0</v>
      </c>
    </row>
    <row r="76" spans="1:22">
      <c r="A76" t="s">
        <v>107</v>
      </c>
      <c r="B76" s="57">
        <v>1955</v>
      </c>
      <c r="C76" s="6" t="s">
        <v>69</v>
      </c>
      <c r="D76" s="31">
        <f>'2018 Dep Exp '!F55</f>
        <v>15847.3</v>
      </c>
      <c r="E76" s="17"/>
      <c r="F76" s="4">
        <f t="shared" si="17"/>
        <v>15847.3</v>
      </c>
      <c r="G76" s="70">
        <f>'2018 Dep Exp '!I55+'2018 Dep Exp '!J55</f>
        <v>12440.159999999998</v>
      </c>
      <c r="H76" s="17"/>
      <c r="I76" s="4">
        <f t="shared" si="8"/>
        <v>12440.159999999998</v>
      </c>
      <c r="J76" s="70">
        <v>26723.919999999998</v>
      </c>
      <c r="K76" s="18">
        <v>2.5</v>
      </c>
      <c r="L76" s="19">
        <f t="shared" si="9"/>
        <v>0.4</v>
      </c>
      <c r="M76" s="18">
        <v>10</v>
      </c>
      <c r="N76" s="20">
        <f t="shared" si="10"/>
        <v>0.1</v>
      </c>
      <c r="O76" s="21">
        <f t="shared" si="18"/>
        <v>6338.92</v>
      </c>
      <c r="P76" s="21">
        <f t="shared" si="12"/>
        <v>1244.0159999999998</v>
      </c>
      <c r="Q76" s="22">
        <f t="shared" si="21"/>
        <v>1336.1959999999999</v>
      </c>
      <c r="R76" s="23">
        <f t="shared" si="19"/>
        <v>8919.1319999999996</v>
      </c>
      <c r="S76" s="70">
        <v>2511.1</v>
      </c>
      <c r="T76" s="5">
        <f t="shared" si="20"/>
        <v>-6408.0319999999992</v>
      </c>
      <c r="V76" t="str">
        <f t="shared" si="15"/>
        <v>1955Communication Equipment, Wireless</v>
      </c>
    </row>
    <row r="77" spans="1:22">
      <c r="B77" s="57"/>
      <c r="C77" s="6"/>
      <c r="D77" s="31">
        <f>'2018 Dep Exp '!F56</f>
        <v>0</v>
      </c>
      <c r="E77" s="17"/>
      <c r="F77" s="4">
        <f t="shared" si="17"/>
        <v>0</v>
      </c>
      <c r="G77" s="70">
        <f>'2018 Dep Exp '!I56+'2018 Dep Exp '!J56</f>
        <v>0</v>
      </c>
      <c r="H77" s="17"/>
      <c r="I77" s="4">
        <f t="shared" si="8"/>
        <v>0</v>
      </c>
      <c r="J77" s="70">
        <v>0</v>
      </c>
      <c r="K77" s="18">
        <v>0</v>
      </c>
      <c r="L77" s="19">
        <f t="shared" si="9"/>
        <v>0</v>
      </c>
      <c r="M77" s="18">
        <v>0</v>
      </c>
      <c r="N77" s="20">
        <f t="shared" si="10"/>
        <v>0</v>
      </c>
      <c r="O77" s="21">
        <f t="shared" si="18"/>
        <v>0</v>
      </c>
      <c r="P77" s="21">
        <f t="shared" si="12"/>
        <v>0</v>
      </c>
      <c r="Q77" s="22">
        <f t="shared" si="21"/>
        <v>0</v>
      </c>
      <c r="R77" s="23">
        <f t="shared" si="19"/>
        <v>0</v>
      </c>
      <c r="S77" s="70">
        <v>0</v>
      </c>
      <c r="T77" s="5">
        <f t="shared" si="20"/>
        <v>0</v>
      </c>
    </row>
    <row r="78" spans="1:22">
      <c r="B78" s="57">
        <v>1606</v>
      </c>
      <c r="C78" s="6" t="s">
        <v>70</v>
      </c>
      <c r="D78" s="31">
        <f>'2018 Dep Exp '!F57</f>
        <v>192292.27</v>
      </c>
      <c r="E78" s="17"/>
      <c r="F78" s="4">
        <f t="shared" si="17"/>
        <v>192292.27</v>
      </c>
      <c r="G78" s="70">
        <f>'2018 Dep Exp '!I57+'2018 Dep Exp '!J57</f>
        <v>0</v>
      </c>
      <c r="H78" s="17"/>
      <c r="I78" s="4">
        <f t="shared" si="8"/>
        <v>0</v>
      </c>
      <c r="J78" s="70">
        <v>0</v>
      </c>
      <c r="K78" s="18">
        <v>0</v>
      </c>
      <c r="L78" s="19">
        <f t="shared" si="9"/>
        <v>0</v>
      </c>
      <c r="M78" s="18">
        <v>0</v>
      </c>
      <c r="N78" s="20">
        <f t="shared" si="10"/>
        <v>0</v>
      </c>
      <c r="O78" s="21">
        <f t="shared" si="18"/>
        <v>0</v>
      </c>
      <c r="P78" s="21">
        <f t="shared" si="12"/>
        <v>0</v>
      </c>
      <c r="Q78" s="22">
        <f t="shared" si="21"/>
        <v>0</v>
      </c>
      <c r="R78" s="23">
        <f t="shared" si="19"/>
        <v>0</v>
      </c>
      <c r="S78" s="70">
        <v>0</v>
      </c>
      <c r="T78" s="5">
        <f t="shared" si="20"/>
        <v>0</v>
      </c>
      <c r="V78" t="str">
        <f t="shared" si="15"/>
        <v>1606Corporation Costs</v>
      </c>
    </row>
    <row r="79" spans="1:22">
      <c r="B79" s="57"/>
      <c r="C79" s="6"/>
      <c r="D79" s="31">
        <f>'2018 Dep Exp '!F58</f>
        <v>0</v>
      </c>
      <c r="E79" s="17"/>
      <c r="F79" s="4">
        <f t="shared" si="17"/>
        <v>0</v>
      </c>
      <c r="G79" s="70">
        <f>'2018 Dep Exp '!I58+'2018 Dep Exp '!J58</f>
        <v>0</v>
      </c>
      <c r="H79" s="17"/>
      <c r="I79" s="4"/>
      <c r="J79" s="70"/>
      <c r="K79" s="18"/>
      <c r="L79" s="19"/>
      <c r="M79" s="18"/>
      <c r="N79" s="33"/>
      <c r="O79" s="21"/>
      <c r="P79" s="21"/>
      <c r="Q79" s="22"/>
      <c r="R79" s="23"/>
      <c r="S79" s="70"/>
      <c r="T79" s="5"/>
      <c r="V79" t="str">
        <f t="shared" si="15"/>
        <v/>
      </c>
    </row>
    <row r="80" spans="1:22">
      <c r="B80" s="57">
        <v>1995</v>
      </c>
      <c r="C80" s="6" t="s">
        <v>41</v>
      </c>
      <c r="D80" s="31">
        <f>'2018 Dep Exp '!F59</f>
        <v>0</v>
      </c>
      <c r="E80" s="17"/>
      <c r="F80" s="4">
        <f t="shared" si="17"/>
        <v>0</v>
      </c>
      <c r="G80" s="70">
        <f>'2018 Dep Exp '!I59+'2018 Dep Exp '!J59</f>
        <v>0</v>
      </c>
      <c r="H80" s="17"/>
      <c r="I80" s="4">
        <f t="shared" ref="I80:I81" si="22">G80-H80</f>
        <v>0</v>
      </c>
      <c r="J80" s="70">
        <v>0</v>
      </c>
      <c r="K80" s="18"/>
      <c r="L80" s="34">
        <f t="shared" ref="L80:L81" si="23">IF(K80=0,0,1/K80)</f>
        <v>0</v>
      </c>
      <c r="M80" s="18"/>
      <c r="N80" s="33">
        <f t="shared" ref="N80:N81" si="24">IF(M80=0,0,1/M80)</f>
        <v>0</v>
      </c>
      <c r="O80" s="35">
        <f t="shared" si="18"/>
        <v>0</v>
      </c>
      <c r="P80" s="35">
        <f t="shared" ref="P80:P81" si="25">IF(M80=0,0,+I80/M80)</f>
        <v>0</v>
      </c>
      <c r="Q80" s="36">
        <f>IF(M80=0,0,+(J80*0.5)/M80)</f>
        <v>0</v>
      </c>
      <c r="R80" s="24">
        <f t="shared" si="19"/>
        <v>0</v>
      </c>
      <c r="S80" s="70">
        <v>0</v>
      </c>
      <c r="T80" s="5">
        <f t="shared" si="20"/>
        <v>0</v>
      </c>
      <c r="V80" t="str">
        <f t="shared" si="15"/>
        <v>1995Contributions &amp; Grants</v>
      </c>
    </row>
    <row r="81" spans="2:22" ht="15" thickBot="1">
      <c r="B81" s="104">
        <v>2440</v>
      </c>
      <c r="C81" s="81" t="s">
        <v>42</v>
      </c>
      <c r="D81" s="93">
        <f>'2018 Dep Exp '!F60</f>
        <v>0</v>
      </c>
      <c r="E81" s="95"/>
      <c r="F81" s="79">
        <f t="shared" si="17"/>
        <v>0</v>
      </c>
      <c r="G81" s="92">
        <f>'2018 Dep Exp '!G60+'2018 Dep Exp '!J60</f>
        <v>0</v>
      </c>
      <c r="H81" s="95"/>
      <c r="I81" s="79">
        <f t="shared" si="22"/>
        <v>0</v>
      </c>
      <c r="J81" s="92">
        <v>0</v>
      </c>
      <c r="K81" s="96"/>
      <c r="L81" s="97">
        <f t="shared" si="23"/>
        <v>0</v>
      </c>
      <c r="M81" s="96"/>
      <c r="N81" s="98">
        <f t="shared" si="24"/>
        <v>0</v>
      </c>
      <c r="O81" s="89">
        <f t="shared" si="18"/>
        <v>0</v>
      </c>
      <c r="P81" s="89">
        <f t="shared" si="25"/>
        <v>0</v>
      </c>
      <c r="Q81" s="90">
        <f>IF(M81=0,0,+(J81*0.5)/M81)</f>
        <v>0</v>
      </c>
      <c r="R81" s="91">
        <f t="shared" si="19"/>
        <v>0</v>
      </c>
      <c r="S81" s="92"/>
      <c r="T81" s="80">
        <f t="shared" si="20"/>
        <v>0</v>
      </c>
      <c r="V81" t="str">
        <f t="shared" si="15"/>
        <v>2440Deferred Revenue</v>
      </c>
    </row>
    <row r="82" spans="2:22" ht="15" thickBot="1">
      <c r="B82" s="82"/>
      <c r="C82" s="83" t="s">
        <v>43</v>
      </c>
      <c r="D82" s="84">
        <f>SUM(D7:D81)</f>
        <v>61226675.359999999</v>
      </c>
      <c r="E82" s="84">
        <f t="shared" ref="E82:J82" si="26">SUM(E7:E81)</f>
        <v>43703</v>
      </c>
      <c r="F82" s="84">
        <f t="shared" si="26"/>
        <v>61182972.359999999</v>
      </c>
      <c r="G82" s="84">
        <f t="shared" si="26"/>
        <v>32117229.749999996</v>
      </c>
      <c r="H82" s="84">
        <f t="shared" si="26"/>
        <v>138103</v>
      </c>
      <c r="I82" s="84">
        <f t="shared" si="26"/>
        <v>31979126.749999996</v>
      </c>
      <c r="J82" s="84">
        <f t="shared" si="26"/>
        <v>30952185.117223695</v>
      </c>
      <c r="K82" s="84"/>
      <c r="L82" s="85"/>
      <c r="M82" s="86"/>
      <c r="N82" s="87"/>
      <c r="O82" s="84">
        <f t="shared" ref="O82" si="27">SUM(O7:O81)</f>
        <v>1790546.163757917</v>
      </c>
      <c r="P82" s="84">
        <f t="shared" ref="P82" si="28">SUM(P7:P81)</f>
        <v>902893.46369841264</v>
      </c>
      <c r="Q82" s="84">
        <f t="shared" ref="Q82" si="29">SUM(Q7:Q81)</f>
        <v>779774.96638972475</v>
      </c>
      <c r="R82" s="84">
        <f t="shared" ref="R82" si="30">SUM(R7:R81)</f>
        <v>3473214.5938460552</v>
      </c>
      <c r="S82" s="84">
        <f t="shared" ref="S82" si="31">SUM(S7:S81)</f>
        <v>3426101.9488107571</v>
      </c>
      <c r="T82" s="88">
        <f t="shared" ref="T82" si="32">SUM(T7:T81)</f>
        <v>-47112.645035297937</v>
      </c>
    </row>
    <row r="83" spans="2:2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2:22">
      <c r="D84" s="11">
        <v>0</v>
      </c>
      <c r="G84" s="10">
        <v>0</v>
      </c>
      <c r="J84" s="11">
        <v>1.2776307761669159E-2</v>
      </c>
      <c r="S84" s="10">
        <v>-9.4053782522678375E-3</v>
      </c>
      <c r="T84" s="26">
        <f>T82/S82</f>
        <v>-1.3751092565021694E-2</v>
      </c>
    </row>
    <row r="85" spans="2:22">
      <c r="S85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52" orientation="landscape" r:id="rId1"/>
  <ignoredErrors>
    <ignoredError sqref="D28:T83 M2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showGridLines="0" topLeftCell="B1" zoomScale="80" zoomScaleNormal="80" workbookViewId="0">
      <selection activeCell="N87" sqref="N87"/>
    </sheetView>
  </sheetViews>
  <sheetFormatPr defaultRowHeight="14.4"/>
  <cols>
    <col min="1" max="1" width="10.44140625" hidden="1" customWidth="1"/>
    <col min="3" max="3" width="41.5546875" bestFit="1" customWidth="1"/>
    <col min="4" max="4" width="17.44140625" customWidth="1"/>
    <col min="5" max="5" width="14" customWidth="1"/>
    <col min="6" max="7" width="14.44140625" customWidth="1"/>
    <col min="8" max="8" width="12" customWidth="1"/>
    <col min="9" max="10" width="14.109375" customWidth="1"/>
    <col min="11" max="11" width="13.44140625" customWidth="1"/>
    <col min="12" max="12" width="14.554687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44140625" customWidth="1"/>
    <col min="19" max="19" width="15.88671875" customWidth="1"/>
    <col min="20" max="20" width="14.44140625" customWidth="1"/>
    <col min="21" max="21" width="0" hidden="1" customWidth="1"/>
    <col min="22" max="22" width="49.44140625" hidden="1" customWidth="1"/>
    <col min="23" max="23" width="11.44140625" customWidth="1"/>
  </cols>
  <sheetData>
    <row r="1" spans="1:20" ht="21">
      <c r="B1" s="110" t="s">
        <v>152</v>
      </c>
    </row>
    <row r="3" spans="1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5"/>
      <c r="O4" s="114" t="s">
        <v>2</v>
      </c>
      <c r="P4" s="115"/>
      <c r="Q4" s="115"/>
      <c r="R4" s="116"/>
      <c r="S4" s="2"/>
      <c r="T4" s="2"/>
    </row>
    <row r="5" spans="1:20" ht="81.599999999999994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56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1:20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4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105" t="s">
        <v>37</v>
      </c>
      <c r="T6" s="41" t="s">
        <v>38</v>
      </c>
    </row>
    <row r="7" spans="1:20">
      <c r="A7" s="14" t="s">
        <v>108</v>
      </c>
      <c r="B7" s="57">
        <v>1815</v>
      </c>
      <c r="C7" s="103" t="s">
        <v>128</v>
      </c>
      <c r="D7" s="31">
        <v>0</v>
      </c>
      <c r="E7" s="17"/>
      <c r="F7" s="4"/>
      <c r="G7" s="70">
        <f>'2019 Dep Exp '!G7+'2019 Dep Exp '!J7</f>
        <v>3833332.7281641681</v>
      </c>
      <c r="H7" s="17"/>
      <c r="I7" s="4">
        <f t="shared" ref="I7:I26" si="0">G7-H7</f>
        <v>3833332.7281641681</v>
      </c>
      <c r="J7" s="70"/>
      <c r="K7" s="13">
        <v>0</v>
      </c>
      <c r="L7" s="19"/>
      <c r="M7" s="18">
        <v>35</v>
      </c>
      <c r="N7" s="20">
        <f>IF(M7=0,0,1/M7)</f>
        <v>2.8571428571428571E-2</v>
      </c>
      <c r="O7" s="21">
        <f>IF(K7=0,0,+F7/K7)</f>
        <v>0</v>
      </c>
      <c r="P7" s="21">
        <f>IF(M7=0,0,+I7/M7)</f>
        <v>109523.79223326195</v>
      </c>
      <c r="Q7" s="22">
        <f>IF(M7=0,0,+(J7*0.5)/M7)</f>
        <v>0</v>
      </c>
      <c r="R7" s="23">
        <f>IF(ISERROR(+O7+P7+Q7),0,+O7+P7+Q7)</f>
        <v>109523.79223326195</v>
      </c>
      <c r="S7" s="70">
        <f>('2019 Dep Exp '!S7)</f>
        <v>109523.79223326195</v>
      </c>
      <c r="T7" s="5">
        <f>IF(ISERROR(+S7-R7),0,+S7-R7)</f>
        <v>0</v>
      </c>
    </row>
    <row r="8" spans="1:20">
      <c r="A8" s="14" t="s">
        <v>109</v>
      </c>
      <c r="B8" s="57">
        <v>1815</v>
      </c>
      <c r="C8" s="103" t="s">
        <v>128</v>
      </c>
      <c r="D8" s="31">
        <v>0</v>
      </c>
      <c r="E8" s="17"/>
      <c r="F8" s="4"/>
      <c r="G8" s="70">
        <f>'2019 Dep Exp '!G8+'2019 Dep Exp '!J8</f>
        <v>565868.70959099254</v>
      </c>
      <c r="H8" s="17"/>
      <c r="I8" s="4">
        <f t="shared" si="0"/>
        <v>565868.70959099254</v>
      </c>
      <c r="J8" s="70"/>
      <c r="K8" s="13">
        <v>0</v>
      </c>
      <c r="L8" s="19"/>
      <c r="M8" s="18">
        <v>20</v>
      </c>
      <c r="N8" s="20">
        <f t="shared" ref="N8:N26" si="1">IF(M8=0,0,1/M8)</f>
        <v>0.05</v>
      </c>
      <c r="O8" s="21">
        <f t="shared" ref="O8:O26" si="2">IF(K8=0,0,+F8/K8)</f>
        <v>0</v>
      </c>
      <c r="P8" s="21">
        <f t="shared" ref="P8:P26" si="3">IF(M8=0,0,+I8/M8)</f>
        <v>28293.435479549626</v>
      </c>
      <c r="Q8" s="22">
        <f t="shared" ref="Q8:Q26" si="4">IF(M8=0,0,+(J8*0.5)/M8)</f>
        <v>0</v>
      </c>
      <c r="R8" s="23">
        <f t="shared" ref="R8:R26" si="5">IF(ISERROR(+O8+P8+Q8),0,+O8+P8+Q8)</f>
        <v>28293.435479549626</v>
      </c>
      <c r="S8" s="70">
        <f>('2019 Dep Exp '!S8)</f>
        <v>28293.435479549626</v>
      </c>
      <c r="T8" s="5">
        <f t="shared" ref="T8:T26" si="6">IF(ISERROR(+S8-R8),0,+S8-R8)</f>
        <v>0</v>
      </c>
    </row>
    <row r="9" spans="1:20">
      <c r="A9" s="14" t="s">
        <v>110</v>
      </c>
      <c r="B9" s="57">
        <v>1815</v>
      </c>
      <c r="C9" s="103" t="s">
        <v>128</v>
      </c>
      <c r="D9" s="31">
        <v>0</v>
      </c>
      <c r="E9" s="17"/>
      <c r="F9" s="4"/>
      <c r="G9" s="70">
        <f>'2019 Dep Exp '!G9+'2019 Dep Exp '!J9</f>
        <v>408663.07012833247</v>
      </c>
      <c r="H9" s="17"/>
      <c r="I9" s="4">
        <f t="shared" si="0"/>
        <v>408663.07012833247</v>
      </c>
      <c r="J9" s="70"/>
      <c r="K9" s="13">
        <v>0</v>
      </c>
      <c r="L9" s="19"/>
      <c r="M9" s="18">
        <v>20</v>
      </c>
      <c r="N9" s="20">
        <f t="shared" si="1"/>
        <v>0.05</v>
      </c>
      <c r="O9" s="21">
        <f t="shared" si="2"/>
        <v>0</v>
      </c>
      <c r="P9" s="21">
        <f t="shared" si="3"/>
        <v>20433.153506416624</v>
      </c>
      <c r="Q9" s="22">
        <f t="shared" si="4"/>
        <v>0</v>
      </c>
      <c r="R9" s="23">
        <f t="shared" si="5"/>
        <v>20433.153506416624</v>
      </c>
      <c r="S9" s="70">
        <f>('2019 Dep Exp '!S9)</f>
        <v>20433.153506416624</v>
      </c>
      <c r="T9" s="5">
        <f t="shared" si="6"/>
        <v>0</v>
      </c>
    </row>
    <row r="10" spans="1:20">
      <c r="A10" s="14" t="s">
        <v>111</v>
      </c>
      <c r="B10" s="57">
        <v>1815</v>
      </c>
      <c r="C10" s="103" t="s">
        <v>129</v>
      </c>
      <c r="D10" s="31">
        <v>0</v>
      </c>
      <c r="E10" s="17"/>
      <c r="F10" s="4"/>
      <c r="G10" s="70">
        <f>'2019 Dep Exp '!G10+'2019 Dep Exp '!J10</f>
        <v>596046.90666405892</v>
      </c>
      <c r="H10" s="17"/>
      <c r="I10" s="4">
        <f t="shared" si="0"/>
        <v>596046.90666405892</v>
      </c>
      <c r="J10" s="70"/>
      <c r="K10" s="13">
        <v>0</v>
      </c>
      <c r="L10" s="19"/>
      <c r="M10" s="18">
        <v>45</v>
      </c>
      <c r="N10" s="20">
        <f t="shared" si="1"/>
        <v>2.2222222222222223E-2</v>
      </c>
      <c r="O10" s="21">
        <f t="shared" si="2"/>
        <v>0</v>
      </c>
      <c r="P10" s="21">
        <f t="shared" si="3"/>
        <v>13245.486814756865</v>
      </c>
      <c r="Q10" s="22">
        <f t="shared" si="4"/>
        <v>0</v>
      </c>
      <c r="R10" s="23">
        <f t="shared" si="5"/>
        <v>13245.486814756865</v>
      </c>
      <c r="S10" s="70">
        <f>('2019 Dep Exp '!S10)</f>
        <v>13245.486814756865</v>
      </c>
      <c r="T10" s="5">
        <f t="shared" si="6"/>
        <v>0</v>
      </c>
    </row>
    <row r="11" spans="1:20">
      <c r="A11" s="14" t="s">
        <v>112</v>
      </c>
      <c r="B11" s="57">
        <v>1815</v>
      </c>
      <c r="C11" s="103" t="s">
        <v>130</v>
      </c>
      <c r="D11" s="31">
        <v>0</v>
      </c>
      <c r="E11" s="17"/>
      <c r="F11" s="4"/>
      <c r="G11" s="70">
        <f>'2019 Dep Exp '!G11+'2019 Dep Exp '!J11</f>
        <v>251193.14547744716</v>
      </c>
      <c r="H11" s="17"/>
      <c r="I11" s="4">
        <f t="shared" si="0"/>
        <v>251193.14547744716</v>
      </c>
      <c r="J11" s="70"/>
      <c r="K11" s="13">
        <v>0</v>
      </c>
      <c r="L11" s="19"/>
      <c r="M11" s="18">
        <v>40</v>
      </c>
      <c r="N11" s="20">
        <f t="shared" si="1"/>
        <v>2.5000000000000001E-2</v>
      </c>
      <c r="O11" s="21">
        <f t="shared" si="2"/>
        <v>0</v>
      </c>
      <c r="P11" s="21">
        <f t="shared" si="3"/>
        <v>6279.8286369361795</v>
      </c>
      <c r="Q11" s="22">
        <f t="shared" si="4"/>
        <v>0</v>
      </c>
      <c r="R11" s="23">
        <f t="shared" si="5"/>
        <v>6279.8286369361795</v>
      </c>
      <c r="S11" s="70">
        <f>('2019 Dep Exp '!S11)</f>
        <v>6279.8286369361795</v>
      </c>
      <c r="T11" s="5">
        <f t="shared" si="6"/>
        <v>0</v>
      </c>
    </row>
    <row r="12" spans="1:20">
      <c r="A12" s="14" t="s">
        <v>113</v>
      </c>
      <c r="B12" s="57">
        <v>1815</v>
      </c>
      <c r="C12" s="6" t="s">
        <v>131</v>
      </c>
      <c r="D12" s="31">
        <v>0</v>
      </c>
      <c r="E12" s="17"/>
      <c r="F12" s="4"/>
      <c r="G12" s="70">
        <f>'2019 Dep Exp '!G12+'2019 Dep Exp '!J12</f>
        <v>2136807.3484157315</v>
      </c>
      <c r="H12" s="17"/>
      <c r="I12" s="4">
        <f t="shared" si="0"/>
        <v>2136807.3484157315</v>
      </c>
      <c r="J12" s="70"/>
      <c r="K12" s="13">
        <v>0</v>
      </c>
      <c r="L12" s="19"/>
      <c r="M12" s="18">
        <v>50</v>
      </c>
      <c r="N12" s="20">
        <f t="shared" si="1"/>
        <v>0.02</v>
      </c>
      <c r="O12" s="21">
        <f t="shared" si="2"/>
        <v>0</v>
      </c>
      <c r="P12" s="21">
        <f t="shared" si="3"/>
        <v>42736.146968314628</v>
      </c>
      <c r="Q12" s="22">
        <f t="shared" si="4"/>
        <v>0</v>
      </c>
      <c r="R12" s="23">
        <f t="shared" si="5"/>
        <v>42736.146968314628</v>
      </c>
      <c r="S12" s="70">
        <f>('2019 Dep Exp '!S12)</f>
        <v>42736.146968314628</v>
      </c>
      <c r="T12" s="5">
        <f t="shared" si="6"/>
        <v>0</v>
      </c>
    </row>
    <row r="13" spans="1:20">
      <c r="A13" s="14" t="s">
        <v>114</v>
      </c>
      <c r="B13" s="57">
        <v>1815</v>
      </c>
      <c r="C13" s="6" t="s">
        <v>132</v>
      </c>
      <c r="D13" s="31">
        <v>0</v>
      </c>
      <c r="E13" s="17"/>
      <c r="F13" s="4"/>
      <c r="G13" s="70">
        <f>'2019 Dep Exp '!G13+'2019 Dep Exp '!J13</f>
        <v>1353416.1157671742</v>
      </c>
      <c r="H13" s="17"/>
      <c r="I13" s="4">
        <f t="shared" si="0"/>
        <v>1353416.1157671742</v>
      </c>
      <c r="J13" s="70"/>
      <c r="K13" s="13">
        <v>0</v>
      </c>
      <c r="L13" s="19"/>
      <c r="M13" s="18">
        <v>45</v>
      </c>
      <c r="N13" s="20">
        <f t="shared" si="1"/>
        <v>2.2222222222222223E-2</v>
      </c>
      <c r="O13" s="21">
        <f t="shared" si="2"/>
        <v>0</v>
      </c>
      <c r="P13" s="21">
        <f t="shared" si="3"/>
        <v>30075.913683714982</v>
      </c>
      <c r="Q13" s="22">
        <f t="shared" si="4"/>
        <v>0</v>
      </c>
      <c r="R13" s="23">
        <f t="shared" si="5"/>
        <v>30075.913683714982</v>
      </c>
      <c r="S13" s="70">
        <f>('2019 Dep Exp '!S13)</f>
        <v>30075.913683714982</v>
      </c>
      <c r="T13" s="5">
        <f t="shared" si="6"/>
        <v>0</v>
      </c>
    </row>
    <row r="14" spans="1:20">
      <c r="A14" s="14" t="s">
        <v>115</v>
      </c>
      <c r="B14" s="57">
        <v>1815</v>
      </c>
      <c r="C14" s="6" t="s">
        <v>133</v>
      </c>
      <c r="D14" s="31">
        <v>0</v>
      </c>
      <c r="E14" s="17"/>
      <c r="F14" s="4"/>
      <c r="G14" s="70">
        <f>'2019 Dep Exp '!G14+'2019 Dep Exp '!J14</f>
        <v>709884.96860426047</v>
      </c>
      <c r="H14" s="17"/>
      <c r="I14" s="4">
        <f t="shared" si="0"/>
        <v>709884.96860426047</v>
      </c>
      <c r="J14" s="70"/>
      <c r="K14" s="13">
        <v>0</v>
      </c>
      <c r="L14" s="19"/>
      <c r="M14" s="18">
        <v>50</v>
      </c>
      <c r="N14" s="20">
        <f t="shared" si="1"/>
        <v>0.02</v>
      </c>
      <c r="O14" s="21">
        <f t="shared" si="2"/>
        <v>0</v>
      </c>
      <c r="P14" s="21">
        <f t="shared" si="3"/>
        <v>14197.69937208521</v>
      </c>
      <c r="Q14" s="22">
        <f t="shared" si="4"/>
        <v>0</v>
      </c>
      <c r="R14" s="23">
        <f t="shared" si="5"/>
        <v>14197.69937208521</v>
      </c>
      <c r="S14" s="70">
        <f>('2019 Dep Exp '!S14)</f>
        <v>14197.69937208521</v>
      </c>
      <c r="T14" s="5">
        <f t="shared" si="6"/>
        <v>0</v>
      </c>
    </row>
    <row r="15" spans="1:20">
      <c r="A15" s="14" t="s">
        <v>116</v>
      </c>
      <c r="B15" s="57">
        <v>1815</v>
      </c>
      <c r="C15" s="6" t="s">
        <v>134</v>
      </c>
      <c r="D15" s="31">
        <v>0</v>
      </c>
      <c r="E15" s="17"/>
      <c r="F15" s="4"/>
      <c r="G15" s="70">
        <f>'2019 Dep Exp '!G15+'2019 Dep Exp '!J15</f>
        <v>1938786.9022932483</v>
      </c>
      <c r="H15" s="17"/>
      <c r="I15" s="4">
        <f t="shared" si="0"/>
        <v>1938786.9022932483</v>
      </c>
      <c r="J15" s="70"/>
      <c r="K15" s="13">
        <v>0</v>
      </c>
      <c r="L15" s="19"/>
      <c r="M15" s="18">
        <v>20</v>
      </c>
      <c r="N15" s="20">
        <f t="shared" si="1"/>
        <v>0.05</v>
      </c>
      <c r="O15" s="21">
        <f t="shared" si="2"/>
        <v>0</v>
      </c>
      <c r="P15" s="21">
        <f t="shared" si="3"/>
        <v>96939.345114662414</v>
      </c>
      <c r="Q15" s="22">
        <f t="shared" si="4"/>
        <v>0</v>
      </c>
      <c r="R15" s="23">
        <f t="shared" si="5"/>
        <v>96939.345114662414</v>
      </c>
      <c r="S15" s="70">
        <f>('2019 Dep Exp '!S15)</f>
        <v>96939.345114662414</v>
      </c>
      <c r="T15" s="5">
        <f t="shared" si="6"/>
        <v>0</v>
      </c>
    </row>
    <row r="16" spans="1:20">
      <c r="A16" s="14" t="s">
        <v>117</v>
      </c>
      <c r="B16" s="57">
        <v>1815</v>
      </c>
      <c r="C16" s="6" t="s">
        <v>135</v>
      </c>
      <c r="D16" s="31">
        <v>0</v>
      </c>
      <c r="E16" s="17"/>
      <c r="F16" s="4"/>
      <c r="G16" s="70">
        <f>'2019 Dep Exp '!G16+'2019 Dep Exp '!J16</f>
        <v>798005.77388687769</v>
      </c>
      <c r="H16" s="17"/>
      <c r="I16" s="4">
        <f t="shared" si="0"/>
        <v>798005.77388687769</v>
      </c>
      <c r="J16" s="70"/>
      <c r="K16" s="13">
        <v>0</v>
      </c>
      <c r="L16" s="19"/>
      <c r="M16" s="18">
        <v>55</v>
      </c>
      <c r="N16" s="20">
        <f t="shared" si="1"/>
        <v>1.8181818181818181E-2</v>
      </c>
      <c r="O16" s="21">
        <f t="shared" si="2"/>
        <v>0</v>
      </c>
      <c r="P16" s="21">
        <f t="shared" si="3"/>
        <v>14509.195888852322</v>
      </c>
      <c r="Q16" s="22">
        <f t="shared" si="4"/>
        <v>0</v>
      </c>
      <c r="R16" s="23">
        <f t="shared" si="5"/>
        <v>14509.195888852322</v>
      </c>
      <c r="S16" s="70">
        <f>('2019 Dep Exp '!S16)</f>
        <v>14509.195888852322</v>
      </c>
      <c r="T16" s="5">
        <f t="shared" si="6"/>
        <v>0</v>
      </c>
    </row>
    <row r="17" spans="1:22">
      <c r="A17" s="14" t="s">
        <v>118</v>
      </c>
      <c r="B17" s="57">
        <v>1815</v>
      </c>
      <c r="C17" s="6" t="s">
        <v>136</v>
      </c>
      <c r="D17" s="31">
        <v>0</v>
      </c>
      <c r="E17" s="17"/>
      <c r="F17" s="4"/>
      <c r="G17" s="70">
        <f>'2019 Dep Exp '!G17+'2019 Dep Exp '!J17</f>
        <v>2227408.2396015017</v>
      </c>
      <c r="H17" s="17"/>
      <c r="I17" s="4">
        <f t="shared" si="0"/>
        <v>2227408.2396015017</v>
      </c>
      <c r="J17" s="70"/>
      <c r="K17" s="13">
        <v>0</v>
      </c>
      <c r="L17" s="19"/>
      <c r="M17" s="18">
        <v>50</v>
      </c>
      <c r="N17" s="20">
        <f t="shared" si="1"/>
        <v>0.02</v>
      </c>
      <c r="O17" s="21">
        <f t="shared" si="2"/>
        <v>0</v>
      </c>
      <c r="P17" s="21">
        <f t="shared" si="3"/>
        <v>44548.164792030031</v>
      </c>
      <c r="Q17" s="22">
        <f t="shared" si="4"/>
        <v>0</v>
      </c>
      <c r="R17" s="23">
        <f t="shared" si="5"/>
        <v>44548.164792030031</v>
      </c>
      <c r="S17" s="70">
        <f>('2019 Dep Exp '!S17)</f>
        <v>44548.164792030031</v>
      </c>
      <c r="T17" s="5">
        <f t="shared" si="6"/>
        <v>0</v>
      </c>
    </row>
    <row r="18" spans="1:22">
      <c r="A18" s="14" t="s">
        <v>119</v>
      </c>
      <c r="B18" s="57">
        <v>1815</v>
      </c>
      <c r="C18" s="6" t="s">
        <v>137</v>
      </c>
      <c r="D18" s="31">
        <v>0</v>
      </c>
      <c r="E18" s="17"/>
      <c r="F18" s="4"/>
      <c r="G18" s="70">
        <f>'2019 Dep Exp '!G18+'2019 Dep Exp '!J18</f>
        <v>1627038.3438421127</v>
      </c>
      <c r="H18" s="17"/>
      <c r="I18" s="4">
        <f t="shared" si="0"/>
        <v>1627038.3438421127</v>
      </c>
      <c r="J18" s="70"/>
      <c r="K18" s="13">
        <v>0</v>
      </c>
      <c r="L18" s="19"/>
      <c r="M18" s="18">
        <v>40</v>
      </c>
      <c r="N18" s="20">
        <f t="shared" si="1"/>
        <v>2.5000000000000001E-2</v>
      </c>
      <c r="O18" s="21">
        <f t="shared" si="2"/>
        <v>0</v>
      </c>
      <c r="P18" s="21">
        <f t="shared" si="3"/>
        <v>40675.95859605282</v>
      </c>
      <c r="Q18" s="22">
        <f t="shared" si="4"/>
        <v>0</v>
      </c>
      <c r="R18" s="23">
        <f t="shared" si="5"/>
        <v>40675.95859605282</v>
      </c>
      <c r="S18" s="70">
        <f>('2019 Dep Exp '!S18)</f>
        <v>40675.95859605282</v>
      </c>
      <c r="T18" s="5">
        <f t="shared" si="6"/>
        <v>0</v>
      </c>
    </row>
    <row r="19" spans="1:22">
      <c r="A19" s="14" t="s">
        <v>120</v>
      </c>
      <c r="B19" s="57">
        <v>1815</v>
      </c>
      <c r="C19" s="6" t="s">
        <v>138</v>
      </c>
      <c r="D19" s="31">
        <v>0</v>
      </c>
      <c r="E19" s="17"/>
      <c r="F19" s="4"/>
      <c r="G19" s="70">
        <f>'2019 Dep Exp '!G19+'2019 Dep Exp '!J19</f>
        <v>1542573.8910516659</v>
      </c>
      <c r="H19" s="17"/>
      <c r="I19" s="4">
        <f t="shared" si="0"/>
        <v>1542573.8910516659</v>
      </c>
      <c r="J19" s="70"/>
      <c r="K19" s="13">
        <v>0</v>
      </c>
      <c r="L19" s="19"/>
      <c r="M19" s="18">
        <v>55</v>
      </c>
      <c r="N19" s="20">
        <f t="shared" si="1"/>
        <v>1.8181818181818181E-2</v>
      </c>
      <c r="O19" s="21">
        <f t="shared" si="2"/>
        <v>0</v>
      </c>
      <c r="P19" s="21">
        <f t="shared" si="3"/>
        <v>28046.798019121197</v>
      </c>
      <c r="Q19" s="22">
        <f t="shared" si="4"/>
        <v>0</v>
      </c>
      <c r="R19" s="23">
        <f t="shared" si="5"/>
        <v>28046.798019121197</v>
      </c>
      <c r="S19" s="70">
        <f>('2019 Dep Exp '!S19)</f>
        <v>28046.798019121197</v>
      </c>
      <c r="T19" s="5">
        <f t="shared" si="6"/>
        <v>0</v>
      </c>
    </row>
    <row r="20" spans="1:22">
      <c r="A20" s="14" t="s">
        <v>121</v>
      </c>
      <c r="B20" s="57">
        <v>1815</v>
      </c>
      <c r="C20" s="6" t="s">
        <v>139</v>
      </c>
      <c r="D20" s="31">
        <v>0</v>
      </c>
      <c r="E20" s="17"/>
      <c r="F20" s="4"/>
      <c r="G20" s="70">
        <f>'2019 Dep Exp '!G20+'2019 Dep Exp '!J20</f>
        <v>445953.10949764022</v>
      </c>
      <c r="H20" s="17"/>
      <c r="I20" s="4">
        <f t="shared" si="0"/>
        <v>445953.10949764022</v>
      </c>
      <c r="J20" s="70"/>
      <c r="K20" s="13">
        <v>0</v>
      </c>
      <c r="L20" s="19"/>
      <c r="M20" s="18">
        <v>15</v>
      </c>
      <c r="N20" s="20">
        <f t="shared" si="1"/>
        <v>6.6666666666666666E-2</v>
      </c>
      <c r="O20" s="21">
        <f t="shared" si="2"/>
        <v>0</v>
      </c>
      <c r="P20" s="21">
        <f t="shared" si="3"/>
        <v>29730.207299842681</v>
      </c>
      <c r="Q20" s="22">
        <f t="shared" si="4"/>
        <v>0</v>
      </c>
      <c r="R20" s="23">
        <f t="shared" si="5"/>
        <v>29730.207299842681</v>
      </c>
      <c r="S20" s="70">
        <f>('2019 Dep Exp '!S20)</f>
        <v>29730.207299842681</v>
      </c>
      <c r="T20" s="5">
        <f t="shared" si="6"/>
        <v>0</v>
      </c>
    </row>
    <row r="21" spans="1:22">
      <c r="A21" s="14" t="s">
        <v>122</v>
      </c>
      <c r="B21" s="57">
        <v>1815</v>
      </c>
      <c r="C21" s="6" t="s">
        <v>140</v>
      </c>
      <c r="D21" s="31">
        <v>0</v>
      </c>
      <c r="E21" s="17"/>
      <c r="F21" s="4"/>
      <c r="G21" s="70">
        <f>'2019 Dep Exp '!G21+'2019 Dep Exp '!J21</f>
        <v>3251988.7997565572</v>
      </c>
      <c r="H21" s="17"/>
      <c r="I21" s="4">
        <f t="shared" si="0"/>
        <v>3251988.7997565572</v>
      </c>
      <c r="J21" s="70"/>
      <c r="K21" s="13">
        <v>0</v>
      </c>
      <c r="L21" s="19"/>
      <c r="M21" s="18">
        <v>50</v>
      </c>
      <c r="N21" s="20">
        <f t="shared" si="1"/>
        <v>0.02</v>
      </c>
      <c r="O21" s="21">
        <f t="shared" si="2"/>
        <v>0</v>
      </c>
      <c r="P21" s="21">
        <f t="shared" si="3"/>
        <v>65039.775995131145</v>
      </c>
      <c r="Q21" s="22">
        <f t="shared" si="4"/>
        <v>0</v>
      </c>
      <c r="R21" s="23">
        <f t="shared" si="5"/>
        <v>65039.775995131145</v>
      </c>
      <c r="S21" s="70">
        <f>('2019 Dep Exp '!S21)</f>
        <v>65039.775995131145</v>
      </c>
      <c r="T21" s="5">
        <f t="shared" si="6"/>
        <v>0</v>
      </c>
    </row>
    <row r="22" spans="1:22">
      <c r="A22" s="14" t="s">
        <v>123</v>
      </c>
      <c r="B22" s="57">
        <v>1815</v>
      </c>
      <c r="C22" s="6" t="s">
        <v>140</v>
      </c>
      <c r="D22" s="31">
        <v>0</v>
      </c>
      <c r="E22" s="17"/>
      <c r="F22" s="4"/>
      <c r="G22" s="70">
        <f>'2019 Dep Exp '!G22+'2019 Dep Exp '!J22</f>
        <v>285337.7016197496</v>
      </c>
      <c r="H22" s="17"/>
      <c r="I22" s="4">
        <f t="shared" si="0"/>
        <v>285337.7016197496</v>
      </c>
      <c r="J22" s="70"/>
      <c r="K22" s="13">
        <v>0</v>
      </c>
      <c r="L22" s="19"/>
      <c r="M22" s="18">
        <v>25</v>
      </c>
      <c r="N22" s="20">
        <f t="shared" si="1"/>
        <v>0.04</v>
      </c>
      <c r="O22" s="21">
        <f t="shared" si="2"/>
        <v>0</v>
      </c>
      <c r="P22" s="21">
        <f t="shared" si="3"/>
        <v>11413.508064789983</v>
      </c>
      <c r="Q22" s="22">
        <f t="shared" si="4"/>
        <v>0</v>
      </c>
      <c r="R22" s="23">
        <f t="shared" si="5"/>
        <v>11413.508064789983</v>
      </c>
      <c r="S22" s="70">
        <f>('2019 Dep Exp '!S22)</f>
        <v>11413.508064789983</v>
      </c>
      <c r="T22" s="5">
        <f t="shared" si="6"/>
        <v>0</v>
      </c>
    </row>
    <row r="23" spans="1:22">
      <c r="A23" s="14" t="s">
        <v>124</v>
      </c>
      <c r="B23" s="57">
        <v>1815</v>
      </c>
      <c r="C23" s="6" t="s">
        <v>140</v>
      </c>
      <c r="D23" s="31">
        <v>0</v>
      </c>
      <c r="E23" s="17"/>
      <c r="F23" s="4"/>
      <c r="G23" s="70">
        <f>'2019 Dep Exp '!G23+'2019 Dep Exp '!J23</f>
        <v>315382.03969105484</v>
      </c>
      <c r="H23" s="17"/>
      <c r="I23" s="4">
        <f t="shared" si="0"/>
        <v>315382.03969105484</v>
      </c>
      <c r="J23" s="70"/>
      <c r="K23" s="13">
        <v>0</v>
      </c>
      <c r="L23" s="19"/>
      <c r="M23" s="18">
        <v>35</v>
      </c>
      <c r="N23" s="20">
        <f t="shared" si="1"/>
        <v>2.8571428571428571E-2</v>
      </c>
      <c r="O23" s="21">
        <f t="shared" si="2"/>
        <v>0</v>
      </c>
      <c r="P23" s="21">
        <f t="shared" si="3"/>
        <v>9010.9154197444241</v>
      </c>
      <c r="Q23" s="22">
        <f t="shared" si="4"/>
        <v>0</v>
      </c>
      <c r="R23" s="23">
        <f t="shared" si="5"/>
        <v>9010.9154197444241</v>
      </c>
      <c r="S23" s="70">
        <f>('2019 Dep Exp '!S23)</f>
        <v>9010.9154197444241</v>
      </c>
      <c r="T23" s="5">
        <f t="shared" si="6"/>
        <v>0</v>
      </c>
    </row>
    <row r="24" spans="1:22">
      <c r="A24" s="14" t="s">
        <v>125</v>
      </c>
      <c r="B24" s="57">
        <v>1815</v>
      </c>
      <c r="C24" s="6" t="s">
        <v>140</v>
      </c>
      <c r="D24" s="31">
        <v>0</v>
      </c>
      <c r="E24" s="17"/>
      <c r="F24" s="4"/>
      <c r="G24" s="70">
        <f>'2019 Dep Exp '!G24+'2019 Dep Exp '!J24</f>
        <v>339830.48615598527</v>
      </c>
      <c r="H24" s="17"/>
      <c r="I24" s="4">
        <f t="shared" si="0"/>
        <v>339830.48615598527</v>
      </c>
      <c r="J24" s="70"/>
      <c r="K24" s="13">
        <v>0</v>
      </c>
      <c r="L24" s="19"/>
      <c r="M24" s="18">
        <v>20</v>
      </c>
      <c r="N24" s="20">
        <f t="shared" si="1"/>
        <v>0.05</v>
      </c>
      <c r="O24" s="21">
        <f t="shared" si="2"/>
        <v>0</v>
      </c>
      <c r="P24" s="21">
        <f t="shared" si="3"/>
        <v>16991.524307799264</v>
      </c>
      <c r="Q24" s="22">
        <f t="shared" si="4"/>
        <v>0</v>
      </c>
      <c r="R24" s="23">
        <f t="shared" si="5"/>
        <v>16991.524307799264</v>
      </c>
      <c r="S24" s="70">
        <f>('2019 Dep Exp '!S24)</f>
        <v>16991.524307799264</v>
      </c>
      <c r="T24" s="5">
        <f t="shared" si="6"/>
        <v>0</v>
      </c>
    </row>
    <row r="25" spans="1:22">
      <c r="A25" s="14" t="s">
        <v>126</v>
      </c>
      <c r="B25" s="57">
        <v>1815</v>
      </c>
      <c r="C25" s="6" t="s">
        <v>141</v>
      </c>
      <c r="D25" s="31">
        <v>0</v>
      </c>
      <c r="E25" s="17"/>
      <c r="F25" s="4"/>
      <c r="G25" s="70">
        <f>'2019 Dep Exp '!G25+'2019 Dep Exp '!J25</f>
        <v>320207.57662488916</v>
      </c>
      <c r="H25" s="17"/>
      <c r="I25" s="4">
        <f t="shared" si="0"/>
        <v>320207.57662488916</v>
      </c>
      <c r="J25" s="70"/>
      <c r="K25" s="13">
        <v>0</v>
      </c>
      <c r="L25" s="19"/>
      <c r="M25" s="18">
        <v>20</v>
      </c>
      <c r="N25" s="20">
        <f t="shared" si="1"/>
        <v>0.05</v>
      </c>
      <c r="O25" s="21">
        <f t="shared" si="2"/>
        <v>0</v>
      </c>
      <c r="P25" s="21">
        <f t="shared" si="3"/>
        <v>16010.378831244458</v>
      </c>
      <c r="Q25" s="22">
        <f t="shared" si="4"/>
        <v>0</v>
      </c>
      <c r="R25" s="23">
        <f t="shared" si="5"/>
        <v>16010.378831244458</v>
      </c>
      <c r="S25" s="70">
        <f>('2019 Dep Exp '!S25)</f>
        <v>16010.378831244458</v>
      </c>
      <c r="T25" s="5">
        <f t="shared" si="6"/>
        <v>0</v>
      </c>
    </row>
    <row r="26" spans="1:22">
      <c r="A26" s="14" t="s">
        <v>127</v>
      </c>
      <c r="B26" s="57">
        <v>1815</v>
      </c>
      <c r="C26" s="6" t="s">
        <v>142</v>
      </c>
      <c r="D26" s="31"/>
      <c r="E26" s="17"/>
      <c r="F26" s="4"/>
      <c r="G26" s="70">
        <f>'2019 Dep Exp '!G26+'2019 Dep Exp '!J26</f>
        <v>546807.14039024559</v>
      </c>
      <c r="H26" s="17"/>
      <c r="I26" s="4">
        <f t="shared" si="0"/>
        <v>546807.14039024559</v>
      </c>
      <c r="J26" s="70"/>
      <c r="K26" s="13">
        <v>0</v>
      </c>
      <c r="L26" s="19"/>
      <c r="M26" s="18">
        <v>45</v>
      </c>
      <c r="N26" s="20">
        <f t="shared" si="1"/>
        <v>2.2222222222222223E-2</v>
      </c>
      <c r="O26" s="21">
        <f t="shared" si="2"/>
        <v>0</v>
      </c>
      <c r="P26" s="21">
        <f t="shared" si="3"/>
        <v>12151.269786449902</v>
      </c>
      <c r="Q26" s="22">
        <f t="shared" si="4"/>
        <v>0</v>
      </c>
      <c r="R26" s="23">
        <f t="shared" si="5"/>
        <v>12151.269786449902</v>
      </c>
      <c r="S26" s="70">
        <f>('2019 Dep Exp '!S26)</f>
        <v>12151.269786449902</v>
      </c>
      <c r="T26" s="5">
        <f t="shared" si="6"/>
        <v>0</v>
      </c>
    </row>
    <row r="27" spans="1:22">
      <c r="B27" s="57"/>
      <c r="C27" s="6"/>
      <c r="D27" s="31"/>
      <c r="E27" s="17"/>
      <c r="F27" s="4"/>
      <c r="G27" s="70"/>
      <c r="H27" s="17"/>
      <c r="I27" s="4"/>
      <c r="J27" s="70"/>
      <c r="K27" s="13"/>
      <c r="L27" s="19"/>
      <c r="M27" s="18"/>
      <c r="N27" s="20"/>
      <c r="O27" s="99"/>
      <c r="P27" s="100"/>
      <c r="Q27" s="101"/>
      <c r="R27" s="102"/>
      <c r="S27" s="70"/>
      <c r="T27" s="5"/>
    </row>
    <row r="28" spans="1:22">
      <c r="A28" t="s">
        <v>71</v>
      </c>
      <c r="B28" s="57">
        <v>1830</v>
      </c>
      <c r="C28" s="6" t="s">
        <v>44</v>
      </c>
      <c r="D28" s="31">
        <f>'2019 Dep Exp '!F28</f>
        <v>19527826.240000002</v>
      </c>
      <c r="E28" s="17"/>
      <c r="F28" s="4">
        <f>D28-E28</f>
        <v>19527826.240000002</v>
      </c>
      <c r="G28" s="70">
        <f>'2019 Dep Exp '!I28+'2019 Dep Exp '!J28</f>
        <v>12069652.23</v>
      </c>
      <c r="H28" s="17"/>
      <c r="I28" s="4">
        <f>G28-H28</f>
        <v>12069652.23</v>
      </c>
      <c r="J28" s="70">
        <f>2207211.66846283-560624</f>
        <v>1646587.6684628301</v>
      </c>
      <c r="K28" s="18">
        <v>49</v>
      </c>
      <c r="L28" s="19">
        <f>IF(K28=0,0,1/K28)</f>
        <v>2.0408163265306121E-2</v>
      </c>
      <c r="M28" s="18">
        <v>50</v>
      </c>
      <c r="N28" s="20">
        <f>IF(M28=0,0,1/M28)</f>
        <v>0.02</v>
      </c>
      <c r="O28" s="21">
        <f>IF(K28=0,0,+F28/K28)</f>
        <v>398527.066122449</v>
      </c>
      <c r="P28" s="21">
        <f>IF(M28=0,0,+I28/M28)</f>
        <v>241393.04460000002</v>
      </c>
      <c r="Q28" s="22">
        <f>IF(M28=0,0,+(J28*0.5)/M28)</f>
        <v>16465.8766846283</v>
      </c>
      <c r="R28" s="23">
        <f>IF(ISERROR(+O28+P28+Q28),0,+O28+P28+Q28)</f>
        <v>656385.98740707734</v>
      </c>
      <c r="S28" s="70">
        <f>644413-4</f>
        <v>644409</v>
      </c>
      <c r="T28" s="5">
        <f>IF(ISERROR(+S28-R28),0,+S28-R28)</f>
        <v>-11976.987407077337</v>
      </c>
      <c r="V28" t="str">
        <f>CONCATENATE(B28,C28)</f>
        <v>1830Poles</v>
      </c>
    </row>
    <row r="29" spans="1:22">
      <c r="A29" t="s">
        <v>72</v>
      </c>
      <c r="B29" s="57">
        <v>1835</v>
      </c>
      <c r="C29" s="6" t="s">
        <v>45</v>
      </c>
      <c r="D29" s="31">
        <f>'2019 Dep Exp '!F29</f>
        <v>6516643.6000000006</v>
      </c>
      <c r="E29" s="17"/>
      <c r="F29" s="4">
        <f t="shared" ref="F29:F39" si="7">D29-E29</f>
        <v>6516643.6000000006</v>
      </c>
      <c r="G29" s="70">
        <f>'2019 Dep Exp '!I29+'2019 Dep Exp '!J29</f>
        <v>1138725.5299999996</v>
      </c>
      <c r="H29" s="17"/>
      <c r="I29" s="4">
        <f t="shared" ref="I29:I78" si="8">G29-H29</f>
        <v>1138725.5299999996</v>
      </c>
      <c r="J29" s="70">
        <v>551888.6589365711</v>
      </c>
      <c r="K29" s="18">
        <v>44.5</v>
      </c>
      <c r="L29" s="19">
        <f t="shared" ref="L29:L78" si="9">IF(K29=0,0,1/K29)</f>
        <v>2.247191011235955E-2</v>
      </c>
      <c r="M29" s="18">
        <v>50</v>
      </c>
      <c r="N29" s="20">
        <f t="shared" ref="N29:N78" si="10">IF(M29=0,0,1/M29)</f>
        <v>0.02</v>
      </c>
      <c r="O29" s="21">
        <f t="shared" ref="O29:O39" si="11">IF(K29=0,0,+F29/K29)</f>
        <v>146441.42921348315</v>
      </c>
      <c r="P29" s="21">
        <f t="shared" ref="P29:P78" si="12">IF(M29=0,0,+I29/M29)</f>
        <v>22774.510599999991</v>
      </c>
      <c r="Q29" s="22">
        <f>IF(M29=0,0,+(J29*0.5)/M29)</f>
        <v>5518.8865893657112</v>
      </c>
      <c r="R29" s="23">
        <f t="shared" ref="R29:R39" si="13">IF(ISERROR(+O29+P29+Q29),0,+O29+P29+Q29)</f>
        <v>174734.82640284885</v>
      </c>
      <c r="S29" s="70">
        <v>175390.88658936572</v>
      </c>
      <c r="T29" s="5">
        <f t="shared" ref="T29:T39" si="14">IF(ISERROR(+S29-R29),0,+S29-R29)</f>
        <v>656.06018651687191</v>
      </c>
      <c r="V29" t="str">
        <f t="shared" ref="V29:V81" si="15">CONCATENATE(B29,C29)</f>
        <v>1835OH Conductors</v>
      </c>
    </row>
    <row r="30" spans="1:22">
      <c r="A30" t="s">
        <v>73</v>
      </c>
      <c r="B30" s="57">
        <v>1835</v>
      </c>
      <c r="C30" s="6" t="s">
        <v>46</v>
      </c>
      <c r="D30" s="31">
        <f>'2019 Dep Exp '!F30</f>
        <v>1292.6100000000001</v>
      </c>
      <c r="E30" s="17"/>
      <c r="F30" s="4">
        <f t="shared" si="7"/>
        <v>1292.6100000000001</v>
      </c>
      <c r="G30" s="70">
        <f>'2019 Dep Exp '!I30+'2019 Dep Exp '!J30</f>
        <v>2797940.2800000003</v>
      </c>
      <c r="H30" s="17"/>
      <c r="I30" s="4">
        <f t="shared" si="8"/>
        <v>2797940.2800000003</v>
      </c>
      <c r="J30" s="70">
        <v>410469.8729289819</v>
      </c>
      <c r="K30" s="18">
        <v>34.5</v>
      </c>
      <c r="L30" s="19">
        <f t="shared" si="9"/>
        <v>2.8985507246376812E-2</v>
      </c>
      <c r="M30" s="18">
        <v>40</v>
      </c>
      <c r="N30" s="20">
        <f t="shared" si="10"/>
        <v>2.5000000000000001E-2</v>
      </c>
      <c r="O30" s="21">
        <f t="shared" si="11"/>
        <v>37.466956521739135</v>
      </c>
      <c r="P30" s="21">
        <f t="shared" si="12"/>
        <v>69948.507000000012</v>
      </c>
      <c r="Q30" s="22">
        <f>IF(M30=0,0,+(J30*0.5)/M30)</f>
        <v>5130.8734116122741</v>
      </c>
      <c r="R30" s="23">
        <f t="shared" si="13"/>
        <v>75116.847368134026</v>
      </c>
      <c r="S30" s="70">
        <v>94650.87341161228</v>
      </c>
      <c r="T30" s="5">
        <f t="shared" si="14"/>
        <v>19534.026043478254</v>
      </c>
      <c r="V30" t="str">
        <f t="shared" si="15"/>
        <v>1835OH Switches</v>
      </c>
    </row>
    <row r="31" spans="1:22">
      <c r="B31" s="57"/>
      <c r="C31" s="6"/>
      <c r="D31" s="31">
        <f>'2019 Dep Exp '!F31</f>
        <v>0</v>
      </c>
      <c r="E31" s="17"/>
      <c r="F31" s="4"/>
      <c r="G31" s="70">
        <f>'2019 Dep Exp '!I31+'2019 Dep Exp '!J31</f>
        <v>0</v>
      </c>
      <c r="H31" s="17"/>
      <c r="I31" s="4">
        <f t="shared" si="8"/>
        <v>0</v>
      </c>
      <c r="J31" s="70"/>
      <c r="K31" s="18">
        <v>0</v>
      </c>
      <c r="L31" s="19">
        <f t="shared" si="9"/>
        <v>0</v>
      </c>
      <c r="M31" s="18">
        <v>0</v>
      </c>
      <c r="N31" s="20">
        <f t="shared" si="10"/>
        <v>0</v>
      </c>
      <c r="O31" s="21"/>
      <c r="P31" s="21">
        <f t="shared" si="12"/>
        <v>0</v>
      </c>
      <c r="Q31" s="22"/>
      <c r="R31" s="23"/>
      <c r="S31" s="70"/>
      <c r="T31" s="5"/>
    </row>
    <row r="32" spans="1:22">
      <c r="A32" t="s">
        <v>74</v>
      </c>
      <c r="B32" s="57">
        <v>1845</v>
      </c>
      <c r="C32" s="6" t="s">
        <v>47</v>
      </c>
      <c r="D32" s="31">
        <f>'2019 Dep Exp '!F32</f>
        <v>7045633.0100000007</v>
      </c>
      <c r="E32" s="17"/>
      <c r="F32" s="4">
        <f t="shared" si="7"/>
        <v>7045633.0100000007</v>
      </c>
      <c r="G32" s="70">
        <f>'2019 Dep Exp '!I32+'2019 Dep Exp '!J32</f>
        <v>2964454.4399999995</v>
      </c>
      <c r="H32" s="17"/>
      <c r="I32" s="4">
        <f t="shared" si="8"/>
        <v>2964454.4399999995</v>
      </c>
      <c r="J32" s="70">
        <v>266561.71343901736</v>
      </c>
      <c r="K32" s="18">
        <v>36.5</v>
      </c>
      <c r="L32" s="19">
        <f t="shared" si="9"/>
        <v>2.7397260273972601E-2</v>
      </c>
      <c r="M32" s="18">
        <v>40</v>
      </c>
      <c r="N32" s="20">
        <f t="shared" si="10"/>
        <v>2.5000000000000001E-2</v>
      </c>
      <c r="O32" s="21">
        <f t="shared" si="11"/>
        <v>193031.04136986303</v>
      </c>
      <c r="P32" s="21">
        <f t="shared" si="12"/>
        <v>74111.36099999999</v>
      </c>
      <c r="Q32" s="22">
        <f t="shared" ref="Q32:Q39" si="16">IF(M32=0,0,+(J32*0.5)/M32)</f>
        <v>3332.0214179877171</v>
      </c>
      <c r="R32" s="23">
        <f t="shared" si="13"/>
        <v>270474.42378785071</v>
      </c>
      <c r="S32" s="70">
        <v>296492.02141798771</v>
      </c>
      <c r="T32" s="5">
        <f t="shared" si="14"/>
        <v>26017.597630136996</v>
      </c>
      <c r="V32" t="str">
        <f t="shared" si="15"/>
        <v>1845UG Primary Cables</v>
      </c>
    </row>
    <row r="33" spans="1:22">
      <c r="A33" t="s">
        <v>75</v>
      </c>
      <c r="B33" s="57">
        <v>1845</v>
      </c>
      <c r="C33" s="6" t="s">
        <v>48</v>
      </c>
      <c r="D33" s="31">
        <f>'2019 Dep Exp '!F33</f>
        <v>3303315.36</v>
      </c>
      <c r="E33" s="17"/>
      <c r="F33" s="4">
        <f t="shared" si="7"/>
        <v>3303315.36</v>
      </c>
      <c r="G33" s="70">
        <f>'2019 Dep Exp '!I33+'2019 Dep Exp '!J33</f>
        <v>1974896.5000000005</v>
      </c>
      <c r="H33" s="17"/>
      <c r="I33" s="4">
        <f t="shared" si="8"/>
        <v>1974896.5000000005</v>
      </c>
      <c r="J33" s="70">
        <v>270269.24454007216</v>
      </c>
      <c r="K33" s="18">
        <v>34.5</v>
      </c>
      <c r="L33" s="19">
        <f t="shared" si="9"/>
        <v>2.8985507246376812E-2</v>
      </c>
      <c r="M33" s="18">
        <v>40</v>
      </c>
      <c r="N33" s="20">
        <f t="shared" si="10"/>
        <v>2.5000000000000001E-2</v>
      </c>
      <c r="O33" s="21">
        <f t="shared" si="11"/>
        <v>95748.271304347829</v>
      </c>
      <c r="P33" s="21">
        <f t="shared" si="12"/>
        <v>49372.412500000013</v>
      </c>
      <c r="Q33" s="22">
        <f t="shared" si="16"/>
        <v>3378.3655567509022</v>
      </c>
      <c r="R33" s="23">
        <f t="shared" si="13"/>
        <v>148499.04936109876</v>
      </c>
      <c r="S33" s="70">
        <v>142818.36555675091</v>
      </c>
      <c r="T33" s="5">
        <f t="shared" si="14"/>
        <v>-5680.6838043478492</v>
      </c>
      <c r="V33" t="str">
        <f t="shared" si="15"/>
        <v>1845UG Secondary Cables</v>
      </c>
    </row>
    <row r="34" spans="1:22">
      <c r="A34" t="s">
        <v>76</v>
      </c>
      <c r="B34" s="57">
        <v>1845</v>
      </c>
      <c r="C34" s="6" t="s">
        <v>49</v>
      </c>
      <c r="D34" s="31">
        <f>'2019 Dep Exp '!F34</f>
        <v>2737.28</v>
      </c>
      <c r="E34" s="17"/>
      <c r="F34" s="4">
        <f t="shared" si="7"/>
        <v>2737.28</v>
      </c>
      <c r="G34" s="70">
        <f>'2019 Dep Exp '!I34+'2019 Dep Exp '!J34</f>
        <v>616264.02</v>
      </c>
      <c r="H34" s="17"/>
      <c r="I34" s="4">
        <f t="shared" si="8"/>
        <v>616264.02</v>
      </c>
      <c r="J34" s="70"/>
      <c r="K34" s="18">
        <v>24.181818181818183</v>
      </c>
      <c r="L34" s="19">
        <f t="shared" si="9"/>
        <v>4.1353383458646614E-2</v>
      </c>
      <c r="M34" s="18">
        <v>50</v>
      </c>
      <c r="N34" s="20">
        <f t="shared" si="10"/>
        <v>0.02</v>
      </c>
      <c r="O34" s="21">
        <f t="shared" si="11"/>
        <v>113.19578947368421</v>
      </c>
      <c r="P34" s="21">
        <f t="shared" si="12"/>
        <v>12325.2804</v>
      </c>
      <c r="Q34" s="22">
        <f t="shared" si="16"/>
        <v>0</v>
      </c>
      <c r="R34" s="23">
        <f t="shared" si="13"/>
        <v>12438.476189473684</v>
      </c>
      <c r="S34" s="70">
        <v>11928</v>
      </c>
      <c r="T34" s="5">
        <f t="shared" si="14"/>
        <v>-510.47618947368392</v>
      </c>
      <c r="V34" t="str">
        <f t="shared" si="15"/>
        <v>1845UG Switchgear</v>
      </c>
    </row>
    <row r="35" spans="1:22">
      <c r="A35" t="s">
        <v>77</v>
      </c>
      <c r="B35" s="57">
        <v>1840</v>
      </c>
      <c r="C35" s="6" t="s">
        <v>50</v>
      </c>
      <c r="D35" s="31">
        <f>'2019 Dep Exp '!F35</f>
        <v>1053497.98</v>
      </c>
      <c r="E35" s="17"/>
      <c r="F35" s="4">
        <f t="shared" si="7"/>
        <v>1053497.98</v>
      </c>
      <c r="G35" s="70">
        <f>'2019 Dep Exp '!I35+'2019 Dep Exp '!J35</f>
        <v>463833.93999999994</v>
      </c>
      <c r="H35" s="17"/>
      <c r="I35" s="4">
        <f t="shared" si="8"/>
        <v>463833.93999999994</v>
      </c>
      <c r="J35" s="70">
        <f>67545.7794303066+446895</f>
        <v>514440.77943030663</v>
      </c>
      <c r="K35" s="18">
        <v>44.18181818181818</v>
      </c>
      <c r="L35" s="19">
        <f t="shared" si="9"/>
        <v>2.2633744855967079E-2</v>
      </c>
      <c r="M35" s="18">
        <v>50</v>
      </c>
      <c r="N35" s="20">
        <f t="shared" si="10"/>
        <v>0.02</v>
      </c>
      <c r="O35" s="21">
        <f t="shared" si="11"/>
        <v>23844.604485596708</v>
      </c>
      <c r="P35" s="21">
        <f t="shared" si="12"/>
        <v>9276.6787999999997</v>
      </c>
      <c r="Q35" s="22">
        <f t="shared" si="16"/>
        <v>5144.4077943030661</v>
      </c>
      <c r="R35" s="23">
        <f t="shared" si="13"/>
        <v>38265.691079899771</v>
      </c>
      <c r="S35" s="70">
        <v>31659.457794303067</v>
      </c>
      <c r="T35" s="5">
        <f t="shared" si="14"/>
        <v>-6606.2332855967034</v>
      </c>
      <c r="V35" t="str">
        <f t="shared" si="15"/>
        <v>1840Ducts</v>
      </c>
    </row>
    <row r="36" spans="1:22">
      <c r="A36" t="s">
        <v>88</v>
      </c>
      <c r="B36" s="57"/>
      <c r="C36" s="6"/>
      <c r="D36" s="31">
        <f>'2019 Dep Exp '!F36</f>
        <v>0</v>
      </c>
      <c r="E36" s="17"/>
      <c r="F36" s="4">
        <f t="shared" si="7"/>
        <v>0</v>
      </c>
      <c r="G36" s="70">
        <f>'2019 Dep Exp '!I36+'2019 Dep Exp '!J36</f>
        <v>0</v>
      </c>
      <c r="H36" s="17"/>
      <c r="I36" s="4">
        <f t="shared" si="8"/>
        <v>0</v>
      </c>
      <c r="J36" s="70"/>
      <c r="K36" s="18">
        <v>0</v>
      </c>
      <c r="L36" s="19">
        <f t="shared" si="9"/>
        <v>0</v>
      </c>
      <c r="M36" s="18">
        <v>0</v>
      </c>
      <c r="N36" s="20">
        <f t="shared" si="10"/>
        <v>0</v>
      </c>
      <c r="O36" s="21">
        <f t="shared" si="11"/>
        <v>0</v>
      </c>
      <c r="P36" s="21">
        <f t="shared" si="12"/>
        <v>0</v>
      </c>
      <c r="Q36" s="22">
        <f t="shared" si="16"/>
        <v>0</v>
      </c>
      <c r="R36" s="23">
        <f t="shared" si="13"/>
        <v>0</v>
      </c>
      <c r="S36" s="70"/>
      <c r="T36" s="5">
        <f t="shared" si="14"/>
        <v>0</v>
      </c>
      <c r="V36" t="str">
        <f t="shared" si="15"/>
        <v/>
      </c>
    </row>
    <row r="37" spans="1:22">
      <c r="B37" s="57"/>
      <c r="C37" s="6"/>
      <c r="D37" s="31">
        <f>'2019 Dep Exp '!F37</f>
        <v>0</v>
      </c>
      <c r="E37" s="17"/>
      <c r="F37" s="4">
        <f t="shared" si="7"/>
        <v>0</v>
      </c>
      <c r="G37" s="70">
        <f>'2019 Dep Exp '!I37+'2019 Dep Exp '!J37</f>
        <v>0</v>
      </c>
      <c r="H37" s="17"/>
      <c r="I37" s="4">
        <f t="shared" si="8"/>
        <v>0</v>
      </c>
      <c r="J37" s="70"/>
      <c r="K37" s="18">
        <v>0</v>
      </c>
      <c r="L37" s="19">
        <f t="shared" si="9"/>
        <v>0</v>
      </c>
      <c r="M37" s="18">
        <v>0</v>
      </c>
      <c r="N37" s="20">
        <f t="shared" si="10"/>
        <v>0</v>
      </c>
      <c r="O37" s="21">
        <f t="shared" si="11"/>
        <v>0</v>
      </c>
      <c r="P37" s="21">
        <f t="shared" si="12"/>
        <v>0</v>
      </c>
      <c r="Q37" s="22">
        <f t="shared" si="16"/>
        <v>0</v>
      </c>
      <c r="R37" s="23">
        <f t="shared" si="13"/>
        <v>0</v>
      </c>
      <c r="S37" s="70"/>
      <c r="T37" s="5">
        <f t="shared" si="14"/>
        <v>0</v>
      </c>
      <c r="V37" t="str">
        <f t="shared" si="15"/>
        <v/>
      </c>
    </row>
    <row r="38" spans="1:22">
      <c r="A38" t="s">
        <v>78</v>
      </c>
      <c r="B38" s="57">
        <v>1850</v>
      </c>
      <c r="C38" s="6" t="s">
        <v>51</v>
      </c>
      <c r="D38" s="31">
        <f>'2019 Dep Exp '!F38</f>
        <v>1136469.78</v>
      </c>
      <c r="E38" s="17"/>
      <c r="F38" s="4">
        <f t="shared" si="7"/>
        <v>1136469.78</v>
      </c>
      <c r="G38" s="70">
        <f>'2019 Dep Exp '!I38+'2019 Dep Exp '!J38</f>
        <v>7136296.4500000011</v>
      </c>
      <c r="H38" s="17"/>
      <c r="I38" s="4">
        <f t="shared" si="8"/>
        <v>7136296.4500000011</v>
      </c>
      <c r="J38" s="70">
        <v>473502.11008766969</v>
      </c>
      <c r="K38" s="18">
        <v>40</v>
      </c>
      <c r="L38" s="19">
        <f t="shared" si="9"/>
        <v>2.5000000000000001E-2</v>
      </c>
      <c r="M38" s="18">
        <v>40</v>
      </c>
      <c r="N38" s="20">
        <f t="shared" si="10"/>
        <v>2.5000000000000001E-2</v>
      </c>
      <c r="O38" s="21">
        <f t="shared" si="11"/>
        <v>28411.744500000001</v>
      </c>
      <c r="P38" s="21">
        <f t="shared" si="12"/>
        <v>178407.41125000003</v>
      </c>
      <c r="Q38" s="22">
        <f t="shared" si="16"/>
        <v>5918.7763760958715</v>
      </c>
      <c r="R38" s="23">
        <f t="shared" si="13"/>
        <v>212737.9321260959</v>
      </c>
      <c r="S38" s="70">
        <v>171878.77637609586</v>
      </c>
      <c r="T38" s="5">
        <f t="shared" si="14"/>
        <v>-40859.155750000034</v>
      </c>
      <c r="V38" t="str">
        <f t="shared" si="15"/>
        <v>1850OH Transformers &amp; Voltage Regulators</v>
      </c>
    </row>
    <row r="39" spans="1:22">
      <c r="A39" t="s">
        <v>79</v>
      </c>
      <c r="B39" s="57">
        <v>1850</v>
      </c>
      <c r="C39" s="6" t="s">
        <v>52</v>
      </c>
      <c r="D39" s="31">
        <f>'2019 Dep Exp '!F39</f>
        <v>2956741.82</v>
      </c>
      <c r="E39" s="17"/>
      <c r="F39" s="4">
        <f t="shared" si="7"/>
        <v>2956741.82</v>
      </c>
      <c r="G39" s="70">
        <f>'2019 Dep Exp '!I39+'2019 Dep Exp '!J39</f>
        <v>158351.42000000001</v>
      </c>
      <c r="H39" s="17"/>
      <c r="I39" s="4">
        <f t="shared" si="8"/>
        <v>158351.42000000001</v>
      </c>
      <c r="J39" s="70"/>
      <c r="K39" s="18">
        <v>28.846153846153847</v>
      </c>
      <c r="L39" s="19">
        <f t="shared" si="9"/>
        <v>3.4666666666666665E-2</v>
      </c>
      <c r="M39" s="18">
        <v>20</v>
      </c>
      <c r="N39" s="20">
        <f t="shared" si="10"/>
        <v>0.05</v>
      </c>
      <c r="O39" s="21">
        <f t="shared" si="11"/>
        <v>102500.38309333332</v>
      </c>
      <c r="P39" s="21">
        <f t="shared" si="12"/>
        <v>7917.5710000000008</v>
      </c>
      <c r="Q39" s="22">
        <f t="shared" si="16"/>
        <v>0</v>
      </c>
      <c r="R39" s="23">
        <f t="shared" si="13"/>
        <v>110417.95409333332</v>
      </c>
      <c r="S39" s="70">
        <v>102900</v>
      </c>
      <c r="T39" s="5">
        <f t="shared" si="14"/>
        <v>-7517.9540933333192</v>
      </c>
      <c r="V39" t="str">
        <f t="shared" si="15"/>
        <v>1850Transformers incl. grounding system</v>
      </c>
    </row>
    <row r="40" spans="1:22">
      <c r="B40" s="57"/>
      <c r="C40" s="6"/>
      <c r="D40" s="31">
        <f>'2019 Dep Exp '!F40</f>
        <v>0</v>
      </c>
      <c r="E40" s="17"/>
      <c r="F40" s="4"/>
      <c r="G40" s="70">
        <f>'2019 Dep Exp '!I40+'2019 Dep Exp '!J40</f>
        <v>0</v>
      </c>
      <c r="H40" s="17"/>
      <c r="I40" s="4">
        <f t="shared" si="8"/>
        <v>0</v>
      </c>
      <c r="J40" s="70"/>
      <c r="K40" s="18">
        <v>0</v>
      </c>
      <c r="L40" s="19">
        <f t="shared" si="9"/>
        <v>0</v>
      </c>
      <c r="M40" s="18">
        <v>0</v>
      </c>
      <c r="N40" s="20">
        <f t="shared" si="10"/>
        <v>0</v>
      </c>
      <c r="O40" s="21"/>
      <c r="P40" s="21">
        <f t="shared" si="12"/>
        <v>0</v>
      </c>
      <c r="Q40" s="22"/>
      <c r="R40" s="23"/>
      <c r="S40" s="70"/>
      <c r="T40" s="5"/>
    </row>
    <row r="41" spans="1:22">
      <c r="A41" t="s">
        <v>80</v>
      </c>
      <c r="B41" s="57">
        <v>1820</v>
      </c>
      <c r="C41" s="6" t="s">
        <v>53</v>
      </c>
      <c r="D41" s="31">
        <f>'2019 Dep Exp '!F41</f>
        <v>1090831.99</v>
      </c>
      <c r="E41" s="17"/>
      <c r="F41" s="4">
        <f t="shared" ref="F41:F81" si="17">D41-E41</f>
        <v>1090831.99</v>
      </c>
      <c r="G41" s="70">
        <f>'2019 Dep Exp '!I41+'2019 Dep Exp '!J41</f>
        <v>424718.47000000009</v>
      </c>
      <c r="H41" s="17"/>
      <c r="I41" s="4">
        <f t="shared" si="8"/>
        <v>424718.47000000009</v>
      </c>
      <c r="J41" s="70">
        <v>209258.64321158553</v>
      </c>
      <c r="K41" s="18">
        <v>13.846153846153847</v>
      </c>
      <c r="L41" s="19">
        <f t="shared" si="9"/>
        <v>7.2222222222222215E-2</v>
      </c>
      <c r="M41" s="18">
        <v>20</v>
      </c>
      <c r="N41" s="20">
        <f t="shared" si="10"/>
        <v>0.05</v>
      </c>
      <c r="O41" s="21">
        <f t="shared" ref="O41:O81" si="18">IF(K41=0,0,+F41/K41)</f>
        <v>78782.310388888887</v>
      </c>
      <c r="P41" s="21">
        <f t="shared" si="12"/>
        <v>21235.923500000004</v>
      </c>
      <c r="Q41" s="22">
        <f>IF(M41=0,0,+(J41*0.5)/M41)</f>
        <v>5231.4660802896378</v>
      </c>
      <c r="R41" s="23">
        <f t="shared" ref="R41:R81" si="19">IF(ISERROR(+O41+P41+Q41),0,+O41+P41+Q41)</f>
        <v>105249.69996917853</v>
      </c>
      <c r="S41" s="70">
        <v>105179.46608028964</v>
      </c>
      <c r="T41" s="5">
        <f t="shared" ref="T41:T81" si="20">IF(ISERROR(+S41-R41),0,+S41-R41)</f>
        <v>-70.23388888889167</v>
      </c>
      <c r="V41" t="str">
        <f t="shared" si="15"/>
        <v>1820DC Service Station</v>
      </c>
    </row>
    <row r="42" spans="1:22">
      <c r="A42" t="s">
        <v>81</v>
      </c>
      <c r="B42" s="57">
        <v>1820</v>
      </c>
      <c r="C42" s="6" t="s">
        <v>83</v>
      </c>
      <c r="D42" s="31">
        <f>'2019 Dep Exp '!F42</f>
        <v>0</v>
      </c>
      <c r="E42" s="17"/>
      <c r="F42" s="4">
        <f t="shared" si="17"/>
        <v>0</v>
      </c>
      <c r="G42" s="70">
        <f>'2019 Dep Exp '!I42+'2019 Dep Exp '!J42</f>
        <v>595632.85</v>
      </c>
      <c r="H42" s="17"/>
      <c r="I42" s="4">
        <f t="shared" si="8"/>
        <v>595632.85</v>
      </c>
      <c r="J42" s="70"/>
      <c r="K42" s="18">
        <v>0</v>
      </c>
      <c r="L42" s="19">
        <f t="shared" si="9"/>
        <v>0</v>
      </c>
      <c r="M42" s="18">
        <v>40</v>
      </c>
      <c r="N42" s="20">
        <f t="shared" si="10"/>
        <v>2.5000000000000001E-2</v>
      </c>
      <c r="O42" s="21">
        <f t="shared" si="18"/>
        <v>0</v>
      </c>
      <c r="P42" s="21">
        <f t="shared" si="12"/>
        <v>14890.821249999999</v>
      </c>
      <c r="Q42" s="22">
        <f>IF(M42=0,0,+(J42*0.5)/M42)</f>
        <v>0</v>
      </c>
      <c r="R42" s="23">
        <f t="shared" si="19"/>
        <v>14890.821249999999</v>
      </c>
      <c r="S42" s="70">
        <v>14892</v>
      </c>
      <c r="T42" s="5">
        <f t="shared" si="20"/>
        <v>1.1787500000009459</v>
      </c>
      <c r="V42" t="str">
        <f t="shared" si="15"/>
        <v>1820DC Service Station Transformer</v>
      </c>
    </row>
    <row r="43" spans="1:22">
      <c r="A43" t="s">
        <v>82</v>
      </c>
      <c r="B43" s="57">
        <v>1820</v>
      </c>
      <c r="C43" s="6" t="s">
        <v>84</v>
      </c>
      <c r="D43" s="31">
        <f>'2019 Dep Exp '!F43</f>
        <v>0</v>
      </c>
      <c r="E43" s="17"/>
      <c r="F43" s="4">
        <f t="shared" si="17"/>
        <v>0</v>
      </c>
      <c r="G43" s="70">
        <f>'2019 Dep Exp '!I43+'2019 Dep Exp '!J43</f>
        <v>860756.52</v>
      </c>
      <c r="H43" s="17"/>
      <c r="I43" s="4">
        <f t="shared" si="8"/>
        <v>860756.52</v>
      </c>
      <c r="J43" s="70"/>
      <c r="K43" s="18">
        <v>0</v>
      </c>
      <c r="L43" s="19">
        <f t="shared" si="9"/>
        <v>0</v>
      </c>
      <c r="M43" s="18">
        <v>40</v>
      </c>
      <c r="N43" s="20">
        <f t="shared" si="10"/>
        <v>2.5000000000000001E-2</v>
      </c>
      <c r="O43" s="21">
        <f t="shared" si="18"/>
        <v>0</v>
      </c>
      <c r="P43" s="21">
        <f t="shared" si="12"/>
        <v>21518.913</v>
      </c>
      <c r="Q43" s="22">
        <f>IF(M43=0,0,+(J43*0.5)/M43)</f>
        <v>0</v>
      </c>
      <c r="R43" s="23">
        <f t="shared" si="19"/>
        <v>21518.913</v>
      </c>
      <c r="S43" s="70">
        <v>21516</v>
      </c>
      <c r="T43" s="5">
        <f t="shared" si="20"/>
        <v>-2.9130000000004657</v>
      </c>
      <c r="V43" t="str">
        <f t="shared" si="15"/>
        <v>1820DC Service Stations SwitchGear</v>
      </c>
    </row>
    <row r="44" spans="1:22">
      <c r="B44" s="57"/>
      <c r="C44" s="6"/>
      <c r="D44" s="31">
        <f>'2019 Dep Exp '!F44</f>
        <v>0</v>
      </c>
      <c r="E44" s="17"/>
      <c r="F44" s="4"/>
      <c r="G44" s="70">
        <f>'2019 Dep Exp '!I44+'2019 Dep Exp '!J44</f>
        <v>0</v>
      </c>
      <c r="H44" s="17"/>
      <c r="I44" s="4">
        <f t="shared" si="8"/>
        <v>0</v>
      </c>
      <c r="J44" s="70"/>
      <c r="K44" s="18">
        <v>0</v>
      </c>
      <c r="L44" s="19">
        <f t="shared" si="9"/>
        <v>0</v>
      </c>
      <c r="M44" s="18">
        <v>0</v>
      </c>
      <c r="N44" s="20">
        <f t="shared" si="10"/>
        <v>0</v>
      </c>
      <c r="O44" s="21"/>
      <c r="P44" s="21">
        <f t="shared" si="12"/>
        <v>0</v>
      </c>
      <c r="Q44" s="22"/>
      <c r="R44" s="23"/>
      <c r="S44" s="70"/>
      <c r="T44" s="5"/>
    </row>
    <row r="45" spans="1:22">
      <c r="A45" t="s">
        <v>89</v>
      </c>
      <c r="B45" s="57">
        <v>1835</v>
      </c>
      <c r="C45" s="6" t="s">
        <v>54</v>
      </c>
      <c r="D45" s="31">
        <f>'2019 Dep Exp '!F45</f>
        <v>2320724.8000000003</v>
      </c>
      <c r="E45" s="17"/>
      <c r="F45" s="4">
        <f t="shared" si="17"/>
        <v>2320724.8000000003</v>
      </c>
      <c r="G45" s="70">
        <f>'2019 Dep Exp '!I45+'2019 Dep Exp '!J45</f>
        <v>0</v>
      </c>
      <c r="H45" s="17"/>
      <c r="I45" s="4">
        <f t="shared" si="8"/>
        <v>0</v>
      </c>
      <c r="J45" s="70"/>
      <c r="K45" s="18">
        <v>33.846153846153847</v>
      </c>
      <c r="L45" s="19">
        <f t="shared" si="9"/>
        <v>2.9545454545454545E-2</v>
      </c>
      <c r="M45" s="18">
        <v>40</v>
      </c>
      <c r="N45" s="20">
        <f t="shared" si="10"/>
        <v>2.5000000000000001E-2</v>
      </c>
      <c r="O45" s="21">
        <f t="shared" si="18"/>
        <v>68566.869090909095</v>
      </c>
      <c r="P45" s="21">
        <f t="shared" si="12"/>
        <v>0</v>
      </c>
      <c r="Q45" s="22">
        <f>IF(M45=0,0,+(J45*0.5)/M45)</f>
        <v>0</v>
      </c>
      <c r="R45" s="23">
        <f t="shared" si="19"/>
        <v>68566.869090909095</v>
      </c>
      <c r="S45" s="70">
        <v>69108</v>
      </c>
      <c r="T45" s="5">
        <f t="shared" si="20"/>
        <v>541.13090909090533</v>
      </c>
      <c r="V45" t="str">
        <f t="shared" si="15"/>
        <v>1835Switchgear - Air &amp; Gas</v>
      </c>
    </row>
    <row r="46" spans="1:22">
      <c r="A46" t="s">
        <v>90</v>
      </c>
      <c r="B46" s="57">
        <v>1850</v>
      </c>
      <c r="C46" s="6" t="s">
        <v>55</v>
      </c>
      <c r="D46" s="31">
        <f>'2019 Dep Exp '!F46</f>
        <v>5264526.66</v>
      </c>
      <c r="E46" s="17"/>
      <c r="F46" s="4">
        <f t="shared" si="17"/>
        <v>5264526.66</v>
      </c>
      <c r="G46" s="70">
        <f>'2019 Dep Exp '!I46+'2019 Dep Exp '!J46</f>
        <v>2566838.0100000007</v>
      </c>
      <c r="H46" s="17"/>
      <c r="I46" s="4">
        <f t="shared" si="8"/>
        <v>2566838.0100000007</v>
      </c>
      <c r="J46" s="70">
        <v>155801.68404788748</v>
      </c>
      <c r="K46" s="18">
        <v>36.270000000000003</v>
      </c>
      <c r="L46" s="19">
        <f t="shared" si="9"/>
        <v>2.7570995312930793E-2</v>
      </c>
      <c r="M46" s="18">
        <v>40</v>
      </c>
      <c r="N46" s="20">
        <f t="shared" si="10"/>
        <v>2.5000000000000001E-2</v>
      </c>
      <c r="O46" s="21">
        <f t="shared" si="18"/>
        <v>145148.23986765923</v>
      </c>
      <c r="P46" s="21">
        <f t="shared" si="12"/>
        <v>64170.950250000016</v>
      </c>
      <c r="Q46" s="22">
        <f>IF(M46=0,0,+(J46*0.5)/M46)</f>
        <v>1947.5210505985935</v>
      </c>
      <c r="R46" s="23">
        <f t="shared" si="19"/>
        <v>211266.71116825784</v>
      </c>
      <c r="S46" s="70">
        <v>205299.52105059859</v>
      </c>
      <c r="T46" s="5">
        <f t="shared" si="20"/>
        <v>-5967.190117659251</v>
      </c>
      <c r="V46" t="str">
        <f t="shared" si="15"/>
        <v>1850UG Transformer</v>
      </c>
    </row>
    <row r="47" spans="1:22">
      <c r="B47" s="57"/>
      <c r="C47" s="6"/>
      <c r="D47" s="31">
        <f>'2019 Dep Exp '!F47</f>
        <v>0</v>
      </c>
      <c r="E47" s="17"/>
      <c r="F47" s="4"/>
      <c r="G47" s="70">
        <f>'2019 Dep Exp '!I47+'2019 Dep Exp '!J47</f>
        <v>0</v>
      </c>
      <c r="H47" s="17"/>
      <c r="I47" s="4">
        <f t="shared" si="8"/>
        <v>0</v>
      </c>
      <c r="J47" s="70"/>
      <c r="K47" s="18">
        <v>0</v>
      </c>
      <c r="L47" s="19">
        <f t="shared" si="9"/>
        <v>0</v>
      </c>
      <c r="M47" s="18">
        <v>0</v>
      </c>
      <c r="N47" s="20">
        <f t="shared" si="10"/>
        <v>0</v>
      </c>
      <c r="O47" s="21"/>
      <c r="P47" s="21">
        <f t="shared" si="12"/>
        <v>0</v>
      </c>
      <c r="Q47" s="22"/>
      <c r="R47" s="23"/>
      <c r="S47" s="70"/>
      <c r="T47" s="5"/>
    </row>
    <row r="48" spans="1:22">
      <c r="A48" t="s">
        <v>91</v>
      </c>
      <c r="B48" s="57">
        <v>1860</v>
      </c>
      <c r="C48" s="6" t="s">
        <v>56</v>
      </c>
      <c r="D48" s="31">
        <f>'2019 Dep Exp '!F48</f>
        <v>1918641.54</v>
      </c>
      <c r="E48" s="17"/>
      <c r="F48" s="4">
        <f t="shared" si="17"/>
        <v>1918641.54</v>
      </c>
      <c r="G48" s="70">
        <f>'2019 Dep Exp '!I48+'2019 Dep Exp '!J48</f>
        <v>54719.569999999832</v>
      </c>
      <c r="H48" s="17"/>
      <c r="I48" s="4">
        <f t="shared" si="8"/>
        <v>54719.569999999832</v>
      </c>
      <c r="J48" s="70">
        <v>228019.1969031968</v>
      </c>
      <c r="K48" s="18">
        <v>17.100000000000001</v>
      </c>
      <c r="L48" s="19">
        <f t="shared" si="9"/>
        <v>5.8479532163742687E-2</v>
      </c>
      <c r="M48" s="18">
        <v>20</v>
      </c>
      <c r="N48" s="20">
        <f t="shared" si="10"/>
        <v>0.05</v>
      </c>
      <c r="O48" s="21">
        <f t="shared" si="18"/>
        <v>112201.2596491228</v>
      </c>
      <c r="P48" s="21">
        <f t="shared" si="12"/>
        <v>2735.9784999999915</v>
      </c>
      <c r="Q48" s="22">
        <f>IF(M48=0,0,+(J48*0.5)/M48)</f>
        <v>5700.4799225799197</v>
      </c>
      <c r="R48" s="23">
        <f t="shared" si="19"/>
        <v>120637.71807170272</v>
      </c>
      <c r="S48" s="70">
        <v>116436.47992257992</v>
      </c>
      <c r="T48" s="5">
        <f t="shared" si="20"/>
        <v>-4201.2381491228007</v>
      </c>
      <c r="V48" t="str">
        <f t="shared" si="15"/>
        <v>1860Industrial/Wholesale meters</v>
      </c>
    </row>
    <row r="49" spans="1:22">
      <c r="A49" t="s">
        <v>92</v>
      </c>
      <c r="B49" s="57">
        <v>1860</v>
      </c>
      <c r="C49" s="6" t="s">
        <v>57</v>
      </c>
      <c r="D49" s="31">
        <f>'2019 Dep Exp '!F49</f>
        <v>2864473.2199999997</v>
      </c>
      <c r="E49" s="17"/>
      <c r="F49" s="4">
        <f t="shared" si="17"/>
        <v>2864473.2199999997</v>
      </c>
      <c r="G49" s="70">
        <f>'2019 Dep Exp '!I49+'2019 Dep Exp '!J49</f>
        <v>82231.670000000071</v>
      </c>
      <c r="H49" s="17"/>
      <c r="I49" s="4">
        <f t="shared" si="8"/>
        <v>82231.670000000071</v>
      </c>
      <c r="J49" s="70">
        <v>93122.332792033936</v>
      </c>
      <c r="K49" s="18">
        <v>44</v>
      </c>
      <c r="L49" s="19">
        <f t="shared" si="9"/>
        <v>2.2727272727272728E-2</v>
      </c>
      <c r="M49" s="18">
        <v>45</v>
      </c>
      <c r="N49" s="20">
        <f t="shared" si="10"/>
        <v>2.2222222222222223E-2</v>
      </c>
      <c r="O49" s="21">
        <f t="shared" si="18"/>
        <v>65101.664090909086</v>
      </c>
      <c r="P49" s="21">
        <f t="shared" si="12"/>
        <v>1827.3704444444461</v>
      </c>
      <c r="Q49" s="22">
        <f>IF(M49=0,0,+(J49*0.5)/M49)</f>
        <v>1034.6925865781548</v>
      </c>
      <c r="R49" s="23">
        <f t="shared" si="19"/>
        <v>67963.72712193169</v>
      </c>
      <c r="S49" s="70">
        <v>63590.692586578152</v>
      </c>
      <c r="T49" s="5">
        <f t="shared" si="20"/>
        <v>-4373.0345353535376</v>
      </c>
      <c r="V49" t="str">
        <f t="shared" si="15"/>
        <v>1860Other meters, PTs &amp; CTs</v>
      </c>
    </row>
    <row r="50" spans="1:22">
      <c r="A50" t="s">
        <v>93</v>
      </c>
      <c r="B50" s="57">
        <v>1860</v>
      </c>
      <c r="C50" s="6" t="s">
        <v>85</v>
      </c>
      <c r="D50" s="31">
        <f>'2019 Dep Exp '!F50</f>
        <v>0</v>
      </c>
      <c r="E50" s="17"/>
      <c r="F50" s="4">
        <f t="shared" si="17"/>
        <v>0</v>
      </c>
      <c r="G50" s="70">
        <f>'2019 Dep Exp '!I50+'2019 Dep Exp '!J50</f>
        <v>1171062.49</v>
      </c>
      <c r="H50" s="17"/>
      <c r="I50" s="4">
        <f t="shared" si="8"/>
        <v>1171062.49</v>
      </c>
      <c r="J50" s="70">
        <v>210054.59437897982</v>
      </c>
      <c r="K50" s="18">
        <v>0</v>
      </c>
      <c r="L50" s="19">
        <f t="shared" si="9"/>
        <v>0</v>
      </c>
      <c r="M50" s="18">
        <v>15</v>
      </c>
      <c r="N50" s="20">
        <f t="shared" si="10"/>
        <v>6.6666666666666666E-2</v>
      </c>
      <c r="O50" s="21">
        <f t="shared" si="18"/>
        <v>0</v>
      </c>
      <c r="P50" s="21">
        <f t="shared" si="12"/>
        <v>78070.832666666669</v>
      </c>
      <c r="Q50" s="22">
        <f>IF(M50=0,0,+(J50*0.5)/M50)</f>
        <v>7001.8198126326606</v>
      </c>
      <c r="R50" s="23">
        <f t="shared" si="19"/>
        <v>85072.65247929933</v>
      </c>
      <c r="S50" s="70">
        <v>87785.819812632661</v>
      </c>
      <c r="T50" s="5">
        <f t="shared" si="20"/>
        <v>2713.167333333331</v>
      </c>
      <c r="V50" t="str">
        <f t="shared" si="15"/>
        <v>1860Smart Meters</v>
      </c>
    </row>
    <row r="51" spans="1:22">
      <c r="A51" t="s">
        <v>94</v>
      </c>
      <c r="B51" s="57">
        <v>1860</v>
      </c>
      <c r="C51" s="6" t="s">
        <v>86</v>
      </c>
      <c r="D51" s="31">
        <f>'2019 Dep Exp '!F51</f>
        <v>0</v>
      </c>
      <c r="E51" s="17"/>
      <c r="F51" s="4">
        <f t="shared" si="17"/>
        <v>0</v>
      </c>
      <c r="G51" s="70">
        <f>'2019 Dep Exp '!I51+'2019 Dep Exp '!J51</f>
        <v>0</v>
      </c>
      <c r="H51" s="17"/>
      <c r="I51" s="4">
        <f t="shared" si="8"/>
        <v>0</v>
      </c>
      <c r="J51" s="70"/>
      <c r="K51" s="18">
        <v>0</v>
      </c>
      <c r="L51" s="19">
        <f t="shared" si="9"/>
        <v>0</v>
      </c>
      <c r="M51" s="18">
        <v>0</v>
      </c>
      <c r="N51" s="20">
        <f t="shared" si="10"/>
        <v>0</v>
      </c>
      <c r="O51" s="21">
        <f t="shared" si="18"/>
        <v>0</v>
      </c>
      <c r="P51" s="21">
        <f t="shared" si="12"/>
        <v>0</v>
      </c>
      <c r="Q51" s="22">
        <f>IF(M51=0,0,+(J51*0.5)/M51)</f>
        <v>0</v>
      </c>
      <c r="R51" s="23">
        <f t="shared" si="19"/>
        <v>0</v>
      </c>
      <c r="S51" s="70"/>
      <c r="T51" s="5">
        <f t="shared" si="20"/>
        <v>0</v>
      </c>
      <c r="V51" t="str">
        <f t="shared" si="15"/>
        <v>1860Smart meters -Data Collectors</v>
      </c>
    </row>
    <row r="52" spans="1:22">
      <c r="B52" s="57"/>
      <c r="C52" s="6"/>
      <c r="D52" s="31">
        <f>'2019 Dep Exp '!F52</f>
        <v>0</v>
      </c>
      <c r="E52" s="17"/>
      <c r="F52" s="4"/>
      <c r="G52" s="70">
        <f>'2019 Dep Exp '!I52+'2019 Dep Exp '!J52</f>
        <v>0</v>
      </c>
      <c r="H52" s="17"/>
      <c r="I52" s="4">
        <f t="shared" si="8"/>
        <v>0</v>
      </c>
      <c r="J52" s="70"/>
      <c r="K52" s="18">
        <v>0</v>
      </c>
      <c r="L52" s="19">
        <f t="shared" si="9"/>
        <v>0</v>
      </c>
      <c r="M52" s="18">
        <v>0</v>
      </c>
      <c r="N52" s="20">
        <f t="shared" si="10"/>
        <v>0</v>
      </c>
      <c r="O52" s="21"/>
      <c r="P52" s="21">
        <f t="shared" si="12"/>
        <v>0</v>
      </c>
      <c r="Q52" s="22"/>
      <c r="R52" s="23"/>
      <c r="S52" s="70"/>
      <c r="T52" s="5"/>
    </row>
    <row r="53" spans="1:22">
      <c r="A53" t="s">
        <v>95</v>
      </c>
      <c r="B53" s="57">
        <v>1805</v>
      </c>
      <c r="C53" s="6" t="s">
        <v>39</v>
      </c>
      <c r="D53" s="31">
        <f>'2019 Dep Exp '!F53</f>
        <v>591340.80000000005</v>
      </c>
      <c r="E53" s="17"/>
      <c r="F53" s="4">
        <f t="shared" si="17"/>
        <v>591340.80000000005</v>
      </c>
      <c r="G53" s="70">
        <f>'2019 Dep Exp '!I53+'2019 Dep Exp '!J53</f>
        <v>980478.61</v>
      </c>
      <c r="H53" s="17"/>
      <c r="I53" s="4">
        <f t="shared" si="8"/>
        <v>980478.61</v>
      </c>
      <c r="J53" s="70"/>
      <c r="K53" s="18">
        <v>0</v>
      </c>
      <c r="L53" s="19">
        <f t="shared" si="9"/>
        <v>0</v>
      </c>
      <c r="M53" s="18">
        <v>0</v>
      </c>
      <c r="N53" s="20">
        <f t="shared" si="10"/>
        <v>0</v>
      </c>
      <c r="O53" s="21">
        <f t="shared" si="18"/>
        <v>0</v>
      </c>
      <c r="P53" s="21">
        <f t="shared" si="12"/>
        <v>0</v>
      </c>
      <c r="Q53" s="22">
        <f t="shared" ref="Q53:Q78" si="21">IF(M53=0,0,+(J53*0.5)/M53)</f>
        <v>0</v>
      </c>
      <c r="R53" s="23">
        <f t="shared" si="19"/>
        <v>0</v>
      </c>
      <c r="S53" s="70">
        <v>0</v>
      </c>
      <c r="T53" s="5">
        <f t="shared" si="20"/>
        <v>0</v>
      </c>
      <c r="V53" t="str">
        <f t="shared" si="15"/>
        <v>1805Land</v>
      </c>
    </row>
    <row r="54" spans="1:22">
      <c r="B54" s="57">
        <v>1806</v>
      </c>
      <c r="C54" s="6" t="s">
        <v>58</v>
      </c>
      <c r="D54" s="31">
        <f>'2019 Dep Exp '!F54</f>
        <v>4738.32</v>
      </c>
      <c r="E54" s="17"/>
      <c r="F54" s="4">
        <f t="shared" si="17"/>
        <v>4738.32</v>
      </c>
      <c r="G54" s="70">
        <f>'2019 Dep Exp '!I54+'2019 Dep Exp '!J54</f>
        <v>0</v>
      </c>
      <c r="H54" s="17"/>
      <c r="I54" s="4">
        <f t="shared" si="8"/>
        <v>0</v>
      </c>
      <c r="J54" s="70"/>
      <c r="K54" s="18">
        <v>0</v>
      </c>
      <c r="L54" s="19">
        <f t="shared" si="9"/>
        <v>0</v>
      </c>
      <c r="M54" s="18">
        <v>0</v>
      </c>
      <c r="N54" s="20">
        <f t="shared" si="10"/>
        <v>0</v>
      </c>
      <c r="O54" s="21">
        <f t="shared" si="18"/>
        <v>0</v>
      </c>
      <c r="P54" s="21">
        <f t="shared" si="12"/>
        <v>0</v>
      </c>
      <c r="Q54" s="22">
        <f t="shared" si="21"/>
        <v>0</v>
      </c>
      <c r="R54" s="23">
        <f t="shared" si="19"/>
        <v>0</v>
      </c>
      <c r="S54" s="70">
        <v>0</v>
      </c>
      <c r="T54" s="5">
        <f t="shared" si="20"/>
        <v>0</v>
      </c>
      <c r="V54" t="str">
        <f t="shared" si="15"/>
        <v>1806Land Rights</v>
      </c>
    </row>
    <row r="55" spans="1:22">
      <c r="B55" s="57">
        <v>1806</v>
      </c>
      <c r="C55" s="6"/>
      <c r="D55" s="31">
        <f>'2019 Dep Exp '!F55</f>
        <v>0</v>
      </c>
      <c r="E55" s="17"/>
      <c r="F55" s="4">
        <f t="shared" si="17"/>
        <v>0</v>
      </c>
      <c r="G55" s="70">
        <f>'2019 Dep Exp '!I55+'2019 Dep Exp '!J55</f>
        <v>0</v>
      </c>
      <c r="H55" s="17"/>
      <c r="I55" s="4">
        <f t="shared" si="8"/>
        <v>0</v>
      </c>
      <c r="J55" s="70"/>
      <c r="K55" s="18">
        <v>0</v>
      </c>
      <c r="L55" s="19">
        <f t="shared" si="9"/>
        <v>0</v>
      </c>
      <c r="M55" s="18">
        <v>0</v>
      </c>
      <c r="N55" s="20">
        <f t="shared" si="10"/>
        <v>0</v>
      </c>
      <c r="O55" s="21">
        <f t="shared" si="18"/>
        <v>0</v>
      </c>
      <c r="P55" s="21">
        <f t="shared" si="12"/>
        <v>0</v>
      </c>
      <c r="Q55" s="22">
        <f t="shared" si="21"/>
        <v>0</v>
      </c>
      <c r="R55" s="23">
        <f t="shared" si="19"/>
        <v>0</v>
      </c>
      <c r="S55" s="70">
        <v>0</v>
      </c>
      <c r="T55" s="5">
        <f t="shared" si="20"/>
        <v>0</v>
      </c>
      <c r="V55" t="str">
        <f t="shared" si="15"/>
        <v>1806</v>
      </c>
    </row>
    <row r="56" spans="1:22">
      <c r="A56" t="s">
        <v>96</v>
      </c>
      <c r="B56" s="57">
        <v>1908</v>
      </c>
      <c r="C56" s="6" t="s">
        <v>59</v>
      </c>
      <c r="D56" s="31">
        <f>'2019 Dep Exp '!F56</f>
        <v>2689155.5100000002</v>
      </c>
      <c r="E56" s="17"/>
      <c r="F56" s="4">
        <f t="shared" si="17"/>
        <v>2689155.5100000002</v>
      </c>
      <c r="G56" s="70">
        <f>'2019 Dep Exp '!I56+'2019 Dep Exp '!J56</f>
        <v>451407.94000000018</v>
      </c>
      <c r="H56" s="17"/>
      <c r="I56" s="4">
        <f t="shared" si="8"/>
        <v>451407.94000000018</v>
      </c>
      <c r="J56" s="70"/>
      <c r="K56" s="18">
        <v>34</v>
      </c>
      <c r="L56" s="19">
        <f t="shared" si="9"/>
        <v>2.9411764705882353E-2</v>
      </c>
      <c r="M56" s="18">
        <v>42</v>
      </c>
      <c r="N56" s="20">
        <f t="shared" si="10"/>
        <v>2.3809523809523808E-2</v>
      </c>
      <c r="O56" s="21">
        <f t="shared" si="18"/>
        <v>79092.809117647063</v>
      </c>
      <c r="P56" s="21">
        <f t="shared" si="12"/>
        <v>10747.808095238099</v>
      </c>
      <c r="Q56" s="22">
        <f t="shared" si="21"/>
        <v>0</v>
      </c>
      <c r="R56" s="23">
        <f t="shared" si="19"/>
        <v>89840.617212885161</v>
      </c>
      <c r="S56" s="70">
        <v>92484</v>
      </c>
      <c r="T56" s="5">
        <f t="shared" si="20"/>
        <v>2643.3827871148387</v>
      </c>
      <c r="V56" t="str">
        <f t="shared" si="15"/>
        <v>1908Buildings and Fixtures</v>
      </c>
    </row>
    <row r="57" spans="1:22">
      <c r="B57" s="57"/>
      <c r="C57" s="6"/>
      <c r="D57" s="31">
        <f>'2019 Dep Exp '!F57</f>
        <v>0</v>
      </c>
      <c r="E57" s="17"/>
      <c r="F57" s="4">
        <f t="shared" si="17"/>
        <v>0</v>
      </c>
      <c r="G57" s="70">
        <f>'2019 Dep Exp '!I57+'2019 Dep Exp '!J57</f>
        <v>0</v>
      </c>
      <c r="H57" s="17"/>
      <c r="I57" s="4">
        <f t="shared" si="8"/>
        <v>0</v>
      </c>
      <c r="J57" s="70"/>
      <c r="K57" s="18">
        <v>0</v>
      </c>
      <c r="L57" s="19">
        <f t="shared" si="9"/>
        <v>0</v>
      </c>
      <c r="M57" s="18">
        <v>0</v>
      </c>
      <c r="N57" s="20">
        <f t="shared" si="10"/>
        <v>0</v>
      </c>
      <c r="O57" s="21">
        <f t="shared" si="18"/>
        <v>0</v>
      </c>
      <c r="P57" s="21">
        <f t="shared" si="12"/>
        <v>0</v>
      </c>
      <c r="Q57" s="22">
        <f t="shared" si="21"/>
        <v>0</v>
      </c>
      <c r="R57" s="23">
        <f t="shared" si="19"/>
        <v>0</v>
      </c>
      <c r="S57" s="70"/>
      <c r="T57" s="5">
        <f t="shared" si="20"/>
        <v>0</v>
      </c>
    </row>
    <row r="58" spans="1:22">
      <c r="A58" t="s">
        <v>97</v>
      </c>
      <c r="B58" s="57">
        <v>1915</v>
      </c>
      <c r="C58" s="6" t="s">
        <v>60</v>
      </c>
      <c r="D58" s="31">
        <f>'2019 Dep Exp '!F58</f>
        <v>3092.6199999999953</v>
      </c>
      <c r="E58" s="17">
        <v>3093</v>
      </c>
      <c r="F58" s="4">
        <f t="shared" si="17"/>
        <v>-0.38000000000465661</v>
      </c>
      <c r="G58" s="70">
        <f>'2019 Dep Exp '!I58+'2019 Dep Exp '!J58</f>
        <v>120225.09</v>
      </c>
      <c r="H58" s="17">
        <f>95165/2</f>
        <v>47582.5</v>
      </c>
      <c r="I58" s="4">
        <f t="shared" si="8"/>
        <v>72642.59</v>
      </c>
      <c r="J58" s="70"/>
      <c r="K58" s="18">
        <v>5</v>
      </c>
      <c r="L58" s="19">
        <f t="shared" si="9"/>
        <v>0.2</v>
      </c>
      <c r="M58" s="18">
        <v>5</v>
      </c>
      <c r="N58" s="20">
        <f t="shared" si="10"/>
        <v>0.2</v>
      </c>
      <c r="O58" s="21">
        <f t="shared" si="18"/>
        <v>-7.6000000000931323E-2</v>
      </c>
      <c r="P58" s="21">
        <f t="shared" si="12"/>
        <v>14528.518</v>
      </c>
      <c r="Q58" s="22">
        <f t="shared" si="21"/>
        <v>0</v>
      </c>
      <c r="R58" s="23">
        <f t="shared" si="19"/>
        <v>14528.441999999999</v>
      </c>
      <c r="S58" s="70">
        <v>18877</v>
      </c>
      <c r="T58" s="5">
        <f t="shared" si="20"/>
        <v>4348.5580000000009</v>
      </c>
      <c r="V58" t="str">
        <f t="shared" si="15"/>
        <v>1915Office Equipment</v>
      </c>
    </row>
    <row r="59" spans="1:22">
      <c r="B59" s="57"/>
      <c r="C59" s="6"/>
      <c r="D59" s="31">
        <f>'2019 Dep Exp '!F59</f>
        <v>0</v>
      </c>
      <c r="E59" s="17"/>
      <c r="F59" s="4">
        <f t="shared" si="17"/>
        <v>0</v>
      </c>
      <c r="G59" s="70">
        <f>'2019 Dep Exp '!I59+'2019 Dep Exp '!J59</f>
        <v>0</v>
      </c>
      <c r="H59" s="17"/>
      <c r="I59" s="4">
        <f t="shared" si="8"/>
        <v>0</v>
      </c>
      <c r="J59" s="70"/>
      <c r="K59" s="18">
        <v>0</v>
      </c>
      <c r="L59" s="19">
        <f t="shared" si="9"/>
        <v>0</v>
      </c>
      <c r="M59" s="18">
        <v>0</v>
      </c>
      <c r="N59" s="20">
        <f t="shared" si="10"/>
        <v>0</v>
      </c>
      <c r="O59" s="21">
        <f t="shared" si="18"/>
        <v>0</v>
      </c>
      <c r="P59" s="21">
        <f t="shared" si="12"/>
        <v>0</v>
      </c>
      <c r="Q59" s="22">
        <f t="shared" si="21"/>
        <v>0</v>
      </c>
      <c r="R59" s="23">
        <f t="shared" si="19"/>
        <v>0</v>
      </c>
      <c r="S59" s="70"/>
      <c r="T59" s="5">
        <f t="shared" si="20"/>
        <v>0</v>
      </c>
    </row>
    <row r="60" spans="1:22">
      <c r="A60" t="s">
        <v>98</v>
      </c>
      <c r="B60" s="57">
        <v>1920</v>
      </c>
      <c r="C60" s="6" t="s">
        <v>61</v>
      </c>
      <c r="D60" s="31">
        <f>'2019 Dep Exp '!F60</f>
        <v>46162.229999999981</v>
      </c>
      <c r="E60" s="17"/>
      <c r="F60" s="4">
        <f t="shared" si="17"/>
        <v>46162.229999999981</v>
      </c>
      <c r="G60" s="70">
        <f>'2019 Dep Exp '!I60+'2019 Dep Exp '!J60</f>
        <v>164345.82999999999</v>
      </c>
      <c r="H60" s="17">
        <f>24472</f>
        <v>24472</v>
      </c>
      <c r="I60" s="4">
        <f t="shared" si="8"/>
        <v>139873.82999999999</v>
      </c>
      <c r="J60" s="70">
        <v>204395</v>
      </c>
      <c r="K60" s="18">
        <v>1.5</v>
      </c>
      <c r="L60" s="19">
        <f t="shared" si="9"/>
        <v>0.66666666666666663</v>
      </c>
      <c r="M60" s="18">
        <v>5</v>
      </c>
      <c r="N60" s="20">
        <f t="shared" si="10"/>
        <v>0.2</v>
      </c>
      <c r="O60" s="21">
        <f>IF(K60=0,0,+F60/K60)-7000</f>
        <v>23774.819999999989</v>
      </c>
      <c r="P60" s="21">
        <f t="shared" si="12"/>
        <v>27974.765999999996</v>
      </c>
      <c r="Q60" s="22">
        <f t="shared" si="21"/>
        <v>20439.5</v>
      </c>
      <c r="R60" s="23">
        <f t="shared" si="19"/>
        <v>72189.085999999981</v>
      </c>
      <c r="S60" s="70">
        <v>71883.5</v>
      </c>
      <c r="T60" s="5">
        <f t="shared" si="20"/>
        <v>-305.58599999998114</v>
      </c>
      <c r="V60" t="str">
        <f t="shared" si="15"/>
        <v>1920Computer Hardware</v>
      </c>
    </row>
    <row r="61" spans="1:22">
      <c r="A61" t="s">
        <v>99</v>
      </c>
      <c r="B61" s="57">
        <v>1925</v>
      </c>
      <c r="C61" s="6" t="s">
        <v>62</v>
      </c>
      <c r="D61" s="31">
        <f>'2019 Dep Exp '!F61</f>
        <v>189680.97999999998</v>
      </c>
      <c r="E61" s="17"/>
      <c r="F61" s="4">
        <f t="shared" si="17"/>
        <v>189680.97999999998</v>
      </c>
      <c r="G61" s="70">
        <f>'2019 Dep Exp '!I61+'2019 Dep Exp '!J61</f>
        <v>347243.09</v>
      </c>
      <c r="H61" s="17">
        <v>0</v>
      </c>
      <c r="I61" s="4">
        <f t="shared" si="8"/>
        <v>347243.09</v>
      </c>
      <c r="J61" s="70">
        <v>126895</v>
      </c>
      <c r="K61" s="18">
        <v>3</v>
      </c>
      <c r="L61" s="19">
        <f t="shared" si="9"/>
        <v>0.33333333333333331</v>
      </c>
      <c r="M61" s="18">
        <v>5</v>
      </c>
      <c r="N61" s="20">
        <f t="shared" si="10"/>
        <v>0.2</v>
      </c>
      <c r="O61" s="21">
        <v>0</v>
      </c>
      <c r="P61" s="21">
        <f t="shared" si="12"/>
        <v>69448.618000000002</v>
      </c>
      <c r="Q61" s="22">
        <f t="shared" si="21"/>
        <v>12689.5</v>
      </c>
      <c r="R61" s="23">
        <f t="shared" si="19"/>
        <v>82138.118000000002</v>
      </c>
      <c r="S61" s="70">
        <v>81833.5</v>
      </c>
      <c r="T61" s="5">
        <f t="shared" si="20"/>
        <v>-304.61800000000221</v>
      </c>
      <c r="V61" t="str">
        <f t="shared" si="15"/>
        <v>1925Computer Software</v>
      </c>
    </row>
    <row r="62" spans="1:22">
      <c r="B62" s="57"/>
      <c r="C62" s="6"/>
      <c r="D62" s="31">
        <f>'2019 Dep Exp '!F62</f>
        <v>0</v>
      </c>
      <c r="E62" s="17"/>
      <c r="F62" s="4">
        <f t="shared" si="17"/>
        <v>0</v>
      </c>
      <c r="G62" s="70">
        <f>'2019 Dep Exp '!I62+'2019 Dep Exp '!J62</f>
        <v>0</v>
      </c>
      <c r="H62" s="17"/>
      <c r="I62" s="4">
        <f t="shared" si="8"/>
        <v>0</v>
      </c>
      <c r="J62" s="70"/>
      <c r="K62" s="18">
        <v>0</v>
      </c>
      <c r="L62" s="19">
        <f t="shared" si="9"/>
        <v>0</v>
      </c>
      <c r="M62" s="18">
        <v>0</v>
      </c>
      <c r="N62" s="20">
        <f t="shared" si="10"/>
        <v>0</v>
      </c>
      <c r="O62" s="21">
        <f t="shared" si="18"/>
        <v>0</v>
      </c>
      <c r="P62" s="21">
        <f t="shared" si="12"/>
        <v>0</v>
      </c>
      <c r="Q62" s="22">
        <f t="shared" si="21"/>
        <v>0</v>
      </c>
      <c r="R62" s="23">
        <f t="shared" si="19"/>
        <v>0</v>
      </c>
      <c r="S62" s="70"/>
      <c r="T62" s="5">
        <f t="shared" si="20"/>
        <v>0</v>
      </c>
    </row>
    <row r="63" spans="1:22">
      <c r="A63" t="s">
        <v>100</v>
      </c>
      <c r="B63" s="57">
        <v>1930</v>
      </c>
      <c r="C63" s="6" t="s">
        <v>63</v>
      </c>
      <c r="D63" s="31">
        <f>'2019 Dep Exp '!F63</f>
        <v>1317372.01</v>
      </c>
      <c r="E63" s="17"/>
      <c r="F63" s="4">
        <f t="shared" si="17"/>
        <v>1317372.01</v>
      </c>
      <c r="G63" s="70">
        <f>'2019 Dep Exp '!I63+'2019 Dep Exp '!J63</f>
        <v>731998.55</v>
      </c>
      <c r="H63" s="17"/>
      <c r="I63" s="4">
        <f t="shared" si="8"/>
        <v>731998.55</v>
      </c>
      <c r="J63" s="70">
        <v>360498</v>
      </c>
      <c r="K63" s="18">
        <v>10.5</v>
      </c>
      <c r="L63" s="19">
        <f t="shared" si="9"/>
        <v>9.5238095238095233E-2</v>
      </c>
      <c r="M63" s="18">
        <v>12</v>
      </c>
      <c r="N63" s="20">
        <f t="shared" si="10"/>
        <v>8.3333333333333329E-2</v>
      </c>
      <c r="O63" s="21">
        <f t="shared" si="18"/>
        <v>125464.00095238096</v>
      </c>
      <c r="P63" s="21">
        <f t="shared" si="12"/>
        <v>60999.879166666673</v>
      </c>
      <c r="Q63" s="22">
        <f t="shared" si="21"/>
        <v>15020.75</v>
      </c>
      <c r="R63" s="23">
        <f t="shared" si="19"/>
        <v>201484.63011904762</v>
      </c>
      <c r="S63" s="70">
        <v>205772.75</v>
      </c>
      <c r="T63" s="5">
        <f t="shared" si="20"/>
        <v>4288.1198809523776</v>
      </c>
      <c r="V63" t="str">
        <f t="shared" si="15"/>
        <v>1930Bucket Trucks</v>
      </c>
    </row>
    <row r="64" spans="1:22">
      <c r="A64" t="s">
        <v>101</v>
      </c>
      <c r="B64" s="57">
        <v>1930</v>
      </c>
      <c r="C64" s="6" t="s">
        <v>64</v>
      </c>
      <c r="D64" s="31">
        <f>'2019 Dep Exp '!F64</f>
        <v>137812.25</v>
      </c>
      <c r="E64" s="17"/>
      <c r="F64" s="4">
        <f t="shared" si="17"/>
        <v>137812.25</v>
      </c>
      <c r="G64" s="70">
        <f>'2019 Dep Exp '!I64+'2019 Dep Exp '!J64</f>
        <v>98504</v>
      </c>
      <c r="H64" s="17"/>
      <c r="I64" s="4">
        <f t="shared" si="8"/>
        <v>98504</v>
      </c>
      <c r="J64" s="70"/>
      <c r="K64" s="18">
        <v>11</v>
      </c>
      <c r="L64" s="19">
        <f t="shared" si="9"/>
        <v>9.0909090909090912E-2</v>
      </c>
      <c r="M64" s="18">
        <v>15</v>
      </c>
      <c r="N64" s="20">
        <f t="shared" si="10"/>
        <v>6.6666666666666666E-2</v>
      </c>
      <c r="O64" s="21">
        <f t="shared" si="18"/>
        <v>12528.386363636364</v>
      </c>
      <c r="P64" s="21">
        <f t="shared" si="12"/>
        <v>6566.9333333333334</v>
      </c>
      <c r="Q64" s="22">
        <f t="shared" si="21"/>
        <v>0</v>
      </c>
      <c r="R64" s="23">
        <f t="shared" si="19"/>
        <v>19095.319696969698</v>
      </c>
      <c r="S64" s="70">
        <v>15000</v>
      </c>
      <c r="T64" s="5">
        <f t="shared" si="20"/>
        <v>-4095.3196969696983</v>
      </c>
      <c r="V64" t="str">
        <f t="shared" si="15"/>
        <v>1930Trailers</v>
      </c>
    </row>
    <row r="65" spans="1:22">
      <c r="A65" t="s">
        <v>102</v>
      </c>
      <c r="B65" s="57">
        <v>1930</v>
      </c>
      <c r="C65" s="6" t="s">
        <v>65</v>
      </c>
      <c r="D65" s="31">
        <f>'2019 Dep Exp '!F65</f>
        <v>113855.45000000001</v>
      </c>
      <c r="E65" s="17"/>
      <c r="F65" s="4">
        <f t="shared" si="17"/>
        <v>113855.45000000001</v>
      </c>
      <c r="G65" s="70">
        <f>'2019 Dep Exp '!I65+'2019 Dep Exp '!J65</f>
        <v>241235</v>
      </c>
      <c r="H65" s="17"/>
      <c r="I65" s="4">
        <f t="shared" si="8"/>
        <v>241235</v>
      </c>
      <c r="J65" s="70"/>
      <c r="K65" s="18">
        <v>7.5</v>
      </c>
      <c r="L65" s="19">
        <f t="shared" si="9"/>
        <v>0.13333333333333333</v>
      </c>
      <c r="M65" s="18">
        <v>8</v>
      </c>
      <c r="N65" s="20">
        <f t="shared" si="10"/>
        <v>0.125</v>
      </c>
      <c r="O65" s="21">
        <f t="shared" si="18"/>
        <v>15180.726666666667</v>
      </c>
      <c r="P65" s="21">
        <f t="shared" si="12"/>
        <v>30154.375</v>
      </c>
      <c r="Q65" s="22">
        <f t="shared" si="21"/>
        <v>0</v>
      </c>
      <c r="R65" s="23">
        <f t="shared" si="19"/>
        <v>45335.101666666669</v>
      </c>
      <c r="S65" s="70">
        <v>47484</v>
      </c>
      <c r="T65" s="5">
        <f t="shared" si="20"/>
        <v>2148.8983333333308</v>
      </c>
      <c r="V65" t="str">
        <f t="shared" si="15"/>
        <v>1930Vans/Cars</v>
      </c>
    </row>
    <row r="66" spans="1:22">
      <c r="B66" s="57"/>
      <c r="C66" s="6"/>
      <c r="D66" s="31">
        <f>'2019 Dep Exp '!F66</f>
        <v>0</v>
      </c>
      <c r="E66" s="17"/>
      <c r="F66" s="4">
        <f t="shared" si="17"/>
        <v>0</v>
      </c>
      <c r="G66" s="70">
        <f>'2019 Dep Exp '!I66+'2019 Dep Exp '!J66</f>
        <v>0</v>
      </c>
      <c r="H66" s="17"/>
      <c r="I66" s="4">
        <f t="shared" si="8"/>
        <v>0</v>
      </c>
      <c r="J66" s="70"/>
      <c r="K66" s="18">
        <v>0</v>
      </c>
      <c r="L66" s="19">
        <f t="shared" si="9"/>
        <v>0</v>
      </c>
      <c r="M66" s="18">
        <v>0</v>
      </c>
      <c r="N66" s="20">
        <f t="shared" si="10"/>
        <v>0</v>
      </c>
      <c r="O66" s="21">
        <f t="shared" si="18"/>
        <v>0</v>
      </c>
      <c r="P66" s="21">
        <f t="shared" si="12"/>
        <v>0</v>
      </c>
      <c r="Q66" s="22">
        <f t="shared" si="21"/>
        <v>0</v>
      </c>
      <c r="R66" s="23">
        <f t="shared" si="19"/>
        <v>0</v>
      </c>
      <c r="S66" s="70"/>
      <c r="T66" s="5">
        <f t="shared" si="20"/>
        <v>0</v>
      </c>
    </row>
    <row r="67" spans="1:22">
      <c r="A67" t="s">
        <v>103</v>
      </c>
      <c r="B67" s="57">
        <v>1940</v>
      </c>
      <c r="C67" s="6" t="s">
        <v>66</v>
      </c>
      <c r="D67" s="31">
        <f>'2019 Dep Exp '!F67</f>
        <v>173764.74000000002</v>
      </c>
      <c r="E67" s="17"/>
      <c r="F67" s="4">
        <f t="shared" si="17"/>
        <v>173764.74000000002</v>
      </c>
      <c r="G67" s="70">
        <f>'2019 Dep Exp '!I67+'2019 Dep Exp '!J67</f>
        <v>371231.72</v>
      </c>
      <c r="H67" s="17"/>
      <c r="I67" s="4">
        <f t="shared" si="8"/>
        <v>371231.72</v>
      </c>
      <c r="J67" s="70">
        <v>40000</v>
      </c>
      <c r="K67" s="18">
        <v>7</v>
      </c>
      <c r="L67" s="19">
        <f t="shared" si="9"/>
        <v>0.14285714285714285</v>
      </c>
      <c r="M67" s="18">
        <v>10</v>
      </c>
      <c r="N67" s="20">
        <f t="shared" si="10"/>
        <v>0.1</v>
      </c>
      <c r="O67" s="21">
        <f t="shared" si="18"/>
        <v>24823.53428571429</v>
      </c>
      <c r="P67" s="21">
        <f t="shared" si="12"/>
        <v>37123.171999999999</v>
      </c>
      <c r="Q67" s="22">
        <f t="shared" si="21"/>
        <v>2000</v>
      </c>
      <c r="R67" s="23">
        <f t="shared" si="19"/>
        <v>63946.706285714288</v>
      </c>
      <c r="S67" s="70">
        <v>60956</v>
      </c>
      <c r="T67" s="5">
        <f t="shared" si="20"/>
        <v>-2990.7062857142882</v>
      </c>
      <c r="V67" t="str">
        <f t="shared" si="15"/>
        <v>1940Power Tools, shop, garage, measurement testing</v>
      </c>
    </row>
    <row r="68" spans="1:22">
      <c r="A68" t="s">
        <v>104</v>
      </c>
      <c r="B68" s="57">
        <v>1940</v>
      </c>
      <c r="C68" s="6" t="s">
        <v>40</v>
      </c>
      <c r="D68" s="31">
        <f>'2019 Dep Exp '!F68</f>
        <v>5160.74</v>
      </c>
      <c r="E68" s="17"/>
      <c r="F68" s="4">
        <f t="shared" si="17"/>
        <v>5160.74</v>
      </c>
      <c r="G68" s="70">
        <f>'2019 Dep Exp '!I68+'2019 Dep Exp '!J68</f>
        <v>0</v>
      </c>
      <c r="H68" s="17"/>
      <c r="I68" s="4">
        <f t="shared" si="8"/>
        <v>0</v>
      </c>
      <c r="J68" s="70"/>
      <c r="K68" s="18">
        <v>3</v>
      </c>
      <c r="L68" s="19">
        <f t="shared" si="9"/>
        <v>0.33333333333333331</v>
      </c>
      <c r="M68" s="18">
        <v>10</v>
      </c>
      <c r="N68" s="20">
        <f t="shared" si="10"/>
        <v>0.1</v>
      </c>
      <c r="O68" s="21">
        <f t="shared" si="18"/>
        <v>1720.2466666666667</v>
      </c>
      <c r="P68" s="21">
        <f t="shared" si="12"/>
        <v>0</v>
      </c>
      <c r="Q68" s="22">
        <f t="shared" si="21"/>
        <v>0</v>
      </c>
      <c r="R68" s="23">
        <f t="shared" si="19"/>
        <v>1720.2466666666667</v>
      </c>
      <c r="S68" s="70"/>
      <c r="T68" s="5">
        <f t="shared" si="20"/>
        <v>-1720.2466666666667</v>
      </c>
      <c r="V68" t="str">
        <f t="shared" si="15"/>
        <v>1940Stores Equipment</v>
      </c>
    </row>
    <row r="69" spans="1:22">
      <c r="B69" s="57"/>
      <c r="C69" s="6"/>
      <c r="D69" s="31">
        <f>'2019 Dep Exp '!F69</f>
        <v>0</v>
      </c>
      <c r="E69" s="17"/>
      <c r="F69" s="4">
        <f t="shared" si="17"/>
        <v>0</v>
      </c>
      <c r="G69" s="70">
        <f>'2019 Dep Exp '!I69+'2019 Dep Exp '!J69</f>
        <v>0</v>
      </c>
      <c r="H69" s="17"/>
      <c r="I69" s="4">
        <f t="shared" si="8"/>
        <v>0</v>
      </c>
      <c r="J69" s="70"/>
      <c r="K69" s="18">
        <v>0</v>
      </c>
      <c r="L69" s="19">
        <f t="shared" si="9"/>
        <v>0</v>
      </c>
      <c r="M69" s="18">
        <v>0</v>
      </c>
      <c r="N69" s="20">
        <f t="shared" si="10"/>
        <v>0</v>
      </c>
      <c r="O69" s="21">
        <f t="shared" si="18"/>
        <v>0</v>
      </c>
      <c r="P69" s="21">
        <f t="shared" si="12"/>
        <v>0</v>
      </c>
      <c r="Q69" s="22">
        <f t="shared" si="21"/>
        <v>0</v>
      </c>
      <c r="R69" s="23">
        <f t="shared" si="19"/>
        <v>0</v>
      </c>
      <c r="S69" s="70"/>
      <c r="T69" s="5">
        <f t="shared" si="20"/>
        <v>0</v>
      </c>
    </row>
    <row r="70" spans="1:22">
      <c r="B70" s="57"/>
      <c r="C70" s="6"/>
      <c r="D70" s="31">
        <f>'2019 Dep Exp '!F70</f>
        <v>0</v>
      </c>
      <c r="E70" s="17"/>
      <c r="F70" s="4">
        <f t="shared" si="17"/>
        <v>0</v>
      </c>
      <c r="G70" s="70">
        <f>'2019 Dep Exp '!I70+'2019 Dep Exp '!J70</f>
        <v>0</v>
      </c>
      <c r="H70" s="17"/>
      <c r="I70" s="4">
        <f t="shared" si="8"/>
        <v>0</v>
      </c>
      <c r="J70" s="70"/>
      <c r="K70" s="18">
        <v>0</v>
      </c>
      <c r="L70" s="19">
        <f t="shared" si="9"/>
        <v>0</v>
      </c>
      <c r="M70" s="18">
        <v>0</v>
      </c>
      <c r="N70" s="20">
        <f t="shared" si="10"/>
        <v>0</v>
      </c>
      <c r="O70" s="21">
        <f t="shared" si="18"/>
        <v>0</v>
      </c>
      <c r="P70" s="21">
        <f t="shared" si="12"/>
        <v>0</v>
      </c>
      <c r="Q70" s="22">
        <f t="shared" si="21"/>
        <v>0</v>
      </c>
      <c r="R70" s="23">
        <f t="shared" si="19"/>
        <v>0</v>
      </c>
      <c r="S70" s="70"/>
      <c r="T70" s="5">
        <f t="shared" si="20"/>
        <v>0</v>
      </c>
    </row>
    <row r="71" spans="1:22">
      <c r="A71" t="s">
        <v>105</v>
      </c>
      <c r="B71" s="57">
        <v>1980</v>
      </c>
      <c r="C71" s="6" t="s">
        <v>67</v>
      </c>
      <c r="D71" s="31">
        <f>'2019 Dep Exp '!F71</f>
        <v>696864.05999999994</v>
      </c>
      <c r="E71" s="17"/>
      <c r="F71" s="4">
        <f t="shared" si="17"/>
        <v>696864.05999999994</v>
      </c>
      <c r="G71" s="70">
        <f>'2019 Dep Exp '!I71+'2019 Dep Exp '!J71</f>
        <v>20134.77</v>
      </c>
      <c r="H71" s="17"/>
      <c r="I71" s="4">
        <f t="shared" si="8"/>
        <v>20134.77</v>
      </c>
      <c r="J71" s="70"/>
      <c r="K71" s="18">
        <v>13.615384615384615</v>
      </c>
      <c r="L71" s="19">
        <f t="shared" si="9"/>
        <v>7.3446327683615822E-2</v>
      </c>
      <c r="M71" s="18">
        <v>20</v>
      </c>
      <c r="N71" s="20">
        <f t="shared" si="10"/>
        <v>0.05</v>
      </c>
      <c r="O71" s="21">
        <f t="shared" si="18"/>
        <v>51182.10610169491</v>
      </c>
      <c r="P71" s="21">
        <f t="shared" si="12"/>
        <v>1006.7385</v>
      </c>
      <c r="Q71" s="22">
        <f t="shared" si="21"/>
        <v>0</v>
      </c>
      <c r="R71" s="23">
        <f t="shared" si="19"/>
        <v>52188.844601694909</v>
      </c>
      <c r="S71" s="70">
        <v>46296</v>
      </c>
      <c r="T71" s="5">
        <f t="shared" si="20"/>
        <v>-5892.8446016949092</v>
      </c>
      <c r="V71" t="str">
        <f t="shared" si="15"/>
        <v>1980SCADA</v>
      </c>
    </row>
    <row r="72" spans="1:22">
      <c r="B72" s="57">
        <v>1955</v>
      </c>
      <c r="C72" s="6" t="s">
        <v>87</v>
      </c>
      <c r="D72" s="31">
        <f>'2019 Dep Exp '!F72</f>
        <v>0</v>
      </c>
      <c r="E72" s="17"/>
      <c r="F72" s="4">
        <f t="shared" si="17"/>
        <v>0</v>
      </c>
      <c r="G72" s="70">
        <f>'2019 Dep Exp '!I72+'2019 Dep Exp '!J72</f>
        <v>300</v>
      </c>
      <c r="H72" s="17"/>
      <c r="I72" s="4">
        <f t="shared" si="8"/>
        <v>300</v>
      </c>
      <c r="J72" s="70"/>
      <c r="K72" s="18">
        <v>0</v>
      </c>
      <c r="L72" s="19">
        <f t="shared" si="9"/>
        <v>0</v>
      </c>
      <c r="M72" s="18">
        <v>0</v>
      </c>
      <c r="N72" s="20">
        <f t="shared" si="10"/>
        <v>0</v>
      </c>
      <c r="O72" s="21">
        <f t="shared" si="18"/>
        <v>0</v>
      </c>
      <c r="P72" s="21">
        <f t="shared" si="12"/>
        <v>0</v>
      </c>
      <c r="Q72" s="22">
        <f t="shared" si="21"/>
        <v>0</v>
      </c>
      <c r="R72" s="23">
        <f t="shared" si="19"/>
        <v>0</v>
      </c>
      <c r="S72" s="70"/>
      <c r="T72" s="5">
        <f t="shared" si="20"/>
        <v>0</v>
      </c>
      <c r="V72" t="str">
        <f t="shared" si="15"/>
        <v>1955Other</v>
      </c>
    </row>
    <row r="73" spans="1:22">
      <c r="B73" s="57"/>
      <c r="C73" s="6"/>
      <c r="D73" s="31">
        <f>'2019 Dep Exp '!F73</f>
        <v>0</v>
      </c>
      <c r="E73" s="17"/>
      <c r="F73" s="4">
        <f t="shared" si="17"/>
        <v>0</v>
      </c>
      <c r="G73" s="70">
        <f>'2019 Dep Exp '!I73+'2019 Dep Exp '!J73</f>
        <v>0</v>
      </c>
      <c r="H73" s="17"/>
      <c r="I73" s="4">
        <f t="shared" si="8"/>
        <v>0</v>
      </c>
      <c r="J73" s="70"/>
      <c r="K73" s="18">
        <v>0</v>
      </c>
      <c r="L73" s="19">
        <f t="shared" si="9"/>
        <v>0</v>
      </c>
      <c r="M73" s="18">
        <v>0</v>
      </c>
      <c r="N73" s="20">
        <f t="shared" si="10"/>
        <v>0</v>
      </c>
      <c r="O73" s="21">
        <f t="shared" si="18"/>
        <v>0</v>
      </c>
      <c r="P73" s="21">
        <f t="shared" si="12"/>
        <v>0</v>
      </c>
      <c r="Q73" s="22">
        <f t="shared" si="21"/>
        <v>0</v>
      </c>
      <c r="R73" s="23">
        <f t="shared" si="19"/>
        <v>0</v>
      </c>
      <c r="S73" s="70"/>
      <c r="T73" s="5">
        <f t="shared" si="20"/>
        <v>0</v>
      </c>
    </row>
    <row r="74" spans="1:22">
      <c r="A74" t="s">
        <v>106</v>
      </c>
      <c r="B74" s="57">
        <v>1855</v>
      </c>
      <c r="C74" s="6" t="s">
        <v>68</v>
      </c>
      <c r="D74" s="31">
        <f>'2019 Dep Exp '!F74</f>
        <v>2477.19</v>
      </c>
      <c r="E74" s="17"/>
      <c r="F74" s="4">
        <f t="shared" si="17"/>
        <v>2477.19</v>
      </c>
      <c r="G74" s="70">
        <f>'2019 Dep Exp '!I74+'2019 Dep Exp '!J74</f>
        <v>794135.79999999993</v>
      </c>
      <c r="H74" s="17"/>
      <c r="I74" s="4">
        <f t="shared" si="8"/>
        <v>794135.79999999993</v>
      </c>
      <c r="J74" s="70">
        <v>508311.13509952801</v>
      </c>
      <c r="K74" s="18">
        <v>50</v>
      </c>
      <c r="L74" s="19">
        <f t="shared" si="9"/>
        <v>0.02</v>
      </c>
      <c r="M74" s="18">
        <v>50</v>
      </c>
      <c r="N74" s="20">
        <f t="shared" si="10"/>
        <v>0.02</v>
      </c>
      <c r="O74" s="21">
        <f t="shared" si="18"/>
        <v>49.543800000000005</v>
      </c>
      <c r="P74" s="21">
        <f t="shared" si="12"/>
        <v>15882.715999999999</v>
      </c>
      <c r="Q74" s="22">
        <f t="shared" si="21"/>
        <v>5083.1113509952802</v>
      </c>
      <c r="R74" s="23">
        <f t="shared" si="19"/>
        <v>21015.371150995277</v>
      </c>
      <c r="S74" s="70">
        <v>37159.111350995277</v>
      </c>
      <c r="T74" s="5">
        <f t="shared" si="20"/>
        <v>16143.7402</v>
      </c>
      <c r="V74" t="str">
        <f t="shared" si="15"/>
        <v>1855Services</v>
      </c>
    </row>
    <row r="75" spans="1:22">
      <c r="B75" s="57"/>
      <c r="C75" s="6"/>
      <c r="D75" s="31">
        <f>'2019 Dep Exp '!F75</f>
        <v>0</v>
      </c>
      <c r="E75" s="17"/>
      <c r="F75" s="4">
        <f t="shared" si="17"/>
        <v>0</v>
      </c>
      <c r="G75" s="70">
        <f>'2019 Dep Exp '!I75+'2019 Dep Exp '!J75</f>
        <v>0</v>
      </c>
      <c r="H75" s="17"/>
      <c r="I75" s="4">
        <f t="shared" si="8"/>
        <v>0</v>
      </c>
      <c r="J75" s="70"/>
      <c r="K75" s="18">
        <v>0</v>
      </c>
      <c r="L75" s="19">
        <f t="shared" si="9"/>
        <v>0</v>
      </c>
      <c r="M75" s="18">
        <v>0</v>
      </c>
      <c r="N75" s="20">
        <f t="shared" si="10"/>
        <v>0</v>
      </c>
      <c r="O75" s="21">
        <f t="shared" si="18"/>
        <v>0</v>
      </c>
      <c r="P75" s="21">
        <f t="shared" si="12"/>
        <v>0</v>
      </c>
      <c r="Q75" s="22">
        <f t="shared" si="21"/>
        <v>0</v>
      </c>
      <c r="R75" s="23">
        <f t="shared" si="19"/>
        <v>0</v>
      </c>
      <c r="S75" s="70"/>
      <c r="T75" s="5">
        <f t="shared" si="20"/>
        <v>0</v>
      </c>
    </row>
    <row r="76" spans="1:22">
      <c r="A76" t="s">
        <v>107</v>
      </c>
      <c r="B76" s="57">
        <v>1955</v>
      </c>
      <c r="C76" s="6" t="s">
        <v>69</v>
      </c>
      <c r="D76" s="31">
        <f>'2019 Dep Exp '!F76</f>
        <v>15847.3</v>
      </c>
      <c r="E76" s="17"/>
      <c r="F76" s="4">
        <f t="shared" si="17"/>
        <v>15847.3</v>
      </c>
      <c r="G76" s="70">
        <f>'2019 Dep Exp '!I76+'2019 Dep Exp '!J76</f>
        <v>39164.079999999994</v>
      </c>
      <c r="H76" s="17"/>
      <c r="I76" s="4">
        <f t="shared" si="8"/>
        <v>39164.079999999994</v>
      </c>
      <c r="J76" s="70"/>
      <c r="K76" s="18">
        <v>2.5</v>
      </c>
      <c r="L76" s="19">
        <f t="shared" si="9"/>
        <v>0.4</v>
      </c>
      <c r="M76" s="18">
        <v>10</v>
      </c>
      <c r="N76" s="20">
        <f t="shared" si="10"/>
        <v>0.1</v>
      </c>
      <c r="O76" s="21">
        <f t="shared" si="18"/>
        <v>6338.92</v>
      </c>
      <c r="P76" s="21">
        <f t="shared" si="12"/>
        <v>3916.4079999999994</v>
      </c>
      <c r="Q76" s="22">
        <f t="shared" si="21"/>
        <v>0</v>
      </c>
      <c r="R76" s="23">
        <f t="shared" si="19"/>
        <v>10255.328</v>
      </c>
      <c r="S76" s="70">
        <v>3852</v>
      </c>
      <c r="T76" s="5">
        <f t="shared" si="20"/>
        <v>-6403.3279999999995</v>
      </c>
      <c r="V76" t="str">
        <f t="shared" si="15"/>
        <v>1955Communication Equipment, Wireless</v>
      </c>
    </row>
    <row r="77" spans="1:22">
      <c r="B77" s="57"/>
      <c r="C77" s="6"/>
      <c r="D77" s="31">
        <f>'2019 Dep Exp '!F77</f>
        <v>0</v>
      </c>
      <c r="E77" s="17"/>
      <c r="F77" s="4">
        <f t="shared" si="17"/>
        <v>0</v>
      </c>
      <c r="G77" s="70">
        <f>'2019 Dep Exp '!I77+'2019 Dep Exp '!J77</f>
        <v>0</v>
      </c>
      <c r="H77" s="17"/>
      <c r="I77" s="4">
        <f t="shared" si="8"/>
        <v>0</v>
      </c>
      <c r="J77" s="70"/>
      <c r="K77" s="18">
        <v>0</v>
      </c>
      <c r="L77" s="19">
        <f t="shared" si="9"/>
        <v>0</v>
      </c>
      <c r="M77" s="18">
        <v>0</v>
      </c>
      <c r="N77" s="20">
        <f t="shared" si="10"/>
        <v>0</v>
      </c>
      <c r="O77" s="21">
        <f t="shared" si="18"/>
        <v>0</v>
      </c>
      <c r="P77" s="21">
        <f t="shared" si="12"/>
        <v>0</v>
      </c>
      <c r="Q77" s="22">
        <f t="shared" si="21"/>
        <v>0</v>
      </c>
      <c r="R77" s="23">
        <f t="shared" si="19"/>
        <v>0</v>
      </c>
      <c r="S77" s="70"/>
      <c r="T77" s="5">
        <f t="shared" si="20"/>
        <v>0</v>
      </c>
    </row>
    <row r="78" spans="1:22">
      <c r="B78" s="57">
        <v>1606</v>
      </c>
      <c r="C78" s="6" t="s">
        <v>70</v>
      </c>
      <c r="D78" s="31">
        <f>'2019 Dep Exp '!F78</f>
        <v>192292.27</v>
      </c>
      <c r="E78" s="17"/>
      <c r="F78" s="4">
        <f t="shared" si="17"/>
        <v>192292.27</v>
      </c>
      <c r="G78" s="70">
        <f>'2019 Dep Exp '!I78+'2019 Dep Exp '!J78</f>
        <v>0</v>
      </c>
      <c r="H78" s="17"/>
      <c r="I78" s="4">
        <f t="shared" si="8"/>
        <v>0</v>
      </c>
      <c r="J78" s="70"/>
      <c r="K78" s="18">
        <v>0</v>
      </c>
      <c r="L78" s="19">
        <f t="shared" si="9"/>
        <v>0</v>
      </c>
      <c r="M78" s="18">
        <v>0</v>
      </c>
      <c r="N78" s="20">
        <f t="shared" si="10"/>
        <v>0</v>
      </c>
      <c r="O78" s="21">
        <f t="shared" si="18"/>
        <v>0</v>
      </c>
      <c r="P78" s="21">
        <f t="shared" si="12"/>
        <v>0</v>
      </c>
      <c r="Q78" s="22">
        <f t="shared" si="21"/>
        <v>0</v>
      </c>
      <c r="R78" s="23">
        <f t="shared" si="19"/>
        <v>0</v>
      </c>
      <c r="S78" s="70"/>
      <c r="T78" s="5">
        <f t="shared" si="20"/>
        <v>0</v>
      </c>
      <c r="V78" t="str">
        <f t="shared" si="15"/>
        <v>1606Corporation Costs</v>
      </c>
    </row>
    <row r="79" spans="1:22">
      <c r="B79" s="57"/>
      <c r="C79" s="6"/>
      <c r="D79" s="31">
        <f>'2019 Dep Exp '!F79</f>
        <v>0</v>
      </c>
      <c r="E79" s="17"/>
      <c r="F79" s="4">
        <f t="shared" si="17"/>
        <v>0</v>
      </c>
      <c r="G79" s="70">
        <f>'2019 Dep Exp '!I79+'2019 Dep Exp '!J79</f>
        <v>0</v>
      </c>
      <c r="H79" s="17"/>
      <c r="I79" s="4"/>
      <c r="J79" s="70"/>
      <c r="K79" s="18"/>
      <c r="L79" s="19"/>
      <c r="M79" s="18"/>
      <c r="N79" s="33"/>
      <c r="O79" s="21"/>
      <c r="P79" s="21"/>
      <c r="Q79" s="22"/>
      <c r="R79" s="23"/>
      <c r="S79" s="70"/>
      <c r="T79" s="5"/>
      <c r="V79" t="str">
        <f t="shared" si="15"/>
        <v/>
      </c>
    </row>
    <row r="80" spans="1:22">
      <c r="B80" s="57">
        <v>1995</v>
      </c>
      <c r="C80" s="6" t="s">
        <v>41</v>
      </c>
      <c r="D80" s="31">
        <f>'2019 Dep Exp '!F80</f>
        <v>0</v>
      </c>
      <c r="E80" s="17"/>
      <c r="F80" s="4">
        <f t="shared" si="17"/>
        <v>0</v>
      </c>
      <c r="G80" s="70">
        <f>'2019 Dep Exp '!I80+'2019 Dep Exp '!J80</f>
        <v>0</v>
      </c>
      <c r="H80" s="17"/>
      <c r="I80" s="4">
        <f t="shared" ref="I80:I81" si="22">G80-H80</f>
        <v>0</v>
      </c>
      <c r="J80" s="70"/>
      <c r="K80" s="18"/>
      <c r="L80" s="34">
        <f t="shared" ref="L80:L81" si="23">IF(K80=0,0,1/K80)</f>
        <v>0</v>
      </c>
      <c r="M80" s="18"/>
      <c r="N80" s="33">
        <f t="shared" ref="N80:N81" si="24">IF(M80=0,0,1/M80)</f>
        <v>0</v>
      </c>
      <c r="O80" s="35">
        <f t="shared" si="18"/>
        <v>0</v>
      </c>
      <c r="P80" s="35">
        <f t="shared" ref="P80:P81" si="25">IF(M80=0,0,+I80/M80)</f>
        <v>0</v>
      </c>
      <c r="Q80" s="36">
        <f>IF(M80=0,0,+(J80*0.5)/M80)</f>
        <v>0</v>
      </c>
      <c r="R80" s="24">
        <f t="shared" si="19"/>
        <v>0</v>
      </c>
      <c r="S80" s="70"/>
      <c r="T80" s="5">
        <f t="shared" si="20"/>
        <v>0</v>
      </c>
      <c r="V80" t="str">
        <f t="shared" si="15"/>
        <v>1995Contributions &amp; Grants</v>
      </c>
    </row>
    <row r="81" spans="2:22" ht="15" thickBot="1">
      <c r="B81" s="104">
        <v>2440</v>
      </c>
      <c r="C81" s="81" t="s">
        <v>42</v>
      </c>
      <c r="D81" s="93">
        <f>'2019 Dep Exp '!F81</f>
        <v>0</v>
      </c>
      <c r="E81" s="95"/>
      <c r="F81" s="79">
        <f t="shared" si="17"/>
        <v>0</v>
      </c>
      <c r="G81" s="92">
        <f>'2019 Dep Exp '!I81+'2019 Dep Exp '!J81</f>
        <v>0</v>
      </c>
      <c r="H81" s="95"/>
      <c r="I81" s="79">
        <f t="shared" si="22"/>
        <v>0</v>
      </c>
      <c r="J81" s="92"/>
      <c r="K81" s="96"/>
      <c r="L81" s="97">
        <f t="shared" si="23"/>
        <v>0</v>
      </c>
      <c r="M81" s="96"/>
      <c r="N81" s="98">
        <f t="shared" si="24"/>
        <v>0</v>
      </c>
      <c r="O81" s="89">
        <f t="shared" si="18"/>
        <v>0</v>
      </c>
      <c r="P81" s="89">
        <f t="shared" si="25"/>
        <v>0</v>
      </c>
      <c r="Q81" s="90">
        <f>IF(M81=0,0,+(J81*0.5)/M81)</f>
        <v>0</v>
      </c>
      <c r="R81" s="91">
        <f t="shared" si="19"/>
        <v>0</v>
      </c>
      <c r="S81" s="92"/>
      <c r="T81" s="80">
        <f t="shared" si="20"/>
        <v>0</v>
      </c>
      <c r="V81" t="str">
        <f t="shared" si="15"/>
        <v>2440Deferred Revenue</v>
      </c>
    </row>
    <row r="82" spans="2:22" ht="15" thickBot="1">
      <c r="B82" s="82"/>
      <c r="C82" s="83" t="s">
        <v>43</v>
      </c>
      <c r="D82" s="84">
        <f>SUM(D7:D81)</f>
        <v>61182972.359999999</v>
      </c>
      <c r="E82" s="84">
        <f t="shared" ref="E82:J82" si="26">SUM(E7:E81)</f>
        <v>3093</v>
      </c>
      <c r="F82" s="84">
        <f t="shared" si="26"/>
        <v>61179879.359999999</v>
      </c>
      <c r="G82" s="84">
        <f t="shared" si="26"/>
        <v>62931311.867223702</v>
      </c>
      <c r="H82" s="84">
        <f t="shared" si="26"/>
        <v>72054.5</v>
      </c>
      <c r="I82" s="84">
        <f t="shared" si="26"/>
        <v>62859257.367223702</v>
      </c>
      <c r="J82" s="84">
        <f t="shared" si="26"/>
        <v>6270075.6342586605</v>
      </c>
      <c r="K82" s="84"/>
      <c r="L82" s="85"/>
      <c r="M82" s="86"/>
      <c r="N82" s="87"/>
      <c r="O82" s="84">
        <f t="shared" ref="O82" si="27">SUM(O7:O81)</f>
        <v>1798610.5638769649</v>
      </c>
      <c r="P82" s="84">
        <f t="shared" ref="P82" si="28">SUM(P7:P81)</f>
        <v>1798179.9976671063</v>
      </c>
      <c r="Q82" s="84">
        <f t="shared" ref="Q82" si="29">SUM(Q7:Q81)</f>
        <v>121038.04863441808</v>
      </c>
      <c r="R82" s="84">
        <f t="shared" ref="R82" si="30">SUM(R7:R81)</f>
        <v>3717828.6101784883</v>
      </c>
      <c r="S82" s="84">
        <f t="shared" ref="S82" si="31">SUM(S7:S81)</f>
        <v>3687385.7207605466</v>
      </c>
      <c r="T82" s="88">
        <f t="shared" ref="T82" si="32">SUM(T7:T81)</f>
        <v>-30442.889417942046</v>
      </c>
    </row>
    <row r="83" spans="2:2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2:22">
      <c r="D84" s="11">
        <v>0</v>
      </c>
      <c r="G84" s="10">
        <v>0</v>
      </c>
      <c r="J84" s="11">
        <v>-0.18838687799870968</v>
      </c>
      <c r="S84" s="10">
        <v>0.5011892425827682</v>
      </c>
      <c r="T84" s="25">
        <f>T82/S82</f>
        <v>-8.2559546853327309E-3</v>
      </c>
    </row>
    <row r="85" spans="2:22">
      <c r="S85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52" orientation="landscape" r:id="rId1"/>
  <ignoredErrors>
    <ignoredError sqref="T27 T29:T82 T28 T7 T8 T9 T10 T11 T12 T13 T14 T15 T16 T17 T18 T19 T20 T21 T22 T23 T24 T25 T26 N26:R26 G26:L26 N25:R25 G25:L25 N24:R24 G24:L24 N23:R23 G23:L23 N22:R22 G22:L22 N21:R21 G21:L21 N20:R20 G20:L20 N19:R19 G19:L19 N18:R18 G18:L18 N17:R17 G17:L17 N16:R16 G16:L16 N15:R15 G15:L15 N14:R14 G14:L14 N13:R13 G13:L13 N12:R12 G12:L12 N11:R11 G11:L11 N10:R10 G10:L10 N9:R9 G9:L9 N8:R8 G8:L8 N7:R7 G7:L7 K28:R28 G28:I28 G29:S82 D28:D81 G27:S27 C26:F26 C82:F82 C27:F27 C28:C81 E28:F28 E29:F81 J28 S28 C7:F7 M7 S7 C8:F8 M8 S8 C9:F9 M9 S9 C10:F10 M10 S10 C11:F11 M11 S11 C12:F12 M12 S12 C13:F13 M13 S13 C14:F14 M14 S14 C15:F15 M15 S15 C16:F16 M16 S16 C17:F17 M17 S17 C18:F18 M18 S18 C19:F19 M19 S19 C20:F20 M20 S20 C21:F21 M21 S21 C22:F22 M22 S22 C23:F23 M23 S23 C24:F24 M24 S24 C25:F25 M25 S25 M26 S2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showGridLines="0" topLeftCell="B1" zoomScale="80" zoomScaleNormal="80" workbookViewId="0">
      <selection activeCell="W33" sqref="W33"/>
    </sheetView>
  </sheetViews>
  <sheetFormatPr defaultRowHeight="14.4"/>
  <cols>
    <col min="1" max="1" width="10.44140625" hidden="1" customWidth="1"/>
    <col min="3" max="3" width="41.5546875" bestFit="1" customWidth="1"/>
    <col min="4" max="4" width="17.44140625" customWidth="1"/>
    <col min="5" max="5" width="14" customWidth="1"/>
    <col min="6" max="7" width="14.44140625" customWidth="1"/>
    <col min="8" max="8" width="12" customWidth="1"/>
    <col min="9" max="10" width="14.109375" customWidth="1"/>
    <col min="11" max="11" width="13.44140625" customWidth="1"/>
    <col min="12" max="12" width="14.5546875" customWidth="1"/>
    <col min="13" max="13" width="16.44140625" customWidth="1"/>
    <col min="14" max="14" width="14" customWidth="1"/>
    <col min="15" max="15" width="17.44140625" customWidth="1"/>
    <col min="16" max="16" width="19.109375" customWidth="1"/>
    <col min="17" max="17" width="16.5546875" customWidth="1"/>
    <col min="18" max="18" width="12.44140625" customWidth="1"/>
    <col min="19" max="19" width="15.88671875" customWidth="1"/>
    <col min="20" max="20" width="14.44140625" customWidth="1"/>
    <col min="21" max="21" width="0" hidden="1" customWidth="1"/>
    <col min="22" max="22" width="49.44140625" hidden="1" customWidth="1"/>
    <col min="23" max="23" width="11.44140625" customWidth="1"/>
  </cols>
  <sheetData>
    <row r="1" spans="1:20" ht="21">
      <c r="B1" s="110" t="s">
        <v>153</v>
      </c>
    </row>
    <row r="3" spans="1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5"/>
      <c r="O4" s="114" t="s">
        <v>2</v>
      </c>
      <c r="P4" s="115"/>
      <c r="Q4" s="115"/>
      <c r="R4" s="116"/>
      <c r="S4" s="2"/>
      <c r="T4" s="2"/>
    </row>
    <row r="5" spans="1:20" ht="81.599999999999994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56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1:20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4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105" t="s">
        <v>37</v>
      </c>
      <c r="T6" s="41" t="s">
        <v>38</v>
      </c>
    </row>
    <row r="7" spans="1:20">
      <c r="A7" s="14" t="s">
        <v>108</v>
      </c>
      <c r="B7" s="57">
        <v>1815</v>
      </c>
      <c r="C7" s="103" t="s">
        <v>128</v>
      </c>
      <c r="D7" s="31">
        <v>0</v>
      </c>
      <c r="E7" s="17"/>
      <c r="F7" s="4"/>
      <c r="G7" s="70">
        <f>'2020 Dep Exp '!G7+'2020 Dep Exp '!J7</f>
        <v>3833332.7281641681</v>
      </c>
      <c r="H7" s="17"/>
      <c r="I7" s="4">
        <f>G7-H7</f>
        <v>3833332.7281641681</v>
      </c>
      <c r="J7" s="70"/>
      <c r="K7" s="13">
        <v>0</v>
      </c>
      <c r="L7" s="19"/>
      <c r="M7" s="18">
        <v>35</v>
      </c>
      <c r="N7" s="20">
        <f>IF(M7=0,0,1/M7)</f>
        <v>2.8571428571428571E-2</v>
      </c>
      <c r="O7" s="21">
        <f>IF(K7=0,0,+F7/K7)</f>
        <v>0</v>
      </c>
      <c r="P7" s="21">
        <f>IF(M7=0,0,+I7/M7)</f>
        <v>109523.79223326195</v>
      </c>
      <c r="Q7" s="22">
        <f>IF(M7=0,0,+(J7*0.5)/M7)</f>
        <v>0</v>
      </c>
      <c r="R7" s="23">
        <f>IF(ISERROR(+O7+P7+Q7),0,+O7+P7+Q7)</f>
        <v>109523.79223326195</v>
      </c>
      <c r="S7" s="70">
        <f>'2020 Dep Exp '!S7</f>
        <v>109523.79223326195</v>
      </c>
      <c r="T7" s="5">
        <f>IF(ISERROR(+S7-R7),0,+S7-R7)</f>
        <v>0</v>
      </c>
    </row>
    <row r="8" spans="1:20">
      <c r="A8" s="14" t="s">
        <v>109</v>
      </c>
      <c r="B8" s="57">
        <v>1815</v>
      </c>
      <c r="C8" s="103" t="s">
        <v>128</v>
      </c>
      <c r="D8" s="31">
        <v>0</v>
      </c>
      <c r="E8" s="17"/>
      <c r="F8" s="4"/>
      <c r="G8" s="70">
        <f>'2020 Dep Exp '!G8+'2020 Dep Exp '!J8</f>
        <v>565868.70959099254</v>
      </c>
      <c r="H8" s="17"/>
      <c r="I8" s="4">
        <f>G8-H8</f>
        <v>565868.70959099254</v>
      </c>
      <c r="J8" s="70"/>
      <c r="K8" s="13">
        <v>0</v>
      </c>
      <c r="L8" s="19"/>
      <c r="M8" s="18">
        <v>20</v>
      </c>
      <c r="N8" s="20">
        <f t="shared" ref="N8:N26" si="0">IF(M8=0,0,1/M8)</f>
        <v>0.05</v>
      </c>
      <c r="O8" s="21">
        <f t="shared" ref="O8:O26" si="1">IF(K8=0,0,+F8/K8)</f>
        <v>0</v>
      </c>
      <c r="P8" s="21">
        <f t="shared" ref="P8:P26" si="2">IF(M8=0,0,+I8/M8)</f>
        <v>28293.435479549626</v>
      </c>
      <c r="Q8" s="22">
        <f t="shared" ref="Q8:Q26" si="3">IF(M8=0,0,+(J8*0.5)/M8)</f>
        <v>0</v>
      </c>
      <c r="R8" s="23">
        <f t="shared" ref="R8:R26" si="4">IF(ISERROR(+O8+P8+Q8),0,+O8+P8+Q8)</f>
        <v>28293.435479549626</v>
      </c>
      <c r="S8" s="70">
        <f>'2020 Dep Exp '!S8</f>
        <v>28293.435479549626</v>
      </c>
      <c r="T8" s="5">
        <f t="shared" ref="T8:T26" si="5">IF(ISERROR(+S8-R8),0,+S8-R8)</f>
        <v>0</v>
      </c>
    </row>
    <row r="9" spans="1:20">
      <c r="A9" s="14" t="s">
        <v>110</v>
      </c>
      <c r="B9" s="57">
        <v>1815</v>
      </c>
      <c r="C9" s="103" t="s">
        <v>128</v>
      </c>
      <c r="D9" s="31">
        <v>0</v>
      </c>
      <c r="E9" s="17"/>
      <c r="F9" s="4"/>
      <c r="G9" s="70">
        <f>'2020 Dep Exp '!G9+'2020 Dep Exp '!J9</f>
        <v>408663.07012833247</v>
      </c>
      <c r="H9" s="17"/>
      <c r="I9" s="4">
        <f t="shared" ref="I9:I26" si="6">G9-H9</f>
        <v>408663.07012833247</v>
      </c>
      <c r="J9" s="70"/>
      <c r="K9" s="13">
        <v>0</v>
      </c>
      <c r="L9" s="19"/>
      <c r="M9" s="18">
        <v>20</v>
      </c>
      <c r="N9" s="20">
        <f t="shared" si="0"/>
        <v>0.05</v>
      </c>
      <c r="O9" s="21">
        <f t="shared" si="1"/>
        <v>0</v>
      </c>
      <c r="P9" s="21">
        <f t="shared" si="2"/>
        <v>20433.153506416624</v>
      </c>
      <c r="Q9" s="22">
        <f t="shared" si="3"/>
        <v>0</v>
      </c>
      <c r="R9" s="23">
        <f t="shared" si="4"/>
        <v>20433.153506416624</v>
      </c>
      <c r="S9" s="70">
        <f>'2020 Dep Exp '!S9</f>
        <v>20433.153506416624</v>
      </c>
      <c r="T9" s="5">
        <f t="shared" si="5"/>
        <v>0</v>
      </c>
    </row>
    <row r="10" spans="1:20">
      <c r="A10" s="14" t="s">
        <v>111</v>
      </c>
      <c r="B10" s="57">
        <v>1815</v>
      </c>
      <c r="C10" s="103" t="s">
        <v>129</v>
      </c>
      <c r="D10" s="31">
        <v>0</v>
      </c>
      <c r="E10" s="17"/>
      <c r="F10" s="4"/>
      <c r="G10" s="70">
        <f>'2020 Dep Exp '!G10+'2020 Dep Exp '!J10</f>
        <v>596046.90666405892</v>
      </c>
      <c r="H10" s="17"/>
      <c r="I10" s="4">
        <f t="shared" si="6"/>
        <v>596046.90666405892</v>
      </c>
      <c r="J10" s="70"/>
      <c r="K10" s="13">
        <v>0</v>
      </c>
      <c r="L10" s="19"/>
      <c r="M10" s="18">
        <v>45</v>
      </c>
      <c r="N10" s="20">
        <f t="shared" si="0"/>
        <v>2.2222222222222223E-2</v>
      </c>
      <c r="O10" s="21">
        <f t="shared" si="1"/>
        <v>0</v>
      </c>
      <c r="P10" s="21">
        <f t="shared" si="2"/>
        <v>13245.486814756865</v>
      </c>
      <c r="Q10" s="22">
        <f t="shared" si="3"/>
        <v>0</v>
      </c>
      <c r="R10" s="23">
        <f t="shared" si="4"/>
        <v>13245.486814756865</v>
      </c>
      <c r="S10" s="70">
        <f>'2020 Dep Exp '!S10</f>
        <v>13245.486814756865</v>
      </c>
      <c r="T10" s="5">
        <f t="shared" si="5"/>
        <v>0</v>
      </c>
    </row>
    <row r="11" spans="1:20">
      <c r="A11" s="14" t="s">
        <v>112</v>
      </c>
      <c r="B11" s="57">
        <v>1815</v>
      </c>
      <c r="C11" s="103" t="s">
        <v>130</v>
      </c>
      <c r="D11" s="31">
        <v>0</v>
      </c>
      <c r="E11" s="17"/>
      <c r="F11" s="4"/>
      <c r="G11" s="70">
        <f>'2020 Dep Exp '!G11+'2020 Dep Exp '!J11</f>
        <v>251193.14547744716</v>
      </c>
      <c r="H11" s="17"/>
      <c r="I11" s="4">
        <f t="shared" si="6"/>
        <v>251193.14547744716</v>
      </c>
      <c r="J11" s="70"/>
      <c r="K11" s="13">
        <v>0</v>
      </c>
      <c r="L11" s="19"/>
      <c r="M11" s="18">
        <v>40</v>
      </c>
      <c r="N11" s="20">
        <f t="shared" si="0"/>
        <v>2.5000000000000001E-2</v>
      </c>
      <c r="O11" s="21">
        <f t="shared" si="1"/>
        <v>0</v>
      </c>
      <c r="P11" s="21">
        <f t="shared" si="2"/>
        <v>6279.8286369361795</v>
      </c>
      <c r="Q11" s="22">
        <f t="shared" si="3"/>
        <v>0</v>
      </c>
      <c r="R11" s="23">
        <f t="shared" si="4"/>
        <v>6279.8286369361795</v>
      </c>
      <c r="S11" s="70">
        <f>'2020 Dep Exp '!S11</f>
        <v>6279.8286369361795</v>
      </c>
      <c r="T11" s="5">
        <f t="shared" si="5"/>
        <v>0</v>
      </c>
    </row>
    <row r="12" spans="1:20">
      <c r="A12" s="14" t="s">
        <v>113</v>
      </c>
      <c r="B12" s="57">
        <v>1815</v>
      </c>
      <c r="C12" s="6" t="s">
        <v>131</v>
      </c>
      <c r="D12" s="31">
        <v>0</v>
      </c>
      <c r="E12" s="17"/>
      <c r="F12" s="4"/>
      <c r="G12" s="70">
        <f>'2020 Dep Exp '!G12+'2020 Dep Exp '!J12</f>
        <v>2136807.3484157315</v>
      </c>
      <c r="H12" s="17"/>
      <c r="I12" s="4">
        <f t="shared" si="6"/>
        <v>2136807.3484157315</v>
      </c>
      <c r="J12" s="70"/>
      <c r="K12" s="13">
        <v>0</v>
      </c>
      <c r="L12" s="19"/>
      <c r="M12" s="18">
        <v>50</v>
      </c>
      <c r="N12" s="20">
        <f t="shared" si="0"/>
        <v>0.02</v>
      </c>
      <c r="O12" s="21">
        <f t="shared" si="1"/>
        <v>0</v>
      </c>
      <c r="P12" s="21">
        <f t="shared" si="2"/>
        <v>42736.146968314628</v>
      </c>
      <c r="Q12" s="22">
        <f t="shared" si="3"/>
        <v>0</v>
      </c>
      <c r="R12" s="23">
        <f t="shared" si="4"/>
        <v>42736.146968314628</v>
      </c>
      <c r="S12" s="70">
        <f>'2020 Dep Exp '!S12</f>
        <v>42736.146968314628</v>
      </c>
      <c r="T12" s="5">
        <f t="shared" si="5"/>
        <v>0</v>
      </c>
    </row>
    <row r="13" spans="1:20">
      <c r="A13" s="14" t="s">
        <v>114</v>
      </c>
      <c r="B13" s="57">
        <v>1815</v>
      </c>
      <c r="C13" s="6" t="s">
        <v>132</v>
      </c>
      <c r="D13" s="31">
        <v>0</v>
      </c>
      <c r="E13" s="17"/>
      <c r="F13" s="4"/>
      <c r="G13" s="70">
        <f>'2020 Dep Exp '!G13+'2020 Dep Exp '!J13</f>
        <v>1353416.1157671742</v>
      </c>
      <c r="H13" s="17"/>
      <c r="I13" s="4">
        <f t="shared" si="6"/>
        <v>1353416.1157671742</v>
      </c>
      <c r="J13" s="70"/>
      <c r="K13" s="13">
        <v>0</v>
      </c>
      <c r="L13" s="19"/>
      <c r="M13" s="18">
        <v>45</v>
      </c>
      <c r="N13" s="20">
        <f t="shared" si="0"/>
        <v>2.2222222222222223E-2</v>
      </c>
      <c r="O13" s="21">
        <f t="shared" si="1"/>
        <v>0</v>
      </c>
      <c r="P13" s="21">
        <f t="shared" si="2"/>
        <v>30075.913683714982</v>
      </c>
      <c r="Q13" s="22">
        <f t="shared" si="3"/>
        <v>0</v>
      </c>
      <c r="R13" s="23">
        <f t="shared" si="4"/>
        <v>30075.913683714982</v>
      </c>
      <c r="S13" s="70">
        <f>'2020 Dep Exp '!S13</f>
        <v>30075.913683714982</v>
      </c>
      <c r="T13" s="5">
        <f t="shared" si="5"/>
        <v>0</v>
      </c>
    </row>
    <row r="14" spans="1:20">
      <c r="A14" s="14" t="s">
        <v>115</v>
      </c>
      <c r="B14" s="57">
        <v>1815</v>
      </c>
      <c r="C14" s="6" t="s">
        <v>133</v>
      </c>
      <c r="D14" s="31">
        <v>0</v>
      </c>
      <c r="E14" s="17"/>
      <c r="F14" s="4"/>
      <c r="G14" s="70">
        <f>'2020 Dep Exp '!G14+'2020 Dep Exp '!J14</f>
        <v>709884.96860426047</v>
      </c>
      <c r="H14" s="17"/>
      <c r="I14" s="4">
        <f t="shared" si="6"/>
        <v>709884.96860426047</v>
      </c>
      <c r="J14" s="70"/>
      <c r="K14" s="13">
        <v>0</v>
      </c>
      <c r="L14" s="19"/>
      <c r="M14" s="18">
        <v>50</v>
      </c>
      <c r="N14" s="20">
        <f t="shared" si="0"/>
        <v>0.02</v>
      </c>
      <c r="O14" s="21">
        <f t="shared" si="1"/>
        <v>0</v>
      </c>
      <c r="P14" s="21">
        <f t="shared" si="2"/>
        <v>14197.69937208521</v>
      </c>
      <c r="Q14" s="22">
        <f t="shared" si="3"/>
        <v>0</v>
      </c>
      <c r="R14" s="23">
        <f t="shared" si="4"/>
        <v>14197.69937208521</v>
      </c>
      <c r="S14" s="70">
        <f>'2020 Dep Exp '!S14</f>
        <v>14197.69937208521</v>
      </c>
      <c r="T14" s="5">
        <f t="shared" si="5"/>
        <v>0</v>
      </c>
    </row>
    <row r="15" spans="1:20">
      <c r="A15" s="14" t="s">
        <v>116</v>
      </c>
      <c r="B15" s="57">
        <v>1815</v>
      </c>
      <c r="C15" s="6" t="s">
        <v>134</v>
      </c>
      <c r="D15" s="31">
        <v>0</v>
      </c>
      <c r="E15" s="17"/>
      <c r="F15" s="4"/>
      <c r="G15" s="70">
        <f>'2020 Dep Exp '!G15+'2020 Dep Exp '!J15</f>
        <v>1938786.9022932483</v>
      </c>
      <c r="H15" s="17"/>
      <c r="I15" s="4">
        <f t="shared" si="6"/>
        <v>1938786.9022932483</v>
      </c>
      <c r="J15" s="70"/>
      <c r="K15" s="13">
        <v>0</v>
      </c>
      <c r="L15" s="19"/>
      <c r="M15" s="18">
        <v>20</v>
      </c>
      <c r="N15" s="20">
        <f t="shared" si="0"/>
        <v>0.05</v>
      </c>
      <c r="O15" s="21">
        <f t="shared" si="1"/>
        <v>0</v>
      </c>
      <c r="P15" s="21">
        <f t="shared" si="2"/>
        <v>96939.345114662414</v>
      </c>
      <c r="Q15" s="22">
        <f t="shared" si="3"/>
        <v>0</v>
      </c>
      <c r="R15" s="23">
        <f t="shared" si="4"/>
        <v>96939.345114662414</v>
      </c>
      <c r="S15" s="70">
        <f>'2020 Dep Exp '!S15</f>
        <v>96939.345114662414</v>
      </c>
      <c r="T15" s="5">
        <f t="shared" si="5"/>
        <v>0</v>
      </c>
    </row>
    <row r="16" spans="1:20">
      <c r="A16" s="14" t="s">
        <v>117</v>
      </c>
      <c r="B16" s="57">
        <v>1815</v>
      </c>
      <c r="C16" s="6" t="s">
        <v>135</v>
      </c>
      <c r="D16" s="31">
        <v>0</v>
      </c>
      <c r="E16" s="17"/>
      <c r="F16" s="4"/>
      <c r="G16" s="70">
        <f>'2020 Dep Exp '!G16+'2020 Dep Exp '!J16</f>
        <v>798005.77388687769</v>
      </c>
      <c r="H16" s="17"/>
      <c r="I16" s="4">
        <f t="shared" si="6"/>
        <v>798005.77388687769</v>
      </c>
      <c r="J16" s="70"/>
      <c r="K16" s="13">
        <v>0</v>
      </c>
      <c r="L16" s="19"/>
      <c r="M16" s="18">
        <v>55</v>
      </c>
      <c r="N16" s="20">
        <f t="shared" si="0"/>
        <v>1.8181818181818181E-2</v>
      </c>
      <c r="O16" s="21">
        <f t="shared" si="1"/>
        <v>0</v>
      </c>
      <c r="P16" s="21">
        <f t="shared" si="2"/>
        <v>14509.195888852322</v>
      </c>
      <c r="Q16" s="22">
        <f t="shared" si="3"/>
        <v>0</v>
      </c>
      <c r="R16" s="23">
        <f t="shared" si="4"/>
        <v>14509.195888852322</v>
      </c>
      <c r="S16" s="70">
        <f>'2020 Dep Exp '!S16</f>
        <v>14509.195888852322</v>
      </c>
      <c r="T16" s="5">
        <f t="shared" si="5"/>
        <v>0</v>
      </c>
    </row>
    <row r="17" spans="1:22">
      <c r="A17" s="14" t="s">
        <v>118</v>
      </c>
      <c r="B17" s="57">
        <v>1815</v>
      </c>
      <c r="C17" s="6" t="s">
        <v>136</v>
      </c>
      <c r="D17" s="31">
        <v>0</v>
      </c>
      <c r="E17" s="17"/>
      <c r="F17" s="4"/>
      <c r="G17" s="70">
        <f>'2020 Dep Exp '!G17+'2020 Dep Exp '!J17</f>
        <v>2227408.2396015017</v>
      </c>
      <c r="H17" s="17"/>
      <c r="I17" s="4">
        <f t="shared" si="6"/>
        <v>2227408.2396015017</v>
      </c>
      <c r="J17" s="70"/>
      <c r="K17" s="13">
        <v>0</v>
      </c>
      <c r="L17" s="19"/>
      <c r="M17" s="18">
        <v>50</v>
      </c>
      <c r="N17" s="20">
        <f t="shared" si="0"/>
        <v>0.02</v>
      </c>
      <c r="O17" s="21">
        <f t="shared" si="1"/>
        <v>0</v>
      </c>
      <c r="P17" s="21">
        <f t="shared" si="2"/>
        <v>44548.164792030031</v>
      </c>
      <c r="Q17" s="22">
        <f t="shared" si="3"/>
        <v>0</v>
      </c>
      <c r="R17" s="23">
        <f t="shared" si="4"/>
        <v>44548.164792030031</v>
      </c>
      <c r="S17" s="70">
        <f>'2020 Dep Exp '!S17</f>
        <v>44548.164792030031</v>
      </c>
      <c r="T17" s="5">
        <f t="shared" si="5"/>
        <v>0</v>
      </c>
    </row>
    <row r="18" spans="1:22">
      <c r="A18" s="14" t="s">
        <v>119</v>
      </c>
      <c r="B18" s="57">
        <v>1815</v>
      </c>
      <c r="C18" s="6" t="s">
        <v>137</v>
      </c>
      <c r="D18" s="31">
        <v>0</v>
      </c>
      <c r="E18" s="17"/>
      <c r="F18" s="4"/>
      <c r="G18" s="70">
        <f>'2020 Dep Exp '!G18+'2020 Dep Exp '!J18</f>
        <v>1627038.3438421127</v>
      </c>
      <c r="H18" s="17"/>
      <c r="I18" s="4">
        <f t="shared" si="6"/>
        <v>1627038.3438421127</v>
      </c>
      <c r="J18" s="70"/>
      <c r="K18" s="13">
        <v>0</v>
      </c>
      <c r="L18" s="19"/>
      <c r="M18" s="18">
        <v>40</v>
      </c>
      <c r="N18" s="20">
        <f t="shared" si="0"/>
        <v>2.5000000000000001E-2</v>
      </c>
      <c r="O18" s="21">
        <f t="shared" si="1"/>
        <v>0</v>
      </c>
      <c r="P18" s="21">
        <f t="shared" si="2"/>
        <v>40675.95859605282</v>
      </c>
      <c r="Q18" s="22">
        <f t="shared" si="3"/>
        <v>0</v>
      </c>
      <c r="R18" s="23">
        <f t="shared" si="4"/>
        <v>40675.95859605282</v>
      </c>
      <c r="S18" s="70">
        <f>'2020 Dep Exp '!S18</f>
        <v>40675.95859605282</v>
      </c>
      <c r="T18" s="5">
        <f t="shared" si="5"/>
        <v>0</v>
      </c>
    </row>
    <row r="19" spans="1:22">
      <c r="A19" s="14" t="s">
        <v>120</v>
      </c>
      <c r="B19" s="57">
        <v>1815</v>
      </c>
      <c r="C19" s="6" t="s">
        <v>138</v>
      </c>
      <c r="D19" s="31">
        <v>0</v>
      </c>
      <c r="E19" s="17"/>
      <c r="F19" s="4"/>
      <c r="G19" s="70">
        <f>'2020 Dep Exp '!G19+'2020 Dep Exp '!J19</f>
        <v>1542573.8910516659</v>
      </c>
      <c r="H19" s="17"/>
      <c r="I19" s="4">
        <f t="shared" si="6"/>
        <v>1542573.8910516659</v>
      </c>
      <c r="J19" s="70"/>
      <c r="K19" s="13">
        <v>0</v>
      </c>
      <c r="L19" s="19"/>
      <c r="M19" s="18">
        <v>55</v>
      </c>
      <c r="N19" s="20">
        <f t="shared" si="0"/>
        <v>1.8181818181818181E-2</v>
      </c>
      <c r="O19" s="21">
        <f t="shared" si="1"/>
        <v>0</v>
      </c>
      <c r="P19" s="21">
        <f t="shared" si="2"/>
        <v>28046.798019121197</v>
      </c>
      <c r="Q19" s="22">
        <f t="shared" si="3"/>
        <v>0</v>
      </c>
      <c r="R19" s="23">
        <f t="shared" si="4"/>
        <v>28046.798019121197</v>
      </c>
      <c r="S19" s="70">
        <f>'2020 Dep Exp '!S19</f>
        <v>28046.798019121197</v>
      </c>
      <c r="T19" s="5">
        <f t="shared" si="5"/>
        <v>0</v>
      </c>
    </row>
    <row r="20" spans="1:22">
      <c r="A20" s="14" t="s">
        <v>121</v>
      </c>
      <c r="B20" s="57">
        <v>1815</v>
      </c>
      <c r="C20" s="6" t="s">
        <v>139</v>
      </c>
      <c r="D20" s="31">
        <v>0</v>
      </c>
      <c r="E20" s="17"/>
      <c r="F20" s="4"/>
      <c r="G20" s="70">
        <f>'2020 Dep Exp '!G20+'2020 Dep Exp '!J20</f>
        <v>445953.10949764022</v>
      </c>
      <c r="H20" s="17"/>
      <c r="I20" s="4">
        <f t="shared" si="6"/>
        <v>445953.10949764022</v>
      </c>
      <c r="J20" s="70"/>
      <c r="K20" s="13">
        <v>0</v>
      </c>
      <c r="L20" s="19"/>
      <c r="M20" s="18">
        <v>15</v>
      </c>
      <c r="N20" s="20">
        <f t="shared" si="0"/>
        <v>6.6666666666666666E-2</v>
      </c>
      <c r="O20" s="21">
        <f t="shared" si="1"/>
        <v>0</v>
      </c>
      <c r="P20" s="21">
        <f t="shared" si="2"/>
        <v>29730.207299842681</v>
      </c>
      <c r="Q20" s="22">
        <f t="shared" si="3"/>
        <v>0</v>
      </c>
      <c r="R20" s="23">
        <f t="shared" si="4"/>
        <v>29730.207299842681</v>
      </c>
      <c r="S20" s="70">
        <f>'2020 Dep Exp '!S20</f>
        <v>29730.207299842681</v>
      </c>
      <c r="T20" s="5">
        <f t="shared" si="5"/>
        <v>0</v>
      </c>
    </row>
    <row r="21" spans="1:22">
      <c r="A21" s="14" t="s">
        <v>122</v>
      </c>
      <c r="B21" s="57">
        <v>1815</v>
      </c>
      <c r="C21" s="6" t="s">
        <v>140</v>
      </c>
      <c r="D21" s="31">
        <v>0</v>
      </c>
      <c r="E21" s="17"/>
      <c r="F21" s="4"/>
      <c r="G21" s="70">
        <f>'2020 Dep Exp '!G21+'2020 Dep Exp '!J21</f>
        <v>3251988.7997565572</v>
      </c>
      <c r="H21" s="17"/>
      <c r="I21" s="4">
        <f t="shared" si="6"/>
        <v>3251988.7997565572</v>
      </c>
      <c r="J21" s="70"/>
      <c r="K21" s="13">
        <v>0</v>
      </c>
      <c r="L21" s="19"/>
      <c r="M21" s="18">
        <v>50</v>
      </c>
      <c r="N21" s="20">
        <f t="shared" si="0"/>
        <v>0.02</v>
      </c>
      <c r="O21" s="21">
        <f t="shared" si="1"/>
        <v>0</v>
      </c>
      <c r="P21" s="21">
        <f t="shared" si="2"/>
        <v>65039.775995131145</v>
      </c>
      <c r="Q21" s="22">
        <f t="shared" si="3"/>
        <v>0</v>
      </c>
      <c r="R21" s="23">
        <f t="shared" si="4"/>
        <v>65039.775995131145</v>
      </c>
      <c r="S21" s="70">
        <f>'2020 Dep Exp '!S21</f>
        <v>65039.775995131145</v>
      </c>
      <c r="T21" s="5">
        <f t="shared" si="5"/>
        <v>0</v>
      </c>
    </row>
    <row r="22" spans="1:22">
      <c r="A22" s="14" t="s">
        <v>123</v>
      </c>
      <c r="B22" s="57">
        <v>1815</v>
      </c>
      <c r="C22" s="6" t="s">
        <v>140</v>
      </c>
      <c r="D22" s="31">
        <v>0</v>
      </c>
      <c r="E22" s="17"/>
      <c r="F22" s="4"/>
      <c r="G22" s="70">
        <f>'2020 Dep Exp '!G22+'2020 Dep Exp '!J22</f>
        <v>285337.7016197496</v>
      </c>
      <c r="H22" s="17"/>
      <c r="I22" s="4">
        <f t="shared" si="6"/>
        <v>285337.7016197496</v>
      </c>
      <c r="J22" s="70"/>
      <c r="K22" s="13">
        <v>0</v>
      </c>
      <c r="L22" s="19"/>
      <c r="M22" s="18">
        <v>25</v>
      </c>
      <c r="N22" s="20">
        <f t="shared" si="0"/>
        <v>0.04</v>
      </c>
      <c r="O22" s="21">
        <f t="shared" si="1"/>
        <v>0</v>
      </c>
      <c r="P22" s="21">
        <f t="shared" si="2"/>
        <v>11413.508064789983</v>
      </c>
      <c r="Q22" s="22">
        <f t="shared" si="3"/>
        <v>0</v>
      </c>
      <c r="R22" s="23">
        <f t="shared" si="4"/>
        <v>11413.508064789983</v>
      </c>
      <c r="S22" s="70">
        <f>'2020 Dep Exp '!S22</f>
        <v>11413.508064789983</v>
      </c>
      <c r="T22" s="5">
        <f t="shared" si="5"/>
        <v>0</v>
      </c>
    </row>
    <row r="23" spans="1:22">
      <c r="A23" s="14" t="s">
        <v>124</v>
      </c>
      <c r="B23" s="57">
        <v>1815</v>
      </c>
      <c r="C23" s="6" t="s">
        <v>140</v>
      </c>
      <c r="D23" s="31">
        <v>0</v>
      </c>
      <c r="E23" s="17"/>
      <c r="F23" s="4"/>
      <c r="G23" s="70">
        <f>'2020 Dep Exp '!G23+'2020 Dep Exp '!J23</f>
        <v>315382.03969105484</v>
      </c>
      <c r="H23" s="17"/>
      <c r="I23" s="4">
        <f t="shared" si="6"/>
        <v>315382.03969105484</v>
      </c>
      <c r="J23" s="70"/>
      <c r="K23" s="13">
        <v>0</v>
      </c>
      <c r="L23" s="19"/>
      <c r="M23" s="18">
        <v>35</v>
      </c>
      <c r="N23" s="20">
        <f t="shared" si="0"/>
        <v>2.8571428571428571E-2</v>
      </c>
      <c r="O23" s="21">
        <f t="shared" si="1"/>
        <v>0</v>
      </c>
      <c r="P23" s="21">
        <f t="shared" si="2"/>
        <v>9010.9154197444241</v>
      </c>
      <c r="Q23" s="22">
        <f t="shared" si="3"/>
        <v>0</v>
      </c>
      <c r="R23" s="23">
        <f t="shared" si="4"/>
        <v>9010.9154197444241</v>
      </c>
      <c r="S23" s="70">
        <f>'2020 Dep Exp '!S23</f>
        <v>9010.9154197444241</v>
      </c>
      <c r="T23" s="5">
        <f t="shared" si="5"/>
        <v>0</v>
      </c>
    </row>
    <row r="24" spans="1:22">
      <c r="A24" s="14" t="s">
        <v>125</v>
      </c>
      <c r="B24" s="57">
        <v>1815</v>
      </c>
      <c r="C24" s="6" t="s">
        <v>140</v>
      </c>
      <c r="D24" s="31">
        <v>0</v>
      </c>
      <c r="E24" s="17"/>
      <c r="F24" s="4"/>
      <c r="G24" s="70">
        <f>'2020 Dep Exp '!G24+'2020 Dep Exp '!J24</f>
        <v>339830.48615598527</v>
      </c>
      <c r="H24" s="17"/>
      <c r="I24" s="4">
        <f t="shared" si="6"/>
        <v>339830.48615598527</v>
      </c>
      <c r="J24" s="70"/>
      <c r="K24" s="13">
        <v>0</v>
      </c>
      <c r="L24" s="19"/>
      <c r="M24" s="18">
        <v>20</v>
      </c>
      <c r="N24" s="20">
        <f t="shared" si="0"/>
        <v>0.05</v>
      </c>
      <c r="O24" s="21">
        <f t="shared" si="1"/>
        <v>0</v>
      </c>
      <c r="P24" s="21">
        <f t="shared" si="2"/>
        <v>16991.524307799264</v>
      </c>
      <c r="Q24" s="22">
        <f t="shared" si="3"/>
        <v>0</v>
      </c>
      <c r="R24" s="23">
        <f t="shared" si="4"/>
        <v>16991.524307799264</v>
      </c>
      <c r="S24" s="70">
        <f>'2020 Dep Exp '!S24</f>
        <v>16991.524307799264</v>
      </c>
      <c r="T24" s="5">
        <f t="shared" si="5"/>
        <v>0</v>
      </c>
    </row>
    <row r="25" spans="1:22">
      <c r="A25" s="14" t="s">
        <v>126</v>
      </c>
      <c r="B25" s="57">
        <v>1815</v>
      </c>
      <c r="C25" s="6" t="s">
        <v>141</v>
      </c>
      <c r="D25" s="31">
        <v>0</v>
      </c>
      <c r="E25" s="17"/>
      <c r="F25" s="4"/>
      <c r="G25" s="70">
        <f>'2020 Dep Exp '!G25+'2020 Dep Exp '!J25</f>
        <v>320207.57662488916</v>
      </c>
      <c r="H25" s="17"/>
      <c r="I25" s="4">
        <f t="shared" si="6"/>
        <v>320207.57662488916</v>
      </c>
      <c r="J25" s="70"/>
      <c r="K25" s="13">
        <v>0</v>
      </c>
      <c r="L25" s="19"/>
      <c r="M25" s="18">
        <v>20</v>
      </c>
      <c r="N25" s="20">
        <f t="shared" si="0"/>
        <v>0.05</v>
      </c>
      <c r="O25" s="21">
        <f t="shared" si="1"/>
        <v>0</v>
      </c>
      <c r="P25" s="21">
        <f t="shared" si="2"/>
        <v>16010.378831244458</v>
      </c>
      <c r="Q25" s="22">
        <f t="shared" si="3"/>
        <v>0</v>
      </c>
      <c r="R25" s="23">
        <f t="shared" si="4"/>
        <v>16010.378831244458</v>
      </c>
      <c r="S25" s="70">
        <f>'2020 Dep Exp '!S25</f>
        <v>16010.378831244458</v>
      </c>
      <c r="T25" s="5">
        <f t="shared" si="5"/>
        <v>0</v>
      </c>
    </row>
    <row r="26" spans="1:22">
      <c r="A26" s="14" t="s">
        <v>127</v>
      </c>
      <c r="B26" s="57">
        <v>1815</v>
      </c>
      <c r="C26" s="6" t="s">
        <v>142</v>
      </c>
      <c r="D26" s="31"/>
      <c r="E26" s="17"/>
      <c r="F26" s="4"/>
      <c r="G26" s="70">
        <f>'2020 Dep Exp '!G26+'2020 Dep Exp '!J26</f>
        <v>546807.14039024559</v>
      </c>
      <c r="H26" s="17"/>
      <c r="I26" s="4">
        <f t="shared" si="6"/>
        <v>546807.14039024559</v>
      </c>
      <c r="J26" s="70"/>
      <c r="K26" s="13">
        <v>0</v>
      </c>
      <c r="L26" s="19"/>
      <c r="M26" s="18">
        <v>45</v>
      </c>
      <c r="N26" s="20">
        <f t="shared" si="0"/>
        <v>2.2222222222222223E-2</v>
      </c>
      <c r="O26" s="21">
        <f t="shared" si="1"/>
        <v>0</v>
      </c>
      <c r="P26" s="21">
        <f t="shared" si="2"/>
        <v>12151.269786449902</v>
      </c>
      <c r="Q26" s="22">
        <f t="shared" si="3"/>
        <v>0</v>
      </c>
      <c r="R26" s="23">
        <f t="shared" si="4"/>
        <v>12151.269786449902</v>
      </c>
      <c r="S26" s="70">
        <f>'2020 Dep Exp '!S26</f>
        <v>12151.269786449902</v>
      </c>
      <c r="T26" s="5">
        <f t="shared" si="5"/>
        <v>0</v>
      </c>
    </row>
    <row r="27" spans="1:22">
      <c r="B27" s="57"/>
      <c r="C27" s="6"/>
      <c r="D27" s="31"/>
      <c r="E27" s="17"/>
      <c r="F27" s="4"/>
      <c r="G27" s="70">
        <f>'2020 Dep Exp '!G27+'2020 Dep Exp '!J27</f>
        <v>0</v>
      </c>
      <c r="H27" s="17"/>
      <c r="I27" s="4"/>
      <c r="J27" s="70"/>
      <c r="K27" s="13"/>
      <c r="L27" s="19"/>
      <c r="M27" s="18"/>
      <c r="N27" s="20"/>
      <c r="O27" s="99"/>
      <c r="P27" s="100"/>
      <c r="Q27" s="101"/>
      <c r="R27" s="102"/>
      <c r="S27" s="70"/>
      <c r="T27" s="5"/>
    </row>
    <row r="28" spans="1:22">
      <c r="A28" t="s">
        <v>71</v>
      </c>
      <c r="B28" s="57">
        <v>1830</v>
      </c>
      <c r="C28" s="6" t="s">
        <v>44</v>
      </c>
      <c r="D28" s="31">
        <f>'2020 Dep Exp '!F28</f>
        <v>19527826.240000002</v>
      </c>
      <c r="E28" s="17"/>
      <c r="F28" s="4">
        <f>D28-E28</f>
        <v>19527826.240000002</v>
      </c>
      <c r="G28" s="70">
        <f>'2020 Dep Exp '!I28+'2020 Dep Exp '!J28</f>
        <v>13716239.89846283</v>
      </c>
      <c r="H28" s="17"/>
      <c r="I28" s="4">
        <f>G28-H28</f>
        <v>13716239.89846283</v>
      </c>
      <c r="J28" s="70">
        <v>1751438.8603999997</v>
      </c>
      <c r="K28" s="18">
        <v>49</v>
      </c>
      <c r="L28" s="19">
        <f>IF(K28=0,0,1/K28)</f>
        <v>2.0408163265306121E-2</v>
      </c>
      <c r="M28" s="18">
        <v>50</v>
      </c>
      <c r="N28" s="20">
        <f>IF(M28=0,0,1/M28)</f>
        <v>0.02</v>
      </c>
      <c r="O28" s="21">
        <f>IF(K28=0,0,+F28/K28)</f>
        <v>398527.066122449</v>
      </c>
      <c r="P28" s="21">
        <f>IF(M28=0,0,+I28/M28)</f>
        <v>274324.79796925659</v>
      </c>
      <c r="Q28" s="22">
        <f>IF(M28=0,0,+(J28*0.5)/M28)</f>
        <v>17514.388603999996</v>
      </c>
      <c r="R28" s="23">
        <f>IF(ISERROR(+O28+P28+Q28),0,+O28+P28+Q28)</f>
        <v>690366.25269570551</v>
      </c>
      <c r="S28" s="70">
        <f>678394.141973257-1-4</f>
        <v>678389.14197325695</v>
      </c>
      <c r="T28" s="5">
        <f>IF(ISERROR(+S28-R28),0,+S28-R28)</f>
        <v>-11977.11072244856</v>
      </c>
      <c r="V28" t="str">
        <f>CONCATENATE(B28,C28)</f>
        <v>1830Poles</v>
      </c>
    </row>
    <row r="29" spans="1:22">
      <c r="A29" t="s">
        <v>72</v>
      </c>
      <c r="B29" s="57">
        <v>1835</v>
      </c>
      <c r="C29" s="6" t="s">
        <v>45</v>
      </c>
      <c r="D29" s="31">
        <f>'2020 Dep Exp '!F29</f>
        <v>6516643.6000000006</v>
      </c>
      <c r="E29" s="17"/>
      <c r="F29" s="4">
        <f t="shared" ref="F29:F39" si="7">D29-E29</f>
        <v>6516643.6000000006</v>
      </c>
      <c r="G29" s="70">
        <f>'2020 Dep Exp '!I29+'2020 Dep Exp '!J29</f>
        <v>1690614.1889365707</v>
      </c>
      <c r="H29" s="17"/>
      <c r="I29" s="4">
        <f t="shared" ref="I29:I78" si="8">G29-H29</f>
        <v>1690614.1889365707</v>
      </c>
      <c r="J29" s="70">
        <v>388281.72499999998</v>
      </c>
      <c r="K29" s="18">
        <v>44.5</v>
      </c>
      <c r="L29" s="19">
        <f t="shared" ref="L29:L78" si="9">IF(K29=0,0,1/K29)</f>
        <v>2.247191011235955E-2</v>
      </c>
      <c r="M29" s="18">
        <v>50</v>
      </c>
      <c r="N29" s="20">
        <f t="shared" ref="N29:N78" si="10">IF(M29=0,0,1/M29)</f>
        <v>0.02</v>
      </c>
      <c r="O29" s="21">
        <f t="shared" ref="O29:O39" si="11">IF(K29=0,0,+F29/K29)</f>
        <v>146441.42921348315</v>
      </c>
      <c r="P29" s="21">
        <f t="shared" ref="P29:P78" si="12">IF(M29=0,0,+I29/M29)</f>
        <v>33812.283778731413</v>
      </c>
      <c r="Q29" s="22">
        <f>IF(M29=0,0,+(J29*0.5)/M29)</f>
        <v>3882.8172499999996</v>
      </c>
      <c r="R29" s="23">
        <f t="shared" ref="R29:R39" si="13">IF(ISERROR(+O29+P29+Q29),0,+O29+P29+Q29)</f>
        <v>184136.53024221456</v>
      </c>
      <c r="S29" s="70">
        <v>184792.5904287314</v>
      </c>
      <c r="T29" s="5">
        <f t="shared" ref="T29:T39" si="14">IF(ISERROR(+S29-R29),0,+S29-R29)</f>
        <v>656.0601865168428</v>
      </c>
      <c r="V29" t="str">
        <f t="shared" ref="V29:V81" si="15">CONCATENATE(B29,C29)</f>
        <v>1835OH Conductors</v>
      </c>
    </row>
    <row r="30" spans="1:22">
      <c r="A30" t="s">
        <v>73</v>
      </c>
      <c r="B30" s="57">
        <v>1835</v>
      </c>
      <c r="C30" s="6" t="s">
        <v>46</v>
      </c>
      <c r="D30" s="31">
        <f>'2020 Dep Exp '!F30</f>
        <v>1292.6100000000001</v>
      </c>
      <c r="E30" s="17"/>
      <c r="F30" s="4">
        <f t="shared" si="7"/>
        <v>1292.6100000000001</v>
      </c>
      <c r="G30" s="70">
        <f>'2020 Dep Exp '!I30+'2020 Dep Exp '!J30</f>
        <v>3208410.1529289819</v>
      </c>
      <c r="H30" s="17"/>
      <c r="I30" s="4">
        <f t="shared" si="8"/>
        <v>3208410.1529289819</v>
      </c>
      <c r="J30" s="70">
        <v>408890.12900000002</v>
      </c>
      <c r="K30" s="18">
        <v>34.5</v>
      </c>
      <c r="L30" s="19">
        <f t="shared" si="9"/>
        <v>2.8985507246376812E-2</v>
      </c>
      <c r="M30" s="18">
        <v>40</v>
      </c>
      <c r="N30" s="20">
        <f t="shared" si="10"/>
        <v>2.5000000000000001E-2</v>
      </c>
      <c r="O30" s="21">
        <f t="shared" si="11"/>
        <v>37.466956521739135</v>
      </c>
      <c r="P30" s="21">
        <f t="shared" si="12"/>
        <v>80210.253823224542</v>
      </c>
      <c r="Q30" s="22">
        <f>IF(M30=0,0,+(J30*0.5)/M30)</f>
        <v>5111.1266125000002</v>
      </c>
      <c r="R30" s="23">
        <f t="shared" si="13"/>
        <v>85358.847392246273</v>
      </c>
      <c r="S30" s="70">
        <v>104892.87343572454</v>
      </c>
      <c r="T30" s="5">
        <f t="shared" si="14"/>
        <v>19534.026043478269</v>
      </c>
      <c r="V30" t="str">
        <f t="shared" si="15"/>
        <v>1835OH Switches</v>
      </c>
    </row>
    <row r="31" spans="1:22">
      <c r="B31" s="57"/>
      <c r="C31" s="6"/>
      <c r="D31" s="31">
        <f>'2020 Dep Exp '!F31</f>
        <v>0</v>
      </c>
      <c r="E31" s="17"/>
      <c r="F31" s="4"/>
      <c r="G31" s="70">
        <f>'2020 Dep Exp '!I31+'2020 Dep Exp '!J31</f>
        <v>0</v>
      </c>
      <c r="H31" s="17"/>
      <c r="I31" s="4">
        <f t="shared" si="8"/>
        <v>0</v>
      </c>
      <c r="J31" s="70"/>
      <c r="K31" s="18">
        <v>0</v>
      </c>
      <c r="L31" s="19">
        <f t="shared" si="9"/>
        <v>0</v>
      </c>
      <c r="M31" s="18">
        <v>0</v>
      </c>
      <c r="N31" s="20">
        <f t="shared" si="10"/>
        <v>0</v>
      </c>
      <c r="O31" s="21"/>
      <c r="P31" s="21">
        <f t="shared" si="12"/>
        <v>0</v>
      </c>
      <c r="Q31" s="22"/>
      <c r="R31" s="23"/>
      <c r="S31" s="70"/>
      <c r="T31" s="5"/>
    </row>
    <row r="32" spans="1:22">
      <c r="A32" t="s">
        <v>74</v>
      </c>
      <c r="B32" s="57">
        <v>1845</v>
      </c>
      <c r="C32" s="6" t="s">
        <v>47</v>
      </c>
      <c r="D32" s="31">
        <f>'2020 Dep Exp '!F32</f>
        <v>7045633.0100000007</v>
      </c>
      <c r="E32" s="17"/>
      <c r="F32" s="4">
        <f t="shared" si="7"/>
        <v>7045633.0100000007</v>
      </c>
      <c r="G32" s="70">
        <f>'2020 Dep Exp '!I32+'2020 Dep Exp '!J32</f>
        <v>3231016.153439017</v>
      </c>
      <c r="H32" s="17"/>
      <c r="I32" s="4">
        <f t="shared" si="8"/>
        <v>3231016.153439017</v>
      </c>
      <c r="J32" s="70">
        <v>485426.61375000002</v>
      </c>
      <c r="K32" s="18">
        <v>36.5</v>
      </c>
      <c r="L32" s="19">
        <f t="shared" si="9"/>
        <v>2.7397260273972601E-2</v>
      </c>
      <c r="M32" s="18">
        <v>40</v>
      </c>
      <c r="N32" s="20">
        <f t="shared" si="10"/>
        <v>2.5000000000000001E-2</v>
      </c>
      <c r="O32" s="21">
        <f t="shared" si="11"/>
        <v>193031.04136986303</v>
      </c>
      <c r="P32" s="21">
        <f t="shared" si="12"/>
        <v>80775.403835975419</v>
      </c>
      <c r="Q32" s="22">
        <f t="shared" ref="Q32:Q39" si="16">IF(M32=0,0,+(J32*0.5)/M32)</f>
        <v>6067.8326718750004</v>
      </c>
      <c r="R32" s="23">
        <f t="shared" si="13"/>
        <v>279874.27787771344</v>
      </c>
      <c r="S32" s="70">
        <v>305891.87550785043</v>
      </c>
      <c r="T32" s="5">
        <f t="shared" si="14"/>
        <v>26017.597630136996</v>
      </c>
      <c r="V32" t="str">
        <f t="shared" si="15"/>
        <v>1845UG Primary Cables</v>
      </c>
    </row>
    <row r="33" spans="1:22">
      <c r="A33" t="s">
        <v>75</v>
      </c>
      <c r="B33" s="57">
        <v>1845</v>
      </c>
      <c r="C33" s="6" t="s">
        <v>48</v>
      </c>
      <c r="D33" s="31">
        <f>'2020 Dep Exp '!F33</f>
        <v>3303315.36</v>
      </c>
      <c r="E33" s="17"/>
      <c r="F33" s="4">
        <f t="shared" si="7"/>
        <v>3303315.36</v>
      </c>
      <c r="G33" s="70">
        <f>'2020 Dep Exp '!I33+'2020 Dep Exp '!J33</f>
        <v>2245165.7445400725</v>
      </c>
      <c r="H33" s="17"/>
      <c r="I33" s="4">
        <f t="shared" si="8"/>
        <v>2245165.7445400725</v>
      </c>
      <c r="J33" s="70">
        <v>239673.10472</v>
      </c>
      <c r="K33" s="18">
        <v>34.5</v>
      </c>
      <c r="L33" s="19">
        <f t="shared" si="9"/>
        <v>2.8985507246376812E-2</v>
      </c>
      <c r="M33" s="18">
        <v>40</v>
      </c>
      <c r="N33" s="20">
        <f t="shared" si="10"/>
        <v>2.5000000000000001E-2</v>
      </c>
      <c r="O33" s="21">
        <f t="shared" si="11"/>
        <v>95748.271304347829</v>
      </c>
      <c r="P33" s="21">
        <f t="shared" si="12"/>
        <v>56129.143613501816</v>
      </c>
      <c r="Q33" s="22">
        <f t="shared" si="16"/>
        <v>2995.9138090000001</v>
      </c>
      <c r="R33" s="23">
        <f t="shared" si="13"/>
        <v>154873.32872684964</v>
      </c>
      <c r="S33" s="70">
        <v>149192.64492250179</v>
      </c>
      <c r="T33" s="5">
        <f t="shared" si="14"/>
        <v>-5680.6838043478492</v>
      </c>
      <c r="V33" t="str">
        <f t="shared" si="15"/>
        <v>1845UG Secondary Cables</v>
      </c>
    </row>
    <row r="34" spans="1:22">
      <c r="A34" t="s">
        <v>76</v>
      </c>
      <c r="B34" s="57">
        <v>1845</v>
      </c>
      <c r="C34" s="6" t="s">
        <v>49</v>
      </c>
      <c r="D34" s="31">
        <f>'2020 Dep Exp '!F34</f>
        <v>2737.28</v>
      </c>
      <c r="E34" s="17"/>
      <c r="F34" s="4">
        <f t="shared" si="7"/>
        <v>2737.28</v>
      </c>
      <c r="G34" s="70">
        <f>'2020 Dep Exp '!I34+'2020 Dep Exp '!J34</f>
        <v>616264.02</v>
      </c>
      <c r="H34" s="17"/>
      <c r="I34" s="4">
        <f t="shared" si="8"/>
        <v>616264.02</v>
      </c>
      <c r="J34" s="70">
        <v>0</v>
      </c>
      <c r="K34" s="18">
        <v>24.181818181818183</v>
      </c>
      <c r="L34" s="19">
        <f t="shared" si="9"/>
        <v>4.1353383458646614E-2</v>
      </c>
      <c r="M34" s="18">
        <v>50</v>
      </c>
      <c r="N34" s="20">
        <f t="shared" si="10"/>
        <v>0.02</v>
      </c>
      <c r="O34" s="21">
        <f t="shared" si="11"/>
        <v>113.19578947368421</v>
      </c>
      <c r="P34" s="21">
        <f t="shared" si="12"/>
        <v>12325.2804</v>
      </c>
      <c r="Q34" s="22">
        <f t="shared" si="16"/>
        <v>0</v>
      </c>
      <c r="R34" s="23">
        <f t="shared" si="13"/>
        <v>12438.476189473684</v>
      </c>
      <c r="S34" s="70">
        <v>11928</v>
      </c>
      <c r="T34" s="5">
        <f t="shared" si="14"/>
        <v>-510.47618947368392</v>
      </c>
      <c r="V34" t="str">
        <f t="shared" si="15"/>
        <v>1845UG Switchgear</v>
      </c>
    </row>
    <row r="35" spans="1:22">
      <c r="A35" t="s">
        <v>77</v>
      </c>
      <c r="B35" s="57">
        <v>1840</v>
      </c>
      <c r="C35" s="6" t="s">
        <v>50</v>
      </c>
      <c r="D35" s="31">
        <f>'2020 Dep Exp '!F35</f>
        <v>1053497.98</v>
      </c>
      <c r="E35" s="17"/>
      <c r="F35" s="4">
        <f t="shared" si="7"/>
        <v>1053497.98</v>
      </c>
      <c r="G35" s="70">
        <f>'2020 Dep Exp '!I35+'2020 Dep Exp '!J35</f>
        <v>978274.71943030658</v>
      </c>
      <c r="H35" s="17"/>
      <c r="I35" s="4">
        <f t="shared" si="8"/>
        <v>978274.71943030658</v>
      </c>
      <c r="J35" s="70">
        <v>417830.19698000001</v>
      </c>
      <c r="K35" s="18">
        <v>44.18181818181818</v>
      </c>
      <c r="L35" s="19">
        <f t="shared" si="9"/>
        <v>2.2633744855967079E-2</v>
      </c>
      <c r="M35" s="18">
        <v>50</v>
      </c>
      <c r="N35" s="20">
        <f t="shared" si="10"/>
        <v>0.02</v>
      </c>
      <c r="O35" s="21">
        <f t="shared" si="11"/>
        <v>23844.604485596708</v>
      </c>
      <c r="P35" s="21">
        <f t="shared" si="12"/>
        <v>19565.49438860613</v>
      </c>
      <c r="Q35" s="22">
        <f t="shared" si="16"/>
        <v>4178.3019697999998</v>
      </c>
      <c r="R35" s="23">
        <f t="shared" si="13"/>
        <v>47588.400844002841</v>
      </c>
      <c r="S35" s="70">
        <v>36513.217558406133</v>
      </c>
      <c r="T35" s="5">
        <f t="shared" si="14"/>
        <v>-11075.183285596708</v>
      </c>
      <c r="V35" t="str">
        <f t="shared" si="15"/>
        <v>1840Ducts</v>
      </c>
    </row>
    <row r="36" spans="1:22">
      <c r="A36" t="s">
        <v>88</v>
      </c>
      <c r="B36" s="57"/>
      <c r="C36" s="6"/>
      <c r="D36" s="31">
        <f>'2020 Dep Exp '!F36</f>
        <v>0</v>
      </c>
      <c r="E36" s="17"/>
      <c r="F36" s="4">
        <f t="shared" si="7"/>
        <v>0</v>
      </c>
      <c r="G36" s="70">
        <f>'2020 Dep Exp '!I36+'2020 Dep Exp '!J36</f>
        <v>0</v>
      </c>
      <c r="H36" s="17"/>
      <c r="I36" s="4">
        <f t="shared" si="8"/>
        <v>0</v>
      </c>
      <c r="J36" s="70"/>
      <c r="K36" s="18">
        <v>0</v>
      </c>
      <c r="L36" s="19">
        <f t="shared" si="9"/>
        <v>0</v>
      </c>
      <c r="M36" s="18">
        <v>0</v>
      </c>
      <c r="N36" s="20">
        <f t="shared" si="10"/>
        <v>0</v>
      </c>
      <c r="O36" s="21">
        <f t="shared" si="11"/>
        <v>0</v>
      </c>
      <c r="P36" s="21">
        <f t="shared" si="12"/>
        <v>0</v>
      </c>
      <c r="Q36" s="22">
        <f t="shared" si="16"/>
        <v>0</v>
      </c>
      <c r="R36" s="23">
        <f t="shared" si="13"/>
        <v>0</v>
      </c>
      <c r="S36" s="70"/>
      <c r="T36" s="5">
        <f t="shared" si="14"/>
        <v>0</v>
      </c>
      <c r="V36" t="str">
        <f t="shared" si="15"/>
        <v/>
      </c>
    </row>
    <row r="37" spans="1:22">
      <c r="B37" s="57"/>
      <c r="C37" s="6"/>
      <c r="D37" s="31">
        <f>'2020 Dep Exp '!F37</f>
        <v>0</v>
      </c>
      <c r="E37" s="17"/>
      <c r="F37" s="4">
        <f t="shared" si="7"/>
        <v>0</v>
      </c>
      <c r="G37" s="70">
        <f>'2020 Dep Exp '!I37+'2020 Dep Exp '!J37</f>
        <v>0</v>
      </c>
      <c r="H37" s="17"/>
      <c r="I37" s="4">
        <f t="shared" si="8"/>
        <v>0</v>
      </c>
      <c r="J37" s="70"/>
      <c r="K37" s="18">
        <v>0</v>
      </c>
      <c r="L37" s="19">
        <f t="shared" si="9"/>
        <v>0</v>
      </c>
      <c r="M37" s="18">
        <v>0</v>
      </c>
      <c r="N37" s="20">
        <f t="shared" si="10"/>
        <v>0</v>
      </c>
      <c r="O37" s="21">
        <f t="shared" si="11"/>
        <v>0</v>
      </c>
      <c r="P37" s="21">
        <f t="shared" si="12"/>
        <v>0</v>
      </c>
      <c r="Q37" s="22">
        <f t="shared" si="16"/>
        <v>0</v>
      </c>
      <c r="R37" s="23">
        <f t="shared" si="13"/>
        <v>0</v>
      </c>
      <c r="S37" s="70"/>
      <c r="T37" s="5">
        <f t="shared" si="14"/>
        <v>0</v>
      </c>
      <c r="V37" t="str">
        <f t="shared" si="15"/>
        <v/>
      </c>
    </row>
    <row r="38" spans="1:22">
      <c r="A38" t="s">
        <v>78</v>
      </c>
      <c r="B38" s="57">
        <v>1850</v>
      </c>
      <c r="C38" s="6" t="s">
        <v>51</v>
      </c>
      <c r="D38" s="31">
        <f>'2020 Dep Exp '!F38</f>
        <v>1136469.78</v>
      </c>
      <c r="E38" s="17"/>
      <c r="F38" s="4">
        <f t="shared" si="7"/>
        <v>1136469.78</v>
      </c>
      <c r="G38" s="70">
        <f>'2020 Dep Exp '!I38+'2020 Dep Exp '!J38</f>
        <v>7609798.5600876706</v>
      </c>
      <c r="H38" s="17"/>
      <c r="I38" s="4">
        <f t="shared" si="8"/>
        <v>7609798.5600876706</v>
      </c>
      <c r="J38" s="70">
        <v>435212.84779999999</v>
      </c>
      <c r="K38" s="18">
        <v>40</v>
      </c>
      <c r="L38" s="19">
        <f t="shared" si="9"/>
        <v>2.5000000000000001E-2</v>
      </c>
      <c r="M38" s="18">
        <v>40</v>
      </c>
      <c r="N38" s="20">
        <f t="shared" si="10"/>
        <v>2.5000000000000001E-2</v>
      </c>
      <c r="O38" s="21">
        <f t="shared" si="11"/>
        <v>28411.744500000001</v>
      </c>
      <c r="P38" s="21">
        <f t="shared" si="12"/>
        <v>190244.96400219176</v>
      </c>
      <c r="Q38" s="22">
        <f t="shared" si="16"/>
        <v>5440.1605975000002</v>
      </c>
      <c r="R38" s="23">
        <f t="shared" si="13"/>
        <v>224096.86909969177</v>
      </c>
      <c r="S38" s="70">
        <v>183237.71334969177</v>
      </c>
      <c r="T38" s="5">
        <f t="shared" si="14"/>
        <v>-40859.155750000005</v>
      </c>
      <c r="V38" t="str">
        <f t="shared" si="15"/>
        <v>1850OH Transformers &amp; Voltage Regulators</v>
      </c>
    </row>
    <row r="39" spans="1:22">
      <c r="A39" t="s">
        <v>79</v>
      </c>
      <c r="B39" s="57">
        <v>1850</v>
      </c>
      <c r="C39" s="6" t="s">
        <v>52</v>
      </c>
      <c r="D39" s="31">
        <f>'2020 Dep Exp '!F39</f>
        <v>2956741.82</v>
      </c>
      <c r="E39" s="17"/>
      <c r="F39" s="4">
        <f t="shared" si="7"/>
        <v>2956741.82</v>
      </c>
      <c r="G39" s="70">
        <f>'2020 Dep Exp '!I39+'2020 Dep Exp '!J39</f>
        <v>158351.42000000001</v>
      </c>
      <c r="H39" s="17"/>
      <c r="I39" s="4">
        <f t="shared" si="8"/>
        <v>158351.42000000001</v>
      </c>
      <c r="J39" s="70">
        <v>320621.68948999996</v>
      </c>
      <c r="K39" s="18">
        <v>28.846153846153847</v>
      </c>
      <c r="L39" s="19">
        <f t="shared" si="9"/>
        <v>3.4666666666666665E-2</v>
      </c>
      <c r="M39" s="18">
        <v>20</v>
      </c>
      <c r="N39" s="20">
        <f t="shared" si="10"/>
        <v>0.05</v>
      </c>
      <c r="O39" s="21">
        <f t="shared" si="11"/>
        <v>102500.38309333332</v>
      </c>
      <c r="P39" s="21">
        <f t="shared" si="12"/>
        <v>7917.5710000000008</v>
      </c>
      <c r="Q39" s="22">
        <f t="shared" si="16"/>
        <v>8015.5422372499988</v>
      </c>
      <c r="R39" s="23">
        <f t="shared" si="13"/>
        <v>118433.49633058332</v>
      </c>
      <c r="S39" s="70">
        <v>110915.54223725</v>
      </c>
      <c r="T39" s="5">
        <f t="shared" si="14"/>
        <v>-7517.9540933333192</v>
      </c>
      <c r="V39" t="str">
        <f t="shared" si="15"/>
        <v>1850Transformers incl. grounding system</v>
      </c>
    </row>
    <row r="40" spans="1:22">
      <c r="B40" s="57"/>
      <c r="C40" s="6"/>
      <c r="D40" s="31">
        <f>'2020 Dep Exp '!F40</f>
        <v>0</v>
      </c>
      <c r="E40" s="17"/>
      <c r="F40" s="4"/>
      <c r="G40" s="70">
        <f>'2020 Dep Exp '!I40+'2020 Dep Exp '!J40</f>
        <v>0</v>
      </c>
      <c r="H40" s="17"/>
      <c r="I40" s="4">
        <f t="shared" si="8"/>
        <v>0</v>
      </c>
      <c r="J40" s="70"/>
      <c r="K40" s="18">
        <v>0</v>
      </c>
      <c r="L40" s="19">
        <f t="shared" si="9"/>
        <v>0</v>
      </c>
      <c r="M40" s="18">
        <v>0</v>
      </c>
      <c r="N40" s="20">
        <f t="shared" si="10"/>
        <v>0</v>
      </c>
      <c r="O40" s="21"/>
      <c r="P40" s="21">
        <f t="shared" si="12"/>
        <v>0</v>
      </c>
      <c r="Q40" s="22"/>
      <c r="R40" s="23"/>
      <c r="S40" s="70"/>
      <c r="T40" s="5"/>
    </row>
    <row r="41" spans="1:22">
      <c r="A41" t="s">
        <v>80</v>
      </c>
      <c r="B41" s="57">
        <v>1820</v>
      </c>
      <c r="C41" s="6" t="s">
        <v>53</v>
      </c>
      <c r="D41" s="31">
        <f>'2020 Dep Exp '!F41</f>
        <v>1090831.99</v>
      </c>
      <c r="E41" s="17"/>
      <c r="F41" s="4">
        <f t="shared" ref="F41:F81" si="17">D41-E41</f>
        <v>1090831.99</v>
      </c>
      <c r="G41" s="70">
        <f>'2020 Dep Exp '!I41+'2020 Dep Exp '!J41</f>
        <v>633977.11321158567</v>
      </c>
      <c r="H41" s="17"/>
      <c r="I41" s="4">
        <f t="shared" si="8"/>
        <v>633977.11321158567</v>
      </c>
      <c r="J41" s="70">
        <v>27628.34</v>
      </c>
      <c r="K41" s="18">
        <v>13.846153846153847</v>
      </c>
      <c r="L41" s="19">
        <f t="shared" si="9"/>
        <v>7.2222222222222215E-2</v>
      </c>
      <c r="M41" s="18">
        <v>20</v>
      </c>
      <c r="N41" s="20">
        <f t="shared" si="10"/>
        <v>0.05</v>
      </c>
      <c r="O41" s="21">
        <f t="shared" ref="O41:O81" si="18">IF(K41=0,0,+F41/K41)</f>
        <v>78782.310388888887</v>
      </c>
      <c r="P41" s="21">
        <f t="shared" si="12"/>
        <v>31698.855660579284</v>
      </c>
      <c r="Q41" s="22">
        <f>IF(M41=0,0,+(J41*0.5)/M41)</f>
        <v>690.70849999999996</v>
      </c>
      <c r="R41" s="23">
        <f t="shared" ref="R41:R81" si="19">IF(ISERROR(+O41+P41+Q41),0,+O41+P41+Q41)</f>
        <v>111171.87454946816</v>
      </c>
      <c r="S41" s="70">
        <v>111101.64066057927</v>
      </c>
      <c r="T41" s="5">
        <f t="shared" ref="T41:T81" si="20">IF(ISERROR(+S41-R41),0,+S41-R41)</f>
        <v>-70.23388888889167</v>
      </c>
      <c r="V41" t="str">
        <f t="shared" si="15"/>
        <v>1820DC Service Station</v>
      </c>
    </row>
    <row r="42" spans="1:22">
      <c r="A42" t="s">
        <v>81</v>
      </c>
      <c r="B42" s="57">
        <v>1820</v>
      </c>
      <c r="C42" s="6" t="s">
        <v>83</v>
      </c>
      <c r="D42" s="31">
        <f>'2020 Dep Exp '!F42</f>
        <v>0</v>
      </c>
      <c r="E42" s="17"/>
      <c r="F42" s="4">
        <f t="shared" si="17"/>
        <v>0</v>
      </c>
      <c r="G42" s="70">
        <f>'2020 Dep Exp '!I42+'2020 Dep Exp '!J42</f>
        <v>595632.85</v>
      </c>
      <c r="H42" s="17"/>
      <c r="I42" s="4">
        <f t="shared" si="8"/>
        <v>595632.85</v>
      </c>
      <c r="J42" s="70">
        <v>601580</v>
      </c>
      <c r="K42" s="18">
        <v>0</v>
      </c>
      <c r="L42" s="19">
        <f t="shared" si="9"/>
        <v>0</v>
      </c>
      <c r="M42" s="18">
        <v>40</v>
      </c>
      <c r="N42" s="20">
        <f t="shared" si="10"/>
        <v>2.5000000000000001E-2</v>
      </c>
      <c r="O42" s="21">
        <f t="shared" si="18"/>
        <v>0</v>
      </c>
      <c r="P42" s="21">
        <f t="shared" si="12"/>
        <v>14890.821249999999</v>
      </c>
      <c r="Q42" s="22">
        <f>IF(M42=0,0,+(J42*0.5)/M42)</f>
        <v>7519.75</v>
      </c>
      <c r="R42" s="23">
        <f t="shared" si="19"/>
        <v>22410.571250000001</v>
      </c>
      <c r="S42" s="70">
        <v>22411.75</v>
      </c>
      <c r="T42" s="5">
        <f t="shared" si="20"/>
        <v>1.1787499999991269</v>
      </c>
      <c r="V42" t="str">
        <f t="shared" si="15"/>
        <v>1820DC Service Station Transformer</v>
      </c>
    </row>
    <row r="43" spans="1:22">
      <c r="A43" t="s">
        <v>82</v>
      </c>
      <c r="B43" s="57">
        <v>1820</v>
      </c>
      <c r="C43" s="6" t="s">
        <v>84</v>
      </c>
      <c r="D43" s="31">
        <f>'2020 Dep Exp '!F43</f>
        <v>0</v>
      </c>
      <c r="E43" s="17"/>
      <c r="F43" s="4">
        <f t="shared" si="17"/>
        <v>0</v>
      </c>
      <c r="G43" s="70">
        <f>'2020 Dep Exp '!I43+'2020 Dep Exp '!J43</f>
        <v>860756.52</v>
      </c>
      <c r="H43" s="17"/>
      <c r="I43" s="4">
        <f t="shared" si="8"/>
        <v>860756.52</v>
      </c>
      <c r="J43" s="70">
        <v>13817.28</v>
      </c>
      <c r="K43" s="18">
        <v>0</v>
      </c>
      <c r="L43" s="19">
        <f t="shared" si="9"/>
        <v>0</v>
      </c>
      <c r="M43" s="18">
        <v>40</v>
      </c>
      <c r="N43" s="20">
        <f t="shared" si="10"/>
        <v>2.5000000000000001E-2</v>
      </c>
      <c r="O43" s="21">
        <f t="shared" si="18"/>
        <v>0</v>
      </c>
      <c r="P43" s="21">
        <f t="shared" si="12"/>
        <v>21518.913</v>
      </c>
      <c r="Q43" s="22">
        <f>IF(M43=0,0,+(J43*0.5)/M43)</f>
        <v>172.71600000000001</v>
      </c>
      <c r="R43" s="23">
        <f t="shared" si="19"/>
        <v>21691.629000000001</v>
      </c>
      <c r="S43" s="70">
        <v>21688.716</v>
      </c>
      <c r="T43" s="5">
        <f t="shared" si="20"/>
        <v>-2.9130000000004657</v>
      </c>
      <c r="V43" t="str">
        <f t="shared" si="15"/>
        <v>1820DC Service Stations SwitchGear</v>
      </c>
    </row>
    <row r="44" spans="1:22">
      <c r="B44" s="57"/>
      <c r="C44" s="6"/>
      <c r="D44" s="31">
        <f>'2020 Dep Exp '!F44</f>
        <v>0</v>
      </c>
      <c r="E44" s="17"/>
      <c r="F44" s="4"/>
      <c r="G44" s="70">
        <f>'2020 Dep Exp '!I44+'2020 Dep Exp '!J44</f>
        <v>0</v>
      </c>
      <c r="H44" s="17"/>
      <c r="I44" s="4">
        <f t="shared" si="8"/>
        <v>0</v>
      </c>
      <c r="J44" s="70"/>
      <c r="K44" s="18">
        <v>0</v>
      </c>
      <c r="L44" s="19">
        <f t="shared" si="9"/>
        <v>0</v>
      </c>
      <c r="M44" s="18">
        <v>0</v>
      </c>
      <c r="N44" s="20">
        <f t="shared" si="10"/>
        <v>0</v>
      </c>
      <c r="O44" s="21"/>
      <c r="P44" s="21">
        <f t="shared" si="12"/>
        <v>0</v>
      </c>
      <c r="Q44" s="22"/>
      <c r="R44" s="23"/>
      <c r="S44" s="70"/>
      <c r="T44" s="5"/>
    </row>
    <row r="45" spans="1:22">
      <c r="A45" t="s">
        <v>89</v>
      </c>
      <c r="B45" s="57">
        <v>1835</v>
      </c>
      <c r="C45" s="6" t="s">
        <v>54</v>
      </c>
      <c r="D45" s="31">
        <f>'2020 Dep Exp '!F45</f>
        <v>2320724.8000000003</v>
      </c>
      <c r="E45" s="17"/>
      <c r="F45" s="4">
        <f t="shared" si="17"/>
        <v>2320724.8000000003</v>
      </c>
      <c r="G45" s="70">
        <f>'2020 Dep Exp '!I45+'2020 Dep Exp '!J45</f>
        <v>0</v>
      </c>
      <c r="H45" s="17"/>
      <c r="I45" s="4">
        <f t="shared" si="8"/>
        <v>0</v>
      </c>
      <c r="J45" s="70"/>
      <c r="K45" s="18">
        <v>33.846153846153847</v>
      </c>
      <c r="L45" s="19">
        <f t="shared" si="9"/>
        <v>2.9545454545454545E-2</v>
      </c>
      <c r="M45" s="18">
        <v>40</v>
      </c>
      <c r="N45" s="20">
        <f t="shared" si="10"/>
        <v>2.5000000000000001E-2</v>
      </c>
      <c r="O45" s="21">
        <f t="shared" si="18"/>
        <v>68566.869090909095</v>
      </c>
      <c r="P45" s="21">
        <f t="shared" si="12"/>
        <v>0</v>
      </c>
      <c r="Q45" s="22">
        <f>IF(M45=0,0,+(J45*0.5)/M45)</f>
        <v>0</v>
      </c>
      <c r="R45" s="23">
        <f t="shared" si="19"/>
        <v>68566.869090909095</v>
      </c>
      <c r="S45" s="70">
        <v>69108</v>
      </c>
      <c r="T45" s="5">
        <f t="shared" si="20"/>
        <v>541.13090909090533</v>
      </c>
      <c r="V45" t="str">
        <f t="shared" si="15"/>
        <v>1835Switchgear - Air &amp; Gas</v>
      </c>
    </row>
    <row r="46" spans="1:22">
      <c r="A46" t="s">
        <v>90</v>
      </c>
      <c r="B46" s="57">
        <v>1850</v>
      </c>
      <c r="C46" s="6" t="s">
        <v>55</v>
      </c>
      <c r="D46" s="31">
        <f>'2020 Dep Exp '!F46</f>
        <v>5264526.66</v>
      </c>
      <c r="E46" s="17"/>
      <c r="F46" s="4">
        <f t="shared" si="17"/>
        <v>5264526.66</v>
      </c>
      <c r="G46" s="70">
        <f>'2020 Dep Exp '!I46+'2020 Dep Exp '!J46</f>
        <v>2722639.6940478883</v>
      </c>
      <c r="H46" s="17"/>
      <c r="I46" s="4">
        <f t="shared" si="8"/>
        <v>2722639.6940478883</v>
      </c>
      <c r="J46" s="70">
        <v>139946.88</v>
      </c>
      <c r="K46" s="18">
        <v>36.270000000000003</v>
      </c>
      <c r="L46" s="19">
        <f t="shared" si="9"/>
        <v>2.7570995312930793E-2</v>
      </c>
      <c r="M46" s="18">
        <v>40</v>
      </c>
      <c r="N46" s="20">
        <f t="shared" si="10"/>
        <v>2.5000000000000001E-2</v>
      </c>
      <c r="O46" s="21">
        <f t="shared" si="18"/>
        <v>145148.23986765923</v>
      </c>
      <c r="P46" s="21">
        <f t="shared" si="12"/>
        <v>68065.992351197201</v>
      </c>
      <c r="Q46" s="22">
        <f>IF(M46=0,0,+(J46*0.5)/M46)</f>
        <v>1749.336</v>
      </c>
      <c r="R46" s="23">
        <f t="shared" si="19"/>
        <v>214963.56821885644</v>
      </c>
      <c r="S46" s="70">
        <v>208996.37810119719</v>
      </c>
      <c r="T46" s="5">
        <f t="shared" si="20"/>
        <v>-5967.190117659251</v>
      </c>
      <c r="V46" t="str">
        <f t="shared" si="15"/>
        <v>1850UG Transformer</v>
      </c>
    </row>
    <row r="47" spans="1:22">
      <c r="B47" s="57"/>
      <c r="C47" s="6"/>
      <c r="D47" s="31">
        <f>'2020 Dep Exp '!F47</f>
        <v>0</v>
      </c>
      <c r="E47" s="17"/>
      <c r="F47" s="4"/>
      <c r="G47" s="70">
        <f>'2020 Dep Exp '!I47+'2020 Dep Exp '!J47</f>
        <v>0</v>
      </c>
      <c r="H47" s="17"/>
      <c r="I47" s="4">
        <f t="shared" si="8"/>
        <v>0</v>
      </c>
      <c r="J47" s="70"/>
      <c r="K47" s="18">
        <v>0</v>
      </c>
      <c r="L47" s="19">
        <f t="shared" si="9"/>
        <v>0</v>
      </c>
      <c r="M47" s="18">
        <v>0</v>
      </c>
      <c r="N47" s="20">
        <f t="shared" si="10"/>
        <v>0</v>
      </c>
      <c r="O47" s="21"/>
      <c r="P47" s="21">
        <f t="shared" si="12"/>
        <v>0</v>
      </c>
      <c r="Q47" s="22"/>
      <c r="R47" s="23"/>
      <c r="S47" s="70"/>
      <c r="T47" s="5"/>
    </row>
    <row r="48" spans="1:22">
      <c r="A48" t="s">
        <v>91</v>
      </c>
      <c r="B48" s="57">
        <v>1860</v>
      </c>
      <c r="C48" s="6" t="s">
        <v>56</v>
      </c>
      <c r="D48" s="31">
        <f>'2020 Dep Exp '!F48</f>
        <v>1918641.54</v>
      </c>
      <c r="E48" s="17"/>
      <c r="F48" s="4">
        <f t="shared" si="17"/>
        <v>1918641.54</v>
      </c>
      <c r="G48" s="70">
        <f>'2020 Dep Exp '!I48+'2020 Dep Exp '!J48</f>
        <v>282738.76690319664</v>
      </c>
      <c r="H48" s="17"/>
      <c r="I48" s="4">
        <f t="shared" si="8"/>
        <v>282738.76690319664</v>
      </c>
      <c r="J48" s="70">
        <v>251024.79200000002</v>
      </c>
      <c r="K48" s="18">
        <v>17.100000000000001</v>
      </c>
      <c r="L48" s="19">
        <f t="shared" si="9"/>
        <v>5.8479532163742687E-2</v>
      </c>
      <c r="M48" s="18">
        <v>20</v>
      </c>
      <c r="N48" s="20">
        <f t="shared" si="10"/>
        <v>0.05</v>
      </c>
      <c r="O48" s="21">
        <f t="shared" si="18"/>
        <v>112201.2596491228</v>
      </c>
      <c r="P48" s="21">
        <f t="shared" si="12"/>
        <v>14136.938345159831</v>
      </c>
      <c r="Q48" s="22">
        <f>IF(M48=0,0,+(J48*0.5)/M48)</f>
        <v>6275.6198000000004</v>
      </c>
      <c r="R48" s="23">
        <f t="shared" si="19"/>
        <v>132613.81779428263</v>
      </c>
      <c r="S48" s="70">
        <v>128412.57964515984</v>
      </c>
      <c r="T48" s="5">
        <f t="shared" si="20"/>
        <v>-4201.2381491227861</v>
      </c>
      <c r="V48" t="str">
        <f t="shared" si="15"/>
        <v>1860Industrial/Wholesale meters</v>
      </c>
    </row>
    <row r="49" spans="1:22">
      <c r="A49" t="s">
        <v>92</v>
      </c>
      <c r="B49" s="57">
        <v>1860</v>
      </c>
      <c r="C49" s="6" t="s">
        <v>57</v>
      </c>
      <c r="D49" s="31">
        <f>'2020 Dep Exp '!F49</f>
        <v>2864473.2199999997</v>
      </c>
      <c r="E49" s="17"/>
      <c r="F49" s="4">
        <f t="shared" si="17"/>
        <v>2864473.2199999997</v>
      </c>
      <c r="G49" s="70">
        <f>'2020 Dep Exp '!I49+'2020 Dep Exp '!J49</f>
        <v>175354.00279203401</v>
      </c>
      <c r="H49" s="17"/>
      <c r="I49" s="4">
        <f t="shared" si="8"/>
        <v>175354.00279203401</v>
      </c>
      <c r="J49" s="70"/>
      <c r="K49" s="18">
        <v>44</v>
      </c>
      <c r="L49" s="19">
        <f t="shared" si="9"/>
        <v>2.2727272727272728E-2</v>
      </c>
      <c r="M49" s="18">
        <v>45</v>
      </c>
      <c r="N49" s="20">
        <f t="shared" si="10"/>
        <v>2.2222222222222223E-2</v>
      </c>
      <c r="O49" s="21">
        <f t="shared" si="18"/>
        <v>65101.664090909086</v>
      </c>
      <c r="P49" s="21">
        <f t="shared" si="12"/>
        <v>3896.7556176007556</v>
      </c>
      <c r="Q49" s="22">
        <f>IF(M49=0,0,+(J49*0.5)/M49)</f>
        <v>0</v>
      </c>
      <c r="R49" s="23">
        <f t="shared" si="19"/>
        <v>68998.419708509842</v>
      </c>
      <c r="S49" s="70">
        <v>64625.385173156312</v>
      </c>
      <c r="T49" s="5">
        <f t="shared" si="20"/>
        <v>-4373.0345353535304</v>
      </c>
      <c r="V49" t="str">
        <f t="shared" si="15"/>
        <v>1860Other meters, PTs &amp; CTs</v>
      </c>
    </row>
    <row r="50" spans="1:22">
      <c r="A50" t="s">
        <v>93</v>
      </c>
      <c r="B50" s="57">
        <v>1860</v>
      </c>
      <c r="C50" s="6" t="s">
        <v>85</v>
      </c>
      <c r="D50" s="31">
        <f>'2020 Dep Exp '!F50</f>
        <v>0</v>
      </c>
      <c r="E50" s="17"/>
      <c r="F50" s="4">
        <f t="shared" si="17"/>
        <v>0</v>
      </c>
      <c r="G50" s="70">
        <f>'2020 Dep Exp '!I50+'2020 Dep Exp '!J50</f>
        <v>1381117.0843789799</v>
      </c>
      <c r="H50" s="17"/>
      <c r="I50" s="4">
        <f t="shared" si="8"/>
        <v>1381117.0843789799</v>
      </c>
      <c r="J50" s="70">
        <v>75921</v>
      </c>
      <c r="K50" s="18">
        <v>0</v>
      </c>
      <c r="L50" s="19">
        <f t="shared" si="9"/>
        <v>0</v>
      </c>
      <c r="M50" s="18">
        <v>15</v>
      </c>
      <c r="N50" s="20">
        <f t="shared" si="10"/>
        <v>6.6666666666666666E-2</v>
      </c>
      <c r="O50" s="21">
        <f t="shared" si="18"/>
        <v>0</v>
      </c>
      <c r="P50" s="21">
        <f t="shared" si="12"/>
        <v>92074.47229193199</v>
      </c>
      <c r="Q50" s="22">
        <f>IF(M50=0,0,+(J50*0.5)/M50)</f>
        <v>2530.6999999999998</v>
      </c>
      <c r="R50" s="23">
        <f t="shared" si="19"/>
        <v>94605.172291931987</v>
      </c>
      <c r="S50" s="70">
        <v>97318.339625265318</v>
      </c>
      <c r="T50" s="5">
        <f t="shared" si="20"/>
        <v>2713.167333333331</v>
      </c>
      <c r="V50" t="str">
        <f t="shared" si="15"/>
        <v>1860Smart Meters</v>
      </c>
    </row>
    <row r="51" spans="1:22">
      <c r="A51" t="s">
        <v>94</v>
      </c>
      <c r="B51" s="57">
        <v>1860</v>
      </c>
      <c r="C51" s="6" t="s">
        <v>86</v>
      </c>
      <c r="D51" s="31">
        <f>'2020 Dep Exp '!F51</f>
        <v>0</v>
      </c>
      <c r="E51" s="17"/>
      <c r="F51" s="4">
        <f t="shared" si="17"/>
        <v>0</v>
      </c>
      <c r="G51" s="70">
        <f>'2020 Dep Exp '!I51+'2020 Dep Exp '!J51</f>
        <v>0</v>
      </c>
      <c r="H51" s="17"/>
      <c r="I51" s="4">
        <f t="shared" si="8"/>
        <v>0</v>
      </c>
      <c r="J51" s="70"/>
      <c r="K51" s="18">
        <v>0</v>
      </c>
      <c r="L51" s="19">
        <f t="shared" si="9"/>
        <v>0</v>
      </c>
      <c r="M51" s="18">
        <v>0</v>
      </c>
      <c r="N51" s="20">
        <f t="shared" si="10"/>
        <v>0</v>
      </c>
      <c r="O51" s="21">
        <f t="shared" si="18"/>
        <v>0</v>
      </c>
      <c r="P51" s="21">
        <f t="shared" si="12"/>
        <v>0</v>
      </c>
      <c r="Q51" s="22">
        <f>IF(M51=0,0,+(J51*0.5)/M51)</f>
        <v>0</v>
      </c>
      <c r="R51" s="23">
        <f t="shared" si="19"/>
        <v>0</v>
      </c>
      <c r="S51" s="70"/>
      <c r="T51" s="5">
        <f t="shared" si="20"/>
        <v>0</v>
      </c>
      <c r="V51" t="str">
        <f t="shared" si="15"/>
        <v>1860Smart meters -Data Collectors</v>
      </c>
    </row>
    <row r="52" spans="1:22">
      <c r="B52" s="57"/>
      <c r="C52" s="6"/>
      <c r="D52" s="31">
        <f>'2020 Dep Exp '!F52</f>
        <v>0</v>
      </c>
      <c r="E52" s="17"/>
      <c r="F52" s="4"/>
      <c r="G52" s="70">
        <f>'2020 Dep Exp '!I52+'2020 Dep Exp '!J52</f>
        <v>0</v>
      </c>
      <c r="H52" s="17"/>
      <c r="I52" s="4">
        <f t="shared" si="8"/>
        <v>0</v>
      </c>
      <c r="J52" s="70"/>
      <c r="K52" s="18">
        <v>0</v>
      </c>
      <c r="L52" s="19">
        <f t="shared" si="9"/>
        <v>0</v>
      </c>
      <c r="M52" s="18">
        <v>0</v>
      </c>
      <c r="N52" s="20">
        <f t="shared" si="10"/>
        <v>0</v>
      </c>
      <c r="O52" s="21"/>
      <c r="P52" s="21">
        <f t="shared" si="12"/>
        <v>0</v>
      </c>
      <c r="Q52" s="22"/>
      <c r="R52" s="23"/>
      <c r="S52" s="70"/>
      <c r="T52" s="5"/>
    </row>
    <row r="53" spans="1:22">
      <c r="A53" t="s">
        <v>95</v>
      </c>
      <c r="B53" s="57">
        <v>1805</v>
      </c>
      <c r="C53" s="6" t="s">
        <v>39</v>
      </c>
      <c r="D53" s="31">
        <f>'2020 Dep Exp '!F53</f>
        <v>591340.80000000005</v>
      </c>
      <c r="E53" s="17"/>
      <c r="F53" s="4">
        <f t="shared" si="17"/>
        <v>591340.80000000005</v>
      </c>
      <c r="G53" s="70">
        <f>'2020 Dep Exp '!I53+'2020 Dep Exp '!J53</f>
        <v>980478.61</v>
      </c>
      <c r="H53" s="17"/>
      <c r="I53" s="4">
        <f t="shared" si="8"/>
        <v>980478.61</v>
      </c>
      <c r="J53" s="70"/>
      <c r="K53" s="18">
        <v>0</v>
      </c>
      <c r="L53" s="19">
        <f t="shared" si="9"/>
        <v>0</v>
      </c>
      <c r="M53" s="18">
        <v>0</v>
      </c>
      <c r="N53" s="20">
        <f t="shared" si="10"/>
        <v>0</v>
      </c>
      <c r="O53" s="21">
        <f t="shared" si="18"/>
        <v>0</v>
      </c>
      <c r="P53" s="21">
        <f t="shared" si="12"/>
        <v>0</v>
      </c>
      <c r="Q53" s="22">
        <f t="shared" ref="Q53:Q78" si="21">IF(M53=0,0,+(J53*0.5)/M53)</f>
        <v>0</v>
      </c>
      <c r="R53" s="23">
        <f t="shared" si="19"/>
        <v>0</v>
      </c>
      <c r="S53" s="70"/>
      <c r="T53" s="5">
        <f t="shared" si="20"/>
        <v>0</v>
      </c>
      <c r="V53" t="str">
        <f t="shared" si="15"/>
        <v>1805Land</v>
      </c>
    </row>
    <row r="54" spans="1:22">
      <c r="B54" s="57">
        <v>1806</v>
      </c>
      <c r="C54" s="6" t="s">
        <v>58</v>
      </c>
      <c r="D54" s="31">
        <f>'2020 Dep Exp '!F54</f>
        <v>4738.32</v>
      </c>
      <c r="E54" s="17"/>
      <c r="F54" s="4">
        <f t="shared" si="17"/>
        <v>4738.32</v>
      </c>
      <c r="G54" s="70">
        <f>'2020 Dep Exp '!I54+'2020 Dep Exp '!J54</f>
        <v>0</v>
      </c>
      <c r="H54" s="17"/>
      <c r="I54" s="4">
        <f t="shared" si="8"/>
        <v>0</v>
      </c>
      <c r="J54" s="70"/>
      <c r="K54" s="18">
        <v>0</v>
      </c>
      <c r="L54" s="19">
        <f t="shared" si="9"/>
        <v>0</v>
      </c>
      <c r="M54" s="18">
        <v>0</v>
      </c>
      <c r="N54" s="20">
        <f t="shared" si="10"/>
        <v>0</v>
      </c>
      <c r="O54" s="21">
        <f t="shared" si="18"/>
        <v>0</v>
      </c>
      <c r="P54" s="21">
        <f t="shared" si="12"/>
        <v>0</v>
      </c>
      <c r="Q54" s="22">
        <f t="shared" si="21"/>
        <v>0</v>
      </c>
      <c r="R54" s="23">
        <f t="shared" si="19"/>
        <v>0</v>
      </c>
      <c r="S54" s="70"/>
      <c r="T54" s="5">
        <f t="shared" si="20"/>
        <v>0</v>
      </c>
      <c r="V54" t="str">
        <f t="shared" si="15"/>
        <v>1806Land Rights</v>
      </c>
    </row>
    <row r="55" spans="1:22">
      <c r="B55" s="57">
        <v>1806</v>
      </c>
      <c r="C55" s="6"/>
      <c r="D55" s="31">
        <f>'2020 Dep Exp '!F55</f>
        <v>0</v>
      </c>
      <c r="E55" s="17"/>
      <c r="F55" s="4">
        <f t="shared" si="17"/>
        <v>0</v>
      </c>
      <c r="G55" s="70">
        <f>'2020 Dep Exp '!I55+'2020 Dep Exp '!J55</f>
        <v>0</v>
      </c>
      <c r="H55" s="17"/>
      <c r="I55" s="4">
        <f t="shared" si="8"/>
        <v>0</v>
      </c>
      <c r="J55" s="70"/>
      <c r="K55" s="18">
        <v>0</v>
      </c>
      <c r="L55" s="19">
        <f t="shared" si="9"/>
        <v>0</v>
      </c>
      <c r="M55" s="18">
        <v>0</v>
      </c>
      <c r="N55" s="20">
        <f t="shared" si="10"/>
        <v>0</v>
      </c>
      <c r="O55" s="21">
        <f t="shared" si="18"/>
        <v>0</v>
      </c>
      <c r="P55" s="21">
        <f t="shared" si="12"/>
        <v>0</v>
      </c>
      <c r="Q55" s="22">
        <f t="shared" si="21"/>
        <v>0</v>
      </c>
      <c r="R55" s="23">
        <f t="shared" si="19"/>
        <v>0</v>
      </c>
      <c r="S55" s="70"/>
      <c r="T55" s="5">
        <f t="shared" si="20"/>
        <v>0</v>
      </c>
      <c r="V55" t="str">
        <f t="shared" si="15"/>
        <v>1806</v>
      </c>
    </row>
    <row r="56" spans="1:22">
      <c r="A56" t="s">
        <v>96</v>
      </c>
      <c r="B56" s="57">
        <v>1908</v>
      </c>
      <c r="C56" s="6" t="s">
        <v>59</v>
      </c>
      <c r="D56" s="31">
        <f>'2020 Dep Exp '!F56</f>
        <v>2689155.5100000002</v>
      </c>
      <c r="E56" s="17"/>
      <c r="F56" s="4">
        <f t="shared" si="17"/>
        <v>2689155.5100000002</v>
      </c>
      <c r="G56" s="70">
        <f>'2020 Dep Exp '!I56+'2020 Dep Exp '!J56</f>
        <v>451407.94000000018</v>
      </c>
      <c r="H56" s="17"/>
      <c r="I56" s="4">
        <f t="shared" si="8"/>
        <v>451407.94000000018</v>
      </c>
      <c r="J56" s="70">
        <v>60000</v>
      </c>
      <c r="K56" s="18">
        <v>34</v>
      </c>
      <c r="L56" s="19">
        <f t="shared" si="9"/>
        <v>2.9411764705882353E-2</v>
      </c>
      <c r="M56" s="18">
        <v>42</v>
      </c>
      <c r="N56" s="20">
        <f t="shared" si="10"/>
        <v>2.3809523809523808E-2</v>
      </c>
      <c r="O56" s="21">
        <f t="shared" si="18"/>
        <v>79092.809117647063</v>
      </c>
      <c r="P56" s="21">
        <f t="shared" si="12"/>
        <v>10747.808095238099</v>
      </c>
      <c r="Q56" s="22">
        <f t="shared" si="21"/>
        <v>714.28571428571433</v>
      </c>
      <c r="R56" s="23">
        <f t="shared" si="19"/>
        <v>90554.902927170871</v>
      </c>
      <c r="S56" s="70">
        <v>93198.28571428571</v>
      </c>
      <c r="T56" s="5">
        <f t="shared" si="20"/>
        <v>2643.3827871148387</v>
      </c>
      <c r="V56" t="str">
        <f t="shared" si="15"/>
        <v>1908Buildings and Fixtures</v>
      </c>
    </row>
    <row r="57" spans="1:22">
      <c r="B57" s="57"/>
      <c r="C57" s="6"/>
      <c r="D57" s="31">
        <f>'2020 Dep Exp '!F57</f>
        <v>0</v>
      </c>
      <c r="E57" s="17"/>
      <c r="F57" s="4">
        <f t="shared" si="17"/>
        <v>0</v>
      </c>
      <c r="G57" s="70">
        <f>'2020 Dep Exp '!I57+'2020 Dep Exp '!J57</f>
        <v>0</v>
      </c>
      <c r="H57" s="17"/>
      <c r="I57" s="4">
        <f t="shared" si="8"/>
        <v>0</v>
      </c>
      <c r="J57" s="70"/>
      <c r="K57" s="18">
        <v>0</v>
      </c>
      <c r="L57" s="19">
        <f t="shared" si="9"/>
        <v>0</v>
      </c>
      <c r="M57" s="18">
        <v>0</v>
      </c>
      <c r="N57" s="20">
        <f t="shared" si="10"/>
        <v>0</v>
      </c>
      <c r="O57" s="21">
        <f t="shared" si="18"/>
        <v>0</v>
      </c>
      <c r="P57" s="21">
        <f t="shared" si="12"/>
        <v>0</v>
      </c>
      <c r="Q57" s="22">
        <f t="shared" si="21"/>
        <v>0</v>
      </c>
      <c r="R57" s="23">
        <f t="shared" si="19"/>
        <v>0</v>
      </c>
      <c r="S57" s="70"/>
      <c r="T57" s="5">
        <f t="shared" si="20"/>
        <v>0</v>
      </c>
    </row>
    <row r="58" spans="1:22">
      <c r="A58" t="s">
        <v>97</v>
      </c>
      <c r="B58" s="57">
        <v>1915</v>
      </c>
      <c r="C58" s="6" t="s">
        <v>60</v>
      </c>
      <c r="D58" s="31">
        <f>'2020 Dep Exp '!F58</f>
        <v>-0.38000000000465661</v>
      </c>
      <c r="E58" s="17"/>
      <c r="F58" s="4">
        <f t="shared" si="17"/>
        <v>-0.38000000000465661</v>
      </c>
      <c r="G58" s="70">
        <f>'2020 Dep Exp '!I58+'2020 Dep Exp '!J58</f>
        <v>72642.59</v>
      </c>
      <c r="H58" s="17">
        <v>72643</v>
      </c>
      <c r="I58" s="4">
        <f t="shared" si="8"/>
        <v>-0.41000000000349246</v>
      </c>
      <c r="J58" s="70">
        <v>10000</v>
      </c>
      <c r="K58" s="18">
        <v>5</v>
      </c>
      <c r="L58" s="19">
        <f t="shared" si="9"/>
        <v>0.2</v>
      </c>
      <c r="M58" s="18">
        <v>5</v>
      </c>
      <c r="N58" s="20">
        <f t="shared" si="10"/>
        <v>0.2</v>
      </c>
      <c r="O58" s="21">
        <f t="shared" si="18"/>
        <v>-7.6000000000931323E-2</v>
      </c>
      <c r="P58" s="21">
        <f t="shared" si="12"/>
        <v>-8.2000000000698486E-2</v>
      </c>
      <c r="Q58" s="22">
        <f t="shared" si="21"/>
        <v>1000</v>
      </c>
      <c r="R58" s="23">
        <f t="shared" si="19"/>
        <v>999.84199999999839</v>
      </c>
      <c r="S58" s="70">
        <v>1000</v>
      </c>
      <c r="T58" s="5">
        <f t="shared" si="20"/>
        <v>0.15800000000160708</v>
      </c>
      <c r="V58" t="str">
        <f t="shared" si="15"/>
        <v>1915Office Equipment</v>
      </c>
    </row>
    <row r="59" spans="1:22">
      <c r="B59" s="57"/>
      <c r="C59" s="6"/>
      <c r="D59" s="31">
        <f>'2020 Dep Exp '!F59</f>
        <v>0</v>
      </c>
      <c r="E59" s="17"/>
      <c r="F59" s="4">
        <f t="shared" si="17"/>
        <v>0</v>
      </c>
      <c r="G59" s="70">
        <f>'2020 Dep Exp '!I59+'2020 Dep Exp '!J59</f>
        <v>0</v>
      </c>
      <c r="H59" s="17"/>
      <c r="I59" s="4">
        <f t="shared" si="8"/>
        <v>0</v>
      </c>
      <c r="J59" s="70"/>
      <c r="K59" s="18">
        <v>0</v>
      </c>
      <c r="L59" s="19">
        <f t="shared" si="9"/>
        <v>0</v>
      </c>
      <c r="M59" s="18">
        <v>0</v>
      </c>
      <c r="N59" s="20">
        <f t="shared" si="10"/>
        <v>0</v>
      </c>
      <c r="O59" s="21">
        <f t="shared" si="18"/>
        <v>0</v>
      </c>
      <c r="P59" s="21">
        <f t="shared" si="12"/>
        <v>0</v>
      </c>
      <c r="Q59" s="22">
        <f t="shared" si="21"/>
        <v>0</v>
      </c>
      <c r="R59" s="23">
        <f t="shared" si="19"/>
        <v>0</v>
      </c>
      <c r="S59" s="70"/>
      <c r="T59" s="5">
        <f t="shared" si="20"/>
        <v>0</v>
      </c>
    </row>
    <row r="60" spans="1:22" s="15" customFormat="1">
      <c r="A60" s="15" t="s">
        <v>98</v>
      </c>
      <c r="B60" s="106">
        <v>1920</v>
      </c>
      <c r="C60" s="16" t="s">
        <v>61</v>
      </c>
      <c r="D60" s="31">
        <f>'2020 Dep Exp '!F60</f>
        <v>46162.229999999981</v>
      </c>
      <c r="E60" s="17"/>
      <c r="F60" s="4">
        <f t="shared" si="17"/>
        <v>46162.229999999981</v>
      </c>
      <c r="G60" s="70">
        <f>'2020 Dep Exp '!I60+'2020 Dep Exp '!J60</f>
        <v>344268.82999999996</v>
      </c>
      <c r="H60" s="17">
        <f>'2020 Dep Exp '!H60</f>
        <v>24472</v>
      </c>
      <c r="I60" s="4">
        <f t="shared" si="8"/>
        <v>319796.82999999996</v>
      </c>
      <c r="J60" s="70">
        <v>151000</v>
      </c>
      <c r="K60" s="18">
        <v>1.5</v>
      </c>
      <c r="L60" s="19">
        <f t="shared" si="9"/>
        <v>0.66666666666666663</v>
      </c>
      <c r="M60" s="18">
        <v>5</v>
      </c>
      <c r="N60" s="20">
        <f t="shared" si="10"/>
        <v>0.2</v>
      </c>
      <c r="O60" s="21">
        <f>IF(K60=0,0,+F60/K60)-7000</f>
        <v>23774.819999999989</v>
      </c>
      <c r="P60" s="21">
        <f t="shared" si="12"/>
        <v>63959.365999999995</v>
      </c>
      <c r="Q60" s="22">
        <f t="shared" si="21"/>
        <v>15100</v>
      </c>
      <c r="R60" s="23">
        <f t="shared" si="19"/>
        <v>102834.18599999999</v>
      </c>
      <c r="S60" s="70">
        <v>107423</v>
      </c>
      <c r="T60" s="24">
        <f t="shared" si="20"/>
        <v>4588.814000000013</v>
      </c>
      <c r="V60" s="15" t="str">
        <f t="shared" si="15"/>
        <v>1920Computer Hardware</v>
      </c>
    </row>
    <row r="61" spans="1:22">
      <c r="A61" t="s">
        <v>99</v>
      </c>
      <c r="B61" s="57">
        <v>1925</v>
      </c>
      <c r="C61" s="6" t="s">
        <v>62</v>
      </c>
      <c r="D61" s="31">
        <f>'2020 Dep Exp '!F61</f>
        <v>189680.97999999998</v>
      </c>
      <c r="E61" s="17"/>
      <c r="F61" s="4">
        <f t="shared" si="17"/>
        <v>189680.97999999998</v>
      </c>
      <c r="G61" s="70">
        <f>'2020 Dep Exp '!I61+'2020 Dep Exp '!J61</f>
        <v>474138.09</v>
      </c>
      <c r="H61" s="17">
        <f>'2020 Dep Exp '!H61</f>
        <v>0</v>
      </c>
      <c r="I61" s="4">
        <f t="shared" si="8"/>
        <v>474138.09</v>
      </c>
      <c r="J61" s="70">
        <v>32000</v>
      </c>
      <c r="K61" s="18">
        <v>3</v>
      </c>
      <c r="L61" s="19">
        <f t="shared" si="9"/>
        <v>0.33333333333333331</v>
      </c>
      <c r="M61" s="18">
        <v>5</v>
      </c>
      <c r="N61" s="20">
        <f t="shared" si="10"/>
        <v>0.2</v>
      </c>
      <c r="O61" s="21">
        <v>0</v>
      </c>
      <c r="P61" s="21">
        <f t="shared" si="12"/>
        <v>94827.618000000002</v>
      </c>
      <c r="Q61" s="22">
        <f t="shared" si="21"/>
        <v>3200</v>
      </c>
      <c r="R61" s="23">
        <f t="shared" si="19"/>
        <v>98027.618000000002</v>
      </c>
      <c r="S61" s="70">
        <v>97723</v>
      </c>
      <c r="T61" s="5">
        <f t="shared" si="20"/>
        <v>-304.61800000000221</v>
      </c>
      <c r="V61" t="str">
        <f t="shared" si="15"/>
        <v>1925Computer Software</v>
      </c>
    </row>
    <row r="62" spans="1:22">
      <c r="B62" s="57"/>
      <c r="C62" s="6"/>
      <c r="D62" s="31">
        <f>'2020 Dep Exp '!F62</f>
        <v>0</v>
      </c>
      <c r="E62" s="17"/>
      <c r="F62" s="4">
        <f t="shared" si="17"/>
        <v>0</v>
      </c>
      <c r="G62" s="70">
        <f>'2020 Dep Exp '!I62+'2020 Dep Exp '!J62</f>
        <v>0</v>
      </c>
      <c r="H62" s="17"/>
      <c r="I62" s="4">
        <f t="shared" si="8"/>
        <v>0</v>
      </c>
      <c r="J62" s="70"/>
      <c r="K62" s="18">
        <v>0</v>
      </c>
      <c r="L62" s="19">
        <f t="shared" si="9"/>
        <v>0</v>
      </c>
      <c r="M62" s="18">
        <v>0</v>
      </c>
      <c r="N62" s="20">
        <f t="shared" si="10"/>
        <v>0</v>
      </c>
      <c r="O62" s="21">
        <f t="shared" si="18"/>
        <v>0</v>
      </c>
      <c r="P62" s="21">
        <f t="shared" si="12"/>
        <v>0</v>
      </c>
      <c r="Q62" s="22">
        <f t="shared" si="21"/>
        <v>0</v>
      </c>
      <c r="R62" s="23">
        <f t="shared" si="19"/>
        <v>0</v>
      </c>
      <c r="S62" s="70"/>
      <c r="T62" s="5">
        <f t="shared" si="20"/>
        <v>0</v>
      </c>
    </row>
    <row r="63" spans="1:22" s="15" customFormat="1">
      <c r="A63" s="15" t="s">
        <v>100</v>
      </c>
      <c r="B63" s="106">
        <v>1930</v>
      </c>
      <c r="C63" s="16" t="s">
        <v>63</v>
      </c>
      <c r="D63" s="31">
        <f>'2020 Dep Exp '!F63</f>
        <v>1317372.01</v>
      </c>
      <c r="E63" s="17"/>
      <c r="F63" s="4">
        <f t="shared" si="17"/>
        <v>1317372.01</v>
      </c>
      <c r="G63" s="70">
        <f>'2020 Dep Exp '!I63+'2020 Dep Exp '!J63</f>
        <v>1092496.55</v>
      </c>
      <c r="H63" s="17"/>
      <c r="I63" s="4">
        <f t="shared" si="8"/>
        <v>1092496.55</v>
      </c>
      <c r="J63" s="70">
        <v>450000</v>
      </c>
      <c r="K63" s="18">
        <v>10.5</v>
      </c>
      <c r="L63" s="19">
        <f t="shared" si="9"/>
        <v>9.5238095238095233E-2</v>
      </c>
      <c r="M63" s="18">
        <v>12</v>
      </c>
      <c r="N63" s="20">
        <f t="shared" si="10"/>
        <v>8.3333333333333329E-2</v>
      </c>
      <c r="O63" s="21">
        <f t="shared" si="18"/>
        <v>125464.00095238096</v>
      </c>
      <c r="P63" s="21">
        <f t="shared" si="12"/>
        <v>91041.379166666666</v>
      </c>
      <c r="Q63" s="22">
        <f t="shared" si="21"/>
        <v>18750</v>
      </c>
      <c r="R63" s="23">
        <f t="shared" si="19"/>
        <v>235255.38011904762</v>
      </c>
      <c r="S63" s="70">
        <v>239543.5</v>
      </c>
      <c r="T63" s="24">
        <f t="shared" si="20"/>
        <v>4288.1198809523776</v>
      </c>
      <c r="V63" s="15" t="str">
        <f t="shared" si="15"/>
        <v>1930Bucket Trucks</v>
      </c>
    </row>
    <row r="64" spans="1:22">
      <c r="A64" t="s">
        <v>101</v>
      </c>
      <c r="B64" s="57">
        <v>1930</v>
      </c>
      <c r="C64" s="6" t="s">
        <v>64</v>
      </c>
      <c r="D64" s="31">
        <f>'2020 Dep Exp '!F64</f>
        <v>137812.25</v>
      </c>
      <c r="E64" s="17"/>
      <c r="F64" s="4">
        <f t="shared" si="17"/>
        <v>137812.25</v>
      </c>
      <c r="G64" s="70">
        <f>'2020 Dep Exp '!I64+'2020 Dep Exp '!J64</f>
        <v>98504</v>
      </c>
      <c r="H64" s="17"/>
      <c r="I64" s="4">
        <f t="shared" si="8"/>
        <v>98504</v>
      </c>
      <c r="J64" s="70">
        <v>0</v>
      </c>
      <c r="K64" s="18">
        <v>11</v>
      </c>
      <c r="L64" s="19">
        <f t="shared" si="9"/>
        <v>9.0909090909090912E-2</v>
      </c>
      <c r="M64" s="18">
        <v>15</v>
      </c>
      <c r="N64" s="20">
        <f t="shared" si="10"/>
        <v>6.6666666666666666E-2</v>
      </c>
      <c r="O64" s="21">
        <f t="shared" si="18"/>
        <v>12528.386363636364</v>
      </c>
      <c r="P64" s="21">
        <f t="shared" si="12"/>
        <v>6566.9333333333334</v>
      </c>
      <c r="Q64" s="22">
        <f t="shared" si="21"/>
        <v>0</v>
      </c>
      <c r="R64" s="23">
        <f t="shared" si="19"/>
        <v>19095.319696969698</v>
      </c>
      <c r="S64" s="70">
        <v>15000</v>
      </c>
      <c r="T64" s="5">
        <f t="shared" si="20"/>
        <v>-4095.3196969696983</v>
      </c>
      <c r="V64" t="str">
        <f t="shared" si="15"/>
        <v>1930Trailers</v>
      </c>
    </row>
    <row r="65" spans="1:22">
      <c r="A65" t="s">
        <v>102</v>
      </c>
      <c r="B65" s="57">
        <v>1930</v>
      </c>
      <c r="C65" s="6" t="s">
        <v>65</v>
      </c>
      <c r="D65" s="31">
        <f>'2020 Dep Exp '!F65</f>
        <v>113855.45000000001</v>
      </c>
      <c r="E65" s="17"/>
      <c r="F65" s="4">
        <f t="shared" si="17"/>
        <v>113855.45000000001</v>
      </c>
      <c r="G65" s="70">
        <f>'2020 Dep Exp '!I65+'2020 Dep Exp '!J65</f>
        <v>241235</v>
      </c>
      <c r="H65" s="17"/>
      <c r="I65" s="4">
        <f t="shared" si="8"/>
        <v>241235</v>
      </c>
      <c r="J65" s="70">
        <v>45000</v>
      </c>
      <c r="K65" s="18">
        <v>7.5</v>
      </c>
      <c r="L65" s="19">
        <f t="shared" si="9"/>
        <v>0.13333333333333333</v>
      </c>
      <c r="M65" s="18">
        <v>8</v>
      </c>
      <c r="N65" s="20">
        <f t="shared" si="10"/>
        <v>0.125</v>
      </c>
      <c r="O65" s="21">
        <f t="shared" si="18"/>
        <v>15180.726666666667</v>
      </c>
      <c r="P65" s="21">
        <f t="shared" si="12"/>
        <v>30154.375</v>
      </c>
      <c r="Q65" s="22">
        <f t="shared" si="21"/>
        <v>2812.5</v>
      </c>
      <c r="R65" s="23">
        <f t="shared" si="19"/>
        <v>48147.601666666669</v>
      </c>
      <c r="S65" s="70">
        <v>50296.5</v>
      </c>
      <c r="T65" s="5">
        <f t="shared" si="20"/>
        <v>2148.8983333333308</v>
      </c>
      <c r="V65" t="str">
        <f t="shared" si="15"/>
        <v>1930Vans/Cars</v>
      </c>
    </row>
    <row r="66" spans="1:22">
      <c r="B66" s="57"/>
      <c r="C66" s="6"/>
      <c r="D66" s="31">
        <f>'2020 Dep Exp '!F66</f>
        <v>0</v>
      </c>
      <c r="E66" s="17"/>
      <c r="F66" s="4">
        <f t="shared" si="17"/>
        <v>0</v>
      </c>
      <c r="G66" s="70">
        <f>'2020 Dep Exp '!I66+'2020 Dep Exp '!J66</f>
        <v>0</v>
      </c>
      <c r="H66" s="17"/>
      <c r="I66" s="4">
        <f t="shared" si="8"/>
        <v>0</v>
      </c>
      <c r="J66" s="70"/>
      <c r="K66" s="18">
        <v>0</v>
      </c>
      <c r="L66" s="19">
        <f t="shared" si="9"/>
        <v>0</v>
      </c>
      <c r="M66" s="18">
        <v>0</v>
      </c>
      <c r="N66" s="20">
        <f t="shared" si="10"/>
        <v>0</v>
      </c>
      <c r="O66" s="21">
        <f t="shared" si="18"/>
        <v>0</v>
      </c>
      <c r="P66" s="21">
        <f t="shared" si="12"/>
        <v>0</v>
      </c>
      <c r="Q66" s="22">
        <f t="shared" si="21"/>
        <v>0</v>
      </c>
      <c r="R66" s="23">
        <f t="shared" si="19"/>
        <v>0</v>
      </c>
      <c r="S66" s="70"/>
      <c r="T66" s="5">
        <f t="shared" si="20"/>
        <v>0</v>
      </c>
    </row>
    <row r="67" spans="1:22" s="15" customFormat="1">
      <c r="A67" s="15" t="s">
        <v>103</v>
      </c>
      <c r="B67" s="106">
        <v>1940</v>
      </c>
      <c r="C67" s="16" t="s">
        <v>66</v>
      </c>
      <c r="D67" s="31">
        <f>'2020 Dep Exp '!F67</f>
        <v>173764.74000000002</v>
      </c>
      <c r="E67" s="17"/>
      <c r="F67" s="4">
        <f t="shared" si="17"/>
        <v>173764.74000000002</v>
      </c>
      <c r="G67" s="70">
        <f>'2020 Dep Exp '!I67+'2020 Dep Exp '!J67</f>
        <v>411231.72</v>
      </c>
      <c r="H67" s="17"/>
      <c r="I67" s="4">
        <f t="shared" si="8"/>
        <v>411231.72</v>
      </c>
      <c r="J67" s="70">
        <v>30000</v>
      </c>
      <c r="K67" s="18">
        <v>7</v>
      </c>
      <c r="L67" s="19">
        <f t="shared" si="9"/>
        <v>0.14285714285714285</v>
      </c>
      <c r="M67" s="18">
        <v>10</v>
      </c>
      <c r="N67" s="20">
        <f t="shared" si="10"/>
        <v>0.1</v>
      </c>
      <c r="O67" s="21">
        <f t="shared" si="18"/>
        <v>24823.53428571429</v>
      </c>
      <c r="P67" s="21">
        <f t="shared" si="12"/>
        <v>41123.171999999999</v>
      </c>
      <c r="Q67" s="22">
        <f t="shared" si="21"/>
        <v>1500</v>
      </c>
      <c r="R67" s="23">
        <f t="shared" si="19"/>
        <v>67446.706285714288</v>
      </c>
      <c r="S67" s="70">
        <v>64456</v>
      </c>
      <c r="T67" s="24">
        <f t="shared" si="20"/>
        <v>-2990.7062857142882</v>
      </c>
      <c r="V67" s="15" t="str">
        <f t="shared" si="15"/>
        <v>1940Power Tools, shop, garage, measurement testing</v>
      </c>
    </row>
    <row r="68" spans="1:22">
      <c r="A68" t="s">
        <v>104</v>
      </c>
      <c r="B68" s="57">
        <v>1940</v>
      </c>
      <c r="C68" s="6" t="s">
        <v>40</v>
      </c>
      <c r="D68" s="31">
        <f>'2020 Dep Exp '!F68</f>
        <v>5160.74</v>
      </c>
      <c r="E68" s="17"/>
      <c r="F68" s="4">
        <f t="shared" si="17"/>
        <v>5160.74</v>
      </c>
      <c r="G68" s="70">
        <f>'2020 Dep Exp '!I68+'2020 Dep Exp '!J68</f>
        <v>0</v>
      </c>
      <c r="H68" s="17"/>
      <c r="I68" s="4">
        <f t="shared" si="8"/>
        <v>0</v>
      </c>
      <c r="J68" s="70"/>
      <c r="K68" s="18">
        <v>3</v>
      </c>
      <c r="L68" s="19">
        <f t="shared" si="9"/>
        <v>0.33333333333333331</v>
      </c>
      <c r="M68" s="18">
        <v>10</v>
      </c>
      <c r="N68" s="20">
        <f t="shared" si="10"/>
        <v>0.1</v>
      </c>
      <c r="O68" s="21">
        <f t="shared" si="18"/>
        <v>1720.2466666666667</v>
      </c>
      <c r="P68" s="21">
        <f t="shared" si="12"/>
        <v>0</v>
      </c>
      <c r="Q68" s="22">
        <f t="shared" si="21"/>
        <v>0</v>
      </c>
      <c r="R68" s="23">
        <f t="shared" si="19"/>
        <v>1720.2466666666667</v>
      </c>
      <c r="S68" s="70"/>
      <c r="T68" s="5">
        <f t="shared" si="20"/>
        <v>-1720.2466666666667</v>
      </c>
      <c r="V68" t="str">
        <f t="shared" si="15"/>
        <v>1940Stores Equipment</v>
      </c>
    </row>
    <row r="69" spans="1:22">
      <c r="B69" s="57"/>
      <c r="C69" s="6"/>
      <c r="D69" s="31">
        <f>'2020 Dep Exp '!F69</f>
        <v>0</v>
      </c>
      <c r="E69" s="17"/>
      <c r="F69" s="4">
        <f t="shared" si="17"/>
        <v>0</v>
      </c>
      <c r="G69" s="70">
        <f>'2020 Dep Exp '!I69+'2020 Dep Exp '!J69</f>
        <v>0</v>
      </c>
      <c r="H69" s="17"/>
      <c r="I69" s="4">
        <f t="shared" si="8"/>
        <v>0</v>
      </c>
      <c r="J69" s="70"/>
      <c r="K69" s="18">
        <v>0</v>
      </c>
      <c r="L69" s="19">
        <f t="shared" si="9"/>
        <v>0</v>
      </c>
      <c r="M69" s="18">
        <v>0</v>
      </c>
      <c r="N69" s="20">
        <f t="shared" si="10"/>
        <v>0</v>
      </c>
      <c r="O69" s="21">
        <f t="shared" si="18"/>
        <v>0</v>
      </c>
      <c r="P69" s="21">
        <f t="shared" si="12"/>
        <v>0</v>
      </c>
      <c r="Q69" s="22">
        <f t="shared" si="21"/>
        <v>0</v>
      </c>
      <c r="R69" s="23">
        <f t="shared" si="19"/>
        <v>0</v>
      </c>
      <c r="S69" s="70"/>
      <c r="T69" s="5">
        <f t="shared" si="20"/>
        <v>0</v>
      </c>
    </row>
    <row r="70" spans="1:22">
      <c r="B70" s="57"/>
      <c r="C70" s="6"/>
      <c r="D70" s="31">
        <f>'2020 Dep Exp '!F70</f>
        <v>0</v>
      </c>
      <c r="E70" s="17"/>
      <c r="F70" s="4">
        <f t="shared" si="17"/>
        <v>0</v>
      </c>
      <c r="G70" s="70">
        <f>'2020 Dep Exp '!I70+'2020 Dep Exp '!J70</f>
        <v>0</v>
      </c>
      <c r="H70" s="17"/>
      <c r="I70" s="4">
        <f t="shared" si="8"/>
        <v>0</v>
      </c>
      <c r="J70" s="70"/>
      <c r="K70" s="18">
        <v>0</v>
      </c>
      <c r="L70" s="19">
        <f t="shared" si="9"/>
        <v>0</v>
      </c>
      <c r="M70" s="18">
        <v>0</v>
      </c>
      <c r="N70" s="20">
        <f t="shared" si="10"/>
        <v>0</v>
      </c>
      <c r="O70" s="21">
        <f t="shared" si="18"/>
        <v>0</v>
      </c>
      <c r="P70" s="21">
        <f t="shared" si="12"/>
        <v>0</v>
      </c>
      <c r="Q70" s="22">
        <f t="shared" si="21"/>
        <v>0</v>
      </c>
      <c r="R70" s="23">
        <f t="shared" si="19"/>
        <v>0</v>
      </c>
      <c r="S70" s="70"/>
      <c r="T70" s="5">
        <f t="shared" si="20"/>
        <v>0</v>
      </c>
    </row>
    <row r="71" spans="1:22">
      <c r="A71" t="s">
        <v>105</v>
      </c>
      <c r="B71" s="57">
        <v>1980</v>
      </c>
      <c r="C71" s="6" t="s">
        <v>67</v>
      </c>
      <c r="D71" s="31">
        <f>'2020 Dep Exp '!F71</f>
        <v>696864.05999999994</v>
      </c>
      <c r="E71" s="17"/>
      <c r="F71" s="4">
        <f t="shared" si="17"/>
        <v>696864.05999999994</v>
      </c>
      <c r="G71" s="70">
        <f>'2020 Dep Exp '!I71+'2020 Dep Exp '!J71</f>
        <v>20134.77</v>
      </c>
      <c r="H71" s="17"/>
      <c r="I71" s="4">
        <f t="shared" si="8"/>
        <v>20134.77</v>
      </c>
      <c r="J71" s="70">
        <v>0</v>
      </c>
      <c r="K71" s="18">
        <v>13.615384615384615</v>
      </c>
      <c r="L71" s="19">
        <f t="shared" si="9"/>
        <v>7.3446327683615822E-2</v>
      </c>
      <c r="M71" s="18">
        <v>20</v>
      </c>
      <c r="N71" s="20">
        <f t="shared" si="10"/>
        <v>0.05</v>
      </c>
      <c r="O71" s="21">
        <f t="shared" si="18"/>
        <v>51182.10610169491</v>
      </c>
      <c r="P71" s="21">
        <f t="shared" si="12"/>
        <v>1006.7385</v>
      </c>
      <c r="Q71" s="22">
        <f t="shared" si="21"/>
        <v>0</v>
      </c>
      <c r="R71" s="23">
        <f t="shared" si="19"/>
        <v>52188.844601694909</v>
      </c>
      <c r="S71" s="70">
        <v>46296</v>
      </c>
      <c r="T71" s="5">
        <f t="shared" si="20"/>
        <v>-5892.8446016949092</v>
      </c>
      <c r="V71" t="str">
        <f t="shared" si="15"/>
        <v>1980SCADA</v>
      </c>
    </row>
    <row r="72" spans="1:22">
      <c r="B72" s="57">
        <v>1955</v>
      </c>
      <c r="C72" s="6" t="s">
        <v>87</v>
      </c>
      <c r="D72" s="31">
        <f>'2020 Dep Exp '!F72</f>
        <v>0</v>
      </c>
      <c r="E72" s="17"/>
      <c r="F72" s="4">
        <f t="shared" si="17"/>
        <v>0</v>
      </c>
      <c r="G72" s="70">
        <f>'2020 Dep Exp '!I72+'2020 Dep Exp '!J72</f>
        <v>300</v>
      </c>
      <c r="H72" s="17"/>
      <c r="I72" s="4">
        <f t="shared" si="8"/>
        <v>300</v>
      </c>
      <c r="J72" s="70"/>
      <c r="K72" s="18">
        <v>0</v>
      </c>
      <c r="L72" s="19">
        <f t="shared" si="9"/>
        <v>0</v>
      </c>
      <c r="M72" s="18">
        <v>0</v>
      </c>
      <c r="N72" s="20">
        <f t="shared" si="10"/>
        <v>0</v>
      </c>
      <c r="O72" s="21">
        <f t="shared" si="18"/>
        <v>0</v>
      </c>
      <c r="P72" s="21">
        <f t="shared" si="12"/>
        <v>0</v>
      </c>
      <c r="Q72" s="22">
        <f t="shared" si="21"/>
        <v>0</v>
      </c>
      <c r="R72" s="23">
        <f t="shared" si="19"/>
        <v>0</v>
      </c>
      <c r="S72" s="70"/>
      <c r="T72" s="5">
        <f t="shared" si="20"/>
        <v>0</v>
      </c>
      <c r="V72" t="str">
        <f t="shared" si="15"/>
        <v>1955Other</v>
      </c>
    </row>
    <row r="73" spans="1:22">
      <c r="B73" s="57"/>
      <c r="C73" s="6"/>
      <c r="D73" s="31">
        <f>'2020 Dep Exp '!F73</f>
        <v>0</v>
      </c>
      <c r="E73" s="17"/>
      <c r="F73" s="4">
        <f t="shared" si="17"/>
        <v>0</v>
      </c>
      <c r="G73" s="70">
        <f>'2020 Dep Exp '!I73+'2020 Dep Exp '!J73</f>
        <v>0</v>
      </c>
      <c r="H73" s="17"/>
      <c r="I73" s="4">
        <f t="shared" si="8"/>
        <v>0</v>
      </c>
      <c r="J73" s="70"/>
      <c r="K73" s="18">
        <v>0</v>
      </c>
      <c r="L73" s="19">
        <f t="shared" si="9"/>
        <v>0</v>
      </c>
      <c r="M73" s="18">
        <v>0</v>
      </c>
      <c r="N73" s="20">
        <f t="shared" si="10"/>
        <v>0</v>
      </c>
      <c r="O73" s="21">
        <f t="shared" si="18"/>
        <v>0</v>
      </c>
      <c r="P73" s="21">
        <f t="shared" si="12"/>
        <v>0</v>
      </c>
      <c r="Q73" s="22">
        <f t="shared" si="21"/>
        <v>0</v>
      </c>
      <c r="R73" s="23">
        <f t="shared" si="19"/>
        <v>0</v>
      </c>
      <c r="S73" s="70"/>
      <c r="T73" s="5">
        <f t="shared" si="20"/>
        <v>0</v>
      </c>
    </row>
    <row r="74" spans="1:22">
      <c r="A74" t="s">
        <v>106</v>
      </c>
      <c r="B74" s="57">
        <v>1855</v>
      </c>
      <c r="C74" s="6" t="s">
        <v>68</v>
      </c>
      <c r="D74" s="31">
        <f>'2020 Dep Exp '!F74</f>
        <v>2477.19</v>
      </c>
      <c r="E74" s="17"/>
      <c r="F74" s="4">
        <f t="shared" si="17"/>
        <v>2477.19</v>
      </c>
      <c r="G74" s="70">
        <f>'2020 Dep Exp '!I74+'2020 Dep Exp '!J74</f>
        <v>1302446.9350995279</v>
      </c>
      <c r="H74" s="17"/>
      <c r="I74" s="4">
        <f t="shared" si="8"/>
        <v>1302446.9350995279</v>
      </c>
      <c r="J74" s="70">
        <v>216646.43845999998</v>
      </c>
      <c r="K74" s="18">
        <v>50</v>
      </c>
      <c r="L74" s="19">
        <f t="shared" si="9"/>
        <v>0.02</v>
      </c>
      <c r="M74" s="18">
        <v>50</v>
      </c>
      <c r="N74" s="20">
        <f t="shared" si="10"/>
        <v>0.02</v>
      </c>
      <c r="O74" s="21">
        <f t="shared" si="18"/>
        <v>49.543800000000005</v>
      </c>
      <c r="P74" s="21">
        <f t="shared" si="12"/>
        <v>26048.938701990559</v>
      </c>
      <c r="Q74" s="22">
        <f t="shared" si="21"/>
        <v>2166.4643845999999</v>
      </c>
      <c r="R74" s="23">
        <f t="shared" si="19"/>
        <v>28264.946886590558</v>
      </c>
      <c r="S74" s="70">
        <v>44408.687086590566</v>
      </c>
      <c r="T74" s="5">
        <f t="shared" si="20"/>
        <v>16143.740200000007</v>
      </c>
      <c r="V74" t="str">
        <f t="shared" si="15"/>
        <v>1855Services</v>
      </c>
    </row>
    <row r="75" spans="1:22">
      <c r="B75" s="57"/>
      <c r="C75" s="6"/>
      <c r="D75" s="31">
        <f>'2020 Dep Exp '!F75</f>
        <v>0</v>
      </c>
      <c r="E75" s="17"/>
      <c r="F75" s="4">
        <f t="shared" si="17"/>
        <v>0</v>
      </c>
      <c r="G75" s="70">
        <f>'2020 Dep Exp '!I75+'2020 Dep Exp '!J75</f>
        <v>0</v>
      </c>
      <c r="H75" s="17"/>
      <c r="I75" s="4">
        <f t="shared" si="8"/>
        <v>0</v>
      </c>
      <c r="J75" s="70"/>
      <c r="K75" s="18">
        <v>0</v>
      </c>
      <c r="L75" s="19">
        <f t="shared" si="9"/>
        <v>0</v>
      </c>
      <c r="M75" s="18">
        <v>0</v>
      </c>
      <c r="N75" s="20">
        <f t="shared" si="10"/>
        <v>0</v>
      </c>
      <c r="O75" s="21">
        <f t="shared" si="18"/>
        <v>0</v>
      </c>
      <c r="P75" s="21">
        <f t="shared" si="12"/>
        <v>0</v>
      </c>
      <c r="Q75" s="22">
        <f t="shared" si="21"/>
        <v>0</v>
      </c>
      <c r="R75" s="23">
        <f t="shared" si="19"/>
        <v>0</v>
      </c>
      <c r="S75" s="70"/>
      <c r="T75" s="5">
        <f t="shared" si="20"/>
        <v>0</v>
      </c>
    </row>
    <row r="76" spans="1:22">
      <c r="A76" t="s">
        <v>107</v>
      </c>
      <c r="B76" s="57">
        <v>1955</v>
      </c>
      <c r="C76" s="6" t="s">
        <v>69</v>
      </c>
      <c r="D76" s="31">
        <f>'2020 Dep Exp '!F76</f>
        <v>15847.3</v>
      </c>
      <c r="E76" s="17"/>
      <c r="F76" s="4">
        <f t="shared" si="17"/>
        <v>15847.3</v>
      </c>
      <c r="G76" s="70">
        <f>'2020 Dep Exp '!I76+'2020 Dep Exp '!J76</f>
        <v>39164.079999999994</v>
      </c>
      <c r="H76" s="17"/>
      <c r="I76" s="4">
        <f t="shared" si="8"/>
        <v>39164.079999999994</v>
      </c>
      <c r="J76" s="70">
        <v>50057.600000000006</v>
      </c>
      <c r="K76" s="18">
        <v>2.5</v>
      </c>
      <c r="L76" s="19">
        <f t="shared" si="9"/>
        <v>0.4</v>
      </c>
      <c r="M76" s="18">
        <v>10</v>
      </c>
      <c r="N76" s="20">
        <f t="shared" si="10"/>
        <v>0.1</v>
      </c>
      <c r="O76" s="21">
        <f t="shared" si="18"/>
        <v>6338.92</v>
      </c>
      <c r="P76" s="21">
        <f t="shared" si="12"/>
        <v>3916.4079999999994</v>
      </c>
      <c r="Q76" s="22">
        <f t="shared" si="21"/>
        <v>2502.88</v>
      </c>
      <c r="R76" s="23">
        <f t="shared" si="19"/>
        <v>12758.207999999999</v>
      </c>
      <c r="S76" s="70">
        <v>6354.88</v>
      </c>
      <c r="T76" s="5">
        <f t="shared" si="20"/>
        <v>-6403.3279999999986</v>
      </c>
      <c r="V76" t="str">
        <f t="shared" si="15"/>
        <v>1955Communication Equipment, Wireless</v>
      </c>
    </row>
    <row r="77" spans="1:22">
      <c r="B77" s="57"/>
      <c r="C77" s="6"/>
      <c r="D77" s="31">
        <f>'2020 Dep Exp '!F77</f>
        <v>0</v>
      </c>
      <c r="E77" s="17"/>
      <c r="F77" s="4">
        <f t="shared" si="17"/>
        <v>0</v>
      </c>
      <c r="G77" s="70">
        <f>'2020 Dep Exp '!I77+'2020 Dep Exp '!J77</f>
        <v>0</v>
      </c>
      <c r="H77" s="17"/>
      <c r="I77" s="4">
        <f t="shared" si="8"/>
        <v>0</v>
      </c>
      <c r="J77" s="70"/>
      <c r="K77" s="18">
        <v>0</v>
      </c>
      <c r="L77" s="19">
        <f t="shared" si="9"/>
        <v>0</v>
      </c>
      <c r="M77" s="18">
        <v>0</v>
      </c>
      <c r="N77" s="20">
        <f t="shared" si="10"/>
        <v>0</v>
      </c>
      <c r="O77" s="21">
        <f t="shared" si="18"/>
        <v>0</v>
      </c>
      <c r="P77" s="21">
        <f t="shared" si="12"/>
        <v>0</v>
      </c>
      <c r="Q77" s="22">
        <f t="shared" si="21"/>
        <v>0</v>
      </c>
      <c r="R77" s="23">
        <f t="shared" si="19"/>
        <v>0</v>
      </c>
      <c r="S77" s="70"/>
      <c r="T77" s="5">
        <f t="shared" si="20"/>
        <v>0</v>
      </c>
    </row>
    <row r="78" spans="1:22">
      <c r="B78" s="57">
        <v>1606</v>
      </c>
      <c r="C78" s="6" t="s">
        <v>70</v>
      </c>
      <c r="D78" s="31">
        <f>'2020 Dep Exp '!F78</f>
        <v>192292.27</v>
      </c>
      <c r="E78" s="17"/>
      <c r="F78" s="4">
        <f t="shared" si="17"/>
        <v>192292.27</v>
      </c>
      <c r="G78" s="70">
        <f>'2020 Dep Exp '!I78+'2020 Dep Exp '!J78</f>
        <v>0</v>
      </c>
      <c r="H78" s="17"/>
      <c r="I78" s="4">
        <f t="shared" si="8"/>
        <v>0</v>
      </c>
      <c r="J78" s="70"/>
      <c r="K78" s="18">
        <v>0</v>
      </c>
      <c r="L78" s="19">
        <f t="shared" si="9"/>
        <v>0</v>
      </c>
      <c r="M78" s="18">
        <v>0</v>
      </c>
      <c r="N78" s="20">
        <f t="shared" si="10"/>
        <v>0</v>
      </c>
      <c r="O78" s="21">
        <f t="shared" si="18"/>
        <v>0</v>
      </c>
      <c r="P78" s="21">
        <f t="shared" si="12"/>
        <v>0</v>
      </c>
      <c r="Q78" s="22">
        <f t="shared" si="21"/>
        <v>0</v>
      </c>
      <c r="R78" s="23">
        <f t="shared" si="19"/>
        <v>0</v>
      </c>
      <c r="S78" s="70"/>
      <c r="T78" s="5">
        <f t="shared" si="20"/>
        <v>0</v>
      </c>
      <c r="V78" t="str">
        <f t="shared" si="15"/>
        <v>1606Corporation Costs</v>
      </c>
    </row>
    <row r="79" spans="1:22">
      <c r="B79" s="57"/>
      <c r="C79" s="6"/>
      <c r="D79" s="31">
        <f>'2020 Dep Exp '!F79</f>
        <v>0</v>
      </c>
      <c r="E79" s="17"/>
      <c r="F79" s="4">
        <f t="shared" si="17"/>
        <v>0</v>
      </c>
      <c r="G79" s="70">
        <f>'2020 Dep Exp '!I79+'2020 Dep Exp '!J79</f>
        <v>0</v>
      </c>
      <c r="H79" s="17"/>
      <c r="I79" s="4"/>
      <c r="J79" s="70"/>
      <c r="K79" s="18"/>
      <c r="L79" s="19"/>
      <c r="M79" s="18"/>
      <c r="N79" s="33"/>
      <c r="O79" s="21"/>
      <c r="P79" s="21"/>
      <c r="Q79" s="22"/>
      <c r="R79" s="23"/>
      <c r="S79" s="70"/>
      <c r="T79" s="5"/>
      <c r="V79" t="str">
        <f t="shared" si="15"/>
        <v/>
      </c>
    </row>
    <row r="80" spans="1:22">
      <c r="B80" s="57">
        <v>1995</v>
      </c>
      <c r="C80" s="6" t="s">
        <v>41</v>
      </c>
      <c r="D80" s="31">
        <f>'2020 Dep Exp '!F80</f>
        <v>0</v>
      </c>
      <c r="E80" s="17"/>
      <c r="F80" s="4">
        <f t="shared" si="17"/>
        <v>0</v>
      </c>
      <c r="G80" s="70">
        <f>'2020 Dep Exp '!I80+'2020 Dep Exp '!J80</f>
        <v>0</v>
      </c>
      <c r="H80" s="17"/>
      <c r="I80" s="4">
        <f t="shared" ref="I80:I81" si="22">G80-H80</f>
        <v>0</v>
      </c>
      <c r="J80" s="70"/>
      <c r="K80" s="18"/>
      <c r="L80" s="34">
        <f t="shared" ref="L80:L81" si="23">IF(K80=0,0,1/K80)</f>
        <v>0</v>
      </c>
      <c r="M80" s="18"/>
      <c r="N80" s="33">
        <f t="shared" ref="N80:N81" si="24">IF(M80=0,0,1/M80)</f>
        <v>0</v>
      </c>
      <c r="O80" s="35">
        <f t="shared" si="18"/>
        <v>0</v>
      </c>
      <c r="P80" s="35">
        <f t="shared" ref="P80:P81" si="25">IF(M80=0,0,+I80/M80)</f>
        <v>0</v>
      </c>
      <c r="Q80" s="36">
        <f>IF(M80=0,0,+(J80*0.5)/M80)</f>
        <v>0</v>
      </c>
      <c r="R80" s="24">
        <f t="shared" si="19"/>
        <v>0</v>
      </c>
      <c r="S80" s="70"/>
      <c r="T80" s="5">
        <f t="shared" si="20"/>
        <v>0</v>
      </c>
      <c r="V80" t="str">
        <f t="shared" si="15"/>
        <v>1995Contributions &amp; Grants</v>
      </c>
    </row>
    <row r="81" spans="2:22" ht="15" thickBot="1">
      <c r="B81" s="58">
        <v>2440</v>
      </c>
      <c r="C81" s="59" t="s">
        <v>42</v>
      </c>
      <c r="D81" s="60">
        <f>'2020 Dep Exp '!F81</f>
        <v>0</v>
      </c>
      <c r="E81" s="61"/>
      <c r="F81" s="62">
        <f t="shared" si="17"/>
        <v>0</v>
      </c>
      <c r="G81" s="76">
        <f>'2020 Dep Exp '!I81+'2020 Dep Exp '!J81</f>
        <v>0</v>
      </c>
      <c r="H81" s="61"/>
      <c r="I81" s="62">
        <f t="shared" si="22"/>
        <v>0</v>
      </c>
      <c r="J81" s="76"/>
      <c r="K81" s="63"/>
      <c r="L81" s="64">
        <f t="shared" si="23"/>
        <v>0</v>
      </c>
      <c r="M81" s="63"/>
      <c r="N81" s="65">
        <f t="shared" si="24"/>
        <v>0</v>
      </c>
      <c r="O81" s="66">
        <f t="shared" si="18"/>
        <v>0</v>
      </c>
      <c r="P81" s="66">
        <f t="shared" si="25"/>
        <v>0</v>
      </c>
      <c r="Q81" s="67">
        <f>IF(M81=0,0,+(J81*0.5)/M81)</f>
        <v>0</v>
      </c>
      <c r="R81" s="68">
        <f t="shared" si="19"/>
        <v>0</v>
      </c>
      <c r="S81" s="76"/>
      <c r="T81" s="77">
        <f t="shared" si="20"/>
        <v>0</v>
      </c>
      <c r="V81" t="str">
        <f t="shared" si="15"/>
        <v>2440Deferred Revenue</v>
      </c>
    </row>
    <row r="82" spans="2:22" ht="15" thickBot="1">
      <c r="B82" s="82"/>
      <c r="C82" s="83" t="s">
        <v>43</v>
      </c>
      <c r="D82" s="107">
        <f>SUM(D7:D81)</f>
        <v>61179879.359999999</v>
      </c>
      <c r="E82" s="107">
        <f t="shared" ref="E82:J82" si="26">SUM(E7:E81)</f>
        <v>0</v>
      </c>
      <c r="F82" s="107">
        <f t="shared" si="26"/>
        <v>61179879.359999999</v>
      </c>
      <c r="G82" s="107">
        <f t="shared" si="26"/>
        <v>69129333.001482353</v>
      </c>
      <c r="H82" s="107">
        <f t="shared" si="26"/>
        <v>97115</v>
      </c>
      <c r="I82" s="107">
        <f t="shared" si="26"/>
        <v>69032218.001482353</v>
      </c>
      <c r="J82" s="107">
        <f t="shared" si="26"/>
        <v>6601997.4976000004</v>
      </c>
      <c r="K82" s="107"/>
      <c r="L82" s="85"/>
      <c r="M82" s="108"/>
      <c r="N82" s="109"/>
      <c r="O82" s="107">
        <f t="shared" ref="O82:T82" si="27">SUM(O7:O81)</f>
        <v>1798610.5638769649</v>
      </c>
      <c r="P82" s="107">
        <f t="shared" si="27"/>
        <v>2020833.0949359424</v>
      </c>
      <c r="Q82" s="107">
        <f t="shared" si="27"/>
        <v>119891.0441508107</v>
      </c>
      <c r="R82" s="107">
        <f t="shared" si="27"/>
        <v>3939334.7029637177</v>
      </c>
      <c r="S82" s="107">
        <f t="shared" si="27"/>
        <v>3904968.7402304038</v>
      </c>
      <c r="T82" s="88">
        <f t="shared" si="27"/>
        <v>-34365.962733313238</v>
      </c>
    </row>
    <row r="83" spans="2:2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2:22">
      <c r="D84" s="11">
        <v>0</v>
      </c>
      <c r="G84" s="10">
        <v>0</v>
      </c>
      <c r="J84" s="11">
        <v>0</v>
      </c>
      <c r="S84" s="10">
        <v>-0.49881075648590922</v>
      </c>
      <c r="T84" s="26">
        <f>T82/S82</f>
        <v>-8.8005730697054314E-3</v>
      </c>
    </row>
    <row r="85" spans="2:22">
      <c r="S85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paperSize="17" scale="52" orientation="landscape" r:id="rId1"/>
  <ignoredErrors>
    <ignoredError sqref="D29:T82 G27:T27 D28:S28 T28 G7:L7 N7:T7 G8:L8 N8:T8 G9:L9 N9:T9 G10:L10 N10:T10 G11:L11 N11:T11 G12:L12 N12:T12 G13:L13 N13:T13 G14:L14 N14:T14 G15:L15 N15:T15 G16:L16 N16:T16 G17:L17 N17:T17 G18:L18 N18:T18 G19:L19 N19:T19 G20:L20 N20:T20 G21:L21 N21:T21 G22:L22 N22:T22 G23:L23 N23:T23 G24:L24 N24:T24 G25:L25 N25:T25 G26:L26 N26:T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2016 Dep Exp </vt:lpstr>
      <vt:lpstr>2017 Dep Exp </vt:lpstr>
      <vt:lpstr>2018 Dep Exp </vt:lpstr>
      <vt:lpstr>2019 Dep Exp </vt:lpstr>
      <vt:lpstr>2020 Dep Exp </vt:lpstr>
      <vt:lpstr>2021 Dep Exp</vt:lpstr>
      <vt:lpstr>'2016 Dep Exp 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2020-08-27T23:41:36Z</cp:lastPrinted>
  <dcterms:created xsi:type="dcterms:W3CDTF">2020-08-12T22:05:09Z</dcterms:created>
  <dcterms:modified xsi:type="dcterms:W3CDTF">2021-03-25T15:44:00Z</dcterms:modified>
  <cp:category/>
</cp:coreProperties>
</file>