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3040" windowHeight="9192" tabRatio="869"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 name="Streetlight Details" sheetId="88" r:id="rId15"/>
  </sheets>
  <externalReferences>
    <externalReference r:id="rId16"/>
  </externalReferences>
  <definedNames>
    <definedName name="_xlnm._FilterDatabase" localSheetId="12" hidden="1">'7.  Persistence Report'!$C$26:$BT$26</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E3" i="80" l="1"/>
  <c r="AM110" i="88"/>
  <c r="AL110" i="88"/>
  <c r="AK110" i="88"/>
  <c r="AJ110" i="88"/>
  <c r="AI110" i="88"/>
  <c r="AH110" i="88"/>
  <c r="AG110" i="88"/>
  <c r="AE110" i="88"/>
  <c r="AD110" i="88"/>
  <c r="AC110" i="88"/>
  <c r="AB110" i="88"/>
  <c r="AA110" i="88"/>
  <c r="Z110" i="88"/>
  <c r="Y110" i="88"/>
  <c r="X110" i="88"/>
  <c r="W110" i="88"/>
  <c r="V110" i="88"/>
  <c r="U110" i="88"/>
  <c r="T110" i="88"/>
  <c r="S110" i="88"/>
  <c r="R110" i="88"/>
  <c r="Q110" i="88"/>
  <c r="P110" i="88"/>
  <c r="O110" i="88"/>
  <c r="N110" i="88"/>
  <c r="M110" i="88"/>
  <c r="L110" i="88"/>
  <c r="K110" i="88"/>
  <c r="J110" i="88"/>
  <c r="I110" i="88"/>
  <c r="H110" i="88"/>
  <c r="G110" i="88"/>
  <c r="F110" i="88"/>
  <c r="E110" i="88"/>
  <c r="C110" i="88"/>
  <c r="AO109" i="88"/>
  <c r="C109" i="88"/>
  <c r="AM108" i="88"/>
  <c r="AL108" i="88"/>
  <c r="AK108" i="88"/>
  <c r="AJ108" i="88"/>
  <c r="AI108" i="88"/>
  <c r="AH108" i="88"/>
  <c r="AG108" i="88"/>
  <c r="AE108" i="88"/>
  <c r="AD108" i="88"/>
  <c r="AC108" i="88"/>
  <c r="AB108" i="88"/>
  <c r="AA108" i="88"/>
  <c r="Z108" i="88"/>
  <c r="Y108" i="88"/>
  <c r="X108" i="88"/>
  <c r="W108" i="88"/>
  <c r="V108" i="88"/>
  <c r="U108" i="88"/>
  <c r="T108" i="88"/>
  <c r="S108" i="88"/>
  <c r="R108" i="88"/>
  <c r="Q108" i="88"/>
  <c r="P108" i="88"/>
  <c r="O108" i="88"/>
  <c r="N108" i="88"/>
  <c r="M108" i="88"/>
  <c r="L108" i="88"/>
  <c r="K108" i="88"/>
  <c r="J108" i="88"/>
  <c r="I108" i="88"/>
  <c r="H108" i="88"/>
  <c r="G108" i="88"/>
  <c r="F108" i="88"/>
  <c r="E108" i="88"/>
  <c r="C108" i="88"/>
  <c r="AP107" i="88"/>
  <c r="AO107" i="88"/>
  <c r="C107" i="88"/>
  <c r="AM106" i="88"/>
  <c r="AL106" i="88"/>
  <c r="AK106" i="88"/>
  <c r="AJ106" i="88"/>
  <c r="AI106" i="88"/>
  <c r="AH106" i="88"/>
  <c r="AG106" i="88"/>
  <c r="AE106" i="88"/>
  <c r="AD106" i="88"/>
  <c r="AC106" i="88"/>
  <c r="AB106" i="88"/>
  <c r="AA106" i="88"/>
  <c r="Z106" i="88"/>
  <c r="Y106" i="88"/>
  <c r="X106" i="88"/>
  <c r="W106" i="88"/>
  <c r="V106" i="88"/>
  <c r="U106" i="88"/>
  <c r="T106" i="88"/>
  <c r="S106" i="88"/>
  <c r="R106" i="88"/>
  <c r="Q106" i="88"/>
  <c r="P106" i="88"/>
  <c r="O106" i="88"/>
  <c r="N106" i="88"/>
  <c r="M106" i="88"/>
  <c r="L106" i="88"/>
  <c r="K106" i="88"/>
  <c r="J106" i="88"/>
  <c r="I106" i="88"/>
  <c r="H106" i="88"/>
  <c r="G106" i="88"/>
  <c r="F106" i="88"/>
  <c r="E106" i="88"/>
  <c r="C106" i="88"/>
  <c r="AP105" i="88"/>
  <c r="AO105" i="88"/>
  <c r="C105" i="88"/>
  <c r="AM104" i="88"/>
  <c r="AL104" i="88"/>
  <c r="AK104" i="88"/>
  <c r="AJ104" i="88"/>
  <c r="AI104" i="88"/>
  <c r="AH104" i="88"/>
  <c r="AG104" i="88"/>
  <c r="AE104" i="88"/>
  <c r="AD104" i="88"/>
  <c r="AC104" i="88"/>
  <c r="AB104" i="88"/>
  <c r="AA104" i="88"/>
  <c r="Z104" i="88"/>
  <c r="Y104" i="88"/>
  <c r="X104" i="88"/>
  <c r="W104" i="88"/>
  <c r="V104" i="88"/>
  <c r="U104" i="88"/>
  <c r="T104" i="88"/>
  <c r="S104" i="88"/>
  <c r="R104" i="88"/>
  <c r="Q104" i="88"/>
  <c r="P104" i="88"/>
  <c r="O104" i="88"/>
  <c r="N104" i="88"/>
  <c r="M104" i="88"/>
  <c r="L104" i="88"/>
  <c r="K104" i="88"/>
  <c r="J104" i="88"/>
  <c r="I104" i="88"/>
  <c r="H104" i="88"/>
  <c r="G104" i="88"/>
  <c r="F104" i="88"/>
  <c r="E104" i="88"/>
  <c r="C104" i="88"/>
  <c r="AP103" i="88"/>
  <c r="AO103" i="88"/>
  <c r="C103" i="88"/>
  <c r="AM102" i="88"/>
  <c r="AL102" i="88"/>
  <c r="AK102" i="88"/>
  <c r="AJ102" i="88"/>
  <c r="AI102" i="88"/>
  <c r="AH102" i="88"/>
  <c r="AG102" i="88"/>
  <c r="AE102" i="88"/>
  <c r="AD102" i="88"/>
  <c r="AC102" i="88"/>
  <c r="AB102" i="88"/>
  <c r="AA102" i="88"/>
  <c r="Z102" i="88"/>
  <c r="Y102" i="88"/>
  <c r="X102" i="88"/>
  <c r="W102" i="88"/>
  <c r="V102" i="88"/>
  <c r="U102" i="88"/>
  <c r="T102" i="88"/>
  <c r="S102" i="88"/>
  <c r="R102" i="88"/>
  <c r="Q102" i="88"/>
  <c r="P102" i="88"/>
  <c r="O102" i="88"/>
  <c r="N102" i="88"/>
  <c r="M102" i="88"/>
  <c r="L102" i="88"/>
  <c r="K102" i="88"/>
  <c r="J102" i="88"/>
  <c r="I102" i="88"/>
  <c r="H102" i="88"/>
  <c r="G102" i="88"/>
  <c r="F102" i="88"/>
  <c r="E102" i="88"/>
  <c r="C102" i="88"/>
  <c r="AP101" i="88"/>
  <c r="AO101" i="88"/>
  <c r="C101" i="88"/>
  <c r="AM100" i="88"/>
  <c r="AL100" i="88"/>
  <c r="AK100" i="88"/>
  <c r="AJ100" i="88"/>
  <c r="AI100" i="88"/>
  <c r="AH100" i="88"/>
  <c r="AG100" i="88"/>
  <c r="AE100" i="88"/>
  <c r="AD100" i="88"/>
  <c r="AC100" i="88"/>
  <c r="AB100" i="88"/>
  <c r="AA100" i="88"/>
  <c r="Z100" i="88"/>
  <c r="Y100" i="88"/>
  <c r="X100" i="88"/>
  <c r="W100" i="88"/>
  <c r="V100" i="88"/>
  <c r="U100" i="88"/>
  <c r="T100" i="88"/>
  <c r="S100" i="88"/>
  <c r="R100" i="88"/>
  <c r="Q100" i="88"/>
  <c r="P100" i="88"/>
  <c r="O100" i="88"/>
  <c r="N100" i="88"/>
  <c r="M100" i="88"/>
  <c r="L100" i="88"/>
  <c r="K100" i="88"/>
  <c r="J100" i="88"/>
  <c r="I100" i="88"/>
  <c r="H100" i="88"/>
  <c r="G100" i="88"/>
  <c r="F100" i="88"/>
  <c r="E100" i="88"/>
  <c r="C100" i="88"/>
  <c r="AP99" i="88"/>
  <c r="AO99" i="88"/>
  <c r="C99" i="88"/>
  <c r="AM98" i="88"/>
  <c r="AL98" i="88"/>
  <c r="AK98" i="88"/>
  <c r="AJ98" i="88"/>
  <c r="AI98" i="88"/>
  <c r="AH98" i="88"/>
  <c r="AG98" i="88"/>
  <c r="AE98" i="88"/>
  <c r="AD98" i="88"/>
  <c r="AC98" i="88"/>
  <c r="AB98" i="88"/>
  <c r="AA98" i="88"/>
  <c r="Z98" i="88"/>
  <c r="Y98" i="88"/>
  <c r="X98" i="88"/>
  <c r="W98" i="88"/>
  <c r="V98" i="88"/>
  <c r="U98" i="88"/>
  <c r="T98" i="88"/>
  <c r="S98" i="88"/>
  <c r="R98" i="88"/>
  <c r="Q98" i="88"/>
  <c r="P98" i="88"/>
  <c r="O98" i="88"/>
  <c r="N98" i="88"/>
  <c r="M98" i="88"/>
  <c r="L98" i="88"/>
  <c r="K98" i="88"/>
  <c r="J98" i="88"/>
  <c r="I98" i="88"/>
  <c r="H98" i="88"/>
  <c r="G98" i="88"/>
  <c r="F98" i="88"/>
  <c r="E98" i="88"/>
  <c r="C98" i="88"/>
  <c r="AP97" i="88"/>
  <c r="AO97" i="88"/>
  <c r="C97" i="88"/>
  <c r="AM96" i="88"/>
  <c r="AL96" i="88"/>
  <c r="AK96" i="88"/>
  <c r="AJ96" i="88"/>
  <c r="AI96" i="88"/>
  <c r="AH96" i="88"/>
  <c r="AG96" i="88"/>
  <c r="AE96" i="88"/>
  <c r="AD96" i="88"/>
  <c r="AC96" i="88"/>
  <c r="AB96" i="88"/>
  <c r="AA96" i="88"/>
  <c r="Z96" i="88"/>
  <c r="Y96" i="88"/>
  <c r="X96" i="88"/>
  <c r="W96" i="88"/>
  <c r="V96" i="88"/>
  <c r="U96" i="88"/>
  <c r="T96" i="88"/>
  <c r="S96" i="88"/>
  <c r="R96" i="88"/>
  <c r="Q96" i="88"/>
  <c r="P96" i="88"/>
  <c r="O96" i="88"/>
  <c r="N96" i="88"/>
  <c r="M96" i="88"/>
  <c r="L96" i="88"/>
  <c r="K96" i="88"/>
  <c r="J96" i="88"/>
  <c r="I96" i="88"/>
  <c r="H96" i="88"/>
  <c r="G96" i="88"/>
  <c r="F96" i="88"/>
  <c r="E96" i="88"/>
  <c r="C96" i="88"/>
  <c r="AP95" i="88"/>
  <c r="AO95" i="88"/>
  <c r="C95" i="88"/>
  <c r="AM94" i="88"/>
  <c r="AL94" i="88"/>
  <c r="AK94" i="88"/>
  <c r="AJ94" i="88"/>
  <c r="AI94" i="88"/>
  <c r="AH94" i="88"/>
  <c r="AG94" i="88"/>
  <c r="AE94" i="88"/>
  <c r="AD94" i="88"/>
  <c r="AC94" i="88"/>
  <c r="AB94" i="88"/>
  <c r="AA94" i="88"/>
  <c r="Z94" i="88"/>
  <c r="Y94" i="88"/>
  <c r="X94" i="88"/>
  <c r="W94" i="88"/>
  <c r="V94" i="88"/>
  <c r="U94" i="88"/>
  <c r="T94" i="88"/>
  <c r="S94" i="88"/>
  <c r="R94" i="88"/>
  <c r="Q94" i="88"/>
  <c r="P94" i="88"/>
  <c r="O94" i="88"/>
  <c r="N94" i="88"/>
  <c r="M94" i="88"/>
  <c r="L94" i="88"/>
  <c r="K94" i="88"/>
  <c r="J94" i="88"/>
  <c r="I94" i="88"/>
  <c r="H94" i="88"/>
  <c r="G94" i="88"/>
  <c r="F94" i="88"/>
  <c r="E94" i="88"/>
  <c r="C94" i="88"/>
  <c r="AP93" i="88"/>
  <c r="AO93" i="88"/>
  <c r="C93" i="88"/>
  <c r="AM92" i="88"/>
  <c r="AL92" i="88"/>
  <c r="AK92" i="88"/>
  <c r="AJ92" i="88"/>
  <c r="AI92" i="88"/>
  <c r="AH92" i="88"/>
  <c r="AG92" i="88"/>
  <c r="AE92" i="88"/>
  <c r="AD92" i="88"/>
  <c r="AC92" i="88"/>
  <c r="AB92" i="88"/>
  <c r="AA92" i="88"/>
  <c r="Z92" i="88"/>
  <c r="Y92" i="88"/>
  <c r="X92" i="88"/>
  <c r="W92" i="88"/>
  <c r="V92" i="88"/>
  <c r="U92" i="88"/>
  <c r="T92" i="88"/>
  <c r="S92" i="88"/>
  <c r="R92" i="88"/>
  <c r="Q92" i="88"/>
  <c r="P92" i="88"/>
  <c r="O92" i="88"/>
  <c r="N92" i="88"/>
  <c r="M92" i="88"/>
  <c r="L92" i="88"/>
  <c r="K92" i="88"/>
  <c r="J92" i="88"/>
  <c r="I92" i="88"/>
  <c r="H92" i="88"/>
  <c r="G92" i="88"/>
  <c r="F92" i="88"/>
  <c r="E92" i="88"/>
  <c r="C92" i="88"/>
  <c r="AP91" i="88"/>
  <c r="AO91" i="88"/>
  <c r="I91" i="88"/>
  <c r="C91" i="88"/>
  <c r="AM90" i="88"/>
  <c r="AL90" i="88"/>
  <c r="AK90" i="88"/>
  <c r="AJ90" i="88"/>
  <c r="AI90" i="88"/>
  <c r="AH90" i="88"/>
  <c r="AG90" i="88"/>
  <c r="AE90" i="88"/>
  <c r="AD90" i="88"/>
  <c r="AC90" i="88"/>
  <c r="AB90" i="88"/>
  <c r="AA90" i="88"/>
  <c r="Z90" i="88"/>
  <c r="Y90" i="88"/>
  <c r="X90" i="88"/>
  <c r="W90" i="88"/>
  <c r="V90" i="88"/>
  <c r="U90" i="88"/>
  <c r="T90" i="88"/>
  <c r="S90" i="88"/>
  <c r="R90" i="88"/>
  <c r="Q90" i="88"/>
  <c r="P90" i="88"/>
  <c r="O90" i="88"/>
  <c r="N90" i="88"/>
  <c r="M90" i="88"/>
  <c r="L90" i="88"/>
  <c r="K90" i="88"/>
  <c r="J90" i="88"/>
  <c r="I90" i="88"/>
  <c r="H90" i="88"/>
  <c r="G90" i="88"/>
  <c r="F90" i="88"/>
  <c r="E90" i="88"/>
  <c r="C90" i="88"/>
  <c r="AP89" i="88"/>
  <c r="AO89" i="88"/>
  <c r="AL89" i="88"/>
  <c r="AI89" i="88"/>
  <c r="AH89" i="88"/>
  <c r="I89" i="88"/>
  <c r="C89" i="88"/>
  <c r="AM88" i="88"/>
  <c r="AL88" i="88"/>
  <c r="AK88" i="88"/>
  <c r="AJ88" i="88"/>
  <c r="AI88" i="88"/>
  <c r="AH88" i="88"/>
  <c r="AG88" i="88"/>
  <c r="AE88" i="88"/>
  <c r="AD88" i="88"/>
  <c r="AC88" i="88"/>
  <c r="AB88" i="88"/>
  <c r="AA88" i="88"/>
  <c r="Z88" i="88"/>
  <c r="Y88" i="88"/>
  <c r="X88" i="88"/>
  <c r="W88" i="88"/>
  <c r="V88" i="88"/>
  <c r="U88" i="88"/>
  <c r="T88" i="88"/>
  <c r="S88" i="88"/>
  <c r="R88" i="88"/>
  <c r="Q88" i="88"/>
  <c r="P88" i="88"/>
  <c r="O88" i="88"/>
  <c r="N88" i="88"/>
  <c r="M88" i="88"/>
  <c r="L88" i="88"/>
  <c r="K88" i="88"/>
  <c r="J88" i="88"/>
  <c r="I88" i="88"/>
  <c r="H88" i="88"/>
  <c r="G88" i="88"/>
  <c r="F88" i="88"/>
  <c r="E88" i="88"/>
  <c r="C88" i="88"/>
  <c r="AP87" i="88"/>
  <c r="AO87" i="88"/>
  <c r="I87" i="88"/>
  <c r="C87" i="88"/>
  <c r="AM86" i="88"/>
  <c r="AL86" i="88"/>
  <c r="AK86" i="88"/>
  <c r="AJ86" i="88"/>
  <c r="AI86" i="88"/>
  <c r="AH86" i="88"/>
  <c r="AG86" i="88"/>
  <c r="AE86" i="88"/>
  <c r="AD86" i="88"/>
  <c r="AC86" i="88"/>
  <c r="AB86" i="88"/>
  <c r="AA86" i="88"/>
  <c r="Z86" i="88"/>
  <c r="Y86" i="88"/>
  <c r="X86" i="88"/>
  <c r="W86" i="88"/>
  <c r="V86" i="88"/>
  <c r="U86" i="88"/>
  <c r="T86" i="88"/>
  <c r="S86" i="88"/>
  <c r="R86" i="88"/>
  <c r="Q86" i="88"/>
  <c r="P86" i="88"/>
  <c r="O86" i="88"/>
  <c r="N86" i="88"/>
  <c r="M86" i="88"/>
  <c r="L86" i="88"/>
  <c r="K86" i="88"/>
  <c r="J86" i="88"/>
  <c r="I86" i="88"/>
  <c r="H86" i="88"/>
  <c r="G86" i="88"/>
  <c r="F86" i="88"/>
  <c r="E86" i="88"/>
  <c r="C86" i="88"/>
  <c r="AP85" i="88"/>
  <c r="AO85" i="88"/>
  <c r="AI85" i="88"/>
  <c r="I85" i="88"/>
  <c r="C85" i="88"/>
  <c r="AM84" i="88"/>
  <c r="AL84" i="88"/>
  <c r="AK84" i="88"/>
  <c r="AJ84" i="88"/>
  <c r="AI84" i="88"/>
  <c r="AH84" i="88"/>
  <c r="AG84" i="88"/>
  <c r="AE84" i="88"/>
  <c r="AD84" i="88"/>
  <c r="AC84" i="88"/>
  <c r="AB84" i="88"/>
  <c r="AA84" i="88"/>
  <c r="Z84" i="88"/>
  <c r="Y84" i="88"/>
  <c r="X84" i="88"/>
  <c r="W84" i="88"/>
  <c r="V84" i="88"/>
  <c r="U84" i="88"/>
  <c r="T84" i="88"/>
  <c r="S84" i="88"/>
  <c r="R84" i="88"/>
  <c r="Q84" i="88"/>
  <c r="P84" i="88"/>
  <c r="O84" i="88"/>
  <c r="N84" i="88"/>
  <c r="M84" i="88"/>
  <c r="L84" i="88"/>
  <c r="K84" i="88"/>
  <c r="J84" i="88"/>
  <c r="I84" i="88"/>
  <c r="H84" i="88"/>
  <c r="G84" i="88"/>
  <c r="F84" i="88"/>
  <c r="E84" i="88"/>
  <c r="C84" i="88"/>
  <c r="AP83" i="88"/>
  <c r="AO83" i="88"/>
  <c r="AI83" i="88"/>
  <c r="I83" i="88"/>
  <c r="C83" i="88"/>
  <c r="AM82" i="88"/>
  <c r="AL82" i="88"/>
  <c r="AK82" i="88"/>
  <c r="AJ82" i="88"/>
  <c r="AI82" i="88"/>
  <c r="AH82" i="88"/>
  <c r="AG82" i="88"/>
  <c r="AE82" i="88"/>
  <c r="AD82" i="88"/>
  <c r="AC82" i="88"/>
  <c r="AB82" i="88"/>
  <c r="AA82" i="88"/>
  <c r="Z82" i="88"/>
  <c r="Y82" i="88"/>
  <c r="X82" i="88"/>
  <c r="W82" i="88"/>
  <c r="V82" i="88"/>
  <c r="U82" i="88"/>
  <c r="T82" i="88"/>
  <c r="S82" i="88"/>
  <c r="R82" i="88"/>
  <c r="Q82" i="88"/>
  <c r="P82" i="88"/>
  <c r="O82" i="88"/>
  <c r="N82" i="88"/>
  <c r="M82" i="88"/>
  <c r="L82" i="88"/>
  <c r="K82" i="88"/>
  <c r="J82" i="88"/>
  <c r="I82" i="88"/>
  <c r="H82" i="88"/>
  <c r="G82" i="88"/>
  <c r="F82" i="88"/>
  <c r="E82" i="88"/>
  <c r="C82" i="88"/>
  <c r="AP81" i="88"/>
  <c r="AO81" i="88"/>
  <c r="I81" i="88"/>
  <c r="C81" i="88"/>
  <c r="AM80" i="88"/>
  <c r="AL80" i="88"/>
  <c r="AK80" i="88"/>
  <c r="AJ80" i="88"/>
  <c r="AI80" i="88"/>
  <c r="AH80" i="88"/>
  <c r="AG80" i="88"/>
  <c r="AE80" i="88"/>
  <c r="AD80" i="88"/>
  <c r="AC80" i="88"/>
  <c r="AB80" i="88"/>
  <c r="AA80" i="88"/>
  <c r="Z80" i="88"/>
  <c r="Y80" i="88"/>
  <c r="X80" i="88"/>
  <c r="W80" i="88"/>
  <c r="V80" i="88"/>
  <c r="U80" i="88"/>
  <c r="T80" i="88"/>
  <c r="S80" i="88"/>
  <c r="R80" i="88"/>
  <c r="Q80" i="88"/>
  <c r="P80" i="88"/>
  <c r="O80" i="88"/>
  <c r="N80" i="88"/>
  <c r="M80" i="88"/>
  <c r="L80" i="88"/>
  <c r="K80" i="88"/>
  <c r="J80" i="88"/>
  <c r="I80" i="88"/>
  <c r="H80" i="88"/>
  <c r="G80" i="88"/>
  <c r="F80" i="88"/>
  <c r="E80" i="88"/>
  <c r="C80" i="88"/>
  <c r="AP79" i="88"/>
  <c r="AO79" i="88"/>
  <c r="I79" i="88"/>
  <c r="C79" i="88"/>
  <c r="AM78" i="88"/>
  <c r="AL78" i="88"/>
  <c r="AK78" i="88"/>
  <c r="AJ78" i="88"/>
  <c r="AI78" i="88"/>
  <c r="AH78" i="88"/>
  <c r="AG78" i="88"/>
  <c r="AE78" i="88"/>
  <c r="AD78" i="88"/>
  <c r="AC78" i="88"/>
  <c r="AB78" i="88"/>
  <c r="AA78" i="88"/>
  <c r="Z78" i="88"/>
  <c r="Y78" i="88"/>
  <c r="X78" i="88"/>
  <c r="W78" i="88"/>
  <c r="V78" i="88"/>
  <c r="U78" i="88"/>
  <c r="T78" i="88"/>
  <c r="S78" i="88"/>
  <c r="R78" i="88"/>
  <c r="Q78" i="88"/>
  <c r="P78" i="88"/>
  <c r="O78" i="88"/>
  <c r="N78" i="88"/>
  <c r="M78" i="88"/>
  <c r="L78" i="88"/>
  <c r="K78" i="88"/>
  <c r="J78" i="88"/>
  <c r="I78" i="88"/>
  <c r="H78" i="88"/>
  <c r="G78" i="88"/>
  <c r="F78" i="88"/>
  <c r="E78" i="88"/>
  <c r="C78" i="88"/>
  <c r="AP77" i="88"/>
  <c r="AO77" i="88"/>
  <c r="I77" i="88"/>
  <c r="C77" i="88"/>
  <c r="AM76" i="88"/>
  <c r="AL76" i="88"/>
  <c r="AK76" i="88"/>
  <c r="AJ76" i="88"/>
  <c r="AI76" i="88"/>
  <c r="AH76" i="88"/>
  <c r="AG76" i="88"/>
  <c r="AE76" i="88"/>
  <c r="AD76" i="88"/>
  <c r="AC76" i="88"/>
  <c r="AB76" i="88"/>
  <c r="AA76" i="88"/>
  <c r="Z76" i="88"/>
  <c r="Y76" i="88"/>
  <c r="X76" i="88"/>
  <c r="W76" i="88"/>
  <c r="V76" i="88"/>
  <c r="U76" i="88"/>
  <c r="T76" i="88"/>
  <c r="S76" i="88"/>
  <c r="R76" i="88"/>
  <c r="Q76" i="88"/>
  <c r="P76" i="88"/>
  <c r="O76" i="88"/>
  <c r="N76" i="88"/>
  <c r="M76" i="88"/>
  <c r="L76" i="88"/>
  <c r="K76" i="88"/>
  <c r="J76" i="88"/>
  <c r="I76" i="88"/>
  <c r="H76" i="88"/>
  <c r="G76" i="88"/>
  <c r="F76" i="88"/>
  <c r="E76" i="88"/>
  <c r="C76" i="88"/>
  <c r="AP75" i="88"/>
  <c r="AO75" i="88"/>
  <c r="I75" i="88"/>
  <c r="C75" i="88"/>
  <c r="AM74" i="88"/>
  <c r="AL74" i="88"/>
  <c r="AK74" i="88"/>
  <c r="AJ74" i="88"/>
  <c r="AI74" i="88"/>
  <c r="AH74" i="88"/>
  <c r="AG74" i="88"/>
  <c r="AE74" i="88"/>
  <c r="AD74" i="88"/>
  <c r="AC74" i="88"/>
  <c r="AB74" i="88"/>
  <c r="AA74" i="88"/>
  <c r="Z74" i="88"/>
  <c r="Y74" i="88"/>
  <c r="X74" i="88"/>
  <c r="W74" i="88"/>
  <c r="V74" i="88"/>
  <c r="U74" i="88"/>
  <c r="T74" i="88"/>
  <c r="S74" i="88"/>
  <c r="R74" i="88"/>
  <c r="Q74" i="88"/>
  <c r="P74" i="88"/>
  <c r="O74" i="88"/>
  <c r="N74" i="88"/>
  <c r="M74" i="88"/>
  <c r="L74" i="88"/>
  <c r="K74" i="88"/>
  <c r="J74" i="88"/>
  <c r="I74" i="88"/>
  <c r="H74" i="88"/>
  <c r="G74" i="88"/>
  <c r="F74" i="88"/>
  <c r="E74" i="88"/>
  <c r="C74" i="88"/>
  <c r="AP73" i="88"/>
  <c r="AO73" i="88"/>
  <c r="I73" i="88"/>
  <c r="C73" i="88"/>
  <c r="AM72" i="88"/>
  <c r="AL72" i="88"/>
  <c r="AK72" i="88"/>
  <c r="AJ72" i="88"/>
  <c r="AI72" i="88"/>
  <c r="AH72" i="88"/>
  <c r="AG72" i="88"/>
  <c r="AE72" i="88"/>
  <c r="AD72" i="88"/>
  <c r="AC72" i="88"/>
  <c r="AB72" i="88"/>
  <c r="AA72" i="88"/>
  <c r="Z72" i="88"/>
  <c r="Y72" i="88"/>
  <c r="X72" i="88"/>
  <c r="W72" i="88"/>
  <c r="V72" i="88"/>
  <c r="U72" i="88"/>
  <c r="T72" i="88"/>
  <c r="S72" i="88"/>
  <c r="R72" i="88"/>
  <c r="Q72" i="88"/>
  <c r="P72" i="88"/>
  <c r="O72" i="88"/>
  <c r="N72" i="88"/>
  <c r="M72" i="88"/>
  <c r="L72" i="88"/>
  <c r="K72" i="88"/>
  <c r="J72" i="88"/>
  <c r="I72" i="88"/>
  <c r="H72" i="88"/>
  <c r="G72" i="88"/>
  <c r="F72" i="88"/>
  <c r="E72" i="88"/>
  <c r="C72" i="88"/>
  <c r="AP71" i="88"/>
  <c r="AO71" i="88"/>
  <c r="I71" i="88"/>
  <c r="C71" i="88"/>
  <c r="AM70" i="88"/>
  <c r="AL70" i="88"/>
  <c r="AK70" i="88"/>
  <c r="AJ70" i="88"/>
  <c r="AI70" i="88"/>
  <c r="AH70" i="88"/>
  <c r="AG70" i="88"/>
  <c r="AE70" i="88"/>
  <c r="AD70" i="88"/>
  <c r="AC70" i="88"/>
  <c r="AB70" i="88"/>
  <c r="AA70" i="88"/>
  <c r="Z70" i="88"/>
  <c r="Y70" i="88"/>
  <c r="X70" i="88"/>
  <c r="W70" i="88"/>
  <c r="V70" i="88"/>
  <c r="U70" i="88"/>
  <c r="T70" i="88"/>
  <c r="S70" i="88"/>
  <c r="R70" i="88"/>
  <c r="Q70" i="88"/>
  <c r="P70" i="88"/>
  <c r="O70" i="88"/>
  <c r="N70" i="88"/>
  <c r="M70" i="88"/>
  <c r="L70" i="88"/>
  <c r="K70" i="88"/>
  <c r="J70" i="88"/>
  <c r="I70" i="88"/>
  <c r="H70" i="88"/>
  <c r="G70" i="88"/>
  <c r="F70" i="88"/>
  <c r="E70" i="88"/>
  <c r="C70" i="88"/>
  <c r="AP69" i="88"/>
  <c r="AO69" i="88"/>
  <c r="J69" i="88"/>
  <c r="I69" i="88"/>
  <c r="F69" i="88"/>
  <c r="C69" i="88"/>
  <c r="AM68" i="88"/>
  <c r="AL68" i="88"/>
  <c r="AK68" i="88"/>
  <c r="AJ68" i="88"/>
  <c r="AI68" i="88"/>
  <c r="AH68" i="88"/>
  <c r="AG68" i="88"/>
  <c r="AE68" i="88"/>
  <c r="AD68" i="88"/>
  <c r="AC68" i="88"/>
  <c r="AB68" i="88"/>
  <c r="AA68" i="88"/>
  <c r="Z68" i="88"/>
  <c r="Y68" i="88"/>
  <c r="X68" i="88"/>
  <c r="W68" i="88"/>
  <c r="V68" i="88"/>
  <c r="U68" i="88"/>
  <c r="T68" i="88"/>
  <c r="S68" i="88"/>
  <c r="R68" i="88"/>
  <c r="Q68" i="88"/>
  <c r="P68" i="88"/>
  <c r="O68" i="88"/>
  <c r="N68" i="88"/>
  <c r="M68" i="88"/>
  <c r="L68" i="88"/>
  <c r="K68" i="88"/>
  <c r="J68" i="88"/>
  <c r="I68" i="88"/>
  <c r="H68" i="88"/>
  <c r="G68" i="88"/>
  <c r="F68" i="88"/>
  <c r="E68" i="88"/>
  <c r="C68" i="88"/>
  <c r="AP67" i="88"/>
  <c r="AO67" i="88"/>
  <c r="J67" i="88"/>
  <c r="I67" i="88"/>
  <c r="C67" i="88"/>
  <c r="AM66" i="88"/>
  <c r="AL66" i="88"/>
  <c r="AK66" i="88"/>
  <c r="AJ66" i="88"/>
  <c r="AI66" i="88"/>
  <c r="AH66" i="88"/>
  <c r="AG66" i="88"/>
  <c r="AE66" i="88"/>
  <c r="AD66" i="88"/>
  <c r="AC66" i="88"/>
  <c r="AB66" i="88"/>
  <c r="AA66" i="88"/>
  <c r="Z66" i="88"/>
  <c r="Y66" i="88"/>
  <c r="X66" i="88"/>
  <c r="W66" i="88"/>
  <c r="V66" i="88"/>
  <c r="U66" i="88"/>
  <c r="T66" i="88"/>
  <c r="S66" i="88"/>
  <c r="R66" i="88"/>
  <c r="Q66" i="88"/>
  <c r="P66" i="88"/>
  <c r="O66" i="88"/>
  <c r="N66" i="88"/>
  <c r="M66" i="88"/>
  <c r="L66" i="88"/>
  <c r="K66" i="88"/>
  <c r="J66" i="88"/>
  <c r="I66" i="88"/>
  <c r="H66" i="88"/>
  <c r="G66" i="88"/>
  <c r="F66" i="88"/>
  <c r="E66" i="88"/>
  <c r="C66" i="88"/>
  <c r="AP65" i="88"/>
  <c r="AO65" i="88"/>
  <c r="K65" i="88"/>
  <c r="J65" i="88"/>
  <c r="I65" i="88"/>
  <c r="C65" i="88"/>
  <c r="AM64" i="88"/>
  <c r="AL64" i="88"/>
  <c r="AK64" i="88"/>
  <c r="AJ64" i="88"/>
  <c r="AI64" i="88"/>
  <c r="AH64" i="88"/>
  <c r="AG64" i="88"/>
  <c r="AE64" i="88"/>
  <c r="AD64" i="88"/>
  <c r="AC64" i="88"/>
  <c r="AB64" i="88"/>
  <c r="AA64" i="88"/>
  <c r="Z64" i="88"/>
  <c r="Y64" i="88"/>
  <c r="X64" i="88"/>
  <c r="W64" i="88"/>
  <c r="V64" i="88"/>
  <c r="U64" i="88"/>
  <c r="T64" i="88"/>
  <c r="S64" i="88"/>
  <c r="R64" i="88"/>
  <c r="Q64" i="88"/>
  <c r="P64" i="88"/>
  <c r="O64" i="88"/>
  <c r="N64" i="88"/>
  <c r="M64" i="88"/>
  <c r="L64" i="88"/>
  <c r="K64" i="88"/>
  <c r="J64" i="88"/>
  <c r="I64" i="88"/>
  <c r="H64" i="88"/>
  <c r="G64" i="88"/>
  <c r="F64" i="88"/>
  <c r="E64" i="88"/>
  <c r="C64" i="88"/>
  <c r="AP63" i="88"/>
  <c r="AO63" i="88"/>
  <c r="J63" i="88"/>
  <c r="I63" i="88"/>
  <c r="C63" i="88"/>
  <c r="AM62" i="88"/>
  <c r="AL62" i="88"/>
  <c r="AK62" i="88"/>
  <c r="AJ62" i="88"/>
  <c r="AI62" i="88"/>
  <c r="AH62" i="88"/>
  <c r="AG62" i="88"/>
  <c r="AE62" i="88"/>
  <c r="AD62" i="88"/>
  <c r="AC62" i="88"/>
  <c r="AB62" i="88"/>
  <c r="AA62" i="88"/>
  <c r="Z62" i="88"/>
  <c r="Y62" i="88"/>
  <c r="X62" i="88"/>
  <c r="W62" i="88"/>
  <c r="V62" i="88"/>
  <c r="U62" i="88"/>
  <c r="T62" i="88"/>
  <c r="S62" i="88"/>
  <c r="R62" i="88"/>
  <c r="Q62" i="88"/>
  <c r="P62" i="88"/>
  <c r="O62" i="88"/>
  <c r="N62" i="88"/>
  <c r="M62" i="88"/>
  <c r="L62" i="88"/>
  <c r="K62" i="88"/>
  <c r="J62" i="88"/>
  <c r="I62" i="88"/>
  <c r="H62" i="88"/>
  <c r="G62" i="88"/>
  <c r="F62" i="88"/>
  <c r="E62" i="88"/>
  <c r="C62" i="88"/>
  <c r="AP61" i="88"/>
  <c r="AO61" i="88"/>
  <c r="J61" i="88"/>
  <c r="I61" i="88"/>
  <c r="C61" i="88"/>
  <c r="AM60" i="88"/>
  <c r="AL60" i="88"/>
  <c r="AK60" i="88"/>
  <c r="AJ60" i="88"/>
  <c r="AI60" i="88"/>
  <c r="AH60" i="88"/>
  <c r="AG60" i="88"/>
  <c r="AE60" i="88"/>
  <c r="AD60" i="88"/>
  <c r="AC60" i="88"/>
  <c r="AB60" i="88"/>
  <c r="AA60" i="88"/>
  <c r="Z60" i="88"/>
  <c r="Y60" i="88"/>
  <c r="X60" i="88"/>
  <c r="W60" i="88"/>
  <c r="V60" i="88"/>
  <c r="U60" i="88"/>
  <c r="T60" i="88"/>
  <c r="S60" i="88"/>
  <c r="R60" i="88"/>
  <c r="Q60" i="88"/>
  <c r="P60" i="88"/>
  <c r="O60" i="88"/>
  <c r="N60" i="88"/>
  <c r="M60" i="88"/>
  <c r="L60" i="88"/>
  <c r="K60" i="88"/>
  <c r="J60" i="88"/>
  <c r="I60" i="88"/>
  <c r="H60" i="88"/>
  <c r="G60" i="88"/>
  <c r="F60" i="88"/>
  <c r="E60" i="88"/>
  <c r="C60" i="88"/>
  <c r="AP59" i="88"/>
  <c r="AO59" i="88"/>
  <c r="J59" i="88"/>
  <c r="I59" i="88"/>
  <c r="C59" i="88"/>
  <c r="AM58" i="88"/>
  <c r="AL58" i="88"/>
  <c r="AK58" i="88"/>
  <c r="AJ58" i="88"/>
  <c r="AI58" i="88"/>
  <c r="AH58" i="88"/>
  <c r="AG58" i="88"/>
  <c r="AE58" i="88"/>
  <c r="AD58" i="88"/>
  <c r="AC58" i="88"/>
  <c r="AB58" i="88"/>
  <c r="AA58" i="88"/>
  <c r="Z58" i="88"/>
  <c r="Y58" i="88"/>
  <c r="X58" i="88"/>
  <c r="W58" i="88"/>
  <c r="V58" i="88"/>
  <c r="U58" i="88"/>
  <c r="T58" i="88"/>
  <c r="S58" i="88"/>
  <c r="R58" i="88"/>
  <c r="Q58" i="88"/>
  <c r="P58" i="88"/>
  <c r="O58" i="88"/>
  <c r="N58" i="88"/>
  <c r="M58" i="88"/>
  <c r="L58" i="88"/>
  <c r="K58" i="88"/>
  <c r="J58" i="88"/>
  <c r="I58" i="88"/>
  <c r="H58" i="88"/>
  <c r="G58" i="88"/>
  <c r="F58" i="88"/>
  <c r="E58" i="88"/>
  <c r="C58" i="88"/>
  <c r="AP57" i="88"/>
  <c r="AO57" i="88"/>
  <c r="J57" i="88"/>
  <c r="I57" i="88"/>
  <c r="F57" i="88"/>
  <c r="C57" i="88"/>
  <c r="AM56" i="88"/>
  <c r="AL56" i="88"/>
  <c r="AK56" i="88"/>
  <c r="AJ56" i="88"/>
  <c r="AI56" i="88"/>
  <c r="AH56" i="88"/>
  <c r="AG56" i="88"/>
  <c r="AE56" i="88"/>
  <c r="AD56" i="88"/>
  <c r="AC56" i="88"/>
  <c r="AB56" i="88"/>
  <c r="AA56" i="88"/>
  <c r="Z56" i="88"/>
  <c r="Y56" i="88"/>
  <c r="X56" i="88"/>
  <c r="W56" i="88"/>
  <c r="V56" i="88"/>
  <c r="U56" i="88"/>
  <c r="T56" i="88"/>
  <c r="S56" i="88"/>
  <c r="R56" i="88"/>
  <c r="Q56" i="88"/>
  <c r="P56" i="88"/>
  <c r="O56" i="88"/>
  <c r="N56" i="88"/>
  <c r="M56" i="88"/>
  <c r="L56" i="88"/>
  <c r="K56" i="88"/>
  <c r="J56" i="88"/>
  <c r="I56" i="88"/>
  <c r="H56" i="88"/>
  <c r="G56" i="88"/>
  <c r="F56" i="88"/>
  <c r="E56" i="88"/>
  <c r="C56" i="88"/>
  <c r="AP55" i="88"/>
  <c r="AO55" i="88"/>
  <c r="J55" i="88"/>
  <c r="I55" i="88"/>
  <c r="F55" i="88"/>
  <c r="C55" i="88"/>
  <c r="AM54" i="88"/>
  <c r="AL54" i="88"/>
  <c r="AK54" i="88"/>
  <c r="AJ54" i="88"/>
  <c r="AI54" i="88"/>
  <c r="AH54" i="88"/>
  <c r="AG54" i="88"/>
  <c r="AE54" i="88"/>
  <c r="AD54" i="88"/>
  <c r="AC54" i="88"/>
  <c r="AB54" i="88"/>
  <c r="AA54" i="88"/>
  <c r="Z54" i="88"/>
  <c r="Y54" i="88"/>
  <c r="X54" i="88"/>
  <c r="W54" i="88"/>
  <c r="V54" i="88"/>
  <c r="U54" i="88"/>
  <c r="T54" i="88"/>
  <c r="S54" i="88"/>
  <c r="R54" i="88"/>
  <c r="Q54" i="88"/>
  <c r="P54" i="88"/>
  <c r="O54" i="88"/>
  <c r="N54" i="88"/>
  <c r="M54" i="88"/>
  <c r="L54" i="88"/>
  <c r="K54" i="88"/>
  <c r="J54" i="88"/>
  <c r="I54" i="88"/>
  <c r="H54" i="88"/>
  <c r="G54" i="88"/>
  <c r="F54" i="88"/>
  <c r="E54" i="88"/>
  <c r="C54" i="88"/>
  <c r="AP53" i="88"/>
  <c r="AO53" i="88"/>
  <c r="J53" i="88"/>
  <c r="I53" i="88"/>
  <c r="F53" i="88"/>
  <c r="C53" i="88"/>
  <c r="AM52" i="88"/>
  <c r="AL52" i="88"/>
  <c r="AK52" i="88"/>
  <c r="AJ52" i="88"/>
  <c r="AI52" i="88"/>
  <c r="AH52" i="88"/>
  <c r="AG52" i="88"/>
  <c r="AE52" i="88"/>
  <c r="AD52" i="88"/>
  <c r="AC52" i="88"/>
  <c r="AB52" i="88"/>
  <c r="AA52" i="88"/>
  <c r="Z52" i="88"/>
  <c r="Y52" i="88"/>
  <c r="X52" i="88"/>
  <c r="W52" i="88"/>
  <c r="V52" i="88"/>
  <c r="U52" i="88"/>
  <c r="T52" i="88"/>
  <c r="S52" i="88"/>
  <c r="R52" i="88"/>
  <c r="Q52" i="88"/>
  <c r="P52" i="88"/>
  <c r="O52" i="88"/>
  <c r="N52" i="88"/>
  <c r="M52" i="88"/>
  <c r="L52" i="88"/>
  <c r="K52" i="88"/>
  <c r="J52" i="88"/>
  <c r="I52" i="88"/>
  <c r="H52" i="88"/>
  <c r="G52" i="88"/>
  <c r="F52" i="88"/>
  <c r="E52" i="88"/>
  <c r="C52" i="88"/>
  <c r="AP51" i="88"/>
  <c r="AO51" i="88"/>
  <c r="J51" i="88"/>
  <c r="I51" i="88"/>
  <c r="F51" i="88"/>
  <c r="C51" i="88"/>
  <c r="AM50" i="88"/>
  <c r="AL50" i="88"/>
  <c r="AK50" i="88"/>
  <c r="AJ50" i="88"/>
  <c r="AI50" i="88"/>
  <c r="AH50" i="88"/>
  <c r="AG50" i="88"/>
  <c r="AE50" i="88"/>
  <c r="AD50" i="88"/>
  <c r="AC50" i="88"/>
  <c r="AB50" i="88"/>
  <c r="AA50" i="88"/>
  <c r="Z50" i="88"/>
  <c r="Y50" i="88"/>
  <c r="X50" i="88"/>
  <c r="W50" i="88"/>
  <c r="V50" i="88"/>
  <c r="U50" i="88"/>
  <c r="T50" i="88"/>
  <c r="S50" i="88"/>
  <c r="R50" i="88"/>
  <c r="Q50" i="88"/>
  <c r="P50" i="88"/>
  <c r="O50" i="88"/>
  <c r="N50" i="88"/>
  <c r="M50" i="88"/>
  <c r="L50" i="88"/>
  <c r="K50" i="88"/>
  <c r="J50" i="88"/>
  <c r="I50" i="88"/>
  <c r="H50" i="88"/>
  <c r="G50" i="88"/>
  <c r="F50" i="88"/>
  <c r="E50" i="88"/>
  <c r="C50" i="88"/>
  <c r="AP49" i="88"/>
  <c r="AO49" i="88"/>
  <c r="J49" i="88"/>
  <c r="I49" i="88"/>
  <c r="F49" i="88"/>
  <c r="C49" i="88"/>
  <c r="AM48" i="88"/>
  <c r="AL48" i="88"/>
  <c r="AK48" i="88"/>
  <c r="AJ48" i="88"/>
  <c r="AI48" i="88"/>
  <c r="AH48" i="88"/>
  <c r="AG48" i="88"/>
  <c r="AE48" i="88"/>
  <c r="AD48" i="88"/>
  <c r="AC48" i="88"/>
  <c r="AB48" i="88"/>
  <c r="AA48" i="88"/>
  <c r="Z48" i="88"/>
  <c r="Y48" i="88"/>
  <c r="X48" i="88"/>
  <c r="W48" i="88"/>
  <c r="V48" i="88"/>
  <c r="U48" i="88"/>
  <c r="T48" i="88"/>
  <c r="S48" i="88"/>
  <c r="R48" i="88"/>
  <c r="Q48" i="88"/>
  <c r="P48" i="88"/>
  <c r="O48" i="88"/>
  <c r="N48" i="88"/>
  <c r="M48" i="88"/>
  <c r="L48" i="88"/>
  <c r="K48" i="88"/>
  <c r="J48" i="88"/>
  <c r="I48" i="88"/>
  <c r="H48" i="88"/>
  <c r="G48" i="88"/>
  <c r="F48" i="88"/>
  <c r="E48" i="88"/>
  <c r="C48" i="88"/>
  <c r="AP47" i="88"/>
  <c r="AO47" i="88"/>
  <c r="J47" i="88"/>
  <c r="I47" i="88"/>
  <c r="F47" i="88"/>
  <c r="C47" i="88"/>
  <c r="AM46" i="88"/>
  <c r="AL46" i="88"/>
  <c r="AK46" i="88"/>
  <c r="AJ46" i="88"/>
  <c r="AI46" i="88"/>
  <c r="AH46" i="88"/>
  <c r="AG46" i="88"/>
  <c r="AE46" i="88"/>
  <c r="AD46" i="88"/>
  <c r="AC46" i="88"/>
  <c r="AB46" i="88"/>
  <c r="AA46" i="88"/>
  <c r="Z46" i="88"/>
  <c r="Y46" i="88"/>
  <c r="X46" i="88"/>
  <c r="W46" i="88"/>
  <c r="V46" i="88"/>
  <c r="U46" i="88"/>
  <c r="T46" i="88"/>
  <c r="S46" i="88"/>
  <c r="R46" i="88"/>
  <c r="Q46" i="88"/>
  <c r="P46" i="88"/>
  <c r="O46" i="88"/>
  <c r="N46" i="88"/>
  <c r="M46" i="88"/>
  <c r="L46" i="88"/>
  <c r="K46" i="88"/>
  <c r="J46" i="88"/>
  <c r="I46" i="88"/>
  <c r="H46" i="88"/>
  <c r="G46" i="88"/>
  <c r="F46" i="88"/>
  <c r="E46" i="88"/>
  <c r="C46" i="88"/>
  <c r="AP45" i="88"/>
  <c r="AO45" i="88"/>
  <c r="J45" i="88"/>
  <c r="I45" i="88"/>
  <c r="F45" i="88"/>
  <c r="C45" i="88"/>
  <c r="AM44" i="88"/>
  <c r="AL44" i="88"/>
  <c r="AK44" i="88"/>
  <c r="AJ44" i="88"/>
  <c r="AI44" i="88"/>
  <c r="AH44" i="88"/>
  <c r="AG44" i="88"/>
  <c r="AE44" i="88"/>
  <c r="AD44" i="88"/>
  <c r="AC44" i="88"/>
  <c r="AB44" i="88"/>
  <c r="AA44" i="88"/>
  <c r="Z44" i="88"/>
  <c r="Y44" i="88"/>
  <c r="X44" i="88"/>
  <c r="W44" i="88"/>
  <c r="V44" i="88"/>
  <c r="U44" i="88"/>
  <c r="T44" i="88"/>
  <c r="S44" i="88"/>
  <c r="R44" i="88"/>
  <c r="Q44" i="88"/>
  <c r="P44" i="88"/>
  <c r="O44" i="88"/>
  <c r="N44" i="88"/>
  <c r="M44" i="88"/>
  <c r="L44" i="88"/>
  <c r="K44" i="88"/>
  <c r="J44" i="88"/>
  <c r="I44" i="88"/>
  <c r="H44" i="88"/>
  <c r="G44" i="88"/>
  <c r="F44" i="88"/>
  <c r="E44" i="88"/>
  <c r="C44" i="88"/>
  <c r="AP43" i="88"/>
  <c r="AO43" i="88"/>
  <c r="J43" i="88"/>
  <c r="I43" i="88"/>
  <c r="F43" i="88"/>
  <c r="C43" i="88"/>
  <c r="AM42" i="88"/>
  <c r="AL42" i="88"/>
  <c r="AK42" i="88"/>
  <c r="AJ42" i="88"/>
  <c r="AI42" i="88"/>
  <c r="AH42" i="88"/>
  <c r="AG42" i="88"/>
  <c r="AE42" i="88"/>
  <c r="AD42" i="88"/>
  <c r="AC42" i="88"/>
  <c r="AB42" i="88"/>
  <c r="AA42" i="88"/>
  <c r="Z42" i="88"/>
  <c r="Y42" i="88"/>
  <c r="X42" i="88"/>
  <c r="W42" i="88"/>
  <c r="V42" i="88"/>
  <c r="U42" i="88"/>
  <c r="T42" i="88"/>
  <c r="S42" i="88"/>
  <c r="R42" i="88"/>
  <c r="Q42" i="88"/>
  <c r="P42" i="88"/>
  <c r="O42" i="88"/>
  <c r="N42" i="88"/>
  <c r="M42" i="88"/>
  <c r="L42" i="88"/>
  <c r="K42" i="88"/>
  <c r="J42" i="88"/>
  <c r="I42" i="88"/>
  <c r="H42" i="88"/>
  <c r="G42" i="88"/>
  <c r="F42" i="88"/>
  <c r="E42" i="88"/>
  <c r="C42" i="88"/>
  <c r="AP41" i="88"/>
  <c r="AO41" i="88"/>
  <c r="J41" i="88"/>
  <c r="I41" i="88"/>
  <c r="F41" i="88"/>
  <c r="C41" i="88"/>
  <c r="AM40" i="88"/>
  <c r="AL40" i="88"/>
  <c r="AK40" i="88"/>
  <c r="AJ40" i="88"/>
  <c r="AI40" i="88"/>
  <c r="AH40" i="88"/>
  <c r="AG40" i="88"/>
  <c r="AE40" i="88"/>
  <c r="AD40" i="88"/>
  <c r="AC40" i="88"/>
  <c r="AB40" i="88"/>
  <c r="AA40" i="88"/>
  <c r="Z40" i="88"/>
  <c r="Y40" i="88"/>
  <c r="X40" i="88"/>
  <c r="W40" i="88"/>
  <c r="V40" i="88"/>
  <c r="U40" i="88"/>
  <c r="T40" i="88"/>
  <c r="S40" i="88"/>
  <c r="R40" i="88"/>
  <c r="Q40" i="88"/>
  <c r="P40" i="88"/>
  <c r="O40" i="88"/>
  <c r="N40" i="88"/>
  <c r="M40" i="88"/>
  <c r="L40" i="88"/>
  <c r="K40" i="88"/>
  <c r="J40" i="88"/>
  <c r="I40" i="88"/>
  <c r="H40" i="88"/>
  <c r="G40" i="88"/>
  <c r="F40" i="88"/>
  <c r="E40" i="88"/>
  <c r="C40" i="88"/>
  <c r="AP39" i="88"/>
  <c r="AO39" i="88"/>
  <c r="J39" i="88"/>
  <c r="I39" i="88"/>
  <c r="F39" i="88"/>
  <c r="C39" i="88"/>
  <c r="AM38" i="88"/>
  <c r="AL38" i="88"/>
  <c r="AK38" i="88"/>
  <c r="AJ38" i="88"/>
  <c r="AI38" i="88"/>
  <c r="AH38" i="88"/>
  <c r="AG38" i="88"/>
  <c r="AE38" i="88"/>
  <c r="AD38" i="88"/>
  <c r="AC38" i="88"/>
  <c r="AB38" i="88"/>
  <c r="AA38" i="88"/>
  <c r="Z38" i="88"/>
  <c r="Y38" i="88"/>
  <c r="X38" i="88"/>
  <c r="W38" i="88"/>
  <c r="V38" i="88"/>
  <c r="U38" i="88"/>
  <c r="T38" i="88"/>
  <c r="S38" i="88"/>
  <c r="R38" i="88"/>
  <c r="Q38" i="88"/>
  <c r="P38" i="88"/>
  <c r="O38" i="88"/>
  <c r="N38" i="88"/>
  <c r="M38" i="88"/>
  <c r="L38" i="88"/>
  <c r="K38" i="88"/>
  <c r="J38" i="88"/>
  <c r="I38" i="88"/>
  <c r="H38" i="88"/>
  <c r="G38" i="88"/>
  <c r="F38" i="88"/>
  <c r="E38" i="88"/>
  <c r="C38" i="88"/>
  <c r="AP37" i="88"/>
  <c r="AO37" i="88"/>
  <c r="J37" i="88"/>
  <c r="I37" i="88"/>
  <c r="F37" i="88"/>
  <c r="C37" i="88"/>
  <c r="AM36" i="88"/>
  <c r="AL36" i="88"/>
  <c r="AK36" i="88"/>
  <c r="AJ36" i="88"/>
  <c r="AI36" i="88"/>
  <c r="AH36" i="88"/>
  <c r="AG36" i="88"/>
  <c r="AE36" i="88"/>
  <c r="AD36" i="88"/>
  <c r="AC36" i="88"/>
  <c r="AB36" i="88"/>
  <c r="AA36" i="88"/>
  <c r="Z36" i="88"/>
  <c r="Y36" i="88"/>
  <c r="X36" i="88"/>
  <c r="W36" i="88"/>
  <c r="V36" i="88"/>
  <c r="U36" i="88"/>
  <c r="T36" i="88"/>
  <c r="S36" i="88"/>
  <c r="R36" i="88"/>
  <c r="Q36" i="88"/>
  <c r="P36" i="88"/>
  <c r="O36" i="88"/>
  <c r="N36" i="88"/>
  <c r="M36" i="88"/>
  <c r="L36" i="88"/>
  <c r="K36" i="88"/>
  <c r="J36" i="88"/>
  <c r="I36" i="88"/>
  <c r="H36" i="88"/>
  <c r="G36" i="88"/>
  <c r="F36" i="88"/>
  <c r="E36" i="88"/>
  <c r="C36" i="88"/>
  <c r="AP35" i="88"/>
  <c r="AO35" i="88"/>
  <c r="J35" i="88"/>
  <c r="I35" i="88"/>
  <c r="F35" i="88"/>
  <c r="C35" i="88"/>
  <c r="AM34" i="88"/>
  <c r="AL34" i="88"/>
  <c r="AK34" i="88"/>
  <c r="AJ34" i="88"/>
  <c r="AI34" i="88"/>
  <c r="AH34" i="88"/>
  <c r="AG34" i="88"/>
  <c r="AE34" i="88"/>
  <c r="AD34" i="88"/>
  <c r="AC34" i="88"/>
  <c r="AB34" i="88"/>
  <c r="AA34" i="88"/>
  <c r="Z34" i="88"/>
  <c r="Y34" i="88"/>
  <c r="X34" i="88"/>
  <c r="W34" i="88"/>
  <c r="V34" i="88"/>
  <c r="U34" i="88"/>
  <c r="T34" i="88"/>
  <c r="S34" i="88"/>
  <c r="R34" i="88"/>
  <c r="Q34" i="88"/>
  <c r="P34" i="88"/>
  <c r="O34" i="88"/>
  <c r="N34" i="88"/>
  <c r="M34" i="88"/>
  <c r="L34" i="88"/>
  <c r="K34" i="88"/>
  <c r="J34" i="88"/>
  <c r="I34" i="88"/>
  <c r="H34" i="88"/>
  <c r="G34" i="88"/>
  <c r="F34" i="88"/>
  <c r="E34" i="88"/>
  <c r="C34" i="88"/>
  <c r="AP33" i="88"/>
  <c r="AO33" i="88"/>
  <c r="J33" i="88"/>
  <c r="I33" i="88"/>
  <c r="F33" i="88"/>
  <c r="C33" i="88"/>
  <c r="AM32" i="88"/>
  <c r="AL32" i="88"/>
  <c r="AK32" i="88"/>
  <c r="AJ32" i="88"/>
  <c r="AI32" i="88"/>
  <c r="AH32" i="88"/>
  <c r="AG32" i="88"/>
  <c r="AE32" i="88"/>
  <c r="AD32" i="88"/>
  <c r="AC32" i="88"/>
  <c r="AB32" i="88"/>
  <c r="AA32" i="88"/>
  <c r="Z32" i="88"/>
  <c r="Y32" i="88"/>
  <c r="X32" i="88"/>
  <c r="W32" i="88"/>
  <c r="V32" i="88"/>
  <c r="U32" i="88"/>
  <c r="T32" i="88"/>
  <c r="S32" i="88"/>
  <c r="R32" i="88"/>
  <c r="Q32" i="88"/>
  <c r="P32" i="88"/>
  <c r="O32" i="88"/>
  <c r="N32" i="88"/>
  <c r="M32" i="88"/>
  <c r="L32" i="88"/>
  <c r="K32" i="88"/>
  <c r="J32" i="88"/>
  <c r="I32" i="88"/>
  <c r="H32" i="88"/>
  <c r="G32" i="88"/>
  <c r="F32" i="88"/>
  <c r="E32" i="88"/>
  <c r="C32" i="88"/>
  <c r="AP31" i="88"/>
  <c r="AO31" i="88"/>
  <c r="J31" i="88"/>
  <c r="I31" i="88"/>
  <c r="F31" i="88"/>
  <c r="C31" i="88"/>
  <c r="AM30" i="88"/>
  <c r="AL30" i="88"/>
  <c r="AK30" i="88"/>
  <c r="AJ30" i="88"/>
  <c r="AI30" i="88"/>
  <c r="AH30" i="88"/>
  <c r="AG30" i="88"/>
  <c r="AE30" i="88"/>
  <c r="AD30" i="88"/>
  <c r="AC30" i="88"/>
  <c r="AB30" i="88"/>
  <c r="AA30" i="88"/>
  <c r="Z30" i="88"/>
  <c r="Y30" i="88"/>
  <c r="X30" i="88"/>
  <c r="W30" i="88"/>
  <c r="V30" i="88"/>
  <c r="U30" i="88"/>
  <c r="T30" i="88"/>
  <c r="S30" i="88"/>
  <c r="R30" i="88"/>
  <c r="Q30" i="88"/>
  <c r="P30" i="88"/>
  <c r="O30" i="88"/>
  <c r="N30" i="88"/>
  <c r="M30" i="88"/>
  <c r="L30" i="88"/>
  <c r="K30" i="88"/>
  <c r="J30" i="88"/>
  <c r="I30" i="88"/>
  <c r="H30" i="88"/>
  <c r="G30" i="88"/>
  <c r="F30" i="88"/>
  <c r="E30" i="88"/>
  <c r="C30" i="88"/>
  <c r="AP29" i="88"/>
  <c r="AO29" i="88"/>
  <c r="J29" i="88"/>
  <c r="I29" i="88"/>
  <c r="F29" i="88"/>
  <c r="C29" i="88"/>
  <c r="AM28" i="88"/>
  <c r="AL28" i="88"/>
  <c r="AK28" i="88"/>
  <c r="AJ28" i="88"/>
  <c r="AI28" i="88"/>
  <c r="AH28" i="88"/>
  <c r="AG28" i="88"/>
  <c r="AE28" i="88"/>
  <c r="AD28" i="88"/>
  <c r="AC28" i="88"/>
  <c r="AB28" i="88"/>
  <c r="AA28" i="88"/>
  <c r="Z28" i="88"/>
  <c r="Y28" i="88"/>
  <c r="X28" i="88"/>
  <c r="W28" i="88"/>
  <c r="V28" i="88"/>
  <c r="U28" i="88"/>
  <c r="T28" i="88"/>
  <c r="S28" i="88"/>
  <c r="R28" i="88"/>
  <c r="Q28" i="88"/>
  <c r="P28" i="88"/>
  <c r="O28" i="88"/>
  <c r="N28" i="88"/>
  <c r="M28" i="88"/>
  <c r="L28" i="88"/>
  <c r="K28" i="88"/>
  <c r="J28" i="88"/>
  <c r="I28" i="88"/>
  <c r="H28" i="88"/>
  <c r="G28" i="88"/>
  <c r="F28" i="88"/>
  <c r="E28" i="88"/>
  <c r="C28" i="88"/>
  <c r="AP27" i="88"/>
  <c r="AO27" i="88"/>
  <c r="J27" i="88"/>
  <c r="I27" i="88"/>
  <c r="F27" i="88"/>
  <c r="C27" i="88"/>
  <c r="AM26" i="88"/>
  <c r="AL26" i="88"/>
  <c r="AK26" i="88"/>
  <c r="AJ26" i="88"/>
  <c r="AI26" i="88"/>
  <c r="AH26" i="88"/>
  <c r="AG26" i="88"/>
  <c r="AE26" i="88"/>
  <c r="AD26" i="88"/>
  <c r="AC26" i="88"/>
  <c r="AB26" i="88"/>
  <c r="AA26" i="88"/>
  <c r="Z26" i="88"/>
  <c r="Y26" i="88"/>
  <c r="X26" i="88"/>
  <c r="W26" i="88"/>
  <c r="V26" i="88"/>
  <c r="U26" i="88"/>
  <c r="T26" i="88"/>
  <c r="S26" i="88"/>
  <c r="R26" i="88"/>
  <c r="Q26" i="88"/>
  <c r="P26" i="88"/>
  <c r="O26" i="88"/>
  <c r="N26" i="88"/>
  <c r="M26" i="88"/>
  <c r="L26" i="88"/>
  <c r="K26" i="88"/>
  <c r="J26" i="88"/>
  <c r="I26" i="88"/>
  <c r="H26" i="88"/>
  <c r="G26" i="88"/>
  <c r="F26" i="88"/>
  <c r="E26" i="88"/>
  <c r="C26" i="88"/>
  <c r="AP25" i="88"/>
  <c r="AO25" i="88"/>
  <c r="J25" i="88"/>
  <c r="I25" i="88"/>
  <c r="F25" i="88"/>
  <c r="C25" i="88"/>
  <c r="AM24" i="88"/>
  <c r="AL24" i="88"/>
  <c r="AK24" i="88"/>
  <c r="AJ24" i="88"/>
  <c r="AI24" i="88"/>
  <c r="AH24" i="88"/>
  <c r="AG24" i="88"/>
  <c r="AE24" i="88"/>
  <c r="AD24" i="88"/>
  <c r="AC24" i="88"/>
  <c r="AB24" i="88"/>
  <c r="AA24" i="88"/>
  <c r="Z24" i="88"/>
  <c r="Y24" i="88"/>
  <c r="X24" i="88"/>
  <c r="W24" i="88"/>
  <c r="V24" i="88"/>
  <c r="U24" i="88"/>
  <c r="T24" i="88"/>
  <c r="S24" i="88"/>
  <c r="R24" i="88"/>
  <c r="Q24" i="88"/>
  <c r="P24" i="88"/>
  <c r="O24" i="88"/>
  <c r="N24" i="88"/>
  <c r="M24" i="88"/>
  <c r="L24" i="88"/>
  <c r="K24" i="88"/>
  <c r="J24" i="88"/>
  <c r="I24" i="88"/>
  <c r="H24" i="88"/>
  <c r="G24" i="88"/>
  <c r="F24" i="88"/>
  <c r="E24" i="88"/>
  <c r="C24" i="88"/>
  <c r="AP23" i="88"/>
  <c r="AO23" i="88"/>
  <c r="J23" i="88"/>
  <c r="I23" i="88"/>
  <c r="F23" i="88"/>
  <c r="C23" i="88"/>
  <c r="AM22" i="88"/>
  <c r="AL22" i="88"/>
  <c r="AK22" i="88"/>
  <c r="AJ22" i="88"/>
  <c r="AI22" i="88"/>
  <c r="AH22" i="88"/>
  <c r="AG22" i="88"/>
  <c r="AE22" i="88"/>
  <c r="AD22" i="88"/>
  <c r="AC22" i="88"/>
  <c r="AB22" i="88"/>
  <c r="AA22" i="88"/>
  <c r="Z22" i="88"/>
  <c r="Y22" i="88"/>
  <c r="X22" i="88"/>
  <c r="W22" i="88"/>
  <c r="V22" i="88"/>
  <c r="U22" i="88"/>
  <c r="T22" i="88"/>
  <c r="S22" i="88"/>
  <c r="R22" i="88"/>
  <c r="Q22" i="88"/>
  <c r="P22" i="88"/>
  <c r="O22" i="88"/>
  <c r="N22" i="88"/>
  <c r="M22" i="88"/>
  <c r="L22" i="88"/>
  <c r="K22" i="88"/>
  <c r="J22" i="88"/>
  <c r="I22" i="88"/>
  <c r="H22" i="88"/>
  <c r="G22" i="88"/>
  <c r="F22" i="88"/>
  <c r="E22" i="88"/>
  <c r="C22" i="88"/>
  <c r="AP21" i="88"/>
  <c r="AO21" i="88"/>
  <c r="J21" i="88"/>
  <c r="I21" i="88"/>
  <c r="F21" i="88"/>
  <c r="C21" i="88"/>
  <c r="AM20" i="88"/>
  <c r="AL20" i="88"/>
  <c r="AK20" i="88"/>
  <c r="AJ20" i="88"/>
  <c r="AI20" i="88"/>
  <c r="AH20" i="88"/>
  <c r="AG20" i="88"/>
  <c r="AE20" i="88"/>
  <c r="AD20" i="88"/>
  <c r="AC20" i="88"/>
  <c r="AB20" i="88"/>
  <c r="AA20" i="88"/>
  <c r="Z20" i="88"/>
  <c r="Y20" i="88"/>
  <c r="X20" i="88"/>
  <c r="W20" i="88"/>
  <c r="V20" i="88"/>
  <c r="U20" i="88"/>
  <c r="T20" i="88"/>
  <c r="S20" i="88"/>
  <c r="R20" i="88"/>
  <c r="Q20" i="88"/>
  <c r="P20" i="88"/>
  <c r="O20" i="88"/>
  <c r="N20" i="88"/>
  <c r="M20" i="88"/>
  <c r="L20" i="88"/>
  <c r="K20" i="88"/>
  <c r="J20" i="88"/>
  <c r="I20" i="88"/>
  <c r="H20" i="88"/>
  <c r="G20" i="88"/>
  <c r="F20" i="88"/>
  <c r="E20" i="88"/>
  <c r="C20" i="88"/>
  <c r="AP19" i="88"/>
  <c r="AO19" i="88"/>
  <c r="J19" i="88"/>
  <c r="I19" i="88"/>
  <c r="F19" i="88"/>
  <c r="C19" i="88"/>
  <c r="AM18" i="88"/>
  <c r="AL18" i="88"/>
  <c r="AK18" i="88"/>
  <c r="AJ18" i="88"/>
  <c r="AI18" i="88"/>
  <c r="AH18" i="88"/>
  <c r="AG18" i="88"/>
  <c r="AE18" i="88"/>
  <c r="AD18" i="88"/>
  <c r="AC18" i="88"/>
  <c r="AB18" i="88"/>
  <c r="AA18" i="88"/>
  <c r="Z18" i="88"/>
  <c r="Y18" i="88"/>
  <c r="X18" i="88"/>
  <c r="W18" i="88"/>
  <c r="V18" i="88"/>
  <c r="U18" i="88"/>
  <c r="T18" i="88"/>
  <c r="S18" i="88"/>
  <c r="R18" i="88"/>
  <c r="Q18" i="88"/>
  <c r="P18" i="88"/>
  <c r="O18" i="88"/>
  <c r="N18" i="88"/>
  <c r="M18" i="88"/>
  <c r="L18" i="88"/>
  <c r="K18" i="88"/>
  <c r="J18" i="88"/>
  <c r="I18" i="88"/>
  <c r="H18" i="88"/>
  <c r="G18" i="88"/>
  <c r="F18" i="88"/>
  <c r="E18" i="88"/>
  <c r="C18" i="88"/>
  <c r="AP17" i="88"/>
  <c r="AO17" i="88"/>
  <c r="J17" i="88"/>
  <c r="I17" i="88"/>
  <c r="F17" i="88"/>
  <c r="C17" i="88"/>
  <c r="AM16" i="88"/>
  <c r="AL16" i="88"/>
  <c r="AK16" i="88"/>
  <c r="AJ16" i="88"/>
  <c r="AI16" i="88"/>
  <c r="AH16" i="88"/>
  <c r="AG16" i="88"/>
  <c r="AE16" i="88"/>
  <c r="AD16" i="88"/>
  <c r="AC16" i="88"/>
  <c r="AB16" i="88"/>
  <c r="AA16" i="88"/>
  <c r="Z16" i="88"/>
  <c r="Y16" i="88"/>
  <c r="X16" i="88"/>
  <c r="W16" i="88"/>
  <c r="V16" i="88"/>
  <c r="U16" i="88"/>
  <c r="T16" i="88"/>
  <c r="S16" i="88"/>
  <c r="R16" i="88"/>
  <c r="Q16" i="88"/>
  <c r="P16" i="88"/>
  <c r="O16" i="88"/>
  <c r="N16" i="88"/>
  <c r="M16" i="88"/>
  <c r="L16" i="88"/>
  <c r="K16" i="88"/>
  <c r="J16" i="88"/>
  <c r="I16" i="88"/>
  <c r="H16" i="88"/>
  <c r="G16" i="88"/>
  <c r="F16" i="88"/>
  <c r="E16" i="88"/>
  <c r="C16" i="88"/>
  <c r="AP15" i="88"/>
  <c r="AO15" i="88"/>
  <c r="J15" i="88"/>
  <c r="I15" i="88"/>
  <c r="F15" i="88"/>
  <c r="C15" i="88"/>
  <c r="AM14" i="88"/>
  <c r="AL14" i="88"/>
  <c r="AK14" i="88"/>
  <c r="AJ14" i="88"/>
  <c r="AI14" i="88"/>
  <c r="AH14" i="88"/>
  <c r="AG14" i="88"/>
  <c r="AE14" i="88"/>
  <c r="AD14" i="88"/>
  <c r="AC14" i="88"/>
  <c r="AB14" i="88"/>
  <c r="AA14" i="88"/>
  <c r="Z14" i="88"/>
  <c r="Y14" i="88"/>
  <c r="X14" i="88"/>
  <c r="W14" i="88"/>
  <c r="V14" i="88"/>
  <c r="U14" i="88"/>
  <c r="T14" i="88"/>
  <c r="S14" i="88"/>
  <c r="R14" i="88"/>
  <c r="Q14" i="88"/>
  <c r="P14" i="88"/>
  <c r="O14" i="88"/>
  <c r="N14" i="88"/>
  <c r="M14" i="88"/>
  <c r="L14" i="88"/>
  <c r="K14" i="88"/>
  <c r="J14" i="88"/>
  <c r="I14" i="88"/>
  <c r="H14" i="88"/>
  <c r="G14" i="88"/>
  <c r="F14" i="88"/>
  <c r="E14" i="88"/>
  <c r="C14" i="88"/>
  <c r="AP13" i="88"/>
  <c r="AO13" i="88"/>
  <c r="J13" i="88"/>
  <c r="I13" i="88"/>
  <c r="F13" i="88"/>
  <c r="C13" i="88"/>
  <c r="AM12" i="88"/>
  <c r="AL12" i="88"/>
  <c r="AK12" i="88"/>
  <c r="AJ12" i="88"/>
  <c r="AI12" i="88"/>
  <c r="AH12" i="88"/>
  <c r="AG12" i="88"/>
  <c r="AE12" i="88"/>
  <c r="AD12" i="88"/>
  <c r="AC12" i="88"/>
  <c r="AB12" i="88"/>
  <c r="AA12" i="88"/>
  <c r="Z12" i="88"/>
  <c r="Y12" i="88"/>
  <c r="X12" i="88"/>
  <c r="W12" i="88"/>
  <c r="V12" i="88"/>
  <c r="U12" i="88"/>
  <c r="T12" i="88"/>
  <c r="S12" i="88"/>
  <c r="R12" i="88"/>
  <c r="Q12" i="88"/>
  <c r="P12" i="88"/>
  <c r="O12" i="88"/>
  <c r="N12" i="88"/>
  <c r="M12" i="88"/>
  <c r="L12" i="88"/>
  <c r="K12" i="88"/>
  <c r="J12" i="88"/>
  <c r="I12" i="88"/>
  <c r="H12" i="88"/>
  <c r="G12" i="88"/>
  <c r="F12" i="88"/>
  <c r="E12" i="88"/>
  <c r="C12" i="88"/>
  <c r="AP11" i="88"/>
  <c r="AO11" i="88"/>
  <c r="J11" i="88"/>
  <c r="I11" i="88"/>
  <c r="F11" i="88"/>
  <c r="C11" i="88"/>
  <c r="AM10" i="88"/>
  <c r="AL10" i="88"/>
  <c r="AK10" i="88"/>
  <c r="AJ10" i="88"/>
  <c r="AI10" i="88"/>
  <c r="AH10" i="88"/>
  <c r="AG10" i="88"/>
  <c r="AE10" i="88"/>
  <c r="AD10" i="88"/>
  <c r="AC10" i="88"/>
  <c r="AB10" i="88"/>
  <c r="AA10" i="88"/>
  <c r="Z10" i="88"/>
  <c r="Y10" i="88"/>
  <c r="X10" i="88"/>
  <c r="W10" i="88"/>
  <c r="V10" i="88"/>
  <c r="U10" i="88"/>
  <c r="T10" i="88"/>
  <c r="S10" i="88"/>
  <c r="R10" i="88"/>
  <c r="Q10" i="88"/>
  <c r="P10" i="88"/>
  <c r="O10" i="88"/>
  <c r="N10" i="88"/>
  <c r="M10" i="88"/>
  <c r="L10" i="88"/>
  <c r="K10" i="88"/>
  <c r="J10" i="88"/>
  <c r="I10" i="88"/>
  <c r="H10" i="88"/>
  <c r="G10" i="88"/>
  <c r="F10" i="88"/>
  <c r="E10" i="88"/>
  <c r="C10" i="88"/>
  <c r="AP9" i="88"/>
  <c r="AO9" i="88"/>
  <c r="J9" i="88"/>
  <c r="I9" i="88"/>
  <c r="F9" i="88"/>
  <c r="C9" i="88"/>
  <c r="AM8" i="88"/>
  <c r="AL8" i="88"/>
  <c r="AK8" i="88"/>
  <c r="AJ8" i="88"/>
  <c r="AI8" i="88"/>
  <c r="AH8" i="88"/>
  <c r="AG8" i="88"/>
  <c r="AE8" i="88"/>
  <c r="AD8" i="88"/>
  <c r="AC8" i="88"/>
  <c r="AB8" i="88"/>
  <c r="AA8" i="88"/>
  <c r="Z8" i="88"/>
  <c r="Y8" i="88"/>
  <c r="X8" i="88"/>
  <c r="W8" i="88"/>
  <c r="V8" i="88"/>
  <c r="U8" i="88"/>
  <c r="T8" i="88"/>
  <c r="S8" i="88"/>
  <c r="R8" i="88"/>
  <c r="Q8" i="88"/>
  <c r="P8" i="88"/>
  <c r="O8" i="88"/>
  <c r="N8" i="88"/>
  <c r="M8" i="88"/>
  <c r="L8" i="88"/>
  <c r="K8" i="88"/>
  <c r="J8" i="88"/>
  <c r="I8" i="88"/>
  <c r="H8" i="88"/>
  <c r="G8" i="88"/>
  <c r="F8" i="88"/>
  <c r="E8" i="88"/>
  <c r="C8" i="88"/>
  <c r="AP7" i="88"/>
  <c r="AO7" i="88"/>
  <c r="J7" i="88"/>
  <c r="I7" i="88"/>
  <c r="F7" i="88"/>
  <c r="C7" i="88"/>
  <c r="AM6" i="88"/>
  <c r="AL6" i="88"/>
  <c r="AK6" i="88"/>
  <c r="AJ6" i="88"/>
  <c r="AI6" i="88"/>
  <c r="AH6" i="88"/>
  <c r="AG6" i="88"/>
  <c r="AE6" i="88"/>
  <c r="AD6" i="88"/>
  <c r="AC6" i="88"/>
  <c r="AB6" i="88"/>
  <c r="AA6" i="88"/>
  <c r="Z6" i="88"/>
  <c r="Y6" i="88"/>
  <c r="X6" i="88"/>
  <c r="W6" i="88"/>
  <c r="V6" i="88"/>
  <c r="U6" i="88"/>
  <c r="T6" i="88"/>
  <c r="S6" i="88"/>
  <c r="R6" i="88"/>
  <c r="Q6" i="88"/>
  <c r="P6" i="88"/>
  <c r="O6" i="88"/>
  <c r="N6" i="88"/>
  <c r="M6" i="88"/>
  <c r="L6" i="88"/>
  <c r="K6" i="88"/>
  <c r="J6" i="88"/>
  <c r="I6" i="88"/>
  <c r="H6" i="88"/>
  <c r="G6" i="88"/>
  <c r="F6" i="88"/>
  <c r="E6" i="88"/>
  <c r="C6" i="88"/>
  <c r="AP5" i="88"/>
  <c r="AO5" i="88"/>
  <c r="J5" i="88"/>
  <c r="I5" i="88"/>
  <c r="F5" i="88"/>
  <c r="C5" i="88"/>
  <c r="AE4" i="88"/>
  <c r="AC4" i="88"/>
  <c r="AA4" i="88"/>
  <c r="Z4" i="88"/>
  <c r="Y4" i="88"/>
  <c r="X4" i="88"/>
  <c r="W4" i="88"/>
  <c r="V4" i="88"/>
  <c r="U4" i="88"/>
  <c r="T4" i="88"/>
  <c r="S4" i="88"/>
  <c r="R4" i="88"/>
  <c r="Q4" i="88"/>
  <c r="P4" i="88"/>
  <c r="O4" i="88"/>
  <c r="M4" i="88"/>
  <c r="L4" i="88"/>
  <c r="K4" i="88"/>
  <c r="J4" i="88"/>
  <c r="I4" i="88"/>
  <c r="H4" i="88"/>
  <c r="G4" i="88"/>
  <c r="F4" i="88"/>
  <c r="E4" i="88"/>
  <c r="Q132" i="85"/>
  <c r="L132" i="85"/>
  <c r="G131" i="85"/>
  <c r="G130" i="85"/>
  <c r="G129" i="85"/>
  <c r="D129" i="85"/>
  <c r="C129" i="85"/>
  <c r="G128" i="85"/>
  <c r="D128" i="85"/>
  <c r="C128" i="85"/>
  <c r="G127" i="85"/>
  <c r="D127" i="85"/>
  <c r="C127" i="85"/>
  <c r="G126" i="85"/>
  <c r="D126" i="85"/>
  <c r="C126" i="85"/>
  <c r="G125" i="85"/>
  <c r="D125" i="85"/>
  <c r="C125" i="85"/>
  <c r="G124" i="85"/>
  <c r="D124" i="85"/>
  <c r="C124" i="85"/>
  <c r="G123" i="85"/>
  <c r="D123" i="85"/>
  <c r="C123" i="85"/>
  <c r="G122" i="85"/>
  <c r="D122" i="85"/>
  <c r="C122" i="85"/>
  <c r="G121" i="85"/>
  <c r="D121" i="85"/>
  <c r="C121" i="85"/>
  <c r="G120" i="85"/>
  <c r="D120" i="85"/>
  <c r="C120" i="85"/>
  <c r="G119" i="85"/>
  <c r="D119" i="85"/>
  <c r="C119" i="85"/>
  <c r="Q118" i="85"/>
  <c r="L118" i="85"/>
  <c r="G118" i="85"/>
  <c r="D118" i="85"/>
  <c r="C118" i="85"/>
  <c r="Q111" i="85"/>
  <c r="L111" i="85"/>
  <c r="G110" i="85"/>
  <c r="G109" i="85"/>
  <c r="G108" i="85"/>
  <c r="G107" i="85"/>
  <c r="D107" i="85"/>
  <c r="C107" i="85"/>
  <c r="G106" i="85"/>
  <c r="D106" i="85"/>
  <c r="C106" i="85"/>
  <c r="G105" i="85"/>
  <c r="D105" i="85"/>
  <c r="C105" i="85"/>
  <c r="G104" i="85"/>
  <c r="D104" i="85"/>
  <c r="C104" i="85"/>
  <c r="G103" i="85"/>
  <c r="D103" i="85"/>
  <c r="C103" i="85"/>
  <c r="G102" i="85"/>
  <c r="D102" i="85"/>
  <c r="C102" i="85"/>
  <c r="G101" i="85"/>
  <c r="C101" i="85"/>
  <c r="G100" i="85"/>
  <c r="D100" i="85"/>
  <c r="C100" i="85"/>
  <c r="G99" i="85"/>
  <c r="D99" i="85"/>
  <c r="C99" i="85"/>
  <c r="G98" i="85"/>
  <c r="D98" i="85"/>
  <c r="C98" i="85"/>
  <c r="G97" i="85"/>
  <c r="D97" i="85"/>
  <c r="C97" i="85"/>
  <c r="Q96" i="85"/>
  <c r="L96" i="85"/>
  <c r="G96" i="85"/>
  <c r="C96" i="85"/>
  <c r="Q90" i="85"/>
  <c r="L90" i="85"/>
  <c r="U89" i="85"/>
  <c r="T89" i="85"/>
  <c r="G89" i="85"/>
  <c r="U88" i="85"/>
  <c r="T88" i="85"/>
  <c r="G88" i="85"/>
  <c r="U87" i="85"/>
  <c r="T87" i="85"/>
  <c r="G87" i="85"/>
  <c r="V86" i="85"/>
  <c r="U86" i="85"/>
  <c r="G86" i="85"/>
  <c r="U85" i="85"/>
  <c r="T85" i="85"/>
  <c r="G85" i="85"/>
  <c r="D85" i="85"/>
  <c r="C85" i="85"/>
  <c r="U84" i="85"/>
  <c r="T84" i="85"/>
  <c r="G84" i="85"/>
  <c r="D84" i="85"/>
  <c r="C84" i="85"/>
  <c r="U83" i="85"/>
  <c r="T83" i="85"/>
  <c r="G83" i="85"/>
  <c r="D83" i="85"/>
  <c r="C83" i="85"/>
  <c r="U82" i="85"/>
  <c r="T82" i="85"/>
  <c r="G82" i="85"/>
  <c r="D82" i="85"/>
  <c r="C82" i="85"/>
  <c r="U81" i="85"/>
  <c r="T81" i="85"/>
  <c r="G81" i="85"/>
  <c r="D81" i="85"/>
  <c r="C81" i="85"/>
  <c r="U80" i="85"/>
  <c r="T80" i="85"/>
  <c r="G80" i="85"/>
  <c r="D80" i="85"/>
  <c r="C80" i="85"/>
  <c r="U79" i="85"/>
  <c r="T79" i="85"/>
  <c r="G79" i="85"/>
  <c r="D79" i="85"/>
  <c r="C79" i="85"/>
  <c r="U78" i="85"/>
  <c r="T78" i="85"/>
  <c r="G78" i="85"/>
  <c r="D78" i="85"/>
  <c r="C78" i="85"/>
  <c r="U77" i="85"/>
  <c r="T77" i="85"/>
  <c r="G77" i="85"/>
  <c r="D77" i="85"/>
  <c r="C77" i="85"/>
  <c r="U76" i="85"/>
  <c r="T76" i="85"/>
  <c r="G76" i="85"/>
  <c r="D76" i="85"/>
  <c r="C76" i="85"/>
  <c r="U75" i="85"/>
  <c r="T75" i="85"/>
  <c r="G75" i="85"/>
  <c r="D75" i="85"/>
  <c r="C75" i="85"/>
  <c r="U74" i="85"/>
  <c r="T74" i="85"/>
  <c r="Q74" i="85"/>
  <c r="L74" i="85"/>
  <c r="G74" i="85"/>
  <c r="D74" i="85"/>
  <c r="C74" i="85"/>
  <c r="Q67" i="85"/>
  <c r="L67" i="85"/>
  <c r="U66" i="85"/>
  <c r="T66" i="85"/>
  <c r="G66" i="85"/>
  <c r="U65" i="85"/>
  <c r="T65" i="85"/>
  <c r="G65" i="85"/>
  <c r="U64" i="85"/>
  <c r="T64" i="85"/>
  <c r="G64" i="85"/>
  <c r="U63" i="85"/>
  <c r="T63" i="85"/>
  <c r="G63" i="85"/>
  <c r="V62" i="85"/>
  <c r="U62" i="85"/>
  <c r="G62" i="85"/>
  <c r="U61" i="85"/>
  <c r="T61" i="85"/>
  <c r="G61" i="85"/>
  <c r="D61" i="85"/>
  <c r="C61" i="85"/>
  <c r="U60" i="85"/>
  <c r="T60" i="85"/>
  <c r="G60" i="85"/>
  <c r="D60" i="85"/>
  <c r="C60" i="85"/>
  <c r="U59" i="85"/>
  <c r="T59" i="85"/>
  <c r="G59" i="85"/>
  <c r="D59" i="85"/>
  <c r="C59" i="85"/>
  <c r="U58" i="85"/>
  <c r="T58" i="85"/>
  <c r="G58" i="85"/>
  <c r="D58" i="85"/>
  <c r="C58" i="85"/>
  <c r="U57" i="85"/>
  <c r="T57" i="85"/>
  <c r="G57" i="85"/>
  <c r="D57" i="85"/>
  <c r="C57" i="85"/>
  <c r="U56" i="85"/>
  <c r="T56" i="85"/>
  <c r="G56" i="85"/>
  <c r="D56" i="85"/>
  <c r="C56" i="85"/>
  <c r="U55" i="85"/>
  <c r="T55" i="85"/>
  <c r="G55" i="85"/>
  <c r="D55" i="85"/>
  <c r="C55" i="85"/>
  <c r="U54" i="85"/>
  <c r="T54" i="85"/>
  <c r="G54" i="85"/>
  <c r="D54" i="85"/>
  <c r="C54" i="85"/>
  <c r="U53" i="85"/>
  <c r="T53" i="85"/>
  <c r="G53" i="85"/>
  <c r="D53" i="85"/>
  <c r="C53" i="85"/>
  <c r="U52" i="85"/>
  <c r="T52" i="85"/>
  <c r="G52" i="85"/>
  <c r="D52" i="85"/>
  <c r="C52" i="85"/>
  <c r="U51" i="85"/>
  <c r="T51" i="85"/>
  <c r="G51" i="85"/>
  <c r="D51" i="85"/>
  <c r="C51" i="85"/>
  <c r="U50" i="85"/>
  <c r="T50" i="85"/>
  <c r="Q50" i="85"/>
  <c r="L50" i="85"/>
  <c r="G50" i="85"/>
  <c r="D50" i="85"/>
  <c r="C50" i="85"/>
  <c r="Q44" i="85"/>
  <c r="P44" i="85"/>
  <c r="L44" i="85"/>
  <c r="K44" i="85"/>
  <c r="U43" i="85"/>
  <c r="T43" i="85"/>
  <c r="G43" i="85"/>
  <c r="U42" i="85"/>
  <c r="T42" i="85"/>
  <c r="G42" i="85"/>
  <c r="U41" i="85"/>
  <c r="T41" i="85"/>
  <c r="G41" i="85"/>
  <c r="U40" i="85"/>
  <c r="T40" i="85"/>
  <c r="G40" i="85"/>
  <c r="U39" i="85"/>
  <c r="T39" i="85"/>
  <c r="G39" i="85"/>
  <c r="V38" i="85"/>
  <c r="U38" i="85"/>
  <c r="G38" i="85"/>
  <c r="U37" i="85"/>
  <c r="T37" i="85"/>
  <c r="G37" i="85"/>
  <c r="D37" i="85"/>
  <c r="C37" i="85"/>
  <c r="U36" i="85"/>
  <c r="T36" i="85"/>
  <c r="G36" i="85"/>
  <c r="D36" i="85"/>
  <c r="C36" i="85"/>
  <c r="U35" i="85"/>
  <c r="T35" i="85"/>
  <c r="G35" i="85"/>
  <c r="D35" i="85"/>
  <c r="C35" i="85"/>
  <c r="U34" i="85"/>
  <c r="T34" i="85"/>
  <c r="G34" i="85"/>
  <c r="C34" i="85"/>
  <c r="U33" i="85"/>
  <c r="T33" i="85"/>
  <c r="G33" i="85"/>
  <c r="D33" i="85"/>
  <c r="U32" i="85"/>
  <c r="T32" i="85"/>
  <c r="G32" i="85"/>
  <c r="D32" i="85"/>
  <c r="U31" i="85"/>
  <c r="T31" i="85"/>
  <c r="G31" i="85"/>
  <c r="D31" i="85"/>
  <c r="U30" i="85"/>
  <c r="T30" i="85"/>
  <c r="G30" i="85"/>
  <c r="D30" i="85"/>
  <c r="U29" i="85"/>
  <c r="T29" i="85"/>
  <c r="G29" i="85"/>
  <c r="D29" i="85"/>
  <c r="U28" i="85"/>
  <c r="T28" i="85"/>
  <c r="G28" i="85"/>
  <c r="D28" i="85"/>
  <c r="U27" i="85"/>
  <c r="T27" i="85"/>
  <c r="G27" i="85"/>
  <c r="D27" i="85"/>
  <c r="U26" i="85"/>
  <c r="T26" i="85"/>
  <c r="G26" i="85"/>
  <c r="Y196" i="68"/>
  <c r="Y195" i="68"/>
  <c r="Y194" i="68"/>
  <c r="Y193" i="68"/>
  <c r="Y192" i="68"/>
  <c r="Y191" i="68"/>
  <c r="Y190" i="68"/>
  <c r="AZ147" i="68"/>
  <c r="AX147" i="68"/>
  <c r="T147" i="68"/>
  <c r="S147" i="68"/>
  <c r="R147" i="68"/>
  <c r="AZ146" i="68"/>
  <c r="AX146" i="68"/>
  <c r="T146" i="68"/>
  <c r="S146" i="68"/>
  <c r="R146" i="68"/>
  <c r="AZ145" i="68"/>
  <c r="AX145" i="68"/>
  <c r="T145" i="68"/>
  <c r="S145" i="68"/>
  <c r="R145" i="68"/>
  <c r="AZ144" i="68"/>
  <c r="AX144" i="68"/>
  <c r="T144" i="68"/>
  <c r="S144" i="68"/>
  <c r="R144" i="68"/>
  <c r="AZ143" i="68"/>
  <c r="AX143" i="68"/>
  <c r="AZ142" i="68"/>
  <c r="AX142" i="68"/>
  <c r="AW142" i="68"/>
  <c r="T142" i="68"/>
  <c r="S142" i="68"/>
  <c r="R142" i="68"/>
  <c r="Q142" i="68"/>
  <c r="AZ141" i="68"/>
  <c r="AY141" i="68"/>
  <c r="AX141" i="68"/>
  <c r="AW141" i="68"/>
  <c r="U141" i="68"/>
  <c r="T141" i="68"/>
  <c r="S141" i="68"/>
  <c r="R141" i="68"/>
  <c r="AZ140" i="68"/>
  <c r="AY140" i="68"/>
  <c r="AX140" i="68"/>
  <c r="AW140" i="68"/>
  <c r="AV140" i="68"/>
  <c r="U140" i="68"/>
  <c r="T140" i="68"/>
  <c r="S140" i="68"/>
  <c r="R140" i="68"/>
  <c r="Q140" i="68"/>
  <c r="AZ139" i="68"/>
  <c r="AY139" i="68"/>
  <c r="AX139" i="68"/>
  <c r="AW139" i="68"/>
  <c r="AV139" i="68"/>
  <c r="AU139" i="68"/>
  <c r="U139" i="68"/>
  <c r="T139" i="68"/>
  <c r="S139" i="68"/>
  <c r="R139" i="68"/>
  <c r="Q139" i="68"/>
  <c r="P139" i="68"/>
  <c r="U138" i="68"/>
  <c r="T138" i="68"/>
  <c r="U137" i="68"/>
  <c r="T137" i="68"/>
  <c r="U136" i="68"/>
  <c r="T136" i="68"/>
  <c r="AY135" i="68"/>
  <c r="U135" i="68"/>
  <c r="T135" i="68"/>
  <c r="S135" i="68"/>
  <c r="AY134" i="68"/>
  <c r="U134" i="68"/>
  <c r="T134" i="68"/>
  <c r="S134" i="68"/>
  <c r="AY133" i="68"/>
  <c r="U133" i="68"/>
  <c r="T133" i="68"/>
  <c r="S133" i="68"/>
  <c r="AY132" i="68"/>
  <c r="U132" i="68"/>
  <c r="T132" i="68"/>
  <c r="S132" i="68"/>
  <c r="AY131" i="68"/>
  <c r="U131" i="68"/>
  <c r="T131" i="68"/>
  <c r="S131" i="68"/>
  <c r="AY130" i="68"/>
  <c r="U130" i="68"/>
  <c r="T130" i="68"/>
  <c r="S130" i="68"/>
  <c r="AY129" i="68"/>
  <c r="U129" i="68"/>
  <c r="T129" i="68"/>
  <c r="S129" i="68"/>
  <c r="W237" i="47"/>
  <c r="V237" i="47"/>
  <c r="U237" i="47"/>
  <c r="T237" i="47"/>
  <c r="S237" i="47"/>
  <c r="R237" i="47"/>
  <c r="Q237" i="47"/>
  <c r="P237" i="47"/>
  <c r="O237" i="47"/>
  <c r="N237" i="47"/>
  <c r="M237" i="47"/>
  <c r="L237" i="47"/>
  <c r="K237" i="47"/>
  <c r="J237" i="47"/>
  <c r="I237" i="47"/>
  <c r="W236" i="47"/>
  <c r="V236" i="47"/>
  <c r="U236" i="47"/>
  <c r="T236" i="47"/>
  <c r="S236" i="47"/>
  <c r="R236" i="47"/>
  <c r="Q236" i="47"/>
  <c r="P236" i="47"/>
  <c r="O236" i="47"/>
  <c r="N236" i="47"/>
  <c r="M236" i="47"/>
  <c r="L236" i="47"/>
  <c r="K236" i="47"/>
  <c r="J236" i="47"/>
  <c r="I236" i="47"/>
  <c r="W235" i="47"/>
  <c r="V235" i="47"/>
  <c r="U235" i="47"/>
  <c r="T235" i="47"/>
  <c r="S235" i="47"/>
  <c r="R235" i="47"/>
  <c r="Q235" i="47"/>
  <c r="P235" i="47"/>
  <c r="O235" i="47"/>
  <c r="N235" i="47"/>
  <c r="M235" i="47"/>
  <c r="L235" i="47"/>
  <c r="K235" i="47"/>
  <c r="J235" i="47"/>
  <c r="I235" i="47"/>
  <c r="W234" i="47"/>
  <c r="V234" i="47"/>
  <c r="U234" i="47"/>
  <c r="T234" i="47"/>
  <c r="S234" i="47"/>
  <c r="R234" i="47"/>
  <c r="Q234" i="47"/>
  <c r="P234" i="47"/>
  <c r="O234" i="47"/>
  <c r="N234" i="47"/>
  <c r="M234" i="47"/>
  <c r="L234" i="47"/>
  <c r="K234" i="47"/>
  <c r="J234" i="47"/>
  <c r="I234" i="47"/>
  <c r="W233" i="47"/>
  <c r="V233" i="47"/>
  <c r="U233" i="47"/>
  <c r="T233" i="47"/>
  <c r="S233" i="47"/>
  <c r="R233" i="47"/>
  <c r="Q233" i="47"/>
  <c r="P233" i="47"/>
  <c r="O233" i="47"/>
  <c r="N233" i="47"/>
  <c r="M233" i="47"/>
  <c r="L233" i="47"/>
  <c r="K233" i="47"/>
  <c r="J233" i="47"/>
  <c r="I233" i="47"/>
  <c r="W232" i="47"/>
  <c r="V232" i="47"/>
  <c r="U232" i="47"/>
  <c r="T232" i="47"/>
  <c r="S232" i="47"/>
  <c r="R232" i="47"/>
  <c r="Q232" i="47"/>
  <c r="P232" i="47"/>
  <c r="O232" i="47"/>
  <c r="N232" i="47"/>
  <c r="M232" i="47"/>
  <c r="L232" i="47"/>
  <c r="K232" i="47"/>
  <c r="J232" i="47"/>
  <c r="I232" i="47"/>
  <c r="W231" i="47"/>
  <c r="V231" i="47"/>
  <c r="U231" i="47"/>
  <c r="T231" i="47"/>
  <c r="S231" i="47"/>
  <c r="R231" i="47"/>
  <c r="Q231" i="47"/>
  <c r="P231" i="47"/>
  <c r="O231" i="47"/>
  <c r="N231" i="47"/>
  <c r="M231" i="47"/>
  <c r="L231" i="47"/>
  <c r="K231" i="47"/>
  <c r="J231" i="47"/>
  <c r="I231" i="47"/>
  <c r="W230" i="47"/>
  <c r="V230" i="47"/>
  <c r="U230" i="47"/>
  <c r="T230" i="47"/>
  <c r="S230" i="47"/>
  <c r="R230" i="47"/>
  <c r="Q230" i="47"/>
  <c r="P230" i="47"/>
  <c r="O230" i="47"/>
  <c r="N230" i="47"/>
  <c r="M230" i="47"/>
  <c r="L230" i="47"/>
  <c r="K230" i="47"/>
  <c r="J230" i="47"/>
  <c r="I230" i="47"/>
  <c r="W229" i="47"/>
  <c r="V229" i="47"/>
  <c r="U229" i="47"/>
  <c r="T229" i="47"/>
  <c r="S229" i="47"/>
  <c r="R229" i="47"/>
  <c r="Q229" i="47"/>
  <c r="P229" i="47"/>
  <c r="O229" i="47"/>
  <c r="N229" i="47"/>
  <c r="M229" i="47"/>
  <c r="L229" i="47"/>
  <c r="K229" i="47"/>
  <c r="J229" i="47"/>
  <c r="I229" i="47"/>
  <c r="W228" i="47"/>
  <c r="V228" i="47"/>
  <c r="U228" i="47"/>
  <c r="T228" i="47"/>
  <c r="S228" i="47"/>
  <c r="R228" i="47"/>
  <c r="Q228" i="47"/>
  <c r="P228" i="47"/>
  <c r="O228" i="47"/>
  <c r="N228" i="47"/>
  <c r="M228" i="47"/>
  <c r="L228" i="47"/>
  <c r="K228" i="47"/>
  <c r="J228" i="47"/>
  <c r="I228" i="47"/>
  <c r="W227" i="47"/>
  <c r="V227" i="47"/>
  <c r="U227" i="47"/>
  <c r="T227" i="47"/>
  <c r="S227" i="47"/>
  <c r="R227" i="47"/>
  <c r="Q227" i="47"/>
  <c r="P227" i="47"/>
  <c r="O227" i="47"/>
  <c r="N227" i="47"/>
  <c r="M227" i="47"/>
  <c r="L227" i="47"/>
  <c r="K227" i="47"/>
  <c r="J227" i="47"/>
  <c r="I227" i="47"/>
  <c r="W226" i="47"/>
  <c r="V226" i="47"/>
  <c r="U226" i="47"/>
  <c r="T226" i="47"/>
  <c r="S226" i="47"/>
  <c r="R226" i="47"/>
  <c r="Q226" i="47"/>
  <c r="P226" i="47"/>
  <c r="O226" i="47"/>
  <c r="N226" i="47"/>
  <c r="M226" i="47"/>
  <c r="L226" i="47"/>
  <c r="K226" i="47"/>
  <c r="J226" i="47"/>
  <c r="I226" i="47"/>
  <c r="W225" i="47"/>
  <c r="V225" i="47"/>
  <c r="U225" i="47"/>
  <c r="T225" i="47"/>
  <c r="S225" i="47"/>
  <c r="R225" i="47"/>
  <c r="Q225" i="47"/>
  <c r="P225" i="47"/>
  <c r="O225" i="47"/>
  <c r="N225" i="47"/>
  <c r="M225" i="47"/>
  <c r="L225" i="47"/>
  <c r="K225" i="47"/>
  <c r="J225" i="47"/>
  <c r="I225" i="47"/>
  <c r="W224" i="47"/>
  <c r="V224" i="47"/>
  <c r="U224" i="47"/>
  <c r="T224" i="47"/>
  <c r="S224" i="47"/>
  <c r="R224" i="47"/>
  <c r="Q224" i="47"/>
  <c r="P224" i="47"/>
  <c r="O224" i="47"/>
  <c r="N224" i="47"/>
  <c r="M224" i="47"/>
  <c r="L224" i="47"/>
  <c r="K224" i="47"/>
  <c r="J224" i="47"/>
  <c r="I224" i="47"/>
  <c r="W222" i="47"/>
  <c r="V222" i="47"/>
  <c r="U222" i="47"/>
  <c r="T222" i="47"/>
  <c r="S222" i="47"/>
  <c r="R222" i="47"/>
  <c r="Q222" i="47"/>
  <c r="P222" i="47"/>
  <c r="O222" i="47"/>
  <c r="N222" i="47"/>
  <c r="M222" i="47"/>
  <c r="L222" i="47"/>
  <c r="K222" i="47"/>
  <c r="J222" i="47"/>
  <c r="I222" i="47"/>
  <c r="W221" i="47"/>
  <c r="V221" i="47"/>
  <c r="U221" i="47"/>
  <c r="T221" i="47"/>
  <c r="S221" i="47"/>
  <c r="R221" i="47"/>
  <c r="Q221" i="47"/>
  <c r="P221" i="47"/>
  <c r="O221" i="47"/>
  <c r="N221" i="47"/>
  <c r="M221" i="47"/>
  <c r="L221" i="47"/>
  <c r="K221" i="47"/>
  <c r="J221" i="47"/>
  <c r="I221" i="47"/>
  <c r="W220" i="47"/>
  <c r="V220" i="47"/>
  <c r="U220" i="47"/>
  <c r="T220" i="47"/>
  <c r="S220" i="47"/>
  <c r="R220" i="47"/>
  <c r="Q220" i="47"/>
  <c r="P220" i="47"/>
  <c r="O220" i="47"/>
  <c r="N220" i="47"/>
  <c r="M220" i="47"/>
  <c r="L220" i="47"/>
  <c r="K220" i="47"/>
  <c r="J220" i="47"/>
  <c r="I220" i="47"/>
  <c r="W219" i="47"/>
  <c r="V219" i="47"/>
  <c r="U219" i="47"/>
  <c r="T219" i="47"/>
  <c r="S219" i="47"/>
  <c r="R219" i="47"/>
  <c r="Q219" i="47"/>
  <c r="P219" i="47"/>
  <c r="O219" i="47"/>
  <c r="N219" i="47"/>
  <c r="M219" i="47"/>
  <c r="L219" i="47"/>
  <c r="K219" i="47"/>
  <c r="J219" i="47"/>
  <c r="I219" i="47"/>
  <c r="W218" i="47"/>
  <c r="V218" i="47"/>
  <c r="U218" i="47"/>
  <c r="T218" i="47"/>
  <c r="S218" i="47"/>
  <c r="R218" i="47"/>
  <c r="Q218" i="47"/>
  <c r="P218" i="47"/>
  <c r="O218" i="47"/>
  <c r="N218" i="47"/>
  <c r="M218" i="47"/>
  <c r="L218" i="47"/>
  <c r="K218" i="47"/>
  <c r="J218" i="47"/>
  <c r="I218" i="47"/>
  <c r="W217" i="47"/>
  <c r="V217" i="47"/>
  <c r="U217" i="47"/>
  <c r="T217" i="47"/>
  <c r="S217" i="47"/>
  <c r="R217" i="47"/>
  <c r="Q217" i="47"/>
  <c r="P217" i="47"/>
  <c r="O217" i="47"/>
  <c r="N217" i="47"/>
  <c r="M217" i="47"/>
  <c r="L217" i="47"/>
  <c r="K217" i="47"/>
  <c r="J217" i="47"/>
  <c r="I217" i="47"/>
  <c r="W216" i="47"/>
  <c r="V216" i="47"/>
  <c r="U216" i="47"/>
  <c r="T216" i="47"/>
  <c r="S216" i="47"/>
  <c r="R216" i="47"/>
  <c r="Q216" i="47"/>
  <c r="P216" i="47"/>
  <c r="O216" i="47"/>
  <c r="N216" i="47"/>
  <c r="M216" i="47"/>
  <c r="L216" i="47"/>
  <c r="K216" i="47"/>
  <c r="J216" i="47"/>
  <c r="I216" i="47"/>
  <c r="W215" i="47"/>
  <c r="V215" i="47"/>
  <c r="U215" i="47"/>
  <c r="T215" i="47"/>
  <c r="S215" i="47"/>
  <c r="R215" i="47"/>
  <c r="Q215" i="47"/>
  <c r="P215" i="47"/>
  <c r="O215" i="47"/>
  <c r="N215" i="47"/>
  <c r="M215" i="47"/>
  <c r="L215" i="47"/>
  <c r="K215" i="47"/>
  <c r="J215" i="47"/>
  <c r="I215" i="47"/>
  <c r="W214" i="47"/>
  <c r="V214" i="47"/>
  <c r="U214" i="47"/>
  <c r="T214" i="47"/>
  <c r="S214" i="47"/>
  <c r="R214" i="47"/>
  <c r="Q214" i="47"/>
  <c r="P214" i="47"/>
  <c r="O214" i="47"/>
  <c r="N214" i="47"/>
  <c r="M214" i="47"/>
  <c r="L214" i="47"/>
  <c r="K214" i="47"/>
  <c r="J214" i="47"/>
  <c r="I214" i="47"/>
  <c r="W213" i="47"/>
  <c r="V213" i="47"/>
  <c r="U213" i="47"/>
  <c r="T213" i="47"/>
  <c r="S213" i="47"/>
  <c r="R213" i="47"/>
  <c r="Q213" i="47"/>
  <c r="P213" i="47"/>
  <c r="O213" i="47"/>
  <c r="N213" i="47"/>
  <c r="M213" i="47"/>
  <c r="L213" i="47"/>
  <c r="K213" i="47"/>
  <c r="J213" i="47"/>
  <c r="I213" i="47"/>
  <c r="W212" i="47"/>
  <c r="V212" i="47"/>
  <c r="U212" i="47"/>
  <c r="T212" i="47"/>
  <c r="S212" i="47"/>
  <c r="R212" i="47"/>
  <c r="Q212" i="47"/>
  <c r="P212" i="47"/>
  <c r="O212" i="47"/>
  <c r="N212" i="47"/>
  <c r="M212" i="47"/>
  <c r="L212" i="47"/>
  <c r="K212" i="47"/>
  <c r="J212" i="47"/>
  <c r="I212" i="47"/>
  <c r="W211" i="47"/>
  <c r="V211" i="47"/>
  <c r="U211" i="47"/>
  <c r="T211" i="47"/>
  <c r="S211" i="47"/>
  <c r="R211" i="47"/>
  <c r="Q211" i="47"/>
  <c r="P211" i="47"/>
  <c r="O211" i="47"/>
  <c r="N211" i="47"/>
  <c r="M211" i="47"/>
  <c r="L211" i="47"/>
  <c r="K211" i="47"/>
  <c r="J211" i="47"/>
  <c r="I211" i="47"/>
  <c r="W210" i="47"/>
  <c r="V210" i="47"/>
  <c r="U210" i="47"/>
  <c r="T210" i="47"/>
  <c r="S210" i="47"/>
  <c r="R210" i="47"/>
  <c r="Q210" i="47"/>
  <c r="P210" i="47"/>
  <c r="O210" i="47"/>
  <c r="N210" i="47"/>
  <c r="M210" i="47"/>
  <c r="L210" i="47"/>
  <c r="K210" i="47"/>
  <c r="J210" i="47"/>
  <c r="I210" i="47"/>
  <c r="W209" i="47"/>
  <c r="V209" i="47"/>
  <c r="U209" i="47"/>
  <c r="T209" i="47"/>
  <c r="S209" i="47"/>
  <c r="R209" i="47"/>
  <c r="Q209" i="47"/>
  <c r="P209" i="47"/>
  <c r="O209" i="47"/>
  <c r="N209" i="47"/>
  <c r="M209" i="47"/>
  <c r="L209" i="47"/>
  <c r="K209" i="47"/>
  <c r="J209" i="47"/>
  <c r="I209" i="47"/>
  <c r="W207" i="47"/>
  <c r="V207" i="47"/>
  <c r="U207" i="47"/>
  <c r="T207" i="47"/>
  <c r="S207" i="47"/>
  <c r="R207" i="47"/>
  <c r="Q207" i="47"/>
  <c r="P207" i="47"/>
  <c r="O207" i="47"/>
  <c r="N207" i="47"/>
  <c r="M207" i="47"/>
  <c r="L207" i="47"/>
  <c r="K207" i="47"/>
  <c r="J207" i="47"/>
  <c r="I207" i="47"/>
  <c r="W206" i="47"/>
  <c r="V206" i="47"/>
  <c r="U206" i="47"/>
  <c r="T206" i="47"/>
  <c r="S206" i="47"/>
  <c r="R206" i="47"/>
  <c r="Q206" i="47"/>
  <c r="P206" i="47"/>
  <c r="O206" i="47"/>
  <c r="N206" i="47"/>
  <c r="M206" i="47"/>
  <c r="L206" i="47"/>
  <c r="K206" i="47"/>
  <c r="J206" i="47"/>
  <c r="I206" i="47"/>
  <c r="W205" i="47"/>
  <c r="V205" i="47"/>
  <c r="U205" i="47"/>
  <c r="T205" i="47"/>
  <c r="S205" i="47"/>
  <c r="R205" i="47"/>
  <c r="Q205" i="47"/>
  <c r="P205" i="47"/>
  <c r="O205" i="47"/>
  <c r="N205" i="47"/>
  <c r="M205" i="47"/>
  <c r="L205" i="47"/>
  <c r="K205" i="47"/>
  <c r="J205" i="47"/>
  <c r="I205" i="47"/>
  <c r="W204" i="47"/>
  <c r="V204" i="47"/>
  <c r="U204" i="47"/>
  <c r="T204" i="47"/>
  <c r="S204" i="47"/>
  <c r="R204" i="47"/>
  <c r="Q204" i="47"/>
  <c r="P204" i="47"/>
  <c r="O204" i="47"/>
  <c r="N204" i="47"/>
  <c r="M204" i="47"/>
  <c r="L204" i="47"/>
  <c r="K204" i="47"/>
  <c r="J204" i="47"/>
  <c r="I204" i="47"/>
  <c r="W203" i="47"/>
  <c r="V203" i="47"/>
  <c r="U203" i="47"/>
  <c r="T203" i="47"/>
  <c r="S203" i="47"/>
  <c r="R203" i="47"/>
  <c r="Q203" i="47"/>
  <c r="P203" i="47"/>
  <c r="O203" i="47"/>
  <c r="N203" i="47"/>
  <c r="M203" i="47"/>
  <c r="L203" i="47"/>
  <c r="K203" i="47"/>
  <c r="J203" i="47"/>
  <c r="I203" i="47"/>
  <c r="W202" i="47"/>
  <c r="V202" i="47"/>
  <c r="U202" i="47"/>
  <c r="T202" i="47"/>
  <c r="S202" i="47"/>
  <c r="R202" i="47"/>
  <c r="Q202" i="47"/>
  <c r="P202" i="47"/>
  <c r="O202" i="47"/>
  <c r="N202" i="47"/>
  <c r="M202" i="47"/>
  <c r="L202" i="47"/>
  <c r="K202" i="47"/>
  <c r="J202" i="47"/>
  <c r="I202" i="47"/>
  <c r="W201" i="47"/>
  <c r="V201" i="47"/>
  <c r="U201" i="47"/>
  <c r="T201" i="47"/>
  <c r="S201" i="47"/>
  <c r="R201" i="47"/>
  <c r="Q201" i="47"/>
  <c r="P201" i="47"/>
  <c r="O201" i="47"/>
  <c r="N201" i="47"/>
  <c r="M201" i="47"/>
  <c r="L201" i="47"/>
  <c r="K201" i="47"/>
  <c r="J201" i="47"/>
  <c r="I201" i="47"/>
  <c r="W200" i="47"/>
  <c r="V200" i="47"/>
  <c r="U200" i="47"/>
  <c r="T200" i="47"/>
  <c r="S200" i="47"/>
  <c r="R200" i="47"/>
  <c r="Q200" i="47"/>
  <c r="P200" i="47"/>
  <c r="O200" i="47"/>
  <c r="N200" i="47"/>
  <c r="M200" i="47"/>
  <c r="L200" i="47"/>
  <c r="K200" i="47"/>
  <c r="J200" i="47"/>
  <c r="I200" i="47"/>
  <c r="W199" i="47"/>
  <c r="V199" i="47"/>
  <c r="U199" i="47"/>
  <c r="T199" i="47"/>
  <c r="S199" i="47"/>
  <c r="R199" i="47"/>
  <c r="Q199" i="47"/>
  <c r="P199" i="47"/>
  <c r="O199" i="47"/>
  <c r="N199" i="47"/>
  <c r="M199" i="47"/>
  <c r="L199" i="47"/>
  <c r="K199" i="47"/>
  <c r="J199" i="47"/>
  <c r="I199" i="47"/>
  <c r="W198" i="47"/>
  <c r="V198" i="47"/>
  <c r="U198" i="47"/>
  <c r="T198" i="47"/>
  <c r="S198" i="47"/>
  <c r="R198" i="47"/>
  <c r="Q198" i="47"/>
  <c r="P198" i="47"/>
  <c r="O198" i="47"/>
  <c r="N198" i="47"/>
  <c r="M198" i="47"/>
  <c r="L198" i="47"/>
  <c r="K198" i="47"/>
  <c r="J198" i="47"/>
  <c r="I198" i="47"/>
  <c r="W197" i="47"/>
  <c r="V197" i="47"/>
  <c r="U197" i="47"/>
  <c r="T197" i="47"/>
  <c r="S197" i="47"/>
  <c r="R197" i="47"/>
  <c r="Q197" i="47"/>
  <c r="P197" i="47"/>
  <c r="O197" i="47"/>
  <c r="N197" i="47"/>
  <c r="M197" i="47"/>
  <c r="L197" i="47"/>
  <c r="K197" i="47"/>
  <c r="J197" i="47"/>
  <c r="I197" i="47"/>
  <c r="W196" i="47"/>
  <c r="V196" i="47"/>
  <c r="U196" i="47"/>
  <c r="T196" i="47"/>
  <c r="S196" i="47"/>
  <c r="R196" i="47"/>
  <c r="Q196" i="47"/>
  <c r="P196" i="47"/>
  <c r="O196" i="47"/>
  <c r="N196" i="47"/>
  <c r="M196" i="47"/>
  <c r="L196" i="47"/>
  <c r="K196" i="47"/>
  <c r="J196" i="47"/>
  <c r="I196" i="47"/>
  <c r="W195" i="47"/>
  <c r="V195" i="47"/>
  <c r="U195" i="47"/>
  <c r="T195" i="47"/>
  <c r="S195" i="47"/>
  <c r="R195" i="47"/>
  <c r="Q195" i="47"/>
  <c r="P195" i="47"/>
  <c r="O195" i="47"/>
  <c r="N195" i="47"/>
  <c r="M195" i="47"/>
  <c r="L195" i="47"/>
  <c r="K195" i="47"/>
  <c r="J195" i="47"/>
  <c r="I195" i="47"/>
  <c r="W194" i="47"/>
  <c r="V194" i="47"/>
  <c r="U194" i="47"/>
  <c r="T194" i="47"/>
  <c r="S194" i="47"/>
  <c r="R194" i="47"/>
  <c r="Q194" i="47"/>
  <c r="P194" i="47"/>
  <c r="O194" i="47"/>
  <c r="N194" i="47"/>
  <c r="M194" i="47"/>
  <c r="L194" i="47"/>
  <c r="K194" i="47"/>
  <c r="J194" i="47"/>
  <c r="I194" i="47"/>
  <c r="W192" i="47"/>
  <c r="V192" i="47"/>
  <c r="U192" i="47"/>
  <c r="T192" i="47"/>
  <c r="S192" i="47"/>
  <c r="R192" i="47"/>
  <c r="Q192" i="47"/>
  <c r="P192" i="47"/>
  <c r="O192" i="47"/>
  <c r="N192" i="47"/>
  <c r="M192" i="47"/>
  <c r="L192" i="47"/>
  <c r="K192" i="47"/>
  <c r="J192" i="47"/>
  <c r="I192" i="47"/>
  <c r="W191" i="47"/>
  <c r="V191" i="47"/>
  <c r="U191" i="47"/>
  <c r="T191" i="47"/>
  <c r="S191" i="47"/>
  <c r="R191" i="47"/>
  <c r="Q191" i="47"/>
  <c r="P191" i="47"/>
  <c r="O191" i="47"/>
  <c r="N191" i="47"/>
  <c r="M191" i="47"/>
  <c r="L191" i="47"/>
  <c r="K191" i="47"/>
  <c r="J191" i="47"/>
  <c r="I191" i="47"/>
  <c r="W190" i="47"/>
  <c r="V190" i="47"/>
  <c r="U190" i="47"/>
  <c r="T190" i="47"/>
  <c r="S190" i="47"/>
  <c r="R190" i="47"/>
  <c r="Q190" i="47"/>
  <c r="P190" i="47"/>
  <c r="O190" i="47"/>
  <c r="N190" i="47"/>
  <c r="M190" i="47"/>
  <c r="L190" i="47"/>
  <c r="K190" i="47"/>
  <c r="J190" i="47"/>
  <c r="I190" i="47"/>
  <c r="W189" i="47"/>
  <c r="V189" i="47"/>
  <c r="U189" i="47"/>
  <c r="T189" i="47"/>
  <c r="S189" i="47"/>
  <c r="R189" i="47"/>
  <c r="Q189" i="47"/>
  <c r="P189" i="47"/>
  <c r="O189" i="47"/>
  <c r="N189" i="47"/>
  <c r="M189" i="47"/>
  <c r="L189" i="47"/>
  <c r="K189" i="47"/>
  <c r="J189" i="47"/>
  <c r="I189" i="47"/>
  <c r="W188" i="47"/>
  <c r="V188" i="47"/>
  <c r="U188" i="47"/>
  <c r="T188" i="47"/>
  <c r="S188" i="47"/>
  <c r="R188" i="47"/>
  <c r="Q188" i="47"/>
  <c r="P188" i="47"/>
  <c r="O188" i="47"/>
  <c r="N188" i="47"/>
  <c r="M188" i="47"/>
  <c r="L188" i="47"/>
  <c r="K188" i="47"/>
  <c r="J188" i="47"/>
  <c r="I188" i="47"/>
  <c r="W187" i="47"/>
  <c r="V187" i="47"/>
  <c r="U187" i="47"/>
  <c r="T187" i="47"/>
  <c r="S187" i="47"/>
  <c r="R187" i="47"/>
  <c r="Q187" i="47"/>
  <c r="P187" i="47"/>
  <c r="O187" i="47"/>
  <c r="N187" i="47"/>
  <c r="M187" i="47"/>
  <c r="L187" i="47"/>
  <c r="K187" i="47"/>
  <c r="J187" i="47"/>
  <c r="I187" i="47"/>
  <c r="W186" i="47"/>
  <c r="V186" i="47"/>
  <c r="U186" i="47"/>
  <c r="T186" i="47"/>
  <c r="S186" i="47"/>
  <c r="R186" i="47"/>
  <c r="Q186" i="47"/>
  <c r="P186" i="47"/>
  <c r="O186" i="47"/>
  <c r="N186" i="47"/>
  <c r="M186" i="47"/>
  <c r="L186" i="47"/>
  <c r="K186" i="47"/>
  <c r="J186" i="47"/>
  <c r="I186" i="47"/>
  <c r="W185" i="47"/>
  <c r="V185" i="47"/>
  <c r="U185" i="47"/>
  <c r="T185" i="47"/>
  <c r="S185" i="47"/>
  <c r="R185" i="47"/>
  <c r="Q185" i="47"/>
  <c r="P185" i="47"/>
  <c r="O185" i="47"/>
  <c r="N185" i="47"/>
  <c r="M185" i="47"/>
  <c r="L185" i="47"/>
  <c r="K185" i="47"/>
  <c r="J185" i="47"/>
  <c r="I185" i="47"/>
  <c r="W184" i="47"/>
  <c r="V184" i="47"/>
  <c r="U184" i="47"/>
  <c r="T184" i="47"/>
  <c r="S184" i="47"/>
  <c r="R184" i="47"/>
  <c r="Q184" i="47"/>
  <c r="P184" i="47"/>
  <c r="O184" i="47"/>
  <c r="N184" i="47"/>
  <c r="M184" i="47"/>
  <c r="L184" i="47"/>
  <c r="K184" i="47"/>
  <c r="J184" i="47"/>
  <c r="I184" i="47"/>
  <c r="W183" i="47"/>
  <c r="V183" i="47"/>
  <c r="U183" i="47"/>
  <c r="T183" i="47"/>
  <c r="S183" i="47"/>
  <c r="R183" i="47"/>
  <c r="Q183" i="47"/>
  <c r="P183" i="47"/>
  <c r="O183" i="47"/>
  <c r="N183" i="47"/>
  <c r="M183" i="47"/>
  <c r="L183" i="47"/>
  <c r="K183" i="47"/>
  <c r="J183" i="47"/>
  <c r="I183" i="47"/>
  <c r="W182" i="47"/>
  <c r="V182" i="47"/>
  <c r="U182" i="47"/>
  <c r="T182" i="47"/>
  <c r="S182" i="47"/>
  <c r="R182" i="47"/>
  <c r="Q182" i="47"/>
  <c r="P182" i="47"/>
  <c r="O182" i="47"/>
  <c r="N182" i="47"/>
  <c r="M182" i="47"/>
  <c r="L182" i="47"/>
  <c r="K182" i="47"/>
  <c r="J182" i="47"/>
  <c r="I182" i="47"/>
  <c r="W181" i="47"/>
  <c r="V181" i="47"/>
  <c r="U181" i="47"/>
  <c r="T181" i="47"/>
  <c r="S181" i="47"/>
  <c r="R181" i="47"/>
  <c r="Q181" i="47"/>
  <c r="P181" i="47"/>
  <c r="O181" i="47"/>
  <c r="N181" i="47"/>
  <c r="M181" i="47"/>
  <c r="L181" i="47"/>
  <c r="K181" i="47"/>
  <c r="J181" i="47"/>
  <c r="I181" i="47"/>
  <c r="W180" i="47"/>
  <c r="V180" i="47"/>
  <c r="U180" i="47"/>
  <c r="T180" i="47"/>
  <c r="S180" i="47"/>
  <c r="R180" i="47"/>
  <c r="Q180" i="47"/>
  <c r="P180" i="47"/>
  <c r="O180" i="47"/>
  <c r="N180" i="47"/>
  <c r="M180" i="47"/>
  <c r="L180" i="47"/>
  <c r="K180" i="47"/>
  <c r="J180" i="47"/>
  <c r="I180" i="47"/>
  <c r="W179" i="47"/>
  <c r="V179" i="47"/>
  <c r="U179" i="47"/>
  <c r="T179" i="47"/>
  <c r="S179" i="47"/>
  <c r="R179" i="47"/>
  <c r="Q179" i="47"/>
  <c r="P179" i="47"/>
  <c r="O179" i="47"/>
  <c r="N179" i="47"/>
  <c r="M179" i="47"/>
  <c r="L179" i="47"/>
  <c r="K179" i="47"/>
  <c r="J179" i="47"/>
  <c r="I179" i="47"/>
  <c r="W177" i="47"/>
  <c r="V177" i="47"/>
  <c r="U177" i="47"/>
  <c r="T177" i="47"/>
  <c r="S177" i="47"/>
  <c r="R177" i="47"/>
  <c r="Q177" i="47"/>
  <c r="P177" i="47"/>
  <c r="O177" i="47"/>
  <c r="N177" i="47"/>
  <c r="M177" i="47"/>
  <c r="L177" i="47"/>
  <c r="K177" i="47"/>
  <c r="J177" i="47"/>
  <c r="I177" i="47"/>
  <c r="W176" i="47"/>
  <c r="V176" i="47"/>
  <c r="U176" i="47"/>
  <c r="T176" i="47"/>
  <c r="S176" i="47"/>
  <c r="R176" i="47"/>
  <c r="Q176" i="47"/>
  <c r="P176" i="47"/>
  <c r="O176" i="47"/>
  <c r="N176" i="47"/>
  <c r="M176" i="47"/>
  <c r="L176" i="47"/>
  <c r="K176" i="47"/>
  <c r="J176" i="47"/>
  <c r="I176" i="47"/>
  <c r="W175" i="47"/>
  <c r="V175" i="47"/>
  <c r="U175" i="47"/>
  <c r="T175" i="47"/>
  <c r="S175" i="47"/>
  <c r="R175" i="47"/>
  <c r="Q175" i="47"/>
  <c r="P175" i="47"/>
  <c r="O175" i="47"/>
  <c r="N175" i="47"/>
  <c r="M175" i="47"/>
  <c r="L175" i="47"/>
  <c r="K175" i="47"/>
  <c r="J175" i="47"/>
  <c r="I175" i="47"/>
  <c r="W174" i="47"/>
  <c r="V174" i="47"/>
  <c r="U174" i="47"/>
  <c r="T174" i="47"/>
  <c r="S174" i="47"/>
  <c r="R174" i="47"/>
  <c r="Q174" i="47"/>
  <c r="P174" i="47"/>
  <c r="O174" i="47"/>
  <c r="N174" i="47"/>
  <c r="M174" i="47"/>
  <c r="L174" i="47"/>
  <c r="K174" i="47"/>
  <c r="J174" i="47"/>
  <c r="I174" i="47"/>
  <c r="W173" i="47"/>
  <c r="V173" i="47"/>
  <c r="U173" i="47"/>
  <c r="T173" i="47"/>
  <c r="S173" i="47"/>
  <c r="R173" i="47"/>
  <c r="Q173" i="47"/>
  <c r="P173" i="47"/>
  <c r="O173" i="47"/>
  <c r="N173" i="47"/>
  <c r="M173" i="47"/>
  <c r="L173" i="47"/>
  <c r="K173" i="47"/>
  <c r="J173" i="47"/>
  <c r="I173" i="47"/>
  <c r="W172" i="47"/>
  <c r="V172" i="47"/>
  <c r="U172" i="47"/>
  <c r="T172" i="47"/>
  <c r="S172" i="47"/>
  <c r="R172" i="47"/>
  <c r="Q172" i="47"/>
  <c r="P172" i="47"/>
  <c r="O172" i="47"/>
  <c r="N172" i="47"/>
  <c r="M172" i="47"/>
  <c r="L172" i="47"/>
  <c r="K172" i="47"/>
  <c r="J172" i="47"/>
  <c r="I172" i="47"/>
  <c r="W171" i="47"/>
  <c r="V171" i="47"/>
  <c r="U171" i="47"/>
  <c r="T171" i="47"/>
  <c r="S171" i="47"/>
  <c r="R171" i="47"/>
  <c r="Q171" i="47"/>
  <c r="P171" i="47"/>
  <c r="O171" i="47"/>
  <c r="N171" i="47"/>
  <c r="M171" i="47"/>
  <c r="L171" i="47"/>
  <c r="K171" i="47"/>
  <c r="J171" i="47"/>
  <c r="I171" i="47"/>
  <c r="W170" i="47"/>
  <c r="V170" i="47"/>
  <c r="U170" i="47"/>
  <c r="T170" i="47"/>
  <c r="S170" i="47"/>
  <c r="R170" i="47"/>
  <c r="Q170" i="47"/>
  <c r="P170" i="47"/>
  <c r="O170" i="47"/>
  <c r="N170" i="47"/>
  <c r="M170" i="47"/>
  <c r="L170" i="47"/>
  <c r="K170" i="47"/>
  <c r="J170" i="47"/>
  <c r="I170" i="47"/>
  <c r="W169" i="47"/>
  <c r="V169" i="47"/>
  <c r="U169" i="47"/>
  <c r="T169" i="47"/>
  <c r="S169" i="47"/>
  <c r="R169" i="47"/>
  <c r="Q169" i="47"/>
  <c r="P169" i="47"/>
  <c r="O169" i="47"/>
  <c r="N169" i="47"/>
  <c r="M169" i="47"/>
  <c r="L169" i="47"/>
  <c r="K169" i="47"/>
  <c r="J169" i="47"/>
  <c r="I169" i="47"/>
  <c r="W168" i="47"/>
  <c r="V168" i="47"/>
  <c r="U168" i="47"/>
  <c r="T168" i="47"/>
  <c r="S168" i="47"/>
  <c r="R168" i="47"/>
  <c r="Q168" i="47"/>
  <c r="P168" i="47"/>
  <c r="O168" i="47"/>
  <c r="N168" i="47"/>
  <c r="M168" i="47"/>
  <c r="L168" i="47"/>
  <c r="K168" i="47"/>
  <c r="J168" i="47"/>
  <c r="I168" i="47"/>
  <c r="H168" i="47"/>
  <c r="W167" i="47"/>
  <c r="V167" i="47"/>
  <c r="U167" i="47"/>
  <c r="T167" i="47"/>
  <c r="S167" i="47"/>
  <c r="R167" i="47"/>
  <c r="Q167" i="47"/>
  <c r="P167" i="47"/>
  <c r="O167" i="47"/>
  <c r="N167" i="47"/>
  <c r="M167" i="47"/>
  <c r="L167" i="47"/>
  <c r="K167" i="47"/>
  <c r="J167" i="47"/>
  <c r="I167" i="47"/>
  <c r="H167" i="47"/>
  <c r="W166" i="47"/>
  <c r="V166" i="47"/>
  <c r="U166" i="47"/>
  <c r="T166" i="47"/>
  <c r="S166" i="47"/>
  <c r="R166" i="47"/>
  <c r="Q166" i="47"/>
  <c r="P166" i="47"/>
  <c r="O166" i="47"/>
  <c r="N166" i="47"/>
  <c r="M166" i="47"/>
  <c r="L166" i="47"/>
  <c r="K166" i="47"/>
  <c r="J166" i="47"/>
  <c r="I166" i="47"/>
  <c r="H166" i="47"/>
  <c r="W165" i="47"/>
  <c r="V165" i="47"/>
  <c r="U165" i="47"/>
  <c r="T165" i="47"/>
  <c r="S165" i="47"/>
  <c r="R165" i="47"/>
  <c r="Q165" i="47"/>
  <c r="P165" i="47"/>
  <c r="O165" i="47"/>
  <c r="N165" i="47"/>
  <c r="M165" i="47"/>
  <c r="L165" i="47"/>
  <c r="K165" i="47"/>
  <c r="J165" i="47"/>
  <c r="I165" i="47"/>
  <c r="H165" i="47"/>
  <c r="W164" i="47"/>
  <c r="V164" i="47"/>
  <c r="U164" i="47"/>
  <c r="T164" i="47"/>
  <c r="S164" i="47"/>
  <c r="R164" i="47"/>
  <c r="Q164" i="47"/>
  <c r="P164" i="47"/>
  <c r="O164" i="47"/>
  <c r="N164" i="47"/>
  <c r="M164" i="47"/>
  <c r="L164" i="47"/>
  <c r="K164" i="47"/>
  <c r="J164" i="47"/>
  <c r="I164" i="47"/>
  <c r="W162" i="47"/>
  <c r="V162" i="47"/>
  <c r="U162" i="47"/>
  <c r="T162" i="47"/>
  <c r="S162" i="47"/>
  <c r="R162" i="47"/>
  <c r="Q162" i="47"/>
  <c r="P162" i="47"/>
  <c r="O162" i="47"/>
  <c r="N162" i="47"/>
  <c r="M162" i="47"/>
  <c r="L162" i="47"/>
  <c r="K162" i="47"/>
  <c r="J162" i="47"/>
  <c r="I162" i="47"/>
  <c r="W161" i="47"/>
  <c r="V161" i="47"/>
  <c r="U161" i="47"/>
  <c r="T161" i="47"/>
  <c r="S161" i="47"/>
  <c r="R161" i="47"/>
  <c r="Q161" i="47"/>
  <c r="P161" i="47"/>
  <c r="O161" i="47"/>
  <c r="N161" i="47"/>
  <c r="M161" i="47"/>
  <c r="L161" i="47"/>
  <c r="K161" i="47"/>
  <c r="J161" i="47"/>
  <c r="I161" i="47"/>
  <c r="H161" i="47"/>
  <c r="W160" i="47"/>
  <c r="V160" i="47"/>
  <c r="U160" i="47"/>
  <c r="T160" i="47"/>
  <c r="S160" i="47"/>
  <c r="R160" i="47"/>
  <c r="Q160" i="47"/>
  <c r="P160" i="47"/>
  <c r="O160" i="47"/>
  <c r="N160" i="47"/>
  <c r="M160" i="47"/>
  <c r="L160" i="47"/>
  <c r="K160" i="47"/>
  <c r="J160" i="47"/>
  <c r="I160" i="47"/>
  <c r="H160" i="47"/>
  <c r="W159" i="47"/>
  <c r="V159" i="47"/>
  <c r="U159" i="47"/>
  <c r="T159" i="47"/>
  <c r="S159" i="47"/>
  <c r="R159" i="47"/>
  <c r="Q159" i="47"/>
  <c r="P159" i="47"/>
  <c r="O159" i="47"/>
  <c r="N159" i="47"/>
  <c r="M159" i="47"/>
  <c r="L159" i="47"/>
  <c r="K159" i="47"/>
  <c r="J159" i="47"/>
  <c r="I159" i="47"/>
  <c r="H159" i="47"/>
  <c r="W158" i="47"/>
  <c r="V158" i="47"/>
  <c r="U158" i="47"/>
  <c r="T158" i="47"/>
  <c r="S158" i="47"/>
  <c r="R158" i="47"/>
  <c r="Q158" i="47"/>
  <c r="P158" i="47"/>
  <c r="O158" i="47"/>
  <c r="N158" i="47"/>
  <c r="M158" i="47"/>
  <c r="L158" i="47"/>
  <c r="K158" i="47"/>
  <c r="J158" i="47"/>
  <c r="I158" i="47"/>
  <c r="H158" i="47"/>
  <c r="W157" i="47"/>
  <c r="V157" i="47"/>
  <c r="U157" i="47"/>
  <c r="T157" i="47"/>
  <c r="S157" i="47"/>
  <c r="R157" i="47"/>
  <c r="Q157" i="47"/>
  <c r="P157" i="47"/>
  <c r="O157" i="47"/>
  <c r="N157" i="47"/>
  <c r="M157" i="47"/>
  <c r="L157" i="47"/>
  <c r="K157" i="47"/>
  <c r="J157" i="47"/>
  <c r="I157" i="47"/>
  <c r="H157" i="47"/>
  <c r="W156" i="47"/>
  <c r="V156" i="47"/>
  <c r="U156" i="47"/>
  <c r="T156" i="47"/>
  <c r="S156" i="47"/>
  <c r="R156" i="47"/>
  <c r="Q156" i="47"/>
  <c r="P156" i="47"/>
  <c r="O156" i="47"/>
  <c r="N156" i="47"/>
  <c r="M156" i="47"/>
  <c r="L156" i="47"/>
  <c r="K156" i="47"/>
  <c r="J156" i="47"/>
  <c r="I156" i="47"/>
  <c r="H156" i="47"/>
  <c r="W155" i="47"/>
  <c r="V155" i="47"/>
  <c r="U155" i="47"/>
  <c r="T155" i="47"/>
  <c r="S155" i="47"/>
  <c r="R155" i="47"/>
  <c r="Q155" i="47"/>
  <c r="P155" i="47"/>
  <c r="O155" i="47"/>
  <c r="N155" i="47"/>
  <c r="M155" i="47"/>
  <c r="L155" i="47"/>
  <c r="K155" i="47"/>
  <c r="J155" i="47"/>
  <c r="I155" i="47"/>
  <c r="H155" i="47"/>
  <c r="W154" i="47"/>
  <c r="V154" i="47"/>
  <c r="U154" i="47"/>
  <c r="T154" i="47"/>
  <c r="S154" i="47"/>
  <c r="R154" i="47"/>
  <c r="Q154" i="47"/>
  <c r="P154" i="47"/>
  <c r="O154" i="47"/>
  <c r="N154" i="47"/>
  <c r="M154" i="47"/>
  <c r="L154" i="47"/>
  <c r="K154" i="47"/>
  <c r="J154" i="47"/>
  <c r="I154" i="47"/>
  <c r="H154" i="47"/>
  <c r="W153" i="47"/>
  <c r="V153" i="47"/>
  <c r="U153" i="47"/>
  <c r="T153" i="47"/>
  <c r="S153" i="47"/>
  <c r="R153" i="47"/>
  <c r="Q153" i="47"/>
  <c r="P153" i="47"/>
  <c r="O153" i="47"/>
  <c r="N153" i="47"/>
  <c r="M153" i="47"/>
  <c r="L153" i="47"/>
  <c r="K153" i="47"/>
  <c r="J153" i="47"/>
  <c r="I153" i="47"/>
  <c r="H153" i="47"/>
  <c r="W152" i="47"/>
  <c r="V152" i="47"/>
  <c r="U152" i="47"/>
  <c r="T152" i="47"/>
  <c r="S152" i="47"/>
  <c r="R152" i="47"/>
  <c r="Q152" i="47"/>
  <c r="P152" i="47"/>
  <c r="O152" i="47"/>
  <c r="N152" i="47"/>
  <c r="M152" i="47"/>
  <c r="L152" i="47"/>
  <c r="K152" i="47"/>
  <c r="J152" i="47"/>
  <c r="I152" i="47"/>
  <c r="H152" i="47"/>
  <c r="W151" i="47"/>
  <c r="V151" i="47"/>
  <c r="U151" i="47"/>
  <c r="T151" i="47"/>
  <c r="S151" i="47"/>
  <c r="R151" i="47"/>
  <c r="Q151" i="47"/>
  <c r="P151" i="47"/>
  <c r="O151" i="47"/>
  <c r="N151" i="47"/>
  <c r="M151" i="47"/>
  <c r="L151" i="47"/>
  <c r="K151" i="47"/>
  <c r="J151" i="47"/>
  <c r="I151" i="47"/>
  <c r="H151" i="47"/>
  <c r="W150" i="47"/>
  <c r="V150" i="47"/>
  <c r="U150" i="47"/>
  <c r="T150" i="47"/>
  <c r="S150" i="47"/>
  <c r="R150" i="47"/>
  <c r="Q150" i="47"/>
  <c r="P150" i="47"/>
  <c r="O150" i="47"/>
  <c r="N150" i="47"/>
  <c r="M150" i="47"/>
  <c r="L150" i="47"/>
  <c r="K150" i="47"/>
  <c r="J150" i="47"/>
  <c r="I150" i="47"/>
  <c r="H150" i="47"/>
  <c r="W149" i="47"/>
  <c r="V149" i="47"/>
  <c r="U149" i="47"/>
  <c r="T149" i="47"/>
  <c r="S149" i="47"/>
  <c r="R149" i="47"/>
  <c r="Q149" i="47"/>
  <c r="P149" i="47"/>
  <c r="O149" i="47"/>
  <c r="N149" i="47"/>
  <c r="M149" i="47"/>
  <c r="L149" i="47"/>
  <c r="K149" i="47"/>
  <c r="J149" i="47"/>
  <c r="I149" i="47"/>
  <c r="W147" i="47"/>
  <c r="V147" i="47"/>
  <c r="U147" i="47"/>
  <c r="T147" i="47"/>
  <c r="S147" i="47"/>
  <c r="R147" i="47"/>
  <c r="Q147" i="47"/>
  <c r="P147" i="47"/>
  <c r="O147" i="47"/>
  <c r="N147" i="47"/>
  <c r="M147" i="47"/>
  <c r="L147" i="47"/>
  <c r="K147" i="47"/>
  <c r="J147" i="47"/>
  <c r="I147" i="47"/>
  <c r="W146" i="47"/>
  <c r="V146" i="47"/>
  <c r="U146" i="47"/>
  <c r="T146" i="47"/>
  <c r="S146" i="47"/>
  <c r="R146" i="47"/>
  <c r="Q146" i="47"/>
  <c r="P146" i="47"/>
  <c r="O146" i="47"/>
  <c r="N146" i="47"/>
  <c r="M146" i="47"/>
  <c r="L146" i="47"/>
  <c r="K146" i="47"/>
  <c r="J146" i="47"/>
  <c r="I146" i="47"/>
  <c r="H146" i="47"/>
  <c r="W145" i="47"/>
  <c r="V145" i="47"/>
  <c r="U145" i="47"/>
  <c r="T145" i="47"/>
  <c r="S145" i="47"/>
  <c r="R145" i="47"/>
  <c r="Q145" i="47"/>
  <c r="P145" i="47"/>
  <c r="O145" i="47"/>
  <c r="N145" i="47"/>
  <c r="M145" i="47"/>
  <c r="L145" i="47"/>
  <c r="K145" i="47"/>
  <c r="J145" i="47"/>
  <c r="I145" i="47"/>
  <c r="H145" i="47"/>
  <c r="W144" i="47"/>
  <c r="V144" i="47"/>
  <c r="U144" i="47"/>
  <c r="T144" i="47"/>
  <c r="S144" i="47"/>
  <c r="R144" i="47"/>
  <c r="Q144" i="47"/>
  <c r="P144" i="47"/>
  <c r="O144" i="47"/>
  <c r="N144" i="47"/>
  <c r="M144" i="47"/>
  <c r="L144" i="47"/>
  <c r="K144" i="47"/>
  <c r="J144" i="47"/>
  <c r="I144" i="47"/>
  <c r="H144" i="47"/>
  <c r="W143" i="47"/>
  <c r="V143" i="47"/>
  <c r="U143" i="47"/>
  <c r="T143" i="47"/>
  <c r="S143" i="47"/>
  <c r="R143" i="47"/>
  <c r="Q143" i="47"/>
  <c r="P143" i="47"/>
  <c r="O143" i="47"/>
  <c r="N143" i="47"/>
  <c r="M143" i="47"/>
  <c r="L143" i="47"/>
  <c r="K143" i="47"/>
  <c r="J143" i="47"/>
  <c r="I143" i="47"/>
  <c r="H143" i="47"/>
  <c r="W142" i="47"/>
  <c r="V142" i="47"/>
  <c r="U142" i="47"/>
  <c r="T142" i="47"/>
  <c r="S142" i="47"/>
  <c r="R142" i="47"/>
  <c r="Q142" i="47"/>
  <c r="P142" i="47"/>
  <c r="O142" i="47"/>
  <c r="N142" i="47"/>
  <c r="M142" i="47"/>
  <c r="L142" i="47"/>
  <c r="K142" i="47"/>
  <c r="J142" i="47"/>
  <c r="I142" i="47"/>
  <c r="H142" i="47"/>
  <c r="W141" i="47"/>
  <c r="V141" i="47"/>
  <c r="U141" i="47"/>
  <c r="T141" i="47"/>
  <c r="S141" i="47"/>
  <c r="R141" i="47"/>
  <c r="Q141" i="47"/>
  <c r="P141" i="47"/>
  <c r="O141" i="47"/>
  <c r="N141" i="47"/>
  <c r="M141" i="47"/>
  <c r="L141" i="47"/>
  <c r="K141" i="47"/>
  <c r="J141" i="47"/>
  <c r="I141" i="47"/>
  <c r="H141" i="47"/>
  <c r="W140" i="47"/>
  <c r="V140" i="47"/>
  <c r="U140" i="47"/>
  <c r="T140" i="47"/>
  <c r="S140" i="47"/>
  <c r="R140" i="47"/>
  <c r="Q140" i="47"/>
  <c r="P140" i="47"/>
  <c r="O140" i="47"/>
  <c r="N140" i="47"/>
  <c r="M140" i="47"/>
  <c r="L140" i="47"/>
  <c r="K140" i="47"/>
  <c r="J140" i="47"/>
  <c r="I140" i="47"/>
  <c r="H140" i="47"/>
  <c r="W139" i="47"/>
  <c r="V139" i="47"/>
  <c r="U139" i="47"/>
  <c r="T139" i="47"/>
  <c r="S139" i="47"/>
  <c r="R139" i="47"/>
  <c r="Q139" i="47"/>
  <c r="P139" i="47"/>
  <c r="O139" i="47"/>
  <c r="N139" i="47"/>
  <c r="M139" i="47"/>
  <c r="L139" i="47"/>
  <c r="K139" i="47"/>
  <c r="J139" i="47"/>
  <c r="I139" i="47"/>
  <c r="H139" i="47"/>
  <c r="W138" i="47"/>
  <c r="V138" i="47"/>
  <c r="U138" i="47"/>
  <c r="T138" i="47"/>
  <c r="S138" i="47"/>
  <c r="R138" i="47"/>
  <c r="Q138" i="47"/>
  <c r="P138" i="47"/>
  <c r="O138" i="47"/>
  <c r="N138" i="47"/>
  <c r="M138" i="47"/>
  <c r="L138" i="47"/>
  <c r="K138" i="47"/>
  <c r="J138" i="47"/>
  <c r="I138" i="47"/>
  <c r="H138" i="47"/>
  <c r="W137" i="47"/>
  <c r="V137" i="47"/>
  <c r="U137" i="47"/>
  <c r="T137" i="47"/>
  <c r="S137" i="47"/>
  <c r="R137" i="47"/>
  <c r="Q137" i="47"/>
  <c r="P137" i="47"/>
  <c r="O137" i="47"/>
  <c r="N137" i="47"/>
  <c r="M137" i="47"/>
  <c r="L137" i="47"/>
  <c r="K137" i="47"/>
  <c r="J137" i="47"/>
  <c r="I137" i="47"/>
  <c r="H137" i="47"/>
  <c r="W136" i="47"/>
  <c r="V136" i="47"/>
  <c r="U136" i="47"/>
  <c r="T136" i="47"/>
  <c r="S136" i="47"/>
  <c r="R136" i="47"/>
  <c r="Q136" i="47"/>
  <c r="P136" i="47"/>
  <c r="O136" i="47"/>
  <c r="N136" i="47"/>
  <c r="M136" i="47"/>
  <c r="L136" i="47"/>
  <c r="K136" i="47"/>
  <c r="J136" i="47"/>
  <c r="I136" i="47"/>
  <c r="H136" i="47"/>
  <c r="W135" i="47"/>
  <c r="V135" i="47"/>
  <c r="U135" i="47"/>
  <c r="T135" i="47"/>
  <c r="S135" i="47"/>
  <c r="R135" i="47"/>
  <c r="Q135" i="47"/>
  <c r="P135" i="47"/>
  <c r="O135" i="47"/>
  <c r="N135" i="47"/>
  <c r="M135" i="47"/>
  <c r="L135" i="47"/>
  <c r="K135" i="47"/>
  <c r="J135" i="47"/>
  <c r="I135" i="47"/>
  <c r="H135" i="47"/>
  <c r="W134" i="47"/>
  <c r="V134" i="47"/>
  <c r="U134" i="47"/>
  <c r="T134" i="47"/>
  <c r="S134" i="47"/>
  <c r="R134" i="47"/>
  <c r="Q134" i="47"/>
  <c r="P134" i="47"/>
  <c r="O134" i="47"/>
  <c r="N134" i="47"/>
  <c r="M134" i="47"/>
  <c r="L134" i="47"/>
  <c r="K134" i="47"/>
  <c r="J134" i="47"/>
  <c r="I134" i="47"/>
  <c r="W132" i="47"/>
  <c r="V132" i="47"/>
  <c r="U132" i="47"/>
  <c r="T132" i="47"/>
  <c r="S132" i="47"/>
  <c r="R132" i="47"/>
  <c r="Q132" i="47"/>
  <c r="P132" i="47"/>
  <c r="O132" i="47"/>
  <c r="N132" i="47"/>
  <c r="M132" i="47"/>
  <c r="L132" i="47"/>
  <c r="K132" i="47"/>
  <c r="J132" i="47"/>
  <c r="I132" i="47"/>
  <c r="W131" i="47"/>
  <c r="V131" i="47"/>
  <c r="U131" i="47"/>
  <c r="T131" i="47"/>
  <c r="S131" i="47"/>
  <c r="R131" i="47"/>
  <c r="Q131" i="47"/>
  <c r="P131" i="47"/>
  <c r="O131" i="47"/>
  <c r="N131" i="47"/>
  <c r="M131" i="47"/>
  <c r="L131" i="47"/>
  <c r="K131" i="47"/>
  <c r="J131" i="47"/>
  <c r="I131" i="47"/>
  <c r="H131" i="47"/>
  <c r="W130" i="47"/>
  <c r="V130" i="47"/>
  <c r="U130" i="47"/>
  <c r="T130" i="47"/>
  <c r="S130" i="47"/>
  <c r="R130" i="47"/>
  <c r="Q130" i="47"/>
  <c r="P130" i="47"/>
  <c r="O130" i="47"/>
  <c r="N130" i="47"/>
  <c r="M130" i="47"/>
  <c r="L130" i="47"/>
  <c r="K130" i="47"/>
  <c r="J130" i="47"/>
  <c r="I130" i="47"/>
  <c r="H130" i="47"/>
  <c r="W129" i="47"/>
  <c r="V129" i="47"/>
  <c r="U129" i="47"/>
  <c r="T129" i="47"/>
  <c r="S129" i="47"/>
  <c r="R129" i="47"/>
  <c r="Q129" i="47"/>
  <c r="P129" i="47"/>
  <c r="O129" i="47"/>
  <c r="N129" i="47"/>
  <c r="M129" i="47"/>
  <c r="L129" i="47"/>
  <c r="K129" i="47"/>
  <c r="J129" i="47"/>
  <c r="I129" i="47"/>
  <c r="H129" i="47"/>
  <c r="W128" i="47"/>
  <c r="V128" i="47"/>
  <c r="U128" i="47"/>
  <c r="T128" i="47"/>
  <c r="S128" i="47"/>
  <c r="R128" i="47"/>
  <c r="Q128" i="47"/>
  <c r="P128" i="47"/>
  <c r="O128" i="47"/>
  <c r="N128" i="47"/>
  <c r="M128" i="47"/>
  <c r="L128" i="47"/>
  <c r="K128" i="47"/>
  <c r="J128" i="47"/>
  <c r="I128" i="47"/>
  <c r="H128" i="47"/>
  <c r="W127" i="47"/>
  <c r="V127" i="47"/>
  <c r="U127" i="47"/>
  <c r="T127" i="47"/>
  <c r="S127" i="47"/>
  <c r="R127" i="47"/>
  <c r="Q127" i="47"/>
  <c r="P127" i="47"/>
  <c r="O127" i="47"/>
  <c r="N127" i="47"/>
  <c r="M127" i="47"/>
  <c r="L127" i="47"/>
  <c r="K127" i="47"/>
  <c r="J127" i="47"/>
  <c r="I127" i="47"/>
  <c r="H127" i="47"/>
  <c r="W126" i="47"/>
  <c r="V126" i="47"/>
  <c r="U126" i="47"/>
  <c r="T126" i="47"/>
  <c r="S126" i="47"/>
  <c r="R126" i="47"/>
  <c r="Q126" i="47"/>
  <c r="P126" i="47"/>
  <c r="O126" i="47"/>
  <c r="N126" i="47"/>
  <c r="M126" i="47"/>
  <c r="L126" i="47"/>
  <c r="K126" i="47"/>
  <c r="J126" i="47"/>
  <c r="I126" i="47"/>
  <c r="H126" i="47"/>
  <c r="W125" i="47"/>
  <c r="V125" i="47"/>
  <c r="U125" i="47"/>
  <c r="T125" i="47"/>
  <c r="S125" i="47"/>
  <c r="R125" i="47"/>
  <c r="Q125" i="47"/>
  <c r="P125" i="47"/>
  <c r="O125" i="47"/>
  <c r="N125" i="47"/>
  <c r="M125" i="47"/>
  <c r="L125" i="47"/>
  <c r="K125" i="47"/>
  <c r="J125" i="47"/>
  <c r="I125" i="47"/>
  <c r="H125" i="47"/>
  <c r="W124" i="47"/>
  <c r="V124" i="47"/>
  <c r="U124" i="47"/>
  <c r="T124" i="47"/>
  <c r="S124" i="47"/>
  <c r="R124" i="47"/>
  <c r="Q124" i="47"/>
  <c r="P124" i="47"/>
  <c r="O124" i="47"/>
  <c r="N124" i="47"/>
  <c r="M124" i="47"/>
  <c r="L124" i="47"/>
  <c r="K124" i="47"/>
  <c r="J124" i="47"/>
  <c r="I124" i="47"/>
  <c r="H124" i="47"/>
  <c r="W123" i="47"/>
  <c r="V123" i="47"/>
  <c r="U123" i="47"/>
  <c r="T123" i="47"/>
  <c r="S123" i="47"/>
  <c r="R123" i="47"/>
  <c r="Q123" i="47"/>
  <c r="P123" i="47"/>
  <c r="O123" i="47"/>
  <c r="N123" i="47"/>
  <c r="M123" i="47"/>
  <c r="L123" i="47"/>
  <c r="K123" i="47"/>
  <c r="J123" i="47"/>
  <c r="I123" i="47"/>
  <c r="H123" i="47"/>
  <c r="W122" i="47"/>
  <c r="V122" i="47"/>
  <c r="U122" i="47"/>
  <c r="T122" i="47"/>
  <c r="S122" i="47"/>
  <c r="R122" i="47"/>
  <c r="Q122" i="47"/>
  <c r="P122" i="47"/>
  <c r="O122" i="47"/>
  <c r="N122" i="47"/>
  <c r="M122" i="47"/>
  <c r="L122" i="47"/>
  <c r="K122" i="47"/>
  <c r="J122" i="47"/>
  <c r="I122" i="47"/>
  <c r="H122" i="47"/>
  <c r="W121" i="47"/>
  <c r="V121" i="47"/>
  <c r="U121" i="47"/>
  <c r="T121" i="47"/>
  <c r="S121" i="47"/>
  <c r="R121" i="47"/>
  <c r="Q121" i="47"/>
  <c r="P121" i="47"/>
  <c r="O121" i="47"/>
  <c r="N121" i="47"/>
  <c r="M121" i="47"/>
  <c r="L121" i="47"/>
  <c r="K121" i="47"/>
  <c r="J121" i="47"/>
  <c r="I121" i="47"/>
  <c r="H121" i="47"/>
  <c r="W120" i="47"/>
  <c r="V120" i="47"/>
  <c r="U120" i="47"/>
  <c r="T120" i="47"/>
  <c r="S120" i="47"/>
  <c r="R120" i="47"/>
  <c r="Q120" i="47"/>
  <c r="P120" i="47"/>
  <c r="O120" i="47"/>
  <c r="N120" i="47"/>
  <c r="M120" i="47"/>
  <c r="L120" i="47"/>
  <c r="K120" i="47"/>
  <c r="J120" i="47"/>
  <c r="I120" i="47"/>
  <c r="H120" i="47"/>
  <c r="W119" i="47"/>
  <c r="V119" i="47"/>
  <c r="U119" i="47"/>
  <c r="T119" i="47"/>
  <c r="S119" i="47"/>
  <c r="R119" i="47"/>
  <c r="Q119" i="47"/>
  <c r="P119" i="47"/>
  <c r="O119" i="47"/>
  <c r="N119" i="47"/>
  <c r="M119" i="47"/>
  <c r="L119" i="47"/>
  <c r="K119" i="47"/>
  <c r="J119" i="47"/>
  <c r="I119" i="47"/>
  <c r="W117" i="47"/>
  <c r="V117" i="47"/>
  <c r="U117" i="47"/>
  <c r="T117" i="47"/>
  <c r="S117" i="47"/>
  <c r="R117" i="47"/>
  <c r="Q117" i="47"/>
  <c r="P117" i="47"/>
  <c r="O117" i="47"/>
  <c r="N117" i="47"/>
  <c r="M117" i="47"/>
  <c r="L117" i="47"/>
  <c r="K117" i="47"/>
  <c r="J117" i="47"/>
  <c r="I117" i="47"/>
  <c r="W116" i="47"/>
  <c r="V116" i="47"/>
  <c r="U116" i="47"/>
  <c r="T116" i="47"/>
  <c r="S116" i="47"/>
  <c r="R116" i="47"/>
  <c r="Q116" i="47"/>
  <c r="P116" i="47"/>
  <c r="O116" i="47"/>
  <c r="N116" i="47"/>
  <c r="M116" i="47"/>
  <c r="L116" i="47"/>
  <c r="K116" i="47"/>
  <c r="J116" i="47"/>
  <c r="I116" i="47"/>
  <c r="H116" i="47"/>
  <c r="W115" i="47"/>
  <c r="V115" i="47"/>
  <c r="U115" i="47"/>
  <c r="T115" i="47"/>
  <c r="S115" i="47"/>
  <c r="R115" i="47"/>
  <c r="Q115" i="47"/>
  <c r="P115" i="47"/>
  <c r="O115" i="47"/>
  <c r="N115" i="47"/>
  <c r="M115" i="47"/>
  <c r="L115" i="47"/>
  <c r="K115" i="47"/>
  <c r="J115" i="47"/>
  <c r="I115" i="47"/>
  <c r="H115" i="47"/>
  <c r="W114" i="47"/>
  <c r="V114" i="47"/>
  <c r="U114" i="47"/>
  <c r="T114" i="47"/>
  <c r="S114" i="47"/>
  <c r="R114" i="47"/>
  <c r="Q114" i="47"/>
  <c r="P114" i="47"/>
  <c r="O114" i="47"/>
  <c r="N114" i="47"/>
  <c r="M114" i="47"/>
  <c r="L114" i="47"/>
  <c r="K114" i="47"/>
  <c r="J114" i="47"/>
  <c r="I114" i="47"/>
  <c r="H114" i="47"/>
  <c r="W113" i="47"/>
  <c r="V113" i="47"/>
  <c r="U113" i="47"/>
  <c r="T113" i="47"/>
  <c r="S113" i="47"/>
  <c r="R113" i="47"/>
  <c r="Q113" i="47"/>
  <c r="P113" i="47"/>
  <c r="O113" i="47"/>
  <c r="N113" i="47"/>
  <c r="M113" i="47"/>
  <c r="L113" i="47"/>
  <c r="K113" i="47"/>
  <c r="J113" i="47"/>
  <c r="I113" i="47"/>
  <c r="H113" i="47"/>
  <c r="W112" i="47"/>
  <c r="V112" i="47"/>
  <c r="U112" i="47"/>
  <c r="T112" i="47"/>
  <c r="S112" i="47"/>
  <c r="R112" i="47"/>
  <c r="Q112" i="47"/>
  <c r="P112" i="47"/>
  <c r="O112" i="47"/>
  <c r="N112" i="47"/>
  <c r="M112" i="47"/>
  <c r="L112" i="47"/>
  <c r="K112" i="47"/>
  <c r="J112" i="47"/>
  <c r="I112" i="47"/>
  <c r="H112" i="47"/>
  <c r="W111" i="47"/>
  <c r="V111" i="47"/>
  <c r="U111" i="47"/>
  <c r="T111" i="47"/>
  <c r="S111" i="47"/>
  <c r="R111" i="47"/>
  <c r="Q111" i="47"/>
  <c r="P111" i="47"/>
  <c r="O111" i="47"/>
  <c r="N111" i="47"/>
  <c r="M111" i="47"/>
  <c r="L111" i="47"/>
  <c r="K111" i="47"/>
  <c r="J111" i="47"/>
  <c r="I111" i="47"/>
  <c r="H111" i="47"/>
  <c r="W110" i="47"/>
  <c r="V110" i="47"/>
  <c r="U110" i="47"/>
  <c r="T110" i="47"/>
  <c r="S110" i="47"/>
  <c r="R110" i="47"/>
  <c r="Q110" i="47"/>
  <c r="P110" i="47"/>
  <c r="O110" i="47"/>
  <c r="N110" i="47"/>
  <c r="M110" i="47"/>
  <c r="L110" i="47"/>
  <c r="K110" i="47"/>
  <c r="J110" i="47"/>
  <c r="I110" i="47"/>
  <c r="H110" i="47"/>
  <c r="W109" i="47"/>
  <c r="V109" i="47"/>
  <c r="U109" i="47"/>
  <c r="T109" i="47"/>
  <c r="S109" i="47"/>
  <c r="R109" i="47"/>
  <c r="Q109" i="47"/>
  <c r="P109" i="47"/>
  <c r="O109" i="47"/>
  <c r="N109" i="47"/>
  <c r="M109" i="47"/>
  <c r="L109" i="47"/>
  <c r="K109" i="47"/>
  <c r="J109" i="47"/>
  <c r="I109" i="47"/>
  <c r="H109" i="47"/>
  <c r="W108" i="47"/>
  <c r="V108" i="47"/>
  <c r="U108" i="47"/>
  <c r="T108" i="47"/>
  <c r="S108" i="47"/>
  <c r="R108" i="47"/>
  <c r="Q108" i="47"/>
  <c r="P108" i="47"/>
  <c r="O108" i="47"/>
  <c r="N108" i="47"/>
  <c r="M108" i="47"/>
  <c r="L108" i="47"/>
  <c r="K108" i="47"/>
  <c r="J108" i="47"/>
  <c r="I108" i="47"/>
  <c r="H108" i="47"/>
  <c r="W107" i="47"/>
  <c r="V107" i="47"/>
  <c r="U107" i="47"/>
  <c r="T107" i="47"/>
  <c r="S107" i="47"/>
  <c r="R107" i="47"/>
  <c r="Q107" i="47"/>
  <c r="P107" i="47"/>
  <c r="O107" i="47"/>
  <c r="N107" i="47"/>
  <c r="M107" i="47"/>
  <c r="L107" i="47"/>
  <c r="K107" i="47"/>
  <c r="J107" i="47"/>
  <c r="I107" i="47"/>
  <c r="H107" i="47"/>
  <c r="W106" i="47"/>
  <c r="V106" i="47"/>
  <c r="U106" i="47"/>
  <c r="T106" i="47"/>
  <c r="S106" i="47"/>
  <c r="R106" i="47"/>
  <c r="Q106" i="47"/>
  <c r="P106" i="47"/>
  <c r="O106" i="47"/>
  <c r="N106" i="47"/>
  <c r="M106" i="47"/>
  <c r="L106" i="47"/>
  <c r="K106" i="47"/>
  <c r="J106" i="47"/>
  <c r="I106" i="47"/>
  <c r="H106" i="47"/>
  <c r="W105" i="47"/>
  <c r="V105" i="47"/>
  <c r="U105" i="47"/>
  <c r="T105" i="47"/>
  <c r="S105" i="47"/>
  <c r="R105" i="47"/>
  <c r="Q105" i="47"/>
  <c r="P105" i="47"/>
  <c r="O105" i="47"/>
  <c r="N105" i="47"/>
  <c r="M105" i="47"/>
  <c r="L105" i="47"/>
  <c r="K105" i="47"/>
  <c r="J105" i="47"/>
  <c r="I105" i="47"/>
  <c r="H105" i="47"/>
  <c r="W104" i="47"/>
  <c r="V104" i="47"/>
  <c r="U104" i="47"/>
  <c r="T104" i="47"/>
  <c r="S104" i="47"/>
  <c r="R104" i="47"/>
  <c r="Q104" i="47"/>
  <c r="P104" i="47"/>
  <c r="O104" i="47"/>
  <c r="N104" i="47"/>
  <c r="M104" i="47"/>
  <c r="L104" i="47"/>
  <c r="K104" i="47"/>
  <c r="J104" i="47"/>
  <c r="I104" i="47"/>
  <c r="W102" i="47"/>
  <c r="V102" i="47"/>
  <c r="U102" i="47"/>
  <c r="T102" i="47"/>
  <c r="S102" i="47"/>
  <c r="R102" i="47"/>
  <c r="Q102" i="47"/>
  <c r="P102" i="47"/>
  <c r="O102" i="47"/>
  <c r="N102" i="47"/>
  <c r="M102" i="47"/>
  <c r="L102" i="47"/>
  <c r="K102" i="47"/>
  <c r="J102" i="47"/>
  <c r="I102" i="47"/>
  <c r="W101" i="47"/>
  <c r="V101" i="47"/>
  <c r="U101" i="47"/>
  <c r="T101" i="47"/>
  <c r="S101" i="47"/>
  <c r="R101" i="47"/>
  <c r="Q101" i="47"/>
  <c r="P101" i="47"/>
  <c r="O101" i="47"/>
  <c r="N101" i="47"/>
  <c r="M101" i="47"/>
  <c r="L101" i="47"/>
  <c r="K101" i="47"/>
  <c r="J101" i="47"/>
  <c r="I101" i="47"/>
  <c r="H101" i="47"/>
  <c r="W100" i="47"/>
  <c r="V100" i="47"/>
  <c r="U100" i="47"/>
  <c r="T100" i="47"/>
  <c r="S100" i="47"/>
  <c r="R100" i="47"/>
  <c r="Q100" i="47"/>
  <c r="P100" i="47"/>
  <c r="O100" i="47"/>
  <c r="N100" i="47"/>
  <c r="M100" i="47"/>
  <c r="L100" i="47"/>
  <c r="K100" i="47"/>
  <c r="J100" i="47"/>
  <c r="I100" i="47"/>
  <c r="H100" i="47"/>
  <c r="W99" i="47"/>
  <c r="V99" i="47"/>
  <c r="U99" i="47"/>
  <c r="T99" i="47"/>
  <c r="S99" i="47"/>
  <c r="R99" i="47"/>
  <c r="Q99" i="47"/>
  <c r="P99" i="47"/>
  <c r="O99" i="47"/>
  <c r="N99" i="47"/>
  <c r="M99" i="47"/>
  <c r="L99" i="47"/>
  <c r="K99" i="47"/>
  <c r="J99" i="47"/>
  <c r="I99" i="47"/>
  <c r="H99" i="47"/>
  <c r="W98" i="47"/>
  <c r="V98" i="47"/>
  <c r="U98" i="47"/>
  <c r="T98" i="47"/>
  <c r="S98" i="47"/>
  <c r="R98" i="47"/>
  <c r="Q98" i="47"/>
  <c r="P98" i="47"/>
  <c r="O98" i="47"/>
  <c r="N98" i="47"/>
  <c r="M98" i="47"/>
  <c r="L98" i="47"/>
  <c r="K98" i="47"/>
  <c r="J98" i="47"/>
  <c r="I98" i="47"/>
  <c r="H98" i="47"/>
  <c r="W97" i="47"/>
  <c r="V97" i="47"/>
  <c r="U97" i="47"/>
  <c r="T97" i="47"/>
  <c r="S97" i="47"/>
  <c r="R97" i="47"/>
  <c r="Q97" i="47"/>
  <c r="P97" i="47"/>
  <c r="O97" i="47"/>
  <c r="N97" i="47"/>
  <c r="M97" i="47"/>
  <c r="L97" i="47"/>
  <c r="K97" i="47"/>
  <c r="J97" i="47"/>
  <c r="I97" i="47"/>
  <c r="H97" i="47"/>
  <c r="W96" i="47"/>
  <c r="V96" i="47"/>
  <c r="U96" i="47"/>
  <c r="T96" i="47"/>
  <c r="S96" i="47"/>
  <c r="R96" i="47"/>
  <c r="Q96" i="47"/>
  <c r="P96" i="47"/>
  <c r="O96" i="47"/>
  <c r="N96" i="47"/>
  <c r="M96" i="47"/>
  <c r="L96" i="47"/>
  <c r="K96" i="47"/>
  <c r="J96" i="47"/>
  <c r="I96" i="47"/>
  <c r="H96" i="47"/>
  <c r="W95" i="47"/>
  <c r="V95" i="47"/>
  <c r="U95" i="47"/>
  <c r="T95" i="47"/>
  <c r="S95" i="47"/>
  <c r="R95" i="47"/>
  <c r="Q95" i="47"/>
  <c r="P95" i="47"/>
  <c r="O95" i="47"/>
  <c r="N95" i="47"/>
  <c r="M95" i="47"/>
  <c r="L95" i="47"/>
  <c r="K95" i="47"/>
  <c r="J95" i="47"/>
  <c r="I95" i="47"/>
  <c r="H95" i="47"/>
  <c r="W94" i="47"/>
  <c r="V94" i="47"/>
  <c r="U94" i="47"/>
  <c r="T94" i="47"/>
  <c r="S94" i="47"/>
  <c r="R94" i="47"/>
  <c r="Q94" i="47"/>
  <c r="P94" i="47"/>
  <c r="O94" i="47"/>
  <c r="N94" i="47"/>
  <c r="M94" i="47"/>
  <c r="L94" i="47"/>
  <c r="K94" i="47"/>
  <c r="J94" i="47"/>
  <c r="I94" i="47"/>
  <c r="H94" i="47"/>
  <c r="W93" i="47"/>
  <c r="V93" i="47"/>
  <c r="U93" i="47"/>
  <c r="T93" i="47"/>
  <c r="S93" i="47"/>
  <c r="R93" i="47"/>
  <c r="Q93" i="47"/>
  <c r="P93" i="47"/>
  <c r="O93" i="47"/>
  <c r="N93" i="47"/>
  <c r="M93" i="47"/>
  <c r="L93" i="47"/>
  <c r="K93" i="47"/>
  <c r="J93" i="47"/>
  <c r="I93" i="47"/>
  <c r="H93" i="47"/>
  <c r="W92" i="47"/>
  <c r="V92" i="47"/>
  <c r="U92" i="47"/>
  <c r="T92" i="47"/>
  <c r="S92" i="47"/>
  <c r="R92" i="47"/>
  <c r="Q92" i="47"/>
  <c r="P92" i="47"/>
  <c r="O92" i="47"/>
  <c r="N92" i="47"/>
  <c r="M92" i="47"/>
  <c r="L92" i="47"/>
  <c r="K92" i="47"/>
  <c r="J92" i="47"/>
  <c r="I92" i="47"/>
  <c r="H92" i="47"/>
  <c r="W91" i="47"/>
  <c r="V91" i="47"/>
  <c r="U91" i="47"/>
  <c r="T91" i="47"/>
  <c r="S91" i="47"/>
  <c r="R91" i="47"/>
  <c r="Q91" i="47"/>
  <c r="P91" i="47"/>
  <c r="O91" i="47"/>
  <c r="N91" i="47"/>
  <c r="M91" i="47"/>
  <c r="L91" i="47"/>
  <c r="K91" i="47"/>
  <c r="J91" i="47"/>
  <c r="I91" i="47"/>
  <c r="H91" i="47"/>
  <c r="W90" i="47"/>
  <c r="V90" i="47"/>
  <c r="U90" i="47"/>
  <c r="T90" i="47"/>
  <c r="S90" i="47"/>
  <c r="R90" i="47"/>
  <c r="Q90" i="47"/>
  <c r="P90" i="47"/>
  <c r="O90" i="47"/>
  <c r="N90" i="47"/>
  <c r="M90" i="47"/>
  <c r="L90" i="47"/>
  <c r="K90" i="47"/>
  <c r="J90" i="47"/>
  <c r="I90" i="47"/>
  <c r="H90" i="47"/>
  <c r="W89" i="47"/>
  <c r="V89" i="47"/>
  <c r="U89" i="47"/>
  <c r="T89" i="47"/>
  <c r="S89" i="47"/>
  <c r="R89" i="47"/>
  <c r="Q89" i="47"/>
  <c r="P89" i="47"/>
  <c r="O89" i="47"/>
  <c r="N89" i="47"/>
  <c r="M89" i="47"/>
  <c r="L89" i="47"/>
  <c r="K89" i="47"/>
  <c r="J89" i="47"/>
  <c r="I89" i="47"/>
  <c r="W87" i="47"/>
  <c r="V87" i="47"/>
  <c r="U87" i="47"/>
  <c r="T87" i="47"/>
  <c r="S87" i="47"/>
  <c r="R87" i="47"/>
  <c r="Q87" i="47"/>
  <c r="P87" i="47"/>
  <c r="O87" i="47"/>
  <c r="N87" i="47"/>
  <c r="M87" i="47"/>
  <c r="L87" i="47"/>
  <c r="K87" i="47"/>
  <c r="J87" i="47"/>
  <c r="I87" i="47"/>
  <c r="W86" i="47"/>
  <c r="V86" i="47"/>
  <c r="U86" i="47"/>
  <c r="T86" i="47"/>
  <c r="S86" i="47"/>
  <c r="R86" i="47"/>
  <c r="Q86" i="47"/>
  <c r="P86" i="47"/>
  <c r="O86" i="47"/>
  <c r="N86" i="47"/>
  <c r="M86" i="47"/>
  <c r="L86" i="47"/>
  <c r="K86" i="47"/>
  <c r="J86" i="47"/>
  <c r="I86" i="47"/>
  <c r="H86" i="47"/>
  <c r="W85" i="47"/>
  <c r="V85" i="47"/>
  <c r="U85" i="47"/>
  <c r="T85" i="47"/>
  <c r="S85" i="47"/>
  <c r="R85" i="47"/>
  <c r="Q85" i="47"/>
  <c r="P85" i="47"/>
  <c r="O85" i="47"/>
  <c r="N85" i="47"/>
  <c r="M85" i="47"/>
  <c r="L85" i="47"/>
  <c r="K85" i="47"/>
  <c r="J85" i="47"/>
  <c r="I85" i="47"/>
  <c r="H85" i="47"/>
  <c r="W84" i="47"/>
  <c r="V84" i="47"/>
  <c r="U84" i="47"/>
  <c r="T84" i="47"/>
  <c r="S84" i="47"/>
  <c r="R84" i="47"/>
  <c r="Q84" i="47"/>
  <c r="P84" i="47"/>
  <c r="O84" i="47"/>
  <c r="N84" i="47"/>
  <c r="M84" i="47"/>
  <c r="L84" i="47"/>
  <c r="K84" i="47"/>
  <c r="J84" i="47"/>
  <c r="I84" i="47"/>
  <c r="H84" i="47"/>
  <c r="W83" i="47"/>
  <c r="V83" i="47"/>
  <c r="U83" i="47"/>
  <c r="T83" i="47"/>
  <c r="S83" i="47"/>
  <c r="R83" i="47"/>
  <c r="Q83" i="47"/>
  <c r="P83" i="47"/>
  <c r="O83" i="47"/>
  <c r="N83" i="47"/>
  <c r="M83" i="47"/>
  <c r="L83" i="47"/>
  <c r="K83" i="47"/>
  <c r="J83" i="47"/>
  <c r="I83" i="47"/>
  <c r="H83" i="47"/>
  <c r="W82" i="47"/>
  <c r="V82" i="47"/>
  <c r="U82" i="47"/>
  <c r="T82" i="47"/>
  <c r="S82" i="47"/>
  <c r="R82" i="47"/>
  <c r="Q82" i="47"/>
  <c r="P82" i="47"/>
  <c r="O82" i="47"/>
  <c r="N82" i="47"/>
  <c r="M82" i="47"/>
  <c r="L82" i="47"/>
  <c r="K82" i="47"/>
  <c r="J82" i="47"/>
  <c r="I82" i="47"/>
  <c r="H82" i="47"/>
  <c r="W81" i="47"/>
  <c r="V81" i="47"/>
  <c r="U81" i="47"/>
  <c r="T81" i="47"/>
  <c r="S81" i="47"/>
  <c r="R81" i="47"/>
  <c r="Q81" i="47"/>
  <c r="P81" i="47"/>
  <c r="O81" i="47"/>
  <c r="N81" i="47"/>
  <c r="M81" i="47"/>
  <c r="L81" i="47"/>
  <c r="K81" i="47"/>
  <c r="J81" i="47"/>
  <c r="I81" i="47"/>
  <c r="H81" i="47"/>
  <c r="W80" i="47"/>
  <c r="V80" i="47"/>
  <c r="U80" i="47"/>
  <c r="T80" i="47"/>
  <c r="S80" i="47"/>
  <c r="R80" i="47"/>
  <c r="Q80" i="47"/>
  <c r="P80" i="47"/>
  <c r="O80" i="47"/>
  <c r="N80" i="47"/>
  <c r="M80" i="47"/>
  <c r="L80" i="47"/>
  <c r="K80" i="47"/>
  <c r="J80" i="47"/>
  <c r="I80" i="47"/>
  <c r="H80" i="47"/>
  <c r="W79" i="47"/>
  <c r="V79" i="47"/>
  <c r="U79" i="47"/>
  <c r="T79" i="47"/>
  <c r="S79" i="47"/>
  <c r="R79" i="47"/>
  <c r="Q79" i="47"/>
  <c r="P79" i="47"/>
  <c r="O79" i="47"/>
  <c r="N79" i="47"/>
  <c r="M79" i="47"/>
  <c r="L79" i="47"/>
  <c r="K79" i="47"/>
  <c r="J79" i="47"/>
  <c r="I79" i="47"/>
  <c r="H79" i="47"/>
  <c r="W78" i="47"/>
  <c r="V78" i="47"/>
  <c r="U78" i="47"/>
  <c r="T78" i="47"/>
  <c r="S78" i="47"/>
  <c r="R78" i="47"/>
  <c r="Q78" i="47"/>
  <c r="P78" i="47"/>
  <c r="O78" i="47"/>
  <c r="N78" i="47"/>
  <c r="M78" i="47"/>
  <c r="L78" i="47"/>
  <c r="K78" i="47"/>
  <c r="J78" i="47"/>
  <c r="I78" i="47"/>
  <c r="H78" i="47"/>
  <c r="W77" i="47"/>
  <c r="V77" i="47"/>
  <c r="U77" i="47"/>
  <c r="T77" i="47"/>
  <c r="S77" i="47"/>
  <c r="R77" i="47"/>
  <c r="Q77" i="47"/>
  <c r="P77" i="47"/>
  <c r="O77" i="47"/>
  <c r="N77" i="47"/>
  <c r="M77" i="47"/>
  <c r="L77" i="47"/>
  <c r="K77" i="47"/>
  <c r="J77" i="47"/>
  <c r="I77" i="47"/>
  <c r="H77" i="47"/>
  <c r="W76" i="47"/>
  <c r="V76" i="47"/>
  <c r="U76" i="47"/>
  <c r="T76" i="47"/>
  <c r="S76" i="47"/>
  <c r="R76" i="47"/>
  <c r="Q76" i="47"/>
  <c r="P76" i="47"/>
  <c r="O76" i="47"/>
  <c r="N76" i="47"/>
  <c r="M76" i="47"/>
  <c r="L76" i="47"/>
  <c r="K76" i="47"/>
  <c r="J76" i="47"/>
  <c r="I76" i="47"/>
  <c r="H76" i="47"/>
  <c r="W75" i="47"/>
  <c r="V75" i="47"/>
  <c r="U75" i="47"/>
  <c r="T75" i="47"/>
  <c r="S75" i="47"/>
  <c r="R75" i="47"/>
  <c r="Q75" i="47"/>
  <c r="P75" i="47"/>
  <c r="O75" i="47"/>
  <c r="N75" i="47"/>
  <c r="M75" i="47"/>
  <c r="L75" i="47"/>
  <c r="K75" i="47"/>
  <c r="J75" i="47"/>
  <c r="I75" i="47"/>
  <c r="H75" i="47"/>
  <c r="W74" i="47"/>
  <c r="V74" i="47"/>
  <c r="U74" i="47"/>
  <c r="T74" i="47"/>
  <c r="S74" i="47"/>
  <c r="R74" i="47"/>
  <c r="Q74" i="47"/>
  <c r="P74" i="47"/>
  <c r="O74" i="47"/>
  <c r="N74" i="47"/>
  <c r="M74" i="47"/>
  <c r="L74" i="47"/>
  <c r="K74" i="47"/>
  <c r="J74" i="47"/>
  <c r="I74" i="47"/>
  <c r="W72" i="47"/>
  <c r="V72" i="47"/>
  <c r="U72" i="47"/>
  <c r="T72" i="47"/>
  <c r="S72" i="47"/>
  <c r="R72" i="47"/>
  <c r="Q72" i="47"/>
  <c r="P72" i="47"/>
  <c r="O72" i="47"/>
  <c r="N72" i="47"/>
  <c r="M72" i="47"/>
  <c r="L72" i="47"/>
  <c r="K72" i="47"/>
  <c r="J72" i="47"/>
  <c r="I72" i="47"/>
  <c r="W71" i="47"/>
  <c r="V71" i="47"/>
  <c r="U71" i="47"/>
  <c r="T71" i="47"/>
  <c r="S71" i="47"/>
  <c r="R71" i="47"/>
  <c r="Q71" i="47"/>
  <c r="P71" i="47"/>
  <c r="O71" i="47"/>
  <c r="N71" i="47"/>
  <c r="M71" i="47"/>
  <c r="L71" i="47"/>
  <c r="K71" i="47"/>
  <c r="J71" i="47"/>
  <c r="I71" i="47"/>
  <c r="H71" i="47"/>
  <c r="W70" i="47"/>
  <c r="V70" i="47"/>
  <c r="U70" i="47"/>
  <c r="T70" i="47"/>
  <c r="S70" i="47"/>
  <c r="R70" i="47"/>
  <c r="Q70" i="47"/>
  <c r="P70" i="47"/>
  <c r="O70" i="47"/>
  <c r="N70" i="47"/>
  <c r="M70" i="47"/>
  <c r="L70" i="47"/>
  <c r="K70" i="47"/>
  <c r="J70" i="47"/>
  <c r="I70" i="47"/>
  <c r="H70" i="47"/>
  <c r="W69" i="47"/>
  <c r="V69" i="47"/>
  <c r="U69" i="47"/>
  <c r="T69" i="47"/>
  <c r="S69" i="47"/>
  <c r="R69" i="47"/>
  <c r="Q69" i="47"/>
  <c r="P69" i="47"/>
  <c r="O69" i="47"/>
  <c r="N69" i="47"/>
  <c r="M69" i="47"/>
  <c r="L69" i="47"/>
  <c r="K69" i="47"/>
  <c r="J69" i="47"/>
  <c r="I69" i="47"/>
  <c r="H69" i="47"/>
  <c r="W68" i="47"/>
  <c r="V68" i="47"/>
  <c r="U68" i="47"/>
  <c r="T68" i="47"/>
  <c r="S68" i="47"/>
  <c r="R68" i="47"/>
  <c r="Q68" i="47"/>
  <c r="P68" i="47"/>
  <c r="O68" i="47"/>
  <c r="N68" i="47"/>
  <c r="M68" i="47"/>
  <c r="L68" i="47"/>
  <c r="K68" i="47"/>
  <c r="J68" i="47"/>
  <c r="I68" i="47"/>
  <c r="H68" i="47"/>
  <c r="W67" i="47"/>
  <c r="V67" i="47"/>
  <c r="U67" i="47"/>
  <c r="T67" i="47"/>
  <c r="S67" i="47"/>
  <c r="R67" i="47"/>
  <c r="Q67" i="47"/>
  <c r="P67" i="47"/>
  <c r="O67" i="47"/>
  <c r="N67" i="47"/>
  <c r="M67" i="47"/>
  <c r="L67" i="47"/>
  <c r="K67" i="47"/>
  <c r="J67" i="47"/>
  <c r="I67" i="47"/>
  <c r="H67" i="47"/>
  <c r="W66" i="47"/>
  <c r="V66" i="47"/>
  <c r="U66" i="47"/>
  <c r="T66" i="47"/>
  <c r="S66" i="47"/>
  <c r="R66" i="47"/>
  <c r="Q66" i="47"/>
  <c r="P66" i="47"/>
  <c r="O66" i="47"/>
  <c r="N66" i="47"/>
  <c r="M66" i="47"/>
  <c r="L66" i="47"/>
  <c r="K66" i="47"/>
  <c r="J66" i="47"/>
  <c r="I66" i="47"/>
  <c r="H66" i="47"/>
  <c r="W65" i="47"/>
  <c r="V65" i="47"/>
  <c r="U65" i="47"/>
  <c r="T65" i="47"/>
  <c r="S65" i="47"/>
  <c r="R65" i="47"/>
  <c r="Q65" i="47"/>
  <c r="P65" i="47"/>
  <c r="O65" i="47"/>
  <c r="N65" i="47"/>
  <c r="M65" i="47"/>
  <c r="L65" i="47"/>
  <c r="K65" i="47"/>
  <c r="J65" i="47"/>
  <c r="I65" i="47"/>
  <c r="H65" i="47"/>
  <c r="W64" i="47"/>
  <c r="V64" i="47"/>
  <c r="U64" i="47"/>
  <c r="T64" i="47"/>
  <c r="S64" i="47"/>
  <c r="R64" i="47"/>
  <c r="Q64" i="47"/>
  <c r="P64" i="47"/>
  <c r="O64" i="47"/>
  <c r="N64" i="47"/>
  <c r="M64" i="47"/>
  <c r="L64" i="47"/>
  <c r="K64" i="47"/>
  <c r="J64" i="47"/>
  <c r="I64" i="47"/>
  <c r="H64" i="47"/>
  <c r="W63" i="47"/>
  <c r="V63" i="47"/>
  <c r="U63" i="47"/>
  <c r="T63" i="47"/>
  <c r="S63" i="47"/>
  <c r="R63" i="47"/>
  <c r="Q63" i="47"/>
  <c r="P63" i="47"/>
  <c r="O63" i="47"/>
  <c r="N63" i="47"/>
  <c r="M63" i="47"/>
  <c r="L63" i="47"/>
  <c r="K63" i="47"/>
  <c r="J63" i="47"/>
  <c r="I63" i="47"/>
  <c r="H63" i="47"/>
  <c r="W62" i="47"/>
  <c r="V62" i="47"/>
  <c r="U62" i="47"/>
  <c r="T62" i="47"/>
  <c r="S62" i="47"/>
  <c r="R62" i="47"/>
  <c r="Q62" i="47"/>
  <c r="P62" i="47"/>
  <c r="O62" i="47"/>
  <c r="N62" i="47"/>
  <c r="M62" i="47"/>
  <c r="L62" i="47"/>
  <c r="K62" i="47"/>
  <c r="J62" i="47"/>
  <c r="I62" i="47"/>
  <c r="H62" i="47"/>
  <c r="W61" i="47"/>
  <c r="V61" i="47"/>
  <c r="U61" i="47"/>
  <c r="T61" i="47"/>
  <c r="S61" i="47"/>
  <c r="R61" i="47"/>
  <c r="Q61" i="47"/>
  <c r="P61" i="47"/>
  <c r="O61" i="47"/>
  <c r="N61" i="47"/>
  <c r="M61" i="47"/>
  <c r="L61" i="47"/>
  <c r="K61" i="47"/>
  <c r="J61" i="47"/>
  <c r="I61" i="47"/>
  <c r="H61" i="47"/>
  <c r="W60" i="47"/>
  <c r="V60" i="47"/>
  <c r="U60" i="47"/>
  <c r="T60" i="47"/>
  <c r="S60" i="47"/>
  <c r="R60" i="47"/>
  <c r="Q60" i="47"/>
  <c r="P60" i="47"/>
  <c r="O60" i="47"/>
  <c r="N60" i="47"/>
  <c r="M60" i="47"/>
  <c r="L60" i="47"/>
  <c r="K60" i="47"/>
  <c r="J60" i="47"/>
  <c r="I60" i="47"/>
  <c r="H60" i="47"/>
  <c r="W59" i="47"/>
  <c r="V59" i="47"/>
  <c r="U59" i="47"/>
  <c r="T59" i="47"/>
  <c r="S59" i="47"/>
  <c r="R59" i="47"/>
  <c r="Q59" i="47"/>
  <c r="P59" i="47"/>
  <c r="O59" i="47"/>
  <c r="N59" i="47"/>
  <c r="M59" i="47"/>
  <c r="L59" i="47"/>
  <c r="K59" i="47"/>
  <c r="J59" i="47"/>
  <c r="I59" i="47"/>
  <c r="W57" i="47"/>
  <c r="V57" i="47"/>
  <c r="U57" i="47"/>
  <c r="T57" i="47"/>
  <c r="S57" i="47"/>
  <c r="R57" i="47"/>
  <c r="Q57" i="47"/>
  <c r="P57" i="47"/>
  <c r="O57" i="47"/>
  <c r="N57" i="47"/>
  <c r="M57" i="47"/>
  <c r="L57" i="47"/>
  <c r="K57" i="47"/>
  <c r="J57" i="47"/>
  <c r="I57" i="47"/>
  <c r="W56" i="47"/>
  <c r="V56" i="47"/>
  <c r="U56" i="47"/>
  <c r="T56" i="47"/>
  <c r="S56" i="47"/>
  <c r="R56" i="47"/>
  <c r="Q56" i="47"/>
  <c r="P56" i="47"/>
  <c r="O56" i="47"/>
  <c r="N56" i="47"/>
  <c r="M56" i="47"/>
  <c r="L56" i="47"/>
  <c r="K56" i="47"/>
  <c r="J56" i="47"/>
  <c r="I56" i="47"/>
  <c r="H56" i="47"/>
  <c r="W55" i="47"/>
  <c r="V55" i="47"/>
  <c r="U55" i="47"/>
  <c r="T55" i="47"/>
  <c r="S55" i="47"/>
  <c r="R55" i="47"/>
  <c r="Q55" i="47"/>
  <c r="P55" i="47"/>
  <c r="O55" i="47"/>
  <c r="N55" i="47"/>
  <c r="M55" i="47"/>
  <c r="L55" i="47"/>
  <c r="K55" i="47"/>
  <c r="J55" i="47"/>
  <c r="I55" i="47"/>
  <c r="H55" i="47"/>
  <c r="C55" i="47"/>
  <c r="W54" i="47"/>
  <c r="V54" i="47"/>
  <c r="U54" i="47"/>
  <c r="T54" i="47"/>
  <c r="S54" i="47"/>
  <c r="R54" i="47"/>
  <c r="Q54" i="47"/>
  <c r="P54" i="47"/>
  <c r="O54" i="47"/>
  <c r="N54" i="47"/>
  <c r="M54" i="47"/>
  <c r="L54" i="47"/>
  <c r="K54" i="47"/>
  <c r="J54" i="47"/>
  <c r="I54" i="47"/>
  <c r="H54" i="47"/>
  <c r="C54" i="47"/>
  <c r="W53" i="47"/>
  <c r="V53" i="47"/>
  <c r="U53" i="47"/>
  <c r="T53" i="47"/>
  <c r="S53" i="47"/>
  <c r="R53" i="47"/>
  <c r="Q53" i="47"/>
  <c r="P53" i="47"/>
  <c r="O53" i="47"/>
  <c r="N53" i="47"/>
  <c r="M53" i="47"/>
  <c r="L53" i="47"/>
  <c r="K53" i="47"/>
  <c r="J53" i="47"/>
  <c r="I53" i="47"/>
  <c r="H53" i="47"/>
  <c r="W52" i="47"/>
  <c r="V52" i="47"/>
  <c r="U52" i="47"/>
  <c r="T52" i="47"/>
  <c r="S52" i="47"/>
  <c r="R52" i="47"/>
  <c r="Q52" i="47"/>
  <c r="P52" i="47"/>
  <c r="O52" i="47"/>
  <c r="N52" i="47"/>
  <c r="M52" i="47"/>
  <c r="L52" i="47"/>
  <c r="K52" i="47"/>
  <c r="J52" i="47"/>
  <c r="I52" i="47"/>
  <c r="H52" i="47"/>
  <c r="W51" i="47"/>
  <c r="V51" i="47"/>
  <c r="U51" i="47"/>
  <c r="T51" i="47"/>
  <c r="S51" i="47"/>
  <c r="R51" i="47"/>
  <c r="Q51" i="47"/>
  <c r="P51" i="47"/>
  <c r="O51" i="47"/>
  <c r="N51" i="47"/>
  <c r="M51" i="47"/>
  <c r="L51" i="47"/>
  <c r="K51" i="47"/>
  <c r="J51" i="47"/>
  <c r="I51" i="47"/>
  <c r="H51" i="47"/>
  <c r="W50" i="47"/>
  <c r="V50" i="47"/>
  <c r="U50" i="47"/>
  <c r="T50" i="47"/>
  <c r="S50" i="47"/>
  <c r="R50" i="47"/>
  <c r="Q50" i="47"/>
  <c r="P50" i="47"/>
  <c r="O50" i="47"/>
  <c r="N50" i="47"/>
  <c r="M50" i="47"/>
  <c r="L50" i="47"/>
  <c r="K50" i="47"/>
  <c r="J50" i="47"/>
  <c r="I50" i="47"/>
  <c r="H50" i="47"/>
  <c r="W49" i="47"/>
  <c r="V49" i="47"/>
  <c r="U49" i="47"/>
  <c r="T49" i="47"/>
  <c r="S49" i="47"/>
  <c r="R49" i="47"/>
  <c r="Q49" i="47"/>
  <c r="P49" i="47"/>
  <c r="O49" i="47"/>
  <c r="N49" i="47"/>
  <c r="M49" i="47"/>
  <c r="L49" i="47"/>
  <c r="K49" i="47"/>
  <c r="J49" i="47"/>
  <c r="I49" i="47"/>
  <c r="H49" i="47"/>
  <c r="W48" i="47"/>
  <c r="V48" i="47"/>
  <c r="U48" i="47"/>
  <c r="T48" i="47"/>
  <c r="S48" i="47"/>
  <c r="R48" i="47"/>
  <c r="Q48" i="47"/>
  <c r="P48" i="47"/>
  <c r="O48" i="47"/>
  <c r="N48" i="47"/>
  <c r="M48" i="47"/>
  <c r="L48" i="47"/>
  <c r="K48" i="47"/>
  <c r="J48" i="47"/>
  <c r="I48" i="47"/>
  <c r="H48" i="47"/>
  <c r="W47" i="47"/>
  <c r="V47" i="47"/>
  <c r="U47" i="47"/>
  <c r="T47" i="47"/>
  <c r="S47" i="47"/>
  <c r="R47" i="47"/>
  <c r="Q47" i="47"/>
  <c r="P47" i="47"/>
  <c r="O47" i="47"/>
  <c r="N47" i="47"/>
  <c r="M47" i="47"/>
  <c r="L47" i="47"/>
  <c r="K47" i="47"/>
  <c r="J47" i="47"/>
  <c r="I47" i="47"/>
  <c r="H47" i="47"/>
  <c r="W46" i="47"/>
  <c r="V46" i="47"/>
  <c r="U46" i="47"/>
  <c r="T46" i="47"/>
  <c r="S46" i="47"/>
  <c r="R46" i="47"/>
  <c r="Q46" i="47"/>
  <c r="P46" i="47"/>
  <c r="O46" i="47"/>
  <c r="N46" i="47"/>
  <c r="M46" i="47"/>
  <c r="L46" i="47"/>
  <c r="K46" i="47"/>
  <c r="J46" i="47"/>
  <c r="I46" i="47"/>
  <c r="H46" i="47"/>
  <c r="W45" i="47"/>
  <c r="V45" i="47"/>
  <c r="U45" i="47"/>
  <c r="T45" i="47"/>
  <c r="S45" i="47"/>
  <c r="R45" i="47"/>
  <c r="Q45" i="47"/>
  <c r="P45" i="47"/>
  <c r="O45" i="47"/>
  <c r="N45" i="47"/>
  <c r="M45" i="47"/>
  <c r="L45" i="47"/>
  <c r="K45" i="47"/>
  <c r="J45" i="47"/>
  <c r="I45" i="47"/>
  <c r="H45" i="47"/>
  <c r="W44" i="47"/>
  <c r="V44" i="47"/>
  <c r="U44" i="47"/>
  <c r="T44" i="47"/>
  <c r="S44" i="47"/>
  <c r="R44" i="47"/>
  <c r="Q44" i="47"/>
  <c r="P44" i="47"/>
  <c r="O44" i="47"/>
  <c r="N44" i="47"/>
  <c r="M44" i="47"/>
  <c r="L44" i="47"/>
  <c r="K44" i="47"/>
  <c r="J44" i="47"/>
  <c r="I44" i="47"/>
  <c r="W42" i="47"/>
  <c r="V42" i="47"/>
  <c r="U42" i="47"/>
  <c r="T42" i="47"/>
  <c r="S42" i="47"/>
  <c r="R42" i="47"/>
  <c r="Q42" i="47"/>
  <c r="P42" i="47"/>
  <c r="O42" i="47"/>
  <c r="N42" i="47"/>
  <c r="M42" i="47"/>
  <c r="L42" i="47"/>
  <c r="K42" i="47"/>
  <c r="J42" i="47"/>
  <c r="I42" i="47"/>
  <c r="W41" i="47"/>
  <c r="V41" i="47"/>
  <c r="U41" i="47"/>
  <c r="T41" i="47"/>
  <c r="S41" i="47"/>
  <c r="R41" i="47"/>
  <c r="Q41" i="47"/>
  <c r="P41" i="47"/>
  <c r="O41" i="47"/>
  <c r="N41" i="47"/>
  <c r="M41" i="47"/>
  <c r="L41" i="47"/>
  <c r="K41" i="47"/>
  <c r="J41" i="47"/>
  <c r="I41" i="47"/>
  <c r="H41" i="47"/>
  <c r="W40" i="47"/>
  <c r="V40" i="47"/>
  <c r="U40" i="47"/>
  <c r="T40" i="47"/>
  <c r="S40" i="47"/>
  <c r="R40" i="47"/>
  <c r="Q40" i="47"/>
  <c r="P40" i="47"/>
  <c r="O40" i="47"/>
  <c r="N40" i="47"/>
  <c r="M40" i="47"/>
  <c r="L40" i="47"/>
  <c r="K40" i="47"/>
  <c r="J40" i="47"/>
  <c r="I40" i="47"/>
  <c r="H40" i="47"/>
  <c r="W39" i="47"/>
  <c r="V39" i="47"/>
  <c r="U39" i="47"/>
  <c r="T39" i="47"/>
  <c r="S39" i="47"/>
  <c r="R39" i="47"/>
  <c r="Q39" i="47"/>
  <c r="P39" i="47"/>
  <c r="O39" i="47"/>
  <c r="N39" i="47"/>
  <c r="M39" i="47"/>
  <c r="L39" i="47"/>
  <c r="K39" i="47"/>
  <c r="J39" i="47"/>
  <c r="I39" i="47"/>
  <c r="H39" i="47"/>
  <c r="W38" i="47"/>
  <c r="V38" i="47"/>
  <c r="U38" i="47"/>
  <c r="T38" i="47"/>
  <c r="S38" i="47"/>
  <c r="R38" i="47"/>
  <c r="Q38" i="47"/>
  <c r="P38" i="47"/>
  <c r="O38" i="47"/>
  <c r="N38" i="47"/>
  <c r="M38" i="47"/>
  <c r="L38" i="47"/>
  <c r="K38" i="47"/>
  <c r="J38" i="47"/>
  <c r="I38" i="47"/>
  <c r="H38" i="47"/>
  <c r="W37" i="47"/>
  <c r="V37" i="47"/>
  <c r="U37" i="47"/>
  <c r="T37" i="47"/>
  <c r="S37" i="47"/>
  <c r="R37" i="47"/>
  <c r="Q37" i="47"/>
  <c r="P37" i="47"/>
  <c r="O37" i="47"/>
  <c r="N37" i="47"/>
  <c r="M37" i="47"/>
  <c r="L37" i="47"/>
  <c r="K37" i="47"/>
  <c r="J37" i="47"/>
  <c r="I37" i="47"/>
  <c r="H37" i="47"/>
  <c r="W36" i="47"/>
  <c r="V36" i="47"/>
  <c r="U36" i="47"/>
  <c r="T36" i="47"/>
  <c r="S36" i="47"/>
  <c r="R36" i="47"/>
  <c r="Q36" i="47"/>
  <c r="P36" i="47"/>
  <c r="O36" i="47"/>
  <c r="N36" i="47"/>
  <c r="M36" i="47"/>
  <c r="L36" i="47"/>
  <c r="K36" i="47"/>
  <c r="J36" i="47"/>
  <c r="I36" i="47"/>
  <c r="H36" i="47"/>
  <c r="W35" i="47"/>
  <c r="V35" i="47"/>
  <c r="U35" i="47"/>
  <c r="T35" i="47"/>
  <c r="S35" i="47"/>
  <c r="R35" i="47"/>
  <c r="Q35" i="47"/>
  <c r="P35" i="47"/>
  <c r="O35" i="47"/>
  <c r="N35" i="47"/>
  <c r="M35" i="47"/>
  <c r="L35" i="47"/>
  <c r="K35" i="47"/>
  <c r="J35" i="47"/>
  <c r="I35" i="47"/>
  <c r="H35" i="47"/>
  <c r="W34" i="47"/>
  <c r="V34" i="47"/>
  <c r="U34" i="47"/>
  <c r="T34" i="47"/>
  <c r="S34" i="47"/>
  <c r="R34" i="47"/>
  <c r="Q34" i="47"/>
  <c r="P34" i="47"/>
  <c r="O34" i="47"/>
  <c r="N34" i="47"/>
  <c r="M34" i="47"/>
  <c r="L34" i="47"/>
  <c r="K34" i="47"/>
  <c r="J34" i="47"/>
  <c r="I34" i="47"/>
  <c r="H34" i="47"/>
  <c r="W33" i="47"/>
  <c r="V33" i="47"/>
  <c r="U33" i="47"/>
  <c r="T33" i="47"/>
  <c r="S33" i="47"/>
  <c r="R33" i="47"/>
  <c r="Q33" i="47"/>
  <c r="P33" i="47"/>
  <c r="O33" i="47"/>
  <c r="N33" i="47"/>
  <c r="M33" i="47"/>
  <c r="L33" i="47"/>
  <c r="K33" i="47"/>
  <c r="J33" i="47"/>
  <c r="I33" i="47"/>
  <c r="H33" i="47"/>
  <c r="W32" i="47"/>
  <c r="V32" i="47"/>
  <c r="U32" i="47"/>
  <c r="T32" i="47"/>
  <c r="S32" i="47"/>
  <c r="R32" i="47"/>
  <c r="Q32" i="47"/>
  <c r="P32" i="47"/>
  <c r="O32" i="47"/>
  <c r="N32" i="47"/>
  <c r="M32" i="47"/>
  <c r="L32" i="47"/>
  <c r="K32" i="47"/>
  <c r="J32" i="47"/>
  <c r="I32" i="47"/>
  <c r="H32" i="47"/>
  <c r="W31" i="47"/>
  <c r="V31" i="47"/>
  <c r="U31" i="47"/>
  <c r="T31" i="47"/>
  <c r="S31" i="47"/>
  <c r="R31" i="47"/>
  <c r="Q31" i="47"/>
  <c r="P31" i="47"/>
  <c r="O31" i="47"/>
  <c r="N31" i="47"/>
  <c r="M31" i="47"/>
  <c r="L31" i="47"/>
  <c r="K31" i="47"/>
  <c r="J31" i="47"/>
  <c r="I31" i="47"/>
  <c r="H31" i="47"/>
  <c r="W30" i="47"/>
  <c r="V30" i="47"/>
  <c r="U30" i="47"/>
  <c r="T30" i="47"/>
  <c r="S30" i="47"/>
  <c r="R30" i="47"/>
  <c r="Q30" i="47"/>
  <c r="P30" i="47"/>
  <c r="O30" i="47"/>
  <c r="N30" i="47"/>
  <c r="M30" i="47"/>
  <c r="L30" i="47"/>
  <c r="K30" i="47"/>
  <c r="J30" i="47"/>
  <c r="I30" i="47"/>
  <c r="H30" i="47"/>
  <c r="W29" i="47"/>
  <c r="V29" i="47"/>
  <c r="U29" i="47"/>
  <c r="T29" i="47"/>
  <c r="S29" i="47"/>
  <c r="R29" i="47"/>
  <c r="Q29" i="47"/>
  <c r="P29" i="47"/>
  <c r="O29" i="47"/>
  <c r="N29" i="47"/>
  <c r="M29" i="47"/>
  <c r="L29" i="47"/>
  <c r="K29" i="47"/>
  <c r="J29" i="47"/>
  <c r="I29" i="47"/>
  <c r="W27" i="47"/>
  <c r="V27" i="47"/>
  <c r="U27" i="47"/>
  <c r="T27" i="47"/>
  <c r="S27" i="47"/>
  <c r="R27" i="47"/>
  <c r="Q27" i="47"/>
  <c r="P27" i="47"/>
  <c r="O27" i="47"/>
  <c r="N27" i="47"/>
  <c r="M27" i="47"/>
  <c r="L27" i="47"/>
  <c r="K27" i="47"/>
  <c r="J27" i="47"/>
  <c r="I27" i="47"/>
  <c r="W26" i="47"/>
  <c r="V26" i="47"/>
  <c r="U26" i="47"/>
  <c r="T26" i="47"/>
  <c r="S26" i="47"/>
  <c r="R26" i="47"/>
  <c r="Q26" i="47"/>
  <c r="P26" i="47"/>
  <c r="O26" i="47"/>
  <c r="N26" i="47"/>
  <c r="M26" i="47"/>
  <c r="L26" i="47"/>
  <c r="K26" i="47"/>
  <c r="J26" i="47"/>
  <c r="I26" i="47"/>
  <c r="H26" i="47"/>
  <c r="W25" i="47"/>
  <c r="V25" i="47"/>
  <c r="U25" i="47"/>
  <c r="T25" i="47"/>
  <c r="S25" i="47"/>
  <c r="R25" i="47"/>
  <c r="Q25" i="47"/>
  <c r="P25" i="47"/>
  <c r="O25" i="47"/>
  <c r="N25" i="47"/>
  <c r="M25" i="47"/>
  <c r="L25" i="47"/>
  <c r="K25" i="47"/>
  <c r="J25" i="47"/>
  <c r="I25" i="47"/>
  <c r="H25" i="47"/>
  <c r="W24" i="47"/>
  <c r="V24" i="47"/>
  <c r="U24" i="47"/>
  <c r="T24" i="47"/>
  <c r="S24" i="47"/>
  <c r="R24" i="47"/>
  <c r="Q24" i="47"/>
  <c r="P24" i="47"/>
  <c r="O24" i="47"/>
  <c r="N24" i="47"/>
  <c r="M24" i="47"/>
  <c r="L24" i="47"/>
  <c r="K24" i="47"/>
  <c r="J24" i="47"/>
  <c r="I24" i="47"/>
  <c r="H24" i="47"/>
  <c r="W23" i="47"/>
  <c r="V23" i="47"/>
  <c r="U23" i="47"/>
  <c r="T23" i="47"/>
  <c r="S23" i="47"/>
  <c r="R23" i="47"/>
  <c r="Q23" i="47"/>
  <c r="P23" i="47"/>
  <c r="O23" i="47"/>
  <c r="N23" i="47"/>
  <c r="M23" i="47"/>
  <c r="L23" i="47"/>
  <c r="K23" i="47"/>
  <c r="J23" i="47"/>
  <c r="I23" i="47"/>
  <c r="H23" i="47"/>
  <c r="W22" i="47"/>
  <c r="V22" i="47"/>
  <c r="U22" i="47"/>
  <c r="T22" i="47"/>
  <c r="S22" i="47"/>
  <c r="R22" i="47"/>
  <c r="Q22" i="47"/>
  <c r="P22" i="47"/>
  <c r="O22" i="47"/>
  <c r="N22" i="47"/>
  <c r="M22" i="47"/>
  <c r="L22" i="47"/>
  <c r="K22" i="47"/>
  <c r="J22" i="47"/>
  <c r="I22" i="47"/>
  <c r="H22" i="47"/>
  <c r="W21" i="47"/>
  <c r="V21" i="47"/>
  <c r="U21" i="47"/>
  <c r="T21" i="47"/>
  <c r="S21" i="47"/>
  <c r="R21" i="47"/>
  <c r="Q21" i="47"/>
  <c r="P21" i="47"/>
  <c r="O21" i="47"/>
  <c r="N21" i="47"/>
  <c r="M21" i="47"/>
  <c r="L21" i="47"/>
  <c r="K21" i="47"/>
  <c r="J21" i="47"/>
  <c r="I21" i="47"/>
  <c r="H21" i="47"/>
  <c r="W20" i="47"/>
  <c r="V20" i="47"/>
  <c r="U20" i="47"/>
  <c r="T20" i="47"/>
  <c r="S20" i="47"/>
  <c r="R20" i="47"/>
  <c r="Q20" i="47"/>
  <c r="P20" i="47"/>
  <c r="O20" i="47"/>
  <c r="N20" i="47"/>
  <c r="M20" i="47"/>
  <c r="L20" i="47"/>
  <c r="K20" i="47"/>
  <c r="J20" i="47"/>
  <c r="I20" i="47"/>
  <c r="H20" i="47"/>
  <c r="W19" i="47"/>
  <c r="V19" i="47"/>
  <c r="U19" i="47"/>
  <c r="T19" i="47"/>
  <c r="S19" i="47"/>
  <c r="R19" i="47"/>
  <c r="Q19" i="47"/>
  <c r="P19" i="47"/>
  <c r="O19" i="47"/>
  <c r="N19" i="47"/>
  <c r="M19" i="47"/>
  <c r="L19" i="47"/>
  <c r="K19" i="47"/>
  <c r="J19" i="47"/>
  <c r="I19" i="47"/>
  <c r="H19" i="47"/>
  <c r="W18" i="47"/>
  <c r="V18" i="47"/>
  <c r="U18" i="47"/>
  <c r="T18" i="47"/>
  <c r="S18" i="47"/>
  <c r="R18" i="47"/>
  <c r="Q18" i="47"/>
  <c r="P18" i="47"/>
  <c r="O18" i="47"/>
  <c r="N18" i="47"/>
  <c r="M18" i="47"/>
  <c r="L18" i="47"/>
  <c r="K18" i="47"/>
  <c r="J18" i="47"/>
  <c r="I18" i="47"/>
  <c r="H18" i="47"/>
  <c r="W17" i="47"/>
  <c r="V17" i="47"/>
  <c r="U17" i="47"/>
  <c r="T17" i="47"/>
  <c r="S17" i="47"/>
  <c r="R17" i="47"/>
  <c r="Q17" i="47"/>
  <c r="P17" i="47"/>
  <c r="O17" i="47"/>
  <c r="N17" i="47"/>
  <c r="M17" i="47"/>
  <c r="L17" i="47"/>
  <c r="K17" i="47"/>
  <c r="J17" i="47"/>
  <c r="I17" i="47"/>
  <c r="H17" i="47"/>
  <c r="W16" i="47"/>
  <c r="V16" i="47"/>
  <c r="U16" i="47"/>
  <c r="T16" i="47"/>
  <c r="S16" i="47"/>
  <c r="R16" i="47"/>
  <c r="Q16" i="47"/>
  <c r="P16" i="47"/>
  <c r="O16" i="47"/>
  <c r="N16" i="47"/>
  <c r="M16" i="47"/>
  <c r="L16" i="47"/>
  <c r="K16" i="47"/>
  <c r="J16" i="47"/>
  <c r="I16" i="47"/>
  <c r="H16" i="47"/>
  <c r="W15" i="47"/>
  <c r="V15" i="47"/>
  <c r="U15" i="47"/>
  <c r="T15" i="47"/>
  <c r="S15" i="47"/>
  <c r="R15" i="47"/>
  <c r="Q15" i="47"/>
  <c r="P15" i="47"/>
  <c r="O15" i="47"/>
  <c r="N15" i="47"/>
  <c r="M15" i="47"/>
  <c r="L15" i="47"/>
  <c r="K15" i="47"/>
  <c r="J15" i="47"/>
  <c r="I15" i="47"/>
  <c r="H15" i="47"/>
  <c r="W14" i="47"/>
  <c r="V14" i="47"/>
  <c r="U14" i="47"/>
  <c r="T14" i="47"/>
  <c r="S14" i="47"/>
  <c r="R14" i="47"/>
  <c r="Q14" i="47"/>
  <c r="P14" i="47"/>
  <c r="O14" i="47"/>
  <c r="N14" i="47"/>
  <c r="M14" i="47"/>
  <c r="L14" i="47"/>
  <c r="K14" i="47"/>
  <c r="J14" i="47"/>
  <c r="I14" i="47"/>
  <c r="AM1126" i="79"/>
  <c r="AM1125" i="79"/>
  <c r="AL1125" i="79"/>
  <c r="AK1125" i="79"/>
  <c r="AJ1125" i="79"/>
  <c r="AI1125" i="79"/>
  <c r="AH1125" i="79"/>
  <c r="AG1125" i="79"/>
  <c r="AF1125" i="79"/>
  <c r="AE1125" i="79"/>
  <c r="AD1125" i="79"/>
  <c r="AC1125" i="79"/>
  <c r="AB1125" i="79"/>
  <c r="AA1125" i="79"/>
  <c r="Z1125" i="79"/>
  <c r="Y1125" i="79"/>
  <c r="AM1124" i="79"/>
  <c r="AL1124" i="79"/>
  <c r="AK1124" i="79"/>
  <c r="AJ1124" i="79"/>
  <c r="AI1124" i="79"/>
  <c r="AH1124" i="79"/>
  <c r="AG1124" i="79"/>
  <c r="AF1124" i="79"/>
  <c r="AE1124" i="79"/>
  <c r="AD1124" i="79"/>
  <c r="AC1124" i="79"/>
  <c r="AB1124" i="79"/>
  <c r="AA1124" i="79"/>
  <c r="Z1124" i="79"/>
  <c r="Y1124" i="79"/>
  <c r="AM1123" i="79"/>
  <c r="AL1123" i="79"/>
  <c r="AK1123" i="79"/>
  <c r="AJ1123" i="79"/>
  <c r="AI1123" i="79"/>
  <c r="AH1123" i="79"/>
  <c r="AG1123" i="79"/>
  <c r="AF1123" i="79"/>
  <c r="AE1123" i="79"/>
  <c r="AD1123" i="79"/>
  <c r="AC1123" i="79"/>
  <c r="AB1123" i="79"/>
  <c r="AA1123" i="79"/>
  <c r="Z1123" i="79"/>
  <c r="Y1123" i="79"/>
  <c r="AM1122" i="79"/>
  <c r="AL1122" i="79"/>
  <c r="AK1122" i="79"/>
  <c r="AJ1122" i="79"/>
  <c r="AI1122" i="79"/>
  <c r="AH1122" i="79"/>
  <c r="AG1122" i="79"/>
  <c r="AF1122" i="79"/>
  <c r="AE1122" i="79"/>
  <c r="AD1122" i="79"/>
  <c r="AC1122" i="79"/>
  <c r="AB1122" i="79"/>
  <c r="AA1122" i="79"/>
  <c r="Z1122" i="79"/>
  <c r="Y1122" i="79"/>
  <c r="AM1121" i="79"/>
  <c r="AL1121" i="79"/>
  <c r="AK1121" i="79"/>
  <c r="AJ1121" i="79"/>
  <c r="AI1121" i="79"/>
  <c r="AH1121" i="79"/>
  <c r="AG1121" i="79"/>
  <c r="AF1121" i="79"/>
  <c r="AE1121" i="79"/>
  <c r="AD1121" i="79"/>
  <c r="AC1121" i="79"/>
  <c r="AB1121" i="79"/>
  <c r="AA1121" i="79"/>
  <c r="Z1121" i="79"/>
  <c r="Y1121" i="79"/>
  <c r="AM1120" i="79"/>
  <c r="AL1120" i="79"/>
  <c r="AK1120" i="79"/>
  <c r="AJ1120" i="79"/>
  <c r="AI1120" i="79"/>
  <c r="AH1120" i="79"/>
  <c r="AG1120" i="79"/>
  <c r="AF1120" i="79"/>
  <c r="AE1120" i="79"/>
  <c r="AD1120" i="79"/>
  <c r="AC1120" i="79"/>
  <c r="AB1120" i="79"/>
  <c r="AA1120" i="79"/>
  <c r="Z1120" i="79"/>
  <c r="Y1120" i="79"/>
  <c r="AM1119" i="79"/>
  <c r="AL1119" i="79"/>
  <c r="AK1119" i="79"/>
  <c r="AJ1119" i="79"/>
  <c r="AI1119" i="79"/>
  <c r="AH1119" i="79"/>
  <c r="AG1119" i="79"/>
  <c r="AF1119" i="79"/>
  <c r="AE1119" i="79"/>
  <c r="AD1119" i="79"/>
  <c r="AC1119" i="79"/>
  <c r="AB1119" i="79"/>
  <c r="AA1119" i="79"/>
  <c r="Z1119" i="79"/>
  <c r="Y1119" i="79"/>
  <c r="AM1118" i="79"/>
  <c r="AL1118" i="79"/>
  <c r="AK1118" i="79"/>
  <c r="AJ1118" i="79"/>
  <c r="AI1118" i="79"/>
  <c r="AH1118" i="79"/>
  <c r="AG1118" i="79"/>
  <c r="AF1118" i="79"/>
  <c r="AE1118" i="79"/>
  <c r="AD1118" i="79"/>
  <c r="AC1118" i="79"/>
  <c r="AB1118" i="79"/>
  <c r="AA1118" i="79"/>
  <c r="Z1118" i="79"/>
  <c r="Y1118" i="79"/>
  <c r="AM1117" i="79"/>
  <c r="AL1117" i="79"/>
  <c r="AK1117" i="79"/>
  <c r="AJ1117" i="79"/>
  <c r="AI1117" i="79"/>
  <c r="AH1117" i="79"/>
  <c r="AG1117" i="79"/>
  <c r="AF1117" i="79"/>
  <c r="AE1117" i="79"/>
  <c r="AD1117" i="79"/>
  <c r="AC1117" i="79"/>
  <c r="AB1117" i="79"/>
  <c r="AA1117" i="79"/>
  <c r="Z1117" i="79"/>
  <c r="Y1117" i="79"/>
  <c r="AM1116" i="79"/>
  <c r="AL1116" i="79"/>
  <c r="AK1116" i="79"/>
  <c r="AJ1116" i="79"/>
  <c r="AI1116" i="79"/>
  <c r="AH1116" i="79"/>
  <c r="AG1116" i="79"/>
  <c r="AF1116" i="79"/>
  <c r="AE1116" i="79"/>
  <c r="AD1116" i="79"/>
  <c r="AC1116" i="79"/>
  <c r="AB1116" i="79"/>
  <c r="AA1116" i="79"/>
  <c r="Z1116" i="79"/>
  <c r="Y1116" i="79"/>
  <c r="AM1115" i="79"/>
  <c r="AL1115" i="79"/>
  <c r="AK1115" i="79"/>
  <c r="AJ1115" i="79"/>
  <c r="AI1115" i="79"/>
  <c r="AH1115" i="79"/>
  <c r="AG1115" i="79"/>
  <c r="AF1115" i="79"/>
  <c r="AE1115" i="79"/>
  <c r="AD1115" i="79"/>
  <c r="AC1115" i="79"/>
  <c r="AB1115" i="79"/>
  <c r="AA1115" i="79"/>
  <c r="Z1115" i="79"/>
  <c r="Y1115" i="79"/>
  <c r="AM1114" i="79"/>
  <c r="AL1114" i="79"/>
  <c r="AK1114" i="79"/>
  <c r="AJ1114" i="79"/>
  <c r="AI1114" i="79"/>
  <c r="AH1114" i="79"/>
  <c r="AG1114" i="79"/>
  <c r="AF1114" i="79"/>
  <c r="AE1114" i="79"/>
  <c r="AD1114" i="79"/>
  <c r="AC1114" i="79"/>
  <c r="AB1114" i="79"/>
  <c r="AA1114" i="79"/>
  <c r="Z1114" i="79"/>
  <c r="Y1114" i="79"/>
  <c r="AL1113" i="79"/>
  <c r="AK1113" i="79"/>
  <c r="AJ1113" i="79"/>
  <c r="AI1113" i="79"/>
  <c r="AH1113" i="79"/>
  <c r="AG1113" i="79"/>
  <c r="AF1113" i="79"/>
  <c r="AE1113" i="79"/>
  <c r="AD1113" i="79"/>
  <c r="AC1113" i="79"/>
  <c r="AB1113" i="79"/>
  <c r="AA1113" i="79"/>
  <c r="Z1113" i="79"/>
  <c r="Y1113" i="79"/>
  <c r="AL1111" i="79"/>
  <c r="AK1111" i="79"/>
  <c r="AJ1111" i="79"/>
  <c r="AI1111" i="79"/>
  <c r="AH1111" i="79"/>
  <c r="AG1111" i="79"/>
  <c r="AF1111" i="79"/>
  <c r="AE1111" i="79"/>
  <c r="AD1111" i="79"/>
  <c r="AC1111" i="79"/>
  <c r="AB1111" i="79"/>
  <c r="AA1111" i="79"/>
  <c r="Z1111" i="79"/>
  <c r="Y1111" i="79"/>
  <c r="AL1110" i="79"/>
  <c r="AK1110" i="79"/>
  <c r="AJ1110" i="79"/>
  <c r="AI1110" i="79"/>
  <c r="AH1110" i="79"/>
  <c r="AG1110" i="79"/>
  <c r="AF1110" i="79"/>
  <c r="AE1110" i="79"/>
  <c r="AD1110" i="79"/>
  <c r="AC1110" i="79"/>
  <c r="AB1110" i="79"/>
  <c r="AA1110" i="79"/>
  <c r="Z1110" i="79"/>
  <c r="Y1110" i="79"/>
  <c r="O1110" i="79"/>
  <c r="D1110" i="79"/>
  <c r="AL1108" i="79"/>
  <c r="AK1108" i="79"/>
  <c r="AJ1108" i="79"/>
  <c r="AI1108" i="79"/>
  <c r="AH1108" i="79"/>
  <c r="AG1108" i="79"/>
  <c r="AF1108" i="79"/>
  <c r="AE1108" i="79"/>
  <c r="AD1108" i="79"/>
  <c r="AC1108" i="79"/>
  <c r="AB1108" i="79"/>
  <c r="AA1108" i="79"/>
  <c r="Z1108" i="79"/>
  <c r="Y1108" i="79"/>
  <c r="N1108" i="79"/>
  <c r="AM1107" i="79"/>
  <c r="AL1105" i="79"/>
  <c r="AK1105" i="79"/>
  <c r="AJ1105" i="79"/>
  <c r="AI1105" i="79"/>
  <c r="AH1105" i="79"/>
  <c r="AG1105" i="79"/>
  <c r="AF1105" i="79"/>
  <c r="AE1105" i="79"/>
  <c r="AD1105" i="79"/>
  <c r="AC1105" i="79"/>
  <c r="AB1105" i="79"/>
  <c r="AA1105" i="79"/>
  <c r="Z1105" i="79"/>
  <c r="Y1105" i="79"/>
  <c r="N1105" i="79"/>
  <c r="AM1104" i="79"/>
  <c r="AL1102" i="79"/>
  <c r="AK1102" i="79"/>
  <c r="AJ1102" i="79"/>
  <c r="AI1102" i="79"/>
  <c r="AH1102" i="79"/>
  <c r="AG1102" i="79"/>
  <c r="AF1102" i="79"/>
  <c r="AE1102" i="79"/>
  <c r="AD1102" i="79"/>
  <c r="AC1102" i="79"/>
  <c r="AB1102" i="79"/>
  <c r="AA1102" i="79"/>
  <c r="Z1102" i="79"/>
  <c r="Y1102" i="79"/>
  <c r="N1102" i="79"/>
  <c r="AM1101" i="79"/>
  <c r="AL1099" i="79"/>
  <c r="AK1099" i="79"/>
  <c r="AJ1099" i="79"/>
  <c r="AI1099" i="79"/>
  <c r="AH1099" i="79"/>
  <c r="AG1099" i="79"/>
  <c r="AF1099" i="79"/>
  <c r="AE1099" i="79"/>
  <c r="AD1099" i="79"/>
  <c r="AC1099" i="79"/>
  <c r="AB1099" i="79"/>
  <c r="AA1099" i="79"/>
  <c r="Z1099" i="79"/>
  <c r="Y1099" i="79"/>
  <c r="N1099" i="79"/>
  <c r="AM1098" i="79"/>
  <c r="AL1096" i="79"/>
  <c r="AK1096" i="79"/>
  <c r="AJ1096" i="79"/>
  <c r="AI1096" i="79"/>
  <c r="AH1096" i="79"/>
  <c r="AG1096" i="79"/>
  <c r="AF1096" i="79"/>
  <c r="AE1096" i="79"/>
  <c r="AD1096" i="79"/>
  <c r="AC1096" i="79"/>
  <c r="AB1096" i="79"/>
  <c r="AA1096" i="79"/>
  <c r="Z1096" i="79"/>
  <c r="Y1096" i="79"/>
  <c r="N1096" i="79"/>
  <c r="AM1095" i="79"/>
  <c r="AL1093" i="79"/>
  <c r="AK1093" i="79"/>
  <c r="AJ1093" i="79"/>
  <c r="AI1093" i="79"/>
  <c r="AH1093" i="79"/>
  <c r="AG1093" i="79"/>
  <c r="AF1093" i="79"/>
  <c r="AE1093" i="79"/>
  <c r="AD1093" i="79"/>
  <c r="AC1093" i="79"/>
  <c r="AB1093" i="79"/>
  <c r="AA1093" i="79"/>
  <c r="Z1093" i="79"/>
  <c r="Y1093" i="79"/>
  <c r="N1093" i="79"/>
  <c r="AM1092" i="79"/>
  <c r="AL1090" i="79"/>
  <c r="AK1090" i="79"/>
  <c r="AJ1090" i="79"/>
  <c r="AI1090" i="79"/>
  <c r="AH1090" i="79"/>
  <c r="AG1090" i="79"/>
  <c r="AF1090" i="79"/>
  <c r="AE1090" i="79"/>
  <c r="AD1090" i="79"/>
  <c r="AC1090" i="79"/>
  <c r="AB1090" i="79"/>
  <c r="AA1090" i="79"/>
  <c r="Z1090" i="79"/>
  <c r="Y1090" i="79"/>
  <c r="N1090" i="79"/>
  <c r="AM1089" i="79"/>
  <c r="AL1087" i="79"/>
  <c r="AK1087" i="79"/>
  <c r="AJ1087" i="79"/>
  <c r="AI1087" i="79"/>
  <c r="AH1087" i="79"/>
  <c r="AG1087" i="79"/>
  <c r="AF1087" i="79"/>
  <c r="AE1087" i="79"/>
  <c r="AD1087" i="79"/>
  <c r="AC1087" i="79"/>
  <c r="AB1087" i="79"/>
  <c r="AA1087" i="79"/>
  <c r="Z1087" i="79"/>
  <c r="Y1087" i="79"/>
  <c r="AM1086" i="79"/>
  <c r="AL1084" i="79"/>
  <c r="AK1084" i="79"/>
  <c r="AJ1084" i="79"/>
  <c r="AI1084" i="79"/>
  <c r="AH1084" i="79"/>
  <c r="AG1084" i="79"/>
  <c r="AF1084" i="79"/>
  <c r="AE1084" i="79"/>
  <c r="AD1084" i="79"/>
  <c r="AC1084" i="79"/>
  <c r="AB1084" i="79"/>
  <c r="AA1084" i="79"/>
  <c r="Z1084" i="79"/>
  <c r="Y1084" i="79"/>
  <c r="N1084" i="79"/>
  <c r="AM1083" i="79"/>
  <c r="AL1081" i="79"/>
  <c r="AK1081" i="79"/>
  <c r="AJ1081" i="79"/>
  <c r="AI1081" i="79"/>
  <c r="AH1081" i="79"/>
  <c r="AG1081" i="79"/>
  <c r="AF1081" i="79"/>
  <c r="AE1081" i="79"/>
  <c r="AD1081" i="79"/>
  <c r="AC1081" i="79"/>
  <c r="AB1081" i="79"/>
  <c r="AA1081" i="79"/>
  <c r="Z1081" i="79"/>
  <c r="Y1081" i="79"/>
  <c r="N1081" i="79"/>
  <c r="AM1080" i="79"/>
  <c r="AL1078" i="79"/>
  <c r="AK1078" i="79"/>
  <c r="AJ1078" i="79"/>
  <c r="AI1078" i="79"/>
  <c r="AH1078" i="79"/>
  <c r="AG1078" i="79"/>
  <c r="AF1078" i="79"/>
  <c r="AE1078" i="79"/>
  <c r="AD1078" i="79"/>
  <c r="AC1078" i="79"/>
  <c r="AB1078" i="79"/>
  <c r="AA1078" i="79"/>
  <c r="Z1078" i="79"/>
  <c r="Y1078" i="79"/>
  <c r="N1078" i="79"/>
  <c r="AM1077" i="79"/>
  <c r="AL1075" i="79"/>
  <c r="AK1075" i="79"/>
  <c r="AJ1075" i="79"/>
  <c r="AI1075" i="79"/>
  <c r="AH1075" i="79"/>
  <c r="AG1075" i="79"/>
  <c r="AF1075" i="79"/>
  <c r="AE1075" i="79"/>
  <c r="AD1075" i="79"/>
  <c r="AC1075" i="79"/>
  <c r="AB1075" i="79"/>
  <c r="AA1075" i="79"/>
  <c r="Z1075" i="79"/>
  <c r="Y1075" i="79"/>
  <c r="N1075" i="79"/>
  <c r="AM1074" i="79"/>
  <c r="AL1072" i="79"/>
  <c r="AK1072" i="79"/>
  <c r="AJ1072" i="79"/>
  <c r="AI1072" i="79"/>
  <c r="AH1072" i="79"/>
  <c r="AG1072" i="79"/>
  <c r="AF1072" i="79"/>
  <c r="AE1072" i="79"/>
  <c r="AD1072" i="79"/>
  <c r="AC1072" i="79"/>
  <c r="AB1072" i="79"/>
  <c r="AA1072" i="79"/>
  <c r="Z1072" i="79"/>
  <c r="Y1072" i="79"/>
  <c r="N1072" i="79"/>
  <c r="AM1071" i="79"/>
  <c r="AL1069" i="79"/>
  <c r="AK1069" i="79"/>
  <c r="AJ1069" i="79"/>
  <c r="AI1069" i="79"/>
  <c r="AH1069" i="79"/>
  <c r="AG1069" i="79"/>
  <c r="AF1069" i="79"/>
  <c r="AE1069" i="79"/>
  <c r="AD1069" i="79"/>
  <c r="AC1069" i="79"/>
  <c r="AB1069" i="79"/>
  <c r="AA1069" i="79"/>
  <c r="Z1069" i="79"/>
  <c r="Y1069" i="79"/>
  <c r="N1069" i="79"/>
  <c r="AM1068" i="79"/>
  <c r="AL1065" i="79"/>
  <c r="AK1065" i="79"/>
  <c r="AJ1065" i="79"/>
  <c r="AI1065" i="79"/>
  <c r="AH1065" i="79"/>
  <c r="AG1065" i="79"/>
  <c r="AF1065" i="79"/>
  <c r="AE1065" i="79"/>
  <c r="AD1065" i="79"/>
  <c r="AC1065" i="79"/>
  <c r="AB1065" i="79"/>
  <c r="AA1065" i="79"/>
  <c r="Z1065" i="79"/>
  <c r="Y1065" i="79"/>
  <c r="N1065" i="79"/>
  <c r="AM1064" i="79"/>
  <c r="AL1062" i="79"/>
  <c r="AK1062" i="79"/>
  <c r="AJ1062" i="79"/>
  <c r="AI1062" i="79"/>
  <c r="AH1062" i="79"/>
  <c r="AG1062" i="79"/>
  <c r="AF1062" i="79"/>
  <c r="AE1062" i="79"/>
  <c r="AD1062" i="79"/>
  <c r="AC1062" i="79"/>
  <c r="AB1062" i="79"/>
  <c r="AA1062" i="79"/>
  <c r="Z1062" i="79"/>
  <c r="Y1062" i="79"/>
  <c r="N1062" i="79"/>
  <c r="AM1061" i="79"/>
  <c r="AL1059" i="79"/>
  <c r="AK1059" i="79"/>
  <c r="AJ1059" i="79"/>
  <c r="AI1059" i="79"/>
  <c r="AH1059" i="79"/>
  <c r="AG1059" i="79"/>
  <c r="AF1059" i="79"/>
  <c r="AE1059" i="79"/>
  <c r="AD1059" i="79"/>
  <c r="AC1059" i="79"/>
  <c r="AB1059" i="79"/>
  <c r="AA1059" i="79"/>
  <c r="Z1059" i="79"/>
  <c r="Y1059" i="79"/>
  <c r="N1059" i="79"/>
  <c r="AM1058" i="79"/>
  <c r="AL1055" i="79"/>
  <c r="AK1055" i="79"/>
  <c r="AJ1055" i="79"/>
  <c r="AI1055" i="79"/>
  <c r="AH1055" i="79"/>
  <c r="AG1055" i="79"/>
  <c r="AF1055" i="79"/>
  <c r="AE1055" i="79"/>
  <c r="AD1055" i="79"/>
  <c r="AC1055" i="79"/>
  <c r="AB1055" i="79"/>
  <c r="AA1055" i="79"/>
  <c r="Z1055" i="79"/>
  <c r="Y1055" i="79"/>
  <c r="N1055" i="79"/>
  <c r="AM1054" i="79"/>
  <c r="AL1052" i="79"/>
  <c r="AK1052" i="79"/>
  <c r="AJ1052" i="79"/>
  <c r="AI1052" i="79"/>
  <c r="AH1052" i="79"/>
  <c r="AG1052" i="79"/>
  <c r="AF1052" i="79"/>
  <c r="AE1052" i="79"/>
  <c r="AD1052" i="79"/>
  <c r="AC1052" i="79"/>
  <c r="AB1052" i="79"/>
  <c r="AA1052" i="79"/>
  <c r="Z1052" i="79"/>
  <c r="Y1052" i="79"/>
  <c r="N1052" i="79"/>
  <c r="AM1051" i="79"/>
  <c r="AL1049" i="79"/>
  <c r="AK1049" i="79"/>
  <c r="AJ1049" i="79"/>
  <c r="AI1049" i="79"/>
  <c r="AH1049" i="79"/>
  <c r="AG1049" i="79"/>
  <c r="AF1049" i="79"/>
  <c r="AE1049" i="79"/>
  <c r="AD1049" i="79"/>
  <c r="AC1049" i="79"/>
  <c r="AB1049" i="79"/>
  <c r="AA1049" i="79"/>
  <c r="Z1049" i="79"/>
  <c r="Y1049" i="79"/>
  <c r="N1049" i="79"/>
  <c r="AM1048" i="79"/>
  <c r="AL1046" i="79"/>
  <c r="AK1046" i="79"/>
  <c r="AJ1046" i="79"/>
  <c r="AI1046" i="79"/>
  <c r="AH1046" i="79"/>
  <c r="AG1046" i="79"/>
  <c r="AF1046" i="79"/>
  <c r="AE1046" i="79"/>
  <c r="AD1046" i="79"/>
  <c r="AC1046" i="79"/>
  <c r="AB1046" i="79"/>
  <c r="AA1046" i="79"/>
  <c r="Z1046" i="79"/>
  <c r="Y1046" i="79"/>
  <c r="N1046" i="79"/>
  <c r="AM1045" i="79"/>
  <c r="AL1043" i="79"/>
  <c r="AK1043" i="79"/>
  <c r="AJ1043" i="79"/>
  <c r="AI1043" i="79"/>
  <c r="AH1043" i="79"/>
  <c r="AG1043" i="79"/>
  <c r="AF1043" i="79"/>
  <c r="AE1043" i="79"/>
  <c r="AD1043" i="79"/>
  <c r="AC1043" i="79"/>
  <c r="AB1043" i="79"/>
  <c r="AA1043" i="79"/>
  <c r="Z1043" i="79"/>
  <c r="Y1043" i="79"/>
  <c r="N1043" i="79"/>
  <c r="AM1042" i="79"/>
  <c r="AL1040" i="79"/>
  <c r="AK1040" i="79"/>
  <c r="AJ1040" i="79"/>
  <c r="AI1040" i="79"/>
  <c r="AH1040" i="79"/>
  <c r="AG1040" i="79"/>
  <c r="AF1040" i="79"/>
  <c r="AE1040" i="79"/>
  <c r="AD1040" i="79"/>
  <c r="AC1040" i="79"/>
  <c r="AB1040" i="79"/>
  <c r="AA1040" i="79"/>
  <c r="Z1040" i="79"/>
  <c r="Y1040" i="79"/>
  <c r="N1040" i="79"/>
  <c r="AM1039" i="79"/>
  <c r="AL1037" i="79"/>
  <c r="AK1037" i="79"/>
  <c r="AJ1037" i="79"/>
  <c r="AI1037" i="79"/>
  <c r="AH1037" i="79"/>
  <c r="AG1037" i="79"/>
  <c r="AF1037" i="79"/>
  <c r="AE1037" i="79"/>
  <c r="AD1037" i="79"/>
  <c r="AC1037" i="79"/>
  <c r="AB1037" i="79"/>
  <c r="AA1037" i="79"/>
  <c r="Z1037" i="79"/>
  <c r="Y1037" i="79"/>
  <c r="N1037" i="79"/>
  <c r="AM1036" i="79"/>
  <c r="AL1034" i="79"/>
  <c r="AK1034" i="79"/>
  <c r="AJ1034" i="79"/>
  <c r="AI1034" i="79"/>
  <c r="AH1034" i="79"/>
  <c r="AG1034" i="79"/>
  <c r="AF1034" i="79"/>
  <c r="AE1034" i="79"/>
  <c r="AD1034" i="79"/>
  <c r="AC1034" i="79"/>
  <c r="AB1034" i="79"/>
  <c r="AA1034" i="79"/>
  <c r="Z1034" i="79"/>
  <c r="Y1034" i="79"/>
  <c r="N1034" i="79"/>
  <c r="AM1033" i="79"/>
  <c r="AL1030" i="79"/>
  <c r="AK1030" i="79"/>
  <c r="AJ1030" i="79"/>
  <c r="AI1030" i="79"/>
  <c r="AH1030" i="79"/>
  <c r="AG1030" i="79"/>
  <c r="AF1030" i="79"/>
  <c r="AE1030" i="79"/>
  <c r="AD1030" i="79"/>
  <c r="AC1030" i="79"/>
  <c r="AB1030" i="79"/>
  <c r="AA1030" i="79"/>
  <c r="Z1030" i="79"/>
  <c r="Y1030" i="79"/>
  <c r="AM1029" i="79"/>
  <c r="AL1027" i="79"/>
  <c r="AK1027" i="79"/>
  <c r="AJ1027" i="79"/>
  <c r="AI1027" i="79"/>
  <c r="AH1027" i="79"/>
  <c r="AG1027" i="79"/>
  <c r="AF1027" i="79"/>
  <c r="AE1027" i="79"/>
  <c r="AD1027" i="79"/>
  <c r="AC1027" i="79"/>
  <c r="AB1027" i="79"/>
  <c r="AA1027" i="79"/>
  <c r="Z1027" i="79"/>
  <c r="Y1027" i="79"/>
  <c r="AM1026" i="79"/>
  <c r="AL1024" i="79"/>
  <c r="AK1024" i="79"/>
  <c r="AJ1024" i="79"/>
  <c r="AI1024" i="79"/>
  <c r="AH1024" i="79"/>
  <c r="AG1024" i="79"/>
  <c r="AF1024" i="79"/>
  <c r="AE1024" i="79"/>
  <c r="AD1024" i="79"/>
  <c r="AC1024" i="79"/>
  <c r="AB1024" i="79"/>
  <c r="AA1024" i="79"/>
  <c r="Z1024" i="79"/>
  <c r="Y1024" i="79"/>
  <c r="AM1023" i="79"/>
  <c r="AL1021" i="79"/>
  <c r="AK1021" i="79"/>
  <c r="AJ1021" i="79"/>
  <c r="AI1021" i="79"/>
  <c r="AH1021" i="79"/>
  <c r="AG1021" i="79"/>
  <c r="AF1021" i="79"/>
  <c r="AE1021" i="79"/>
  <c r="AD1021" i="79"/>
  <c r="AC1021" i="79"/>
  <c r="AB1021" i="79"/>
  <c r="AA1021" i="79"/>
  <c r="Z1021" i="79"/>
  <c r="Y1021" i="79"/>
  <c r="AM1020" i="79"/>
  <c r="AL1016" i="79"/>
  <c r="AK1016" i="79"/>
  <c r="AJ1016" i="79"/>
  <c r="AI1016" i="79"/>
  <c r="AH1016" i="79"/>
  <c r="AG1016" i="79"/>
  <c r="AF1016" i="79"/>
  <c r="AE1016" i="79"/>
  <c r="AD1016" i="79"/>
  <c r="AC1016" i="79"/>
  <c r="AB1016" i="79"/>
  <c r="AA1016" i="79"/>
  <c r="Z1016" i="79"/>
  <c r="Y1016" i="79"/>
  <c r="N1016" i="79"/>
  <c r="AM1015" i="79"/>
  <c r="AL1013" i="79"/>
  <c r="AK1013" i="79"/>
  <c r="AJ1013" i="79"/>
  <c r="AI1013" i="79"/>
  <c r="AH1013" i="79"/>
  <c r="AG1013" i="79"/>
  <c r="AF1013" i="79"/>
  <c r="AE1013" i="79"/>
  <c r="AD1013" i="79"/>
  <c r="AC1013" i="79"/>
  <c r="AB1013" i="79"/>
  <c r="AA1013" i="79"/>
  <c r="Z1013" i="79"/>
  <c r="Y1013" i="79"/>
  <c r="N1013" i="79"/>
  <c r="AM1012" i="79"/>
  <c r="AL1010" i="79"/>
  <c r="AK1010" i="79"/>
  <c r="AJ1010" i="79"/>
  <c r="AI1010" i="79"/>
  <c r="AH1010" i="79"/>
  <c r="AG1010" i="79"/>
  <c r="AF1010" i="79"/>
  <c r="AE1010" i="79"/>
  <c r="AD1010" i="79"/>
  <c r="AC1010" i="79"/>
  <c r="AB1010" i="79"/>
  <c r="AA1010" i="79"/>
  <c r="Z1010" i="79"/>
  <c r="Y1010" i="79"/>
  <c r="N1010" i="79"/>
  <c r="AM1009" i="79"/>
  <c r="AL1007" i="79"/>
  <c r="AK1007" i="79"/>
  <c r="AJ1007" i="79"/>
  <c r="AI1007" i="79"/>
  <c r="AH1007" i="79"/>
  <c r="AG1007" i="79"/>
  <c r="AF1007" i="79"/>
  <c r="AE1007" i="79"/>
  <c r="AD1007" i="79"/>
  <c r="AC1007" i="79"/>
  <c r="AB1007" i="79"/>
  <c r="AA1007" i="79"/>
  <c r="Z1007" i="79"/>
  <c r="Y1007" i="79"/>
  <c r="N1007" i="79"/>
  <c r="AM1006" i="79"/>
  <c r="AL1003" i="79"/>
  <c r="AK1003" i="79"/>
  <c r="AJ1003" i="79"/>
  <c r="AI1003" i="79"/>
  <c r="AH1003" i="79"/>
  <c r="AG1003" i="79"/>
  <c r="AF1003" i="79"/>
  <c r="AE1003" i="79"/>
  <c r="AD1003" i="79"/>
  <c r="AC1003" i="79"/>
  <c r="AB1003" i="79"/>
  <c r="AA1003" i="79"/>
  <c r="Z1003" i="79"/>
  <c r="Y1003" i="79"/>
  <c r="N1003" i="79"/>
  <c r="AM1002" i="79"/>
  <c r="AL1000" i="79"/>
  <c r="AK1000" i="79"/>
  <c r="AJ1000" i="79"/>
  <c r="AI1000" i="79"/>
  <c r="AH1000" i="79"/>
  <c r="AG1000" i="79"/>
  <c r="AF1000" i="79"/>
  <c r="AE1000" i="79"/>
  <c r="AD1000" i="79"/>
  <c r="AC1000" i="79"/>
  <c r="AB1000" i="79"/>
  <c r="AA1000" i="79"/>
  <c r="Z1000" i="79"/>
  <c r="Y1000" i="79"/>
  <c r="N1000" i="79"/>
  <c r="AM999" i="79"/>
  <c r="AL996" i="79"/>
  <c r="AK996" i="79"/>
  <c r="AJ996" i="79"/>
  <c r="AI996" i="79"/>
  <c r="AH996" i="79"/>
  <c r="AG996" i="79"/>
  <c r="AF996" i="79"/>
  <c r="AE996" i="79"/>
  <c r="AD996" i="79"/>
  <c r="AC996" i="79"/>
  <c r="AB996" i="79"/>
  <c r="AA996" i="79"/>
  <c r="Z996" i="79"/>
  <c r="Y996" i="79"/>
  <c r="N996" i="79"/>
  <c r="AM995" i="79"/>
  <c r="AL992" i="79"/>
  <c r="AK992" i="79"/>
  <c r="AJ992" i="79"/>
  <c r="AI992" i="79"/>
  <c r="AH992" i="79"/>
  <c r="AG992" i="79"/>
  <c r="AF992" i="79"/>
  <c r="AE992" i="79"/>
  <c r="AD992" i="79"/>
  <c r="AC992" i="79"/>
  <c r="AB992" i="79"/>
  <c r="AA992" i="79"/>
  <c r="Z992" i="79"/>
  <c r="Y992" i="79"/>
  <c r="N992" i="79"/>
  <c r="AM991" i="79"/>
  <c r="AL989" i="79"/>
  <c r="AK989" i="79"/>
  <c r="AJ989" i="79"/>
  <c r="AI989" i="79"/>
  <c r="AH989" i="79"/>
  <c r="AG989" i="79"/>
  <c r="AF989" i="79"/>
  <c r="AE989" i="79"/>
  <c r="AD989" i="79"/>
  <c r="AC989" i="79"/>
  <c r="AB989" i="79"/>
  <c r="AA989" i="79"/>
  <c r="Z989" i="79"/>
  <c r="Y989" i="79"/>
  <c r="N989" i="79"/>
  <c r="AM988" i="79"/>
  <c r="AL986" i="79"/>
  <c r="AK986" i="79"/>
  <c r="AJ986" i="79"/>
  <c r="AI986" i="79"/>
  <c r="AH986" i="79"/>
  <c r="AG986" i="79"/>
  <c r="AF986" i="79"/>
  <c r="AE986" i="79"/>
  <c r="AD986" i="79"/>
  <c r="AC986" i="79"/>
  <c r="AB986" i="79"/>
  <c r="AA986" i="79"/>
  <c r="Z986" i="79"/>
  <c r="Y986" i="79"/>
  <c r="N986" i="79"/>
  <c r="AM985" i="79"/>
  <c r="AL982" i="79"/>
  <c r="AK982" i="79"/>
  <c r="AJ982" i="79"/>
  <c r="AI982" i="79"/>
  <c r="AH982" i="79"/>
  <c r="AG982" i="79"/>
  <c r="AF982" i="79"/>
  <c r="AE982" i="79"/>
  <c r="AD982" i="79"/>
  <c r="AC982" i="79"/>
  <c r="AB982" i="79"/>
  <c r="AA982" i="79"/>
  <c r="Z982" i="79"/>
  <c r="Y982" i="79"/>
  <c r="N982" i="79"/>
  <c r="AM981" i="79"/>
  <c r="AL979" i="79"/>
  <c r="AK979" i="79"/>
  <c r="AJ979" i="79"/>
  <c r="AI979" i="79"/>
  <c r="AH979" i="79"/>
  <c r="AG979" i="79"/>
  <c r="AF979" i="79"/>
  <c r="AE979" i="79"/>
  <c r="AD979" i="79"/>
  <c r="AC979" i="79"/>
  <c r="AB979" i="79"/>
  <c r="AA979" i="79"/>
  <c r="Z979" i="79"/>
  <c r="Y979" i="79"/>
  <c r="N979" i="79"/>
  <c r="AM978" i="79"/>
  <c r="AL976" i="79"/>
  <c r="AK976" i="79"/>
  <c r="AJ976" i="79"/>
  <c r="AI976" i="79"/>
  <c r="AH976" i="79"/>
  <c r="AG976" i="79"/>
  <c r="AF976" i="79"/>
  <c r="AE976" i="79"/>
  <c r="AD976" i="79"/>
  <c r="AC976" i="79"/>
  <c r="AB976" i="79"/>
  <c r="AA976" i="79"/>
  <c r="Z976" i="79"/>
  <c r="Y976" i="79"/>
  <c r="N976" i="79"/>
  <c r="AM975" i="79"/>
  <c r="AL973" i="79"/>
  <c r="AK973" i="79"/>
  <c r="AJ973" i="79"/>
  <c r="AI973" i="79"/>
  <c r="AH973" i="79"/>
  <c r="AG973" i="79"/>
  <c r="AF973" i="79"/>
  <c r="AE973" i="79"/>
  <c r="AD973" i="79"/>
  <c r="AC973" i="79"/>
  <c r="AB973" i="79"/>
  <c r="AA973" i="79"/>
  <c r="Z973" i="79"/>
  <c r="Y973" i="79"/>
  <c r="N973" i="79"/>
  <c r="AM972" i="79"/>
  <c r="AL970" i="79"/>
  <c r="AK970" i="79"/>
  <c r="AJ970" i="79"/>
  <c r="AI970" i="79"/>
  <c r="AH970" i="79"/>
  <c r="AG970" i="79"/>
  <c r="AF970" i="79"/>
  <c r="AE970" i="79"/>
  <c r="AD970" i="79"/>
  <c r="AC970" i="79"/>
  <c r="AB970" i="79"/>
  <c r="AA970" i="79"/>
  <c r="Z970" i="79"/>
  <c r="Y970" i="79"/>
  <c r="N970" i="79"/>
  <c r="AM969" i="79"/>
  <c r="AL966" i="79"/>
  <c r="AK966" i="79"/>
  <c r="AJ966" i="79"/>
  <c r="AI966" i="79"/>
  <c r="AH966" i="79"/>
  <c r="AG966" i="79"/>
  <c r="AF966" i="79"/>
  <c r="AE966" i="79"/>
  <c r="AD966" i="79"/>
  <c r="AC966" i="79"/>
  <c r="AB966" i="79"/>
  <c r="AA966" i="79"/>
  <c r="Z966" i="79"/>
  <c r="Y966" i="79"/>
  <c r="AM965" i="79"/>
  <c r="AL963" i="79"/>
  <c r="AK963" i="79"/>
  <c r="AJ963" i="79"/>
  <c r="AI963" i="79"/>
  <c r="AH963" i="79"/>
  <c r="AG963" i="79"/>
  <c r="AF963" i="79"/>
  <c r="AE963" i="79"/>
  <c r="AD963" i="79"/>
  <c r="AC963" i="79"/>
  <c r="AB963" i="79"/>
  <c r="AA963" i="79"/>
  <c r="Z963" i="79"/>
  <c r="Y963" i="79"/>
  <c r="AM962" i="79"/>
  <c r="AL960" i="79"/>
  <c r="AK960" i="79"/>
  <c r="AJ960" i="79"/>
  <c r="AI960" i="79"/>
  <c r="AH960" i="79"/>
  <c r="AG960" i="79"/>
  <c r="AF960" i="79"/>
  <c r="AE960" i="79"/>
  <c r="AD960" i="79"/>
  <c r="AC960" i="79"/>
  <c r="AB960" i="79"/>
  <c r="AA960" i="79"/>
  <c r="Z960" i="79"/>
  <c r="Y960" i="79"/>
  <c r="AM959" i="79"/>
  <c r="AL957" i="79"/>
  <c r="AK957" i="79"/>
  <c r="AJ957" i="79"/>
  <c r="AI957" i="79"/>
  <c r="AH957" i="79"/>
  <c r="AG957" i="79"/>
  <c r="AF957" i="79"/>
  <c r="AE957" i="79"/>
  <c r="AD957" i="79"/>
  <c r="AC957" i="79"/>
  <c r="AB957" i="79"/>
  <c r="AA957" i="79"/>
  <c r="Z957" i="79"/>
  <c r="Y957" i="79"/>
  <c r="AM956" i="79"/>
  <c r="AL954" i="79"/>
  <c r="AK954" i="79"/>
  <c r="AJ954" i="79"/>
  <c r="AI954" i="79"/>
  <c r="AH954" i="79"/>
  <c r="AG954" i="79"/>
  <c r="AF954" i="79"/>
  <c r="AE954" i="79"/>
  <c r="AD954" i="79"/>
  <c r="AC954" i="79"/>
  <c r="AB954" i="79"/>
  <c r="AA954" i="79"/>
  <c r="Z954" i="79"/>
  <c r="Y954" i="79"/>
  <c r="AM953" i="79"/>
  <c r="AL951" i="79"/>
  <c r="AK951" i="79"/>
  <c r="AJ951" i="79"/>
  <c r="AI951" i="79"/>
  <c r="AH951" i="79"/>
  <c r="AG951" i="79"/>
  <c r="AF951" i="79"/>
  <c r="AE951" i="79"/>
  <c r="AD951" i="79"/>
  <c r="AC951" i="79"/>
  <c r="AB951" i="79"/>
  <c r="AA951" i="79"/>
  <c r="Z951" i="79"/>
  <c r="Y951" i="79"/>
  <c r="AM950" i="79"/>
  <c r="AL950" i="79"/>
  <c r="AK950" i="79"/>
  <c r="AJ950" i="79"/>
  <c r="AI950" i="79"/>
  <c r="AH950" i="79"/>
  <c r="AG950" i="79"/>
  <c r="AF950" i="79"/>
  <c r="AE950" i="79"/>
  <c r="AD950" i="79"/>
  <c r="AC950" i="79"/>
  <c r="AB950" i="79"/>
  <c r="AA950" i="79"/>
  <c r="Z950" i="79"/>
  <c r="Y950" i="79"/>
  <c r="AL944" i="79"/>
  <c r="AK944" i="79"/>
  <c r="AJ944" i="79"/>
  <c r="AI944" i="79"/>
  <c r="AH944" i="79"/>
  <c r="AG944" i="79"/>
  <c r="AF944" i="79"/>
  <c r="AE944" i="79"/>
  <c r="AD944" i="79"/>
  <c r="AC944" i="79"/>
  <c r="AB944" i="79"/>
  <c r="AA944" i="79"/>
  <c r="Z944" i="79"/>
  <c r="Y944" i="79"/>
  <c r="AM942" i="79"/>
  <c r="AM941" i="79"/>
  <c r="AL941" i="79"/>
  <c r="AK941" i="79"/>
  <c r="AJ941" i="79"/>
  <c r="AI941" i="79"/>
  <c r="AH941" i="79"/>
  <c r="AG941" i="79"/>
  <c r="AF941" i="79"/>
  <c r="AE941" i="79"/>
  <c r="AD941" i="79"/>
  <c r="AC941" i="79"/>
  <c r="AB941" i="79"/>
  <c r="AA941" i="79"/>
  <c r="Z941" i="79"/>
  <c r="Y941" i="79"/>
  <c r="AM940" i="79"/>
  <c r="AL940" i="79"/>
  <c r="AK940" i="79"/>
  <c r="AJ940" i="79"/>
  <c r="AI940" i="79"/>
  <c r="AH940" i="79"/>
  <c r="AG940" i="79"/>
  <c r="AF940" i="79"/>
  <c r="AE940" i="79"/>
  <c r="AD940" i="79"/>
  <c r="AC940" i="79"/>
  <c r="AB940" i="79"/>
  <c r="AA940" i="79"/>
  <c r="Z940" i="79"/>
  <c r="Y940" i="79"/>
  <c r="AM939" i="79"/>
  <c r="AL939" i="79"/>
  <c r="AK939" i="79"/>
  <c r="AJ939" i="79"/>
  <c r="AI939" i="79"/>
  <c r="AH939" i="79"/>
  <c r="AG939" i="79"/>
  <c r="AF939" i="79"/>
  <c r="AE939" i="79"/>
  <c r="AD939" i="79"/>
  <c r="AC939" i="79"/>
  <c r="AB939" i="79"/>
  <c r="AA939" i="79"/>
  <c r="Z939" i="79"/>
  <c r="Y939" i="79"/>
  <c r="AM938" i="79"/>
  <c r="AL938" i="79"/>
  <c r="AK938" i="79"/>
  <c r="AJ938" i="79"/>
  <c r="AI938" i="79"/>
  <c r="AH938" i="79"/>
  <c r="AG938" i="79"/>
  <c r="AF938" i="79"/>
  <c r="AE938" i="79"/>
  <c r="AD938" i="79"/>
  <c r="AC938" i="79"/>
  <c r="AB938" i="79"/>
  <c r="AA938" i="79"/>
  <c r="Z938" i="79"/>
  <c r="Y938" i="79"/>
  <c r="AM937" i="79"/>
  <c r="AL937" i="79"/>
  <c r="AK937" i="79"/>
  <c r="AJ937" i="79"/>
  <c r="AI937" i="79"/>
  <c r="AH937" i="79"/>
  <c r="AG937" i="79"/>
  <c r="AF937" i="79"/>
  <c r="AE937" i="79"/>
  <c r="AD937" i="79"/>
  <c r="AC937" i="79"/>
  <c r="AB937" i="79"/>
  <c r="AA937" i="79"/>
  <c r="Z937" i="79"/>
  <c r="Y937" i="79"/>
  <c r="AM936" i="79"/>
  <c r="AL936" i="79"/>
  <c r="AK936" i="79"/>
  <c r="AJ936" i="79"/>
  <c r="AI936" i="79"/>
  <c r="AH936" i="79"/>
  <c r="AG936" i="79"/>
  <c r="AF936" i="79"/>
  <c r="AE936" i="79"/>
  <c r="AD936" i="79"/>
  <c r="AC936" i="79"/>
  <c r="AB936" i="79"/>
  <c r="AA936" i="79"/>
  <c r="Z936" i="79"/>
  <c r="Y936" i="79"/>
  <c r="AM935" i="79"/>
  <c r="AL935" i="79"/>
  <c r="AK935" i="79"/>
  <c r="AJ935" i="79"/>
  <c r="AI935" i="79"/>
  <c r="AH935" i="79"/>
  <c r="AG935" i="79"/>
  <c r="AF935" i="79"/>
  <c r="AE935" i="79"/>
  <c r="AD935" i="79"/>
  <c r="AC935" i="79"/>
  <c r="AB935" i="79"/>
  <c r="AA935" i="79"/>
  <c r="Z935" i="79"/>
  <c r="Y935" i="79"/>
  <c r="AM934" i="79"/>
  <c r="AL934" i="79"/>
  <c r="AK934" i="79"/>
  <c r="AJ934" i="79"/>
  <c r="AI934" i="79"/>
  <c r="AH934" i="79"/>
  <c r="AG934" i="79"/>
  <c r="AF934" i="79"/>
  <c r="AE934" i="79"/>
  <c r="AD934" i="79"/>
  <c r="AC934" i="79"/>
  <c r="AB934" i="79"/>
  <c r="AA934" i="79"/>
  <c r="Z934" i="79"/>
  <c r="Y934" i="79"/>
  <c r="AM933" i="79"/>
  <c r="AL933" i="79"/>
  <c r="AK933" i="79"/>
  <c r="AJ933" i="79"/>
  <c r="AI933" i="79"/>
  <c r="AH933" i="79"/>
  <c r="AG933" i="79"/>
  <c r="AF933" i="79"/>
  <c r="AE933" i="79"/>
  <c r="AD933" i="79"/>
  <c r="AC933" i="79"/>
  <c r="AB933" i="79"/>
  <c r="AA933" i="79"/>
  <c r="Z933" i="79"/>
  <c r="Y933" i="79"/>
  <c r="AM932" i="79"/>
  <c r="AL932" i="79"/>
  <c r="AK932" i="79"/>
  <c r="AJ932" i="79"/>
  <c r="AI932" i="79"/>
  <c r="AH932" i="79"/>
  <c r="AG932" i="79"/>
  <c r="AF932" i="79"/>
  <c r="AE932" i="79"/>
  <c r="AD932" i="79"/>
  <c r="AC932" i="79"/>
  <c r="AB932" i="79"/>
  <c r="AA932" i="79"/>
  <c r="Z932" i="79"/>
  <c r="Y932" i="79"/>
  <c r="AM931" i="79"/>
  <c r="AL931" i="79"/>
  <c r="AK931" i="79"/>
  <c r="AJ931" i="79"/>
  <c r="AI931" i="79"/>
  <c r="AH931" i="79"/>
  <c r="AG931" i="79"/>
  <c r="AF931" i="79"/>
  <c r="AE931" i="79"/>
  <c r="AD931" i="79"/>
  <c r="AC931" i="79"/>
  <c r="AB931" i="79"/>
  <c r="AA931" i="79"/>
  <c r="Z931" i="79"/>
  <c r="Y931" i="79"/>
  <c r="AL930" i="79"/>
  <c r="AK930" i="79"/>
  <c r="AJ930" i="79"/>
  <c r="AI930" i="79"/>
  <c r="AH930" i="79"/>
  <c r="AG930" i="79"/>
  <c r="AF930" i="79"/>
  <c r="AE930" i="79"/>
  <c r="AD930" i="79"/>
  <c r="AC930" i="79"/>
  <c r="AB930" i="79"/>
  <c r="AA930" i="79"/>
  <c r="Z930" i="79"/>
  <c r="Y930" i="79"/>
  <c r="AL928" i="79"/>
  <c r="AK928" i="79"/>
  <c r="AJ928" i="79"/>
  <c r="AI928" i="79"/>
  <c r="AH928" i="79"/>
  <c r="AG928" i="79"/>
  <c r="AF928" i="79"/>
  <c r="AE928" i="79"/>
  <c r="AD928" i="79"/>
  <c r="AC928" i="79"/>
  <c r="AB928" i="79"/>
  <c r="AA928" i="79"/>
  <c r="Z928" i="79"/>
  <c r="Y928" i="79"/>
  <c r="AL927" i="79"/>
  <c r="AK927" i="79"/>
  <c r="AJ927" i="79"/>
  <c r="AI927" i="79"/>
  <c r="AH927" i="79"/>
  <c r="AG927" i="79"/>
  <c r="AF927" i="79"/>
  <c r="AE927" i="79"/>
  <c r="AD927" i="79"/>
  <c r="AC927" i="79"/>
  <c r="AB927" i="79"/>
  <c r="AA927" i="79"/>
  <c r="Z927" i="79"/>
  <c r="Y927" i="79"/>
  <c r="O927" i="79"/>
  <c r="D927" i="79"/>
  <c r="AL925" i="79"/>
  <c r="AK925" i="79"/>
  <c r="AJ925" i="79"/>
  <c r="AI925" i="79"/>
  <c r="AH925" i="79"/>
  <c r="AG925" i="79"/>
  <c r="AF925" i="79"/>
  <c r="AE925" i="79"/>
  <c r="AD925" i="79"/>
  <c r="AC925" i="79"/>
  <c r="AB925" i="79"/>
  <c r="AA925" i="79"/>
  <c r="Z925" i="79"/>
  <c r="Y925" i="79"/>
  <c r="N925" i="79"/>
  <c r="AM924" i="79"/>
  <c r="AL922" i="79"/>
  <c r="AK922" i="79"/>
  <c r="AJ922" i="79"/>
  <c r="AI922" i="79"/>
  <c r="AH922" i="79"/>
  <c r="AG922" i="79"/>
  <c r="AF922" i="79"/>
  <c r="AE922" i="79"/>
  <c r="AD922" i="79"/>
  <c r="AC922" i="79"/>
  <c r="AB922" i="79"/>
  <c r="AA922" i="79"/>
  <c r="Z922" i="79"/>
  <c r="Y922" i="79"/>
  <c r="N922" i="79"/>
  <c r="AM921" i="79"/>
  <c r="AL919" i="79"/>
  <c r="AK919" i="79"/>
  <c r="AJ919" i="79"/>
  <c r="AI919" i="79"/>
  <c r="AH919" i="79"/>
  <c r="AG919" i="79"/>
  <c r="AF919" i="79"/>
  <c r="AE919" i="79"/>
  <c r="AD919" i="79"/>
  <c r="AC919" i="79"/>
  <c r="AB919" i="79"/>
  <c r="AA919" i="79"/>
  <c r="Z919" i="79"/>
  <c r="Y919" i="79"/>
  <c r="N919" i="79"/>
  <c r="AM918" i="79"/>
  <c r="AL916" i="79"/>
  <c r="AK916" i="79"/>
  <c r="AJ916" i="79"/>
  <c r="AI916" i="79"/>
  <c r="AH916" i="79"/>
  <c r="AG916" i="79"/>
  <c r="AF916" i="79"/>
  <c r="AE916" i="79"/>
  <c r="AD916" i="79"/>
  <c r="AC916" i="79"/>
  <c r="AB916" i="79"/>
  <c r="AA916" i="79"/>
  <c r="Z916" i="79"/>
  <c r="Y916" i="79"/>
  <c r="N916" i="79"/>
  <c r="AM915" i="79"/>
  <c r="AL913" i="79"/>
  <c r="AK913" i="79"/>
  <c r="AJ913" i="79"/>
  <c r="AI913" i="79"/>
  <c r="AH913" i="79"/>
  <c r="AG913" i="79"/>
  <c r="AF913" i="79"/>
  <c r="AE913" i="79"/>
  <c r="AD913" i="79"/>
  <c r="AC913" i="79"/>
  <c r="AB913" i="79"/>
  <c r="AA913" i="79"/>
  <c r="Z913" i="79"/>
  <c r="Y913" i="79"/>
  <c r="N913" i="79"/>
  <c r="AM912" i="79"/>
  <c r="AL910" i="79"/>
  <c r="AK910" i="79"/>
  <c r="AJ910" i="79"/>
  <c r="AI910" i="79"/>
  <c r="AH910" i="79"/>
  <c r="AG910" i="79"/>
  <c r="AF910" i="79"/>
  <c r="AE910" i="79"/>
  <c r="AD910" i="79"/>
  <c r="AC910" i="79"/>
  <c r="AB910" i="79"/>
  <c r="AA910" i="79"/>
  <c r="Z910" i="79"/>
  <c r="Y910" i="79"/>
  <c r="N910" i="79"/>
  <c r="AM909" i="79"/>
  <c r="AL907" i="79"/>
  <c r="AK907" i="79"/>
  <c r="AJ907" i="79"/>
  <c r="AI907" i="79"/>
  <c r="AH907" i="79"/>
  <c r="AG907" i="79"/>
  <c r="AF907" i="79"/>
  <c r="AE907" i="79"/>
  <c r="AD907" i="79"/>
  <c r="AC907" i="79"/>
  <c r="AB907" i="79"/>
  <c r="AA907" i="79"/>
  <c r="Z907" i="79"/>
  <c r="Y907" i="79"/>
  <c r="N907" i="79"/>
  <c r="AM906" i="79"/>
  <c r="AL904" i="79"/>
  <c r="AK904" i="79"/>
  <c r="AJ904" i="79"/>
  <c r="AI904" i="79"/>
  <c r="AH904" i="79"/>
  <c r="AG904" i="79"/>
  <c r="AF904" i="79"/>
  <c r="AE904" i="79"/>
  <c r="AD904" i="79"/>
  <c r="AC904" i="79"/>
  <c r="AB904" i="79"/>
  <c r="AA904" i="79"/>
  <c r="Z904" i="79"/>
  <c r="Y904" i="79"/>
  <c r="AM903" i="79"/>
  <c r="AL901" i="79"/>
  <c r="AK901" i="79"/>
  <c r="AJ901" i="79"/>
  <c r="AI901" i="79"/>
  <c r="AH901" i="79"/>
  <c r="AG901" i="79"/>
  <c r="AF901" i="79"/>
  <c r="AE901" i="79"/>
  <c r="AD901" i="79"/>
  <c r="AC901" i="79"/>
  <c r="AB901" i="79"/>
  <c r="AA901" i="79"/>
  <c r="Z901" i="79"/>
  <c r="Y901" i="79"/>
  <c r="N901" i="79"/>
  <c r="AM900" i="79"/>
  <c r="AL898" i="79"/>
  <c r="AK898" i="79"/>
  <c r="AJ898" i="79"/>
  <c r="AI898" i="79"/>
  <c r="AH898" i="79"/>
  <c r="AG898" i="79"/>
  <c r="AF898" i="79"/>
  <c r="AE898" i="79"/>
  <c r="AD898" i="79"/>
  <c r="AC898" i="79"/>
  <c r="AB898" i="79"/>
  <c r="AA898" i="79"/>
  <c r="Z898" i="79"/>
  <c r="Y898" i="79"/>
  <c r="N898" i="79"/>
  <c r="AM897" i="79"/>
  <c r="AL895" i="79"/>
  <c r="AK895" i="79"/>
  <c r="AJ895" i="79"/>
  <c r="AI895" i="79"/>
  <c r="AH895" i="79"/>
  <c r="AG895" i="79"/>
  <c r="AF895" i="79"/>
  <c r="AE895" i="79"/>
  <c r="AD895" i="79"/>
  <c r="AC895" i="79"/>
  <c r="AB895" i="79"/>
  <c r="AA895" i="79"/>
  <c r="Z895" i="79"/>
  <c r="Y895" i="79"/>
  <c r="N895" i="79"/>
  <c r="AM894" i="79"/>
  <c r="AL892" i="79"/>
  <c r="AK892" i="79"/>
  <c r="AJ892" i="79"/>
  <c r="AI892" i="79"/>
  <c r="AH892" i="79"/>
  <c r="AG892" i="79"/>
  <c r="AF892" i="79"/>
  <c r="AE892" i="79"/>
  <c r="AD892" i="79"/>
  <c r="AC892" i="79"/>
  <c r="AB892" i="79"/>
  <c r="AA892" i="79"/>
  <c r="Z892" i="79"/>
  <c r="Y892" i="79"/>
  <c r="N892" i="79"/>
  <c r="AM891" i="79"/>
  <c r="AL889" i="79"/>
  <c r="AK889" i="79"/>
  <c r="AJ889" i="79"/>
  <c r="AI889" i="79"/>
  <c r="AH889" i="79"/>
  <c r="AG889" i="79"/>
  <c r="AF889" i="79"/>
  <c r="AE889" i="79"/>
  <c r="AD889" i="79"/>
  <c r="AC889" i="79"/>
  <c r="AB889" i="79"/>
  <c r="AA889" i="79"/>
  <c r="Z889" i="79"/>
  <c r="Y889" i="79"/>
  <c r="N889" i="79"/>
  <c r="AM888" i="79"/>
  <c r="AL886" i="79"/>
  <c r="AK886" i="79"/>
  <c r="AJ886" i="79"/>
  <c r="AI886" i="79"/>
  <c r="AH886" i="79"/>
  <c r="AG886" i="79"/>
  <c r="AF886" i="79"/>
  <c r="AE886" i="79"/>
  <c r="AD886" i="79"/>
  <c r="AC886" i="79"/>
  <c r="AB886" i="79"/>
  <c r="AA886" i="79"/>
  <c r="Z886" i="79"/>
  <c r="Y886" i="79"/>
  <c r="N886" i="79"/>
  <c r="AM885" i="79"/>
  <c r="AL882" i="79"/>
  <c r="AK882" i="79"/>
  <c r="AJ882" i="79"/>
  <c r="AI882" i="79"/>
  <c r="AH882" i="79"/>
  <c r="AG882" i="79"/>
  <c r="AF882" i="79"/>
  <c r="AE882" i="79"/>
  <c r="AD882" i="79"/>
  <c r="AC882" i="79"/>
  <c r="AB882" i="79"/>
  <c r="AA882" i="79"/>
  <c r="Z882" i="79"/>
  <c r="Y882" i="79"/>
  <c r="N882" i="79"/>
  <c r="AM881" i="79"/>
  <c r="AL879" i="79"/>
  <c r="AK879" i="79"/>
  <c r="AJ879" i="79"/>
  <c r="AI879" i="79"/>
  <c r="AH879" i="79"/>
  <c r="AG879" i="79"/>
  <c r="AF879" i="79"/>
  <c r="AE879" i="79"/>
  <c r="AD879" i="79"/>
  <c r="AC879" i="79"/>
  <c r="AB879" i="79"/>
  <c r="AA879" i="79"/>
  <c r="Z879" i="79"/>
  <c r="Y879" i="79"/>
  <c r="N879" i="79"/>
  <c r="AM878" i="79"/>
  <c r="AL876" i="79"/>
  <c r="AK876" i="79"/>
  <c r="AJ876" i="79"/>
  <c r="AI876" i="79"/>
  <c r="AH876" i="79"/>
  <c r="AG876" i="79"/>
  <c r="AF876" i="79"/>
  <c r="AE876" i="79"/>
  <c r="AD876" i="79"/>
  <c r="AC876" i="79"/>
  <c r="AB876" i="79"/>
  <c r="AA876" i="79"/>
  <c r="Z876" i="79"/>
  <c r="Y876" i="79"/>
  <c r="N876" i="79"/>
  <c r="AM875" i="79"/>
  <c r="AE875" i="79"/>
  <c r="AD875" i="79"/>
  <c r="AC875" i="79"/>
  <c r="AB875" i="79"/>
  <c r="AA875" i="79"/>
  <c r="Z875" i="79"/>
  <c r="P875" i="79"/>
  <c r="O875" i="79"/>
  <c r="E875" i="79"/>
  <c r="D875" i="79"/>
  <c r="AL872" i="79"/>
  <c r="AK872" i="79"/>
  <c r="AJ872" i="79"/>
  <c r="AI872" i="79"/>
  <c r="AH872" i="79"/>
  <c r="AG872" i="79"/>
  <c r="AF872" i="79"/>
  <c r="AE872" i="79"/>
  <c r="AD872" i="79"/>
  <c r="AC872" i="79"/>
  <c r="AB872" i="79"/>
  <c r="AA872" i="79"/>
  <c r="Z872" i="79"/>
  <c r="Y872" i="79"/>
  <c r="N872" i="79"/>
  <c r="AM871" i="79"/>
  <c r="AL869" i="79"/>
  <c r="AK869" i="79"/>
  <c r="AJ869" i="79"/>
  <c r="AI869" i="79"/>
  <c r="AH869" i="79"/>
  <c r="AG869" i="79"/>
  <c r="AF869" i="79"/>
  <c r="AE869" i="79"/>
  <c r="AD869" i="79"/>
  <c r="AC869" i="79"/>
  <c r="AB869" i="79"/>
  <c r="AA869" i="79"/>
  <c r="Z869" i="79"/>
  <c r="Y869" i="79"/>
  <c r="N869" i="79"/>
  <c r="AM868" i="79"/>
  <c r="AL866" i="79"/>
  <c r="AK866" i="79"/>
  <c r="AJ866" i="79"/>
  <c r="AI866" i="79"/>
  <c r="AH866" i="79"/>
  <c r="AG866" i="79"/>
  <c r="AF866" i="79"/>
  <c r="AE866" i="79"/>
  <c r="AD866" i="79"/>
  <c r="AC866" i="79"/>
  <c r="AB866" i="79"/>
  <c r="AA866" i="79"/>
  <c r="Z866" i="79"/>
  <c r="Y866" i="79"/>
  <c r="N866" i="79"/>
  <c r="AM865" i="79"/>
  <c r="AL863" i="79"/>
  <c r="AK863" i="79"/>
  <c r="AJ863" i="79"/>
  <c r="AI863" i="79"/>
  <c r="AH863" i="79"/>
  <c r="AG863" i="79"/>
  <c r="AF863" i="79"/>
  <c r="AE863" i="79"/>
  <c r="AD863" i="79"/>
  <c r="AC863" i="79"/>
  <c r="AB863" i="79"/>
  <c r="AA863" i="79"/>
  <c r="Z863" i="79"/>
  <c r="Y863" i="79"/>
  <c r="N863" i="79"/>
  <c r="AM862" i="79"/>
  <c r="AL860" i="79"/>
  <c r="AK860" i="79"/>
  <c r="AJ860" i="79"/>
  <c r="AI860" i="79"/>
  <c r="AH860" i="79"/>
  <c r="AG860" i="79"/>
  <c r="AF860" i="79"/>
  <c r="AE860" i="79"/>
  <c r="AD860" i="79"/>
  <c r="AC860" i="79"/>
  <c r="AB860" i="79"/>
  <c r="AA860" i="79"/>
  <c r="Z860" i="79"/>
  <c r="Y860" i="79"/>
  <c r="N860" i="79"/>
  <c r="AM859" i="79"/>
  <c r="AL857" i="79"/>
  <c r="AK857" i="79"/>
  <c r="AJ857" i="79"/>
  <c r="AI857" i="79"/>
  <c r="AH857" i="79"/>
  <c r="AG857" i="79"/>
  <c r="AF857" i="79"/>
  <c r="AE857" i="79"/>
  <c r="AD857" i="79"/>
  <c r="AC857" i="79"/>
  <c r="AB857" i="79"/>
  <c r="AA857" i="79"/>
  <c r="Z857" i="79"/>
  <c r="Y857" i="79"/>
  <c r="N857" i="79"/>
  <c r="AM856" i="79"/>
  <c r="AE856" i="79"/>
  <c r="AD856" i="79"/>
  <c r="AC856" i="79"/>
  <c r="AB856" i="79"/>
  <c r="AA856" i="79"/>
  <c r="Z856" i="79"/>
  <c r="P856" i="79"/>
  <c r="O856" i="79"/>
  <c r="E856" i="79"/>
  <c r="D856" i="79"/>
  <c r="AL854" i="79"/>
  <c r="AK854" i="79"/>
  <c r="AJ854" i="79"/>
  <c r="AI854" i="79"/>
  <c r="AH854" i="79"/>
  <c r="AG854" i="79"/>
  <c r="AF854" i="79"/>
  <c r="AE854" i="79"/>
  <c r="AD854" i="79"/>
  <c r="AC854" i="79"/>
  <c r="AB854" i="79"/>
  <c r="AA854" i="79"/>
  <c r="Z854" i="79"/>
  <c r="Y854" i="79"/>
  <c r="N854" i="79"/>
  <c r="AM853" i="79"/>
  <c r="AE853" i="79"/>
  <c r="AD853" i="79"/>
  <c r="AC853" i="79"/>
  <c r="AB853" i="79"/>
  <c r="AA853" i="79"/>
  <c r="Z853" i="79"/>
  <c r="P853" i="79"/>
  <c r="O853" i="79"/>
  <c r="E853" i="79"/>
  <c r="D853" i="79"/>
  <c r="AL851" i="79"/>
  <c r="AK851" i="79"/>
  <c r="AJ851" i="79"/>
  <c r="AI851" i="79"/>
  <c r="AH851" i="79"/>
  <c r="AG851" i="79"/>
  <c r="AF851" i="79"/>
  <c r="AE851" i="79"/>
  <c r="AD851" i="79"/>
  <c r="AC851" i="79"/>
  <c r="AB851" i="79"/>
  <c r="AA851" i="79"/>
  <c r="Z851" i="79"/>
  <c r="Y851" i="79"/>
  <c r="N851" i="79"/>
  <c r="AM850" i="79"/>
  <c r="AL847" i="79"/>
  <c r="AK847" i="79"/>
  <c r="AJ847" i="79"/>
  <c r="AI847" i="79"/>
  <c r="AH847" i="79"/>
  <c r="AG847" i="79"/>
  <c r="AF847" i="79"/>
  <c r="AE847" i="79"/>
  <c r="AD847" i="79"/>
  <c r="AC847" i="79"/>
  <c r="AB847" i="79"/>
  <c r="AA847" i="79"/>
  <c r="Z847" i="79"/>
  <c r="Y847" i="79"/>
  <c r="AM846" i="79"/>
  <c r="AL844" i="79"/>
  <c r="AK844" i="79"/>
  <c r="AJ844" i="79"/>
  <c r="AI844" i="79"/>
  <c r="AH844" i="79"/>
  <c r="AG844" i="79"/>
  <c r="AF844" i="79"/>
  <c r="AE844" i="79"/>
  <c r="AD844" i="79"/>
  <c r="AC844" i="79"/>
  <c r="AB844" i="79"/>
  <c r="AA844" i="79"/>
  <c r="Z844" i="79"/>
  <c r="Y844" i="79"/>
  <c r="AM843" i="79"/>
  <c r="AL841" i="79"/>
  <c r="AK841" i="79"/>
  <c r="AJ841" i="79"/>
  <c r="AI841" i="79"/>
  <c r="AH841" i="79"/>
  <c r="AG841" i="79"/>
  <c r="AF841" i="79"/>
  <c r="AE841" i="79"/>
  <c r="AD841" i="79"/>
  <c r="AC841" i="79"/>
  <c r="AB841" i="79"/>
  <c r="AA841" i="79"/>
  <c r="Z841" i="79"/>
  <c r="Y841" i="79"/>
  <c r="AM840" i="79"/>
  <c r="AL838" i="79"/>
  <c r="AK838" i="79"/>
  <c r="AJ838" i="79"/>
  <c r="AI838" i="79"/>
  <c r="AH838" i="79"/>
  <c r="AG838" i="79"/>
  <c r="AF838" i="79"/>
  <c r="AE838" i="79"/>
  <c r="AD838" i="79"/>
  <c r="AC838" i="79"/>
  <c r="AB838" i="79"/>
  <c r="AA838" i="79"/>
  <c r="Z838" i="79"/>
  <c r="Y838" i="79"/>
  <c r="AM837" i="79"/>
  <c r="AL833" i="79"/>
  <c r="AK833" i="79"/>
  <c r="AJ833" i="79"/>
  <c r="AI833" i="79"/>
  <c r="AH833" i="79"/>
  <c r="AG833" i="79"/>
  <c r="AF833" i="79"/>
  <c r="AE833" i="79"/>
  <c r="AD833" i="79"/>
  <c r="AC833" i="79"/>
  <c r="AB833" i="79"/>
  <c r="AA833" i="79"/>
  <c r="Z833" i="79"/>
  <c r="Y833" i="79"/>
  <c r="N833" i="79"/>
  <c r="AM832" i="79"/>
  <c r="AL830" i="79"/>
  <c r="AK830" i="79"/>
  <c r="AJ830" i="79"/>
  <c r="AI830" i="79"/>
  <c r="AH830" i="79"/>
  <c r="AG830" i="79"/>
  <c r="AF830" i="79"/>
  <c r="AE830" i="79"/>
  <c r="AD830" i="79"/>
  <c r="AC830" i="79"/>
  <c r="AB830" i="79"/>
  <c r="AA830" i="79"/>
  <c r="Z830" i="79"/>
  <c r="Y830" i="79"/>
  <c r="N830" i="79"/>
  <c r="AM829" i="79"/>
  <c r="AL827" i="79"/>
  <c r="AK827" i="79"/>
  <c r="AJ827" i="79"/>
  <c r="AI827" i="79"/>
  <c r="AH827" i="79"/>
  <c r="AG827" i="79"/>
  <c r="AF827" i="79"/>
  <c r="AE827" i="79"/>
  <c r="AD827" i="79"/>
  <c r="AC827" i="79"/>
  <c r="AB827" i="79"/>
  <c r="AA827" i="79"/>
  <c r="Z827" i="79"/>
  <c r="Y827" i="79"/>
  <c r="N827" i="79"/>
  <c r="AM826" i="79"/>
  <c r="AL824" i="79"/>
  <c r="AK824" i="79"/>
  <c r="AJ824" i="79"/>
  <c r="AI824" i="79"/>
  <c r="AH824" i="79"/>
  <c r="AG824" i="79"/>
  <c r="AF824" i="79"/>
  <c r="AE824" i="79"/>
  <c r="AD824" i="79"/>
  <c r="AC824" i="79"/>
  <c r="AB824" i="79"/>
  <c r="AA824" i="79"/>
  <c r="Z824" i="79"/>
  <c r="Y824" i="79"/>
  <c r="N824" i="79"/>
  <c r="AM823" i="79"/>
  <c r="AL820" i="79"/>
  <c r="AK820" i="79"/>
  <c r="AJ820" i="79"/>
  <c r="AI820" i="79"/>
  <c r="AH820" i="79"/>
  <c r="AG820" i="79"/>
  <c r="AF820" i="79"/>
  <c r="AE820" i="79"/>
  <c r="AD820" i="79"/>
  <c r="AC820" i="79"/>
  <c r="AB820" i="79"/>
  <c r="AA820" i="79"/>
  <c r="Z820" i="79"/>
  <c r="Y820" i="79"/>
  <c r="N820" i="79"/>
  <c r="AM819" i="79"/>
  <c r="AL817" i="79"/>
  <c r="AK817" i="79"/>
  <c r="AJ817" i="79"/>
  <c r="AI817" i="79"/>
  <c r="AH817" i="79"/>
  <c r="AG817" i="79"/>
  <c r="AF817" i="79"/>
  <c r="AE817" i="79"/>
  <c r="AD817" i="79"/>
  <c r="AC817" i="79"/>
  <c r="AB817" i="79"/>
  <c r="AA817" i="79"/>
  <c r="Z817" i="79"/>
  <c r="Y817" i="79"/>
  <c r="N817" i="79"/>
  <c r="AM816" i="79"/>
  <c r="AL813" i="79"/>
  <c r="AK813" i="79"/>
  <c r="AJ813" i="79"/>
  <c r="AI813" i="79"/>
  <c r="AH813" i="79"/>
  <c r="AG813" i="79"/>
  <c r="AF813" i="79"/>
  <c r="AE813" i="79"/>
  <c r="AD813" i="79"/>
  <c r="AC813" i="79"/>
  <c r="AB813" i="79"/>
  <c r="AA813" i="79"/>
  <c r="Z813" i="79"/>
  <c r="Y813" i="79"/>
  <c r="N813" i="79"/>
  <c r="AM812" i="79"/>
  <c r="AL809" i="79"/>
  <c r="AK809" i="79"/>
  <c r="AJ809" i="79"/>
  <c r="AI809" i="79"/>
  <c r="AH809" i="79"/>
  <c r="AG809" i="79"/>
  <c r="AF809" i="79"/>
  <c r="AE809" i="79"/>
  <c r="AD809" i="79"/>
  <c r="AC809" i="79"/>
  <c r="AB809" i="79"/>
  <c r="AA809" i="79"/>
  <c r="Z809" i="79"/>
  <c r="Y809" i="79"/>
  <c r="N809" i="79"/>
  <c r="AM808" i="79"/>
  <c r="AL806" i="79"/>
  <c r="AK806" i="79"/>
  <c r="AJ806" i="79"/>
  <c r="AI806" i="79"/>
  <c r="AH806" i="79"/>
  <c r="AG806" i="79"/>
  <c r="AF806" i="79"/>
  <c r="AE806" i="79"/>
  <c r="AD806" i="79"/>
  <c r="AC806" i="79"/>
  <c r="AB806" i="79"/>
  <c r="AA806" i="79"/>
  <c r="Z806" i="79"/>
  <c r="Y806" i="79"/>
  <c r="N806" i="79"/>
  <c r="AM805" i="79"/>
  <c r="AL803" i="79"/>
  <c r="AK803" i="79"/>
  <c r="AJ803" i="79"/>
  <c r="AI803" i="79"/>
  <c r="AH803" i="79"/>
  <c r="AG803" i="79"/>
  <c r="AF803" i="79"/>
  <c r="AE803" i="79"/>
  <c r="AD803" i="79"/>
  <c r="AC803" i="79"/>
  <c r="AB803" i="79"/>
  <c r="AA803" i="79"/>
  <c r="Z803" i="79"/>
  <c r="Y803" i="79"/>
  <c r="N803" i="79"/>
  <c r="AM802" i="79"/>
  <c r="AL799" i="79"/>
  <c r="AK799" i="79"/>
  <c r="AJ799" i="79"/>
  <c r="AI799" i="79"/>
  <c r="AH799" i="79"/>
  <c r="AG799" i="79"/>
  <c r="AF799" i="79"/>
  <c r="AE799" i="79"/>
  <c r="AD799" i="79"/>
  <c r="AC799" i="79"/>
  <c r="AB799" i="79"/>
  <c r="AA799" i="79"/>
  <c r="Z799" i="79"/>
  <c r="Y799" i="79"/>
  <c r="N799" i="79"/>
  <c r="AM798" i="79"/>
  <c r="AL796" i="79"/>
  <c r="AK796" i="79"/>
  <c r="AJ796" i="79"/>
  <c r="AI796" i="79"/>
  <c r="AH796" i="79"/>
  <c r="AG796" i="79"/>
  <c r="AF796" i="79"/>
  <c r="AE796" i="79"/>
  <c r="AD796" i="79"/>
  <c r="AC796" i="79"/>
  <c r="AB796" i="79"/>
  <c r="AA796" i="79"/>
  <c r="Z796" i="79"/>
  <c r="Y796" i="79"/>
  <c r="N796" i="79"/>
  <c r="AM795" i="79"/>
  <c r="AL793" i="79"/>
  <c r="AK793" i="79"/>
  <c r="AJ793" i="79"/>
  <c r="AI793" i="79"/>
  <c r="AH793" i="79"/>
  <c r="AG793" i="79"/>
  <c r="AF793" i="79"/>
  <c r="AE793" i="79"/>
  <c r="AD793" i="79"/>
  <c r="AC793" i="79"/>
  <c r="AB793" i="79"/>
  <c r="AA793" i="79"/>
  <c r="Z793" i="79"/>
  <c r="Y793" i="79"/>
  <c r="N793" i="79"/>
  <c r="AM792" i="79"/>
  <c r="AL790" i="79"/>
  <c r="AK790" i="79"/>
  <c r="AJ790" i="79"/>
  <c r="AI790" i="79"/>
  <c r="AH790" i="79"/>
  <c r="AG790" i="79"/>
  <c r="AF790" i="79"/>
  <c r="AE790" i="79"/>
  <c r="AD790" i="79"/>
  <c r="AC790" i="79"/>
  <c r="AB790" i="79"/>
  <c r="AA790" i="79"/>
  <c r="Z790" i="79"/>
  <c r="Y790" i="79"/>
  <c r="N790" i="79"/>
  <c r="AM789" i="79"/>
  <c r="AL787" i="79"/>
  <c r="AK787" i="79"/>
  <c r="AJ787" i="79"/>
  <c r="AI787" i="79"/>
  <c r="AH787" i="79"/>
  <c r="AG787" i="79"/>
  <c r="AF787" i="79"/>
  <c r="AE787" i="79"/>
  <c r="AD787" i="79"/>
  <c r="AC787" i="79"/>
  <c r="AB787" i="79"/>
  <c r="AA787" i="79"/>
  <c r="Z787" i="79"/>
  <c r="Y787" i="79"/>
  <c r="N787" i="79"/>
  <c r="AM786" i="79"/>
  <c r="AL783" i="79"/>
  <c r="AK783" i="79"/>
  <c r="AJ783" i="79"/>
  <c r="AI783" i="79"/>
  <c r="AH783" i="79"/>
  <c r="AG783" i="79"/>
  <c r="AF783" i="79"/>
  <c r="AE783" i="79"/>
  <c r="AD783" i="79"/>
  <c r="AC783" i="79"/>
  <c r="AB783" i="79"/>
  <c r="AA783" i="79"/>
  <c r="Z783" i="79"/>
  <c r="Y783" i="79"/>
  <c r="AM782" i="79"/>
  <c r="AL780" i="79"/>
  <c r="AK780" i="79"/>
  <c r="AJ780" i="79"/>
  <c r="AI780" i="79"/>
  <c r="AH780" i="79"/>
  <c r="AG780" i="79"/>
  <c r="AF780" i="79"/>
  <c r="AE780" i="79"/>
  <c r="AD780" i="79"/>
  <c r="AC780" i="79"/>
  <c r="AB780" i="79"/>
  <c r="AA780" i="79"/>
  <c r="Z780" i="79"/>
  <c r="Y780" i="79"/>
  <c r="AM779" i="79"/>
  <c r="AL777" i="79"/>
  <c r="AK777" i="79"/>
  <c r="AJ777" i="79"/>
  <c r="AI777" i="79"/>
  <c r="AH777" i="79"/>
  <c r="AG777" i="79"/>
  <c r="AF777" i="79"/>
  <c r="AE777" i="79"/>
  <c r="AD777" i="79"/>
  <c r="AC777" i="79"/>
  <c r="AB777" i="79"/>
  <c r="AA777" i="79"/>
  <c r="Z777" i="79"/>
  <c r="Y777" i="79"/>
  <c r="AM776" i="79"/>
  <c r="AL774" i="79"/>
  <c r="AK774" i="79"/>
  <c r="AJ774" i="79"/>
  <c r="AI774" i="79"/>
  <c r="AH774" i="79"/>
  <c r="AG774" i="79"/>
  <c r="AF774" i="79"/>
  <c r="AE774" i="79"/>
  <c r="AD774" i="79"/>
  <c r="AC774" i="79"/>
  <c r="AB774" i="79"/>
  <c r="AA774" i="79"/>
  <c r="Z774" i="79"/>
  <c r="Y774" i="79"/>
  <c r="AM773" i="79"/>
  <c r="AL771" i="79"/>
  <c r="AK771" i="79"/>
  <c r="AJ771" i="79"/>
  <c r="AI771" i="79"/>
  <c r="AH771" i="79"/>
  <c r="AG771" i="79"/>
  <c r="AF771" i="79"/>
  <c r="AE771" i="79"/>
  <c r="AD771" i="79"/>
  <c r="AC771" i="79"/>
  <c r="AB771" i="79"/>
  <c r="AA771" i="79"/>
  <c r="Z771" i="79"/>
  <c r="Y771" i="79"/>
  <c r="AM770" i="79"/>
  <c r="AL768" i="79"/>
  <c r="AK768" i="79"/>
  <c r="AJ768" i="79"/>
  <c r="AI768" i="79"/>
  <c r="AH768" i="79"/>
  <c r="AG768" i="79"/>
  <c r="AF768" i="79"/>
  <c r="AE768" i="79"/>
  <c r="AD768" i="79"/>
  <c r="AC768" i="79"/>
  <c r="AB768" i="79"/>
  <c r="AA768" i="79"/>
  <c r="Z768" i="79"/>
  <c r="Y768" i="79"/>
  <c r="AM767" i="79"/>
  <c r="AL767" i="79"/>
  <c r="AK767" i="79"/>
  <c r="AJ767" i="79"/>
  <c r="AI767" i="79"/>
  <c r="AH767" i="79"/>
  <c r="AG767" i="79"/>
  <c r="AF767" i="79"/>
  <c r="AE767" i="79"/>
  <c r="AD767" i="79"/>
  <c r="AC767" i="79"/>
  <c r="AB767" i="79"/>
  <c r="AA767" i="79"/>
  <c r="Z767" i="79"/>
  <c r="Y767" i="79"/>
  <c r="AL761" i="79"/>
  <c r="AK761" i="79"/>
  <c r="AJ761" i="79"/>
  <c r="AI761" i="79"/>
  <c r="AH761" i="79"/>
  <c r="AG761" i="79"/>
  <c r="AF761" i="79"/>
  <c r="AE761" i="79"/>
  <c r="AD761" i="79"/>
  <c r="AC761" i="79"/>
  <c r="AB761" i="79"/>
  <c r="AA761" i="79"/>
  <c r="Z761" i="79"/>
  <c r="Y761" i="79"/>
  <c r="AL760" i="79"/>
  <c r="AK760" i="79"/>
  <c r="AJ760" i="79"/>
  <c r="AI760" i="79"/>
  <c r="AH760" i="79"/>
  <c r="AG760" i="79"/>
  <c r="AF760" i="79"/>
  <c r="AE760" i="79"/>
  <c r="AD760" i="79"/>
  <c r="AC760" i="79"/>
  <c r="AB760" i="79"/>
  <c r="AA760" i="79"/>
  <c r="Z760" i="79"/>
  <c r="Y760" i="79"/>
  <c r="AM758" i="79"/>
  <c r="AM757" i="79"/>
  <c r="AL757" i="79"/>
  <c r="AK757" i="79"/>
  <c r="AJ757" i="79"/>
  <c r="AI757" i="79"/>
  <c r="AH757" i="79"/>
  <c r="AG757" i="79"/>
  <c r="AF757" i="79"/>
  <c r="AE757" i="79"/>
  <c r="AD757" i="79"/>
  <c r="AC757" i="79"/>
  <c r="AB757" i="79"/>
  <c r="AA757" i="79"/>
  <c r="Z757" i="79"/>
  <c r="Y757" i="79"/>
  <c r="AM756" i="79"/>
  <c r="AL756" i="79"/>
  <c r="AK756" i="79"/>
  <c r="AJ756" i="79"/>
  <c r="AI756" i="79"/>
  <c r="AH756" i="79"/>
  <c r="AG756" i="79"/>
  <c r="AF756" i="79"/>
  <c r="AE756" i="79"/>
  <c r="AD756" i="79"/>
  <c r="AC756" i="79"/>
  <c r="AB756" i="79"/>
  <c r="AA756" i="79"/>
  <c r="Z756" i="79"/>
  <c r="Y756" i="79"/>
  <c r="AM755" i="79"/>
  <c r="AL755" i="79"/>
  <c r="AK755" i="79"/>
  <c r="AJ755" i="79"/>
  <c r="AI755" i="79"/>
  <c r="AH755" i="79"/>
  <c r="AG755" i="79"/>
  <c r="AF755" i="79"/>
  <c r="AE755" i="79"/>
  <c r="AD755" i="79"/>
  <c r="AC755" i="79"/>
  <c r="AB755" i="79"/>
  <c r="AA755" i="79"/>
  <c r="Z755" i="79"/>
  <c r="Y755" i="79"/>
  <c r="AM754" i="79"/>
  <c r="AL754" i="79"/>
  <c r="AK754" i="79"/>
  <c r="AJ754" i="79"/>
  <c r="AI754" i="79"/>
  <c r="AH754" i="79"/>
  <c r="AG754" i="79"/>
  <c r="AF754" i="79"/>
  <c r="AE754" i="79"/>
  <c r="AD754" i="79"/>
  <c r="AC754" i="79"/>
  <c r="AB754" i="79"/>
  <c r="AA754" i="79"/>
  <c r="Z754" i="79"/>
  <c r="Y754" i="79"/>
  <c r="AM753" i="79"/>
  <c r="AL753" i="79"/>
  <c r="AK753" i="79"/>
  <c r="AJ753" i="79"/>
  <c r="AI753" i="79"/>
  <c r="AH753" i="79"/>
  <c r="AG753" i="79"/>
  <c r="AF753" i="79"/>
  <c r="AE753" i="79"/>
  <c r="AD753" i="79"/>
  <c r="AC753" i="79"/>
  <c r="AB753" i="79"/>
  <c r="AA753" i="79"/>
  <c r="Z753" i="79"/>
  <c r="Y753" i="79"/>
  <c r="AM752" i="79"/>
  <c r="AL752" i="79"/>
  <c r="AK752" i="79"/>
  <c r="AJ752" i="79"/>
  <c r="AI752" i="79"/>
  <c r="AH752" i="79"/>
  <c r="AG752" i="79"/>
  <c r="AF752" i="79"/>
  <c r="AE752" i="79"/>
  <c r="AD752" i="79"/>
  <c r="AC752" i="79"/>
  <c r="AB752" i="79"/>
  <c r="AA752" i="79"/>
  <c r="Z752" i="79"/>
  <c r="Y752" i="79"/>
  <c r="AM751" i="79"/>
  <c r="AL751" i="79"/>
  <c r="AK751" i="79"/>
  <c r="AJ751" i="79"/>
  <c r="AI751" i="79"/>
  <c r="AH751" i="79"/>
  <c r="AG751" i="79"/>
  <c r="AF751" i="79"/>
  <c r="AE751" i="79"/>
  <c r="AD751" i="79"/>
  <c r="AC751" i="79"/>
  <c r="AB751" i="79"/>
  <c r="AA751" i="79"/>
  <c r="Z751" i="79"/>
  <c r="Y751" i="79"/>
  <c r="AM750" i="79"/>
  <c r="AL750" i="79"/>
  <c r="AK750" i="79"/>
  <c r="AJ750" i="79"/>
  <c r="AI750" i="79"/>
  <c r="AH750" i="79"/>
  <c r="AG750" i="79"/>
  <c r="AF750" i="79"/>
  <c r="AE750" i="79"/>
  <c r="AD750" i="79"/>
  <c r="AC750" i="79"/>
  <c r="AB750" i="79"/>
  <c r="AA750" i="79"/>
  <c r="Z750" i="79"/>
  <c r="Y750" i="79"/>
  <c r="AM749" i="79"/>
  <c r="AL749" i="79"/>
  <c r="AK749" i="79"/>
  <c r="AJ749" i="79"/>
  <c r="AI749" i="79"/>
  <c r="AH749" i="79"/>
  <c r="AG749" i="79"/>
  <c r="AF749" i="79"/>
  <c r="AE749" i="79"/>
  <c r="AD749" i="79"/>
  <c r="AC749" i="79"/>
  <c r="AB749" i="79"/>
  <c r="AA749" i="79"/>
  <c r="Z749" i="79"/>
  <c r="Y749" i="79"/>
  <c r="AM748" i="79"/>
  <c r="AL748" i="79"/>
  <c r="AK748" i="79"/>
  <c r="AJ748" i="79"/>
  <c r="AI748" i="79"/>
  <c r="AH748" i="79"/>
  <c r="AG748" i="79"/>
  <c r="AF748" i="79"/>
  <c r="AE748" i="79"/>
  <c r="AD748" i="79"/>
  <c r="AC748" i="79"/>
  <c r="AB748" i="79"/>
  <c r="AA748" i="79"/>
  <c r="Z748" i="79"/>
  <c r="Y748" i="79"/>
  <c r="AL747" i="79"/>
  <c r="AK747" i="79"/>
  <c r="AJ747" i="79"/>
  <c r="AI747" i="79"/>
  <c r="AH747" i="79"/>
  <c r="AG747" i="79"/>
  <c r="AF747" i="79"/>
  <c r="AE747" i="79"/>
  <c r="AD747" i="79"/>
  <c r="AC747" i="79"/>
  <c r="AB747" i="79"/>
  <c r="AA747" i="79"/>
  <c r="Z747" i="79"/>
  <c r="Y747" i="79"/>
  <c r="AL745" i="79"/>
  <c r="AK745" i="79"/>
  <c r="AJ745" i="79"/>
  <c r="AI745" i="79"/>
  <c r="AH745" i="79"/>
  <c r="AG745" i="79"/>
  <c r="AF745" i="79"/>
  <c r="AE745" i="79"/>
  <c r="AD745" i="79"/>
  <c r="AC745" i="79"/>
  <c r="AB745" i="79"/>
  <c r="AA745" i="79"/>
  <c r="Z745" i="79"/>
  <c r="Y745" i="79"/>
  <c r="AL744" i="79"/>
  <c r="AK744" i="79"/>
  <c r="AJ744" i="79"/>
  <c r="AI744" i="79"/>
  <c r="AH744" i="79"/>
  <c r="AG744" i="79"/>
  <c r="AF744" i="79"/>
  <c r="AE744" i="79"/>
  <c r="AD744" i="79"/>
  <c r="AC744" i="79"/>
  <c r="AB744" i="79"/>
  <c r="AA744" i="79"/>
  <c r="Z744" i="79"/>
  <c r="Y744" i="79"/>
  <c r="O744" i="79"/>
  <c r="D744" i="79"/>
  <c r="AL742" i="79"/>
  <c r="AK742" i="79"/>
  <c r="AJ742" i="79"/>
  <c r="AI742" i="79"/>
  <c r="AH742" i="79"/>
  <c r="AG742" i="79"/>
  <c r="AF742" i="79"/>
  <c r="AE742" i="79"/>
  <c r="AD742" i="79"/>
  <c r="AC742" i="79"/>
  <c r="AB742" i="79"/>
  <c r="AA742" i="79"/>
  <c r="Z742" i="79"/>
  <c r="Y742" i="79"/>
  <c r="N742" i="79"/>
  <c r="AM741" i="79"/>
  <c r="AL739" i="79"/>
  <c r="AK739" i="79"/>
  <c r="AJ739" i="79"/>
  <c r="AI739" i="79"/>
  <c r="AH739" i="79"/>
  <c r="AG739" i="79"/>
  <c r="AF739" i="79"/>
  <c r="AE739" i="79"/>
  <c r="AD739" i="79"/>
  <c r="AC739" i="79"/>
  <c r="AB739" i="79"/>
  <c r="AA739" i="79"/>
  <c r="Z739" i="79"/>
  <c r="Y739" i="79"/>
  <c r="N739" i="79"/>
  <c r="AM738" i="79"/>
  <c r="AL736" i="79"/>
  <c r="AK736" i="79"/>
  <c r="AJ736" i="79"/>
  <c r="AI736" i="79"/>
  <c r="AH736" i="79"/>
  <c r="AG736" i="79"/>
  <c r="AF736" i="79"/>
  <c r="AE736" i="79"/>
  <c r="AD736" i="79"/>
  <c r="AC736" i="79"/>
  <c r="AB736" i="79"/>
  <c r="AA736" i="79"/>
  <c r="Z736" i="79"/>
  <c r="Y736" i="79"/>
  <c r="N736" i="79"/>
  <c r="AM735" i="79"/>
  <c r="AL733" i="79"/>
  <c r="AK733" i="79"/>
  <c r="AJ733" i="79"/>
  <c r="AI733" i="79"/>
  <c r="AH733" i="79"/>
  <c r="AG733" i="79"/>
  <c r="AF733" i="79"/>
  <c r="AE733" i="79"/>
  <c r="AD733" i="79"/>
  <c r="AC733" i="79"/>
  <c r="AB733" i="79"/>
  <c r="AA733" i="79"/>
  <c r="Z733" i="79"/>
  <c r="Y733" i="79"/>
  <c r="N733" i="79"/>
  <c r="AM732" i="79"/>
  <c r="AL730" i="79"/>
  <c r="AK730" i="79"/>
  <c r="AJ730" i="79"/>
  <c r="AI730" i="79"/>
  <c r="AH730" i="79"/>
  <c r="AG730" i="79"/>
  <c r="AF730" i="79"/>
  <c r="AE730" i="79"/>
  <c r="AD730" i="79"/>
  <c r="AC730" i="79"/>
  <c r="AB730" i="79"/>
  <c r="AA730" i="79"/>
  <c r="Z730" i="79"/>
  <c r="Y730" i="79"/>
  <c r="N730" i="79"/>
  <c r="AM729" i="79"/>
  <c r="AL727" i="79"/>
  <c r="AK727" i="79"/>
  <c r="AJ727" i="79"/>
  <c r="AI727" i="79"/>
  <c r="AH727" i="79"/>
  <c r="AG727" i="79"/>
  <c r="AF727" i="79"/>
  <c r="AE727" i="79"/>
  <c r="AD727" i="79"/>
  <c r="AC727" i="79"/>
  <c r="AB727" i="79"/>
  <c r="AA727" i="79"/>
  <c r="Z727" i="79"/>
  <c r="Y727" i="79"/>
  <c r="N727" i="79"/>
  <c r="AM726" i="79"/>
  <c r="AL724" i="79"/>
  <c r="AK724" i="79"/>
  <c r="AJ724" i="79"/>
  <c r="AI724" i="79"/>
  <c r="AH724" i="79"/>
  <c r="AG724" i="79"/>
  <c r="AF724" i="79"/>
  <c r="AE724" i="79"/>
  <c r="AD724" i="79"/>
  <c r="AC724" i="79"/>
  <c r="AB724" i="79"/>
  <c r="AA724" i="79"/>
  <c r="Z724" i="79"/>
  <c r="Y724" i="79"/>
  <c r="N724" i="79"/>
  <c r="AM723" i="79"/>
  <c r="AL721" i="79"/>
  <c r="AK721" i="79"/>
  <c r="AJ721" i="79"/>
  <c r="AI721" i="79"/>
  <c r="AH721" i="79"/>
  <c r="AG721" i="79"/>
  <c r="AF721" i="79"/>
  <c r="AE721" i="79"/>
  <c r="AD721" i="79"/>
  <c r="AC721" i="79"/>
  <c r="AB721" i="79"/>
  <c r="AA721" i="79"/>
  <c r="Z721" i="79"/>
  <c r="Y721" i="79"/>
  <c r="AM720" i="79"/>
  <c r="AL718" i="79"/>
  <c r="AK718" i="79"/>
  <c r="AJ718" i="79"/>
  <c r="AI718" i="79"/>
  <c r="AH718" i="79"/>
  <c r="AG718" i="79"/>
  <c r="AF718" i="79"/>
  <c r="AE718" i="79"/>
  <c r="AD718" i="79"/>
  <c r="AC718" i="79"/>
  <c r="AB718" i="79"/>
  <c r="AA718" i="79"/>
  <c r="Z718" i="79"/>
  <c r="Y718" i="79"/>
  <c r="N718" i="79"/>
  <c r="AM717" i="79"/>
  <c r="AL715" i="79"/>
  <c r="AK715" i="79"/>
  <c r="AJ715" i="79"/>
  <c r="AI715" i="79"/>
  <c r="AH715" i="79"/>
  <c r="AG715" i="79"/>
  <c r="AF715" i="79"/>
  <c r="AE715" i="79"/>
  <c r="AD715" i="79"/>
  <c r="AC715" i="79"/>
  <c r="AB715" i="79"/>
  <c r="AA715" i="79"/>
  <c r="Z715" i="79"/>
  <c r="Y715" i="79"/>
  <c r="N715" i="79"/>
  <c r="AM714" i="79"/>
  <c r="AL712" i="79"/>
  <c r="AK712" i="79"/>
  <c r="AJ712" i="79"/>
  <c r="AI712" i="79"/>
  <c r="AH712" i="79"/>
  <c r="AG712" i="79"/>
  <c r="AF712" i="79"/>
  <c r="AE712" i="79"/>
  <c r="AD712" i="79"/>
  <c r="AC712" i="79"/>
  <c r="AB712" i="79"/>
  <c r="AA712" i="79"/>
  <c r="Z712" i="79"/>
  <c r="Y712" i="79"/>
  <c r="N712" i="79"/>
  <c r="AM711" i="79"/>
  <c r="AL709" i="79"/>
  <c r="AK709" i="79"/>
  <c r="AJ709" i="79"/>
  <c r="AI709" i="79"/>
  <c r="AH709" i="79"/>
  <c r="AG709" i="79"/>
  <c r="AF709" i="79"/>
  <c r="AE709" i="79"/>
  <c r="AD709" i="79"/>
  <c r="AC709" i="79"/>
  <c r="AB709" i="79"/>
  <c r="AA709" i="79"/>
  <c r="Z709" i="79"/>
  <c r="Y709" i="79"/>
  <c r="N709" i="79"/>
  <c r="AM708" i="79"/>
  <c r="AL706" i="79"/>
  <c r="AK706" i="79"/>
  <c r="AJ706" i="79"/>
  <c r="AI706" i="79"/>
  <c r="AH706" i="79"/>
  <c r="AG706" i="79"/>
  <c r="AF706" i="79"/>
  <c r="AE706" i="79"/>
  <c r="AD706" i="79"/>
  <c r="AC706" i="79"/>
  <c r="AB706" i="79"/>
  <c r="AA706" i="79"/>
  <c r="Z706" i="79"/>
  <c r="Y706" i="79"/>
  <c r="N706" i="79"/>
  <c r="AM705" i="79"/>
  <c r="AL703" i="79"/>
  <c r="AK703" i="79"/>
  <c r="AJ703" i="79"/>
  <c r="AI703" i="79"/>
  <c r="AH703" i="79"/>
  <c r="AG703" i="79"/>
  <c r="AF703" i="79"/>
  <c r="AE703" i="79"/>
  <c r="AD703" i="79"/>
  <c r="AC703" i="79"/>
  <c r="AB703" i="79"/>
  <c r="AA703" i="79"/>
  <c r="Z703" i="79"/>
  <c r="Y703" i="79"/>
  <c r="N703" i="79"/>
  <c r="AM702" i="79"/>
  <c r="AL699" i="79"/>
  <c r="AK699" i="79"/>
  <c r="AJ699" i="79"/>
  <c r="AI699" i="79"/>
  <c r="AH699" i="79"/>
  <c r="AG699" i="79"/>
  <c r="AF699" i="79"/>
  <c r="AE699" i="79"/>
  <c r="AD699" i="79"/>
  <c r="AC699" i="79"/>
  <c r="AB699" i="79"/>
  <c r="AA699" i="79"/>
  <c r="Z699" i="79"/>
  <c r="Y699" i="79"/>
  <c r="N699" i="79"/>
  <c r="AM698" i="79"/>
  <c r="Q698" i="79"/>
  <c r="P698" i="79"/>
  <c r="O698" i="79"/>
  <c r="F698" i="79"/>
  <c r="E698" i="79"/>
  <c r="D698" i="79"/>
  <c r="AL696" i="79"/>
  <c r="AK696" i="79"/>
  <c r="AJ696" i="79"/>
  <c r="AI696" i="79"/>
  <c r="AH696" i="79"/>
  <c r="AG696" i="79"/>
  <c r="AF696" i="79"/>
  <c r="AE696" i="79"/>
  <c r="AD696" i="79"/>
  <c r="AC696" i="79"/>
  <c r="AB696" i="79"/>
  <c r="AA696" i="79"/>
  <c r="Z696" i="79"/>
  <c r="Y696" i="79"/>
  <c r="N696" i="79"/>
  <c r="AM695" i="79"/>
  <c r="AL693" i="79"/>
  <c r="AK693" i="79"/>
  <c r="AJ693" i="79"/>
  <c r="AI693" i="79"/>
  <c r="AH693" i="79"/>
  <c r="AG693" i="79"/>
  <c r="AF693" i="79"/>
  <c r="AE693" i="79"/>
  <c r="AD693" i="79"/>
  <c r="AC693" i="79"/>
  <c r="AB693" i="79"/>
  <c r="AA693" i="79"/>
  <c r="Z693" i="79"/>
  <c r="Y693" i="79"/>
  <c r="N693" i="79"/>
  <c r="AM692" i="79"/>
  <c r="AL689" i="79"/>
  <c r="AK689" i="79"/>
  <c r="AJ689" i="79"/>
  <c r="AI689" i="79"/>
  <c r="AH689" i="79"/>
  <c r="AG689" i="79"/>
  <c r="AF689" i="79"/>
  <c r="AE689" i="79"/>
  <c r="AD689" i="79"/>
  <c r="AC689" i="79"/>
  <c r="AB689" i="79"/>
  <c r="AA689" i="79"/>
  <c r="Z689" i="79"/>
  <c r="Y689" i="79"/>
  <c r="N689" i="79"/>
  <c r="AM688" i="79"/>
  <c r="AL686" i="79"/>
  <c r="AK686" i="79"/>
  <c r="AJ686" i="79"/>
  <c r="AI686" i="79"/>
  <c r="AH686" i="79"/>
  <c r="AG686" i="79"/>
  <c r="AF686" i="79"/>
  <c r="AE686" i="79"/>
  <c r="AD686" i="79"/>
  <c r="AC686" i="79"/>
  <c r="AB686" i="79"/>
  <c r="AA686" i="79"/>
  <c r="Z686" i="79"/>
  <c r="Y686" i="79"/>
  <c r="N686" i="79"/>
  <c r="AM685" i="79"/>
  <c r="AL683" i="79"/>
  <c r="AK683" i="79"/>
  <c r="AJ683" i="79"/>
  <c r="AI683" i="79"/>
  <c r="AH683" i="79"/>
  <c r="AG683" i="79"/>
  <c r="AF683" i="79"/>
  <c r="AE683" i="79"/>
  <c r="AD683" i="79"/>
  <c r="AC683" i="79"/>
  <c r="AB683" i="79"/>
  <c r="AA683" i="79"/>
  <c r="Z683" i="79"/>
  <c r="Y683" i="79"/>
  <c r="N683" i="79"/>
  <c r="AM682" i="79"/>
  <c r="AL680" i="79"/>
  <c r="AK680" i="79"/>
  <c r="AJ680" i="79"/>
  <c r="AI680" i="79"/>
  <c r="AH680" i="79"/>
  <c r="AG680" i="79"/>
  <c r="AF680" i="79"/>
  <c r="AE680" i="79"/>
  <c r="AD680" i="79"/>
  <c r="AC680" i="79"/>
  <c r="AB680" i="79"/>
  <c r="AA680" i="79"/>
  <c r="Z680" i="79"/>
  <c r="Y680" i="79"/>
  <c r="N680" i="79"/>
  <c r="AM679" i="79"/>
  <c r="AL677" i="79"/>
  <c r="AK677" i="79"/>
  <c r="AJ677" i="79"/>
  <c r="AI677" i="79"/>
  <c r="AH677" i="79"/>
  <c r="AG677" i="79"/>
  <c r="AF677" i="79"/>
  <c r="AE677" i="79"/>
  <c r="AD677" i="79"/>
  <c r="AC677" i="79"/>
  <c r="AB677" i="79"/>
  <c r="AA677" i="79"/>
  <c r="Z677" i="79"/>
  <c r="Y677" i="79"/>
  <c r="N677" i="79"/>
  <c r="AM676" i="79"/>
  <c r="Q676" i="79"/>
  <c r="P676" i="79"/>
  <c r="O676" i="79"/>
  <c r="F676" i="79"/>
  <c r="E676" i="79"/>
  <c r="D676" i="79"/>
  <c r="AL674" i="79"/>
  <c r="AK674" i="79"/>
  <c r="AJ674" i="79"/>
  <c r="AI674" i="79"/>
  <c r="AH674" i="79"/>
  <c r="AG674" i="79"/>
  <c r="AF674" i="79"/>
  <c r="AE674" i="79"/>
  <c r="AD674" i="79"/>
  <c r="AC674" i="79"/>
  <c r="AB674" i="79"/>
  <c r="AA674" i="79"/>
  <c r="Z674" i="79"/>
  <c r="Y674" i="79"/>
  <c r="N674" i="79"/>
  <c r="AM673" i="79"/>
  <c r="AB673" i="79"/>
  <c r="AA673" i="79"/>
  <c r="Z673" i="79"/>
  <c r="Q673" i="79"/>
  <c r="P673" i="79"/>
  <c r="O673" i="79"/>
  <c r="F673" i="79"/>
  <c r="E673" i="79"/>
  <c r="D673" i="79"/>
  <c r="AL671" i="79"/>
  <c r="AK671" i="79"/>
  <c r="AJ671" i="79"/>
  <c r="AI671" i="79"/>
  <c r="AH671" i="79"/>
  <c r="AG671" i="79"/>
  <c r="AF671" i="79"/>
  <c r="AE671" i="79"/>
  <c r="AD671" i="79"/>
  <c r="AC671" i="79"/>
  <c r="AB671" i="79"/>
  <c r="AA671" i="79"/>
  <c r="Z671" i="79"/>
  <c r="Y671" i="79"/>
  <c r="N671" i="79"/>
  <c r="AM670" i="79"/>
  <c r="Q670" i="79"/>
  <c r="P670" i="79"/>
  <c r="O670" i="79"/>
  <c r="F670" i="79"/>
  <c r="E670" i="79"/>
  <c r="D670" i="79"/>
  <c r="AL668" i="79"/>
  <c r="AK668" i="79"/>
  <c r="AJ668" i="79"/>
  <c r="AI668" i="79"/>
  <c r="AH668" i="79"/>
  <c r="AG668" i="79"/>
  <c r="AF668" i="79"/>
  <c r="AE668" i="79"/>
  <c r="AD668" i="79"/>
  <c r="AC668" i="79"/>
  <c r="AB668" i="79"/>
  <c r="AA668" i="79"/>
  <c r="Z668" i="79"/>
  <c r="Y668" i="79"/>
  <c r="N668" i="79"/>
  <c r="AM667" i="79"/>
  <c r="AL664" i="79"/>
  <c r="AK664" i="79"/>
  <c r="AJ664" i="79"/>
  <c r="AI664" i="79"/>
  <c r="AH664" i="79"/>
  <c r="AG664" i="79"/>
  <c r="AF664" i="79"/>
  <c r="AE664" i="79"/>
  <c r="AD664" i="79"/>
  <c r="AC664" i="79"/>
  <c r="AB664" i="79"/>
  <c r="AA664" i="79"/>
  <c r="Z664" i="79"/>
  <c r="Y664" i="79"/>
  <c r="AM663" i="79"/>
  <c r="Q663" i="79"/>
  <c r="P663" i="79"/>
  <c r="O663" i="79"/>
  <c r="F663" i="79"/>
  <c r="E663" i="79"/>
  <c r="D663" i="79"/>
  <c r="AL661" i="79"/>
  <c r="AK661" i="79"/>
  <c r="AJ661" i="79"/>
  <c r="AI661" i="79"/>
  <c r="AH661" i="79"/>
  <c r="AG661" i="79"/>
  <c r="AF661" i="79"/>
  <c r="AE661" i="79"/>
  <c r="AD661" i="79"/>
  <c r="AC661" i="79"/>
  <c r="AB661" i="79"/>
  <c r="AA661" i="79"/>
  <c r="Z661" i="79"/>
  <c r="Y661" i="79"/>
  <c r="AM660" i="79"/>
  <c r="Q660" i="79"/>
  <c r="P660" i="79"/>
  <c r="O660" i="79"/>
  <c r="F660" i="79"/>
  <c r="E660" i="79"/>
  <c r="D660" i="79"/>
  <c r="AL658" i="79"/>
  <c r="AK658" i="79"/>
  <c r="AJ658" i="79"/>
  <c r="AI658" i="79"/>
  <c r="AH658" i="79"/>
  <c r="AG658" i="79"/>
  <c r="AF658" i="79"/>
  <c r="AE658" i="79"/>
  <c r="AD658" i="79"/>
  <c r="AC658" i="79"/>
  <c r="AB658" i="79"/>
  <c r="AA658" i="79"/>
  <c r="Z658" i="79"/>
  <c r="Y658" i="79"/>
  <c r="AM657" i="79"/>
  <c r="Q657" i="79"/>
  <c r="P657" i="79"/>
  <c r="O657" i="79"/>
  <c r="F657" i="79"/>
  <c r="E657" i="79"/>
  <c r="D657" i="79"/>
  <c r="AL655" i="79"/>
  <c r="AK655" i="79"/>
  <c r="AJ655" i="79"/>
  <c r="AI655" i="79"/>
  <c r="AH655" i="79"/>
  <c r="AG655" i="79"/>
  <c r="AF655" i="79"/>
  <c r="AE655" i="79"/>
  <c r="AD655" i="79"/>
  <c r="AC655" i="79"/>
  <c r="AB655" i="79"/>
  <c r="AA655" i="79"/>
  <c r="Z655" i="79"/>
  <c r="Y655" i="79"/>
  <c r="AM654" i="79"/>
  <c r="AL650" i="79"/>
  <c r="AK650" i="79"/>
  <c r="AJ650" i="79"/>
  <c r="AI650" i="79"/>
  <c r="AH650" i="79"/>
  <c r="AG650" i="79"/>
  <c r="AF650" i="79"/>
  <c r="AE650" i="79"/>
  <c r="AD650" i="79"/>
  <c r="AC650" i="79"/>
  <c r="AB650" i="79"/>
  <c r="AA650" i="79"/>
  <c r="Z650" i="79"/>
  <c r="Y650" i="79"/>
  <c r="N650" i="79"/>
  <c r="AM649" i="79"/>
  <c r="AL647" i="79"/>
  <c r="AK647" i="79"/>
  <c r="AJ647" i="79"/>
  <c r="AI647" i="79"/>
  <c r="AH647" i="79"/>
  <c r="AG647" i="79"/>
  <c r="AF647" i="79"/>
  <c r="AE647" i="79"/>
  <c r="AD647" i="79"/>
  <c r="AC647" i="79"/>
  <c r="AB647" i="79"/>
  <c r="AA647" i="79"/>
  <c r="Z647" i="79"/>
  <c r="Y647" i="79"/>
  <c r="N647" i="79"/>
  <c r="AM646" i="79"/>
  <c r="AL644" i="79"/>
  <c r="AK644" i="79"/>
  <c r="AJ644" i="79"/>
  <c r="AI644" i="79"/>
  <c r="AH644" i="79"/>
  <c r="AG644" i="79"/>
  <c r="AF644" i="79"/>
  <c r="AE644" i="79"/>
  <c r="AD644" i="79"/>
  <c r="AC644" i="79"/>
  <c r="AB644" i="79"/>
  <c r="AA644" i="79"/>
  <c r="Z644" i="79"/>
  <c r="Y644" i="79"/>
  <c r="N644" i="79"/>
  <c r="AM643" i="79"/>
  <c r="AL641" i="79"/>
  <c r="AK641" i="79"/>
  <c r="AJ641" i="79"/>
  <c r="AI641" i="79"/>
  <c r="AH641" i="79"/>
  <c r="AG641" i="79"/>
  <c r="AF641" i="79"/>
  <c r="AE641" i="79"/>
  <c r="AD641" i="79"/>
  <c r="AC641" i="79"/>
  <c r="AB641" i="79"/>
  <c r="AA641" i="79"/>
  <c r="Z641" i="79"/>
  <c r="Y641" i="79"/>
  <c r="N641" i="79"/>
  <c r="AM640" i="79"/>
  <c r="AL637" i="79"/>
  <c r="AK637" i="79"/>
  <c r="AJ637" i="79"/>
  <c r="AI637" i="79"/>
  <c r="AH637" i="79"/>
  <c r="AG637" i="79"/>
  <c r="AF637" i="79"/>
  <c r="AE637" i="79"/>
  <c r="AD637" i="79"/>
  <c r="AC637" i="79"/>
  <c r="AB637" i="79"/>
  <c r="AA637" i="79"/>
  <c r="Z637" i="79"/>
  <c r="Y637" i="79"/>
  <c r="N637" i="79"/>
  <c r="AM636" i="79"/>
  <c r="AL634" i="79"/>
  <c r="AK634" i="79"/>
  <c r="AJ634" i="79"/>
  <c r="AI634" i="79"/>
  <c r="AH634" i="79"/>
  <c r="AG634" i="79"/>
  <c r="AF634" i="79"/>
  <c r="AE634" i="79"/>
  <c r="AD634" i="79"/>
  <c r="AC634" i="79"/>
  <c r="AB634" i="79"/>
  <c r="AA634" i="79"/>
  <c r="Z634" i="79"/>
  <c r="Y634" i="79"/>
  <c r="N634" i="79"/>
  <c r="AM633" i="79"/>
  <c r="AL630" i="79"/>
  <c r="AK630" i="79"/>
  <c r="AJ630" i="79"/>
  <c r="AI630" i="79"/>
  <c r="AH630" i="79"/>
  <c r="AG630" i="79"/>
  <c r="AF630" i="79"/>
  <c r="AE630" i="79"/>
  <c r="AD630" i="79"/>
  <c r="AC630" i="79"/>
  <c r="AB630" i="79"/>
  <c r="AA630" i="79"/>
  <c r="Z630" i="79"/>
  <c r="Y630" i="79"/>
  <c r="N630" i="79"/>
  <c r="AM629" i="79"/>
  <c r="AL626" i="79"/>
  <c r="AK626" i="79"/>
  <c r="AJ626" i="79"/>
  <c r="AI626" i="79"/>
  <c r="AH626" i="79"/>
  <c r="AG626" i="79"/>
  <c r="AF626" i="79"/>
  <c r="AE626" i="79"/>
  <c r="AD626" i="79"/>
  <c r="AC626" i="79"/>
  <c r="AB626" i="79"/>
  <c r="AA626" i="79"/>
  <c r="Z626" i="79"/>
  <c r="Y626" i="79"/>
  <c r="N626" i="79"/>
  <c r="AM625" i="79"/>
  <c r="AL623" i="79"/>
  <c r="AK623" i="79"/>
  <c r="AJ623" i="79"/>
  <c r="AI623" i="79"/>
  <c r="AH623" i="79"/>
  <c r="AG623" i="79"/>
  <c r="AF623" i="79"/>
  <c r="AE623" i="79"/>
  <c r="AD623" i="79"/>
  <c r="AC623" i="79"/>
  <c r="AB623" i="79"/>
  <c r="AA623" i="79"/>
  <c r="Z623" i="79"/>
  <c r="Y623" i="79"/>
  <c r="N623" i="79"/>
  <c r="AM622" i="79"/>
  <c r="AL620" i="79"/>
  <c r="AK620" i="79"/>
  <c r="AJ620" i="79"/>
  <c r="AI620" i="79"/>
  <c r="AH620" i="79"/>
  <c r="AG620" i="79"/>
  <c r="AF620" i="79"/>
  <c r="AE620" i="79"/>
  <c r="AD620" i="79"/>
  <c r="AC620" i="79"/>
  <c r="AB620" i="79"/>
  <c r="AA620" i="79"/>
  <c r="Z620" i="79"/>
  <c r="Y620" i="79"/>
  <c r="N620" i="79"/>
  <c r="AM619" i="79"/>
  <c r="AL616" i="79"/>
  <c r="AK616" i="79"/>
  <c r="AJ616" i="79"/>
  <c r="AI616" i="79"/>
  <c r="AH616" i="79"/>
  <c r="AG616" i="79"/>
  <c r="AF616" i="79"/>
  <c r="AE616" i="79"/>
  <c r="AD616" i="79"/>
  <c r="AC616" i="79"/>
  <c r="AB616" i="79"/>
  <c r="AA616" i="79"/>
  <c r="Z616" i="79"/>
  <c r="Y616" i="79"/>
  <c r="N616" i="79"/>
  <c r="AM615" i="79"/>
  <c r="AL613" i="79"/>
  <c r="AK613" i="79"/>
  <c r="AJ613" i="79"/>
  <c r="AI613" i="79"/>
  <c r="AH613" i="79"/>
  <c r="AG613" i="79"/>
  <c r="AF613" i="79"/>
  <c r="AE613" i="79"/>
  <c r="AD613" i="79"/>
  <c r="AC613" i="79"/>
  <c r="AB613" i="79"/>
  <c r="AA613" i="79"/>
  <c r="Z613" i="79"/>
  <c r="Y613" i="79"/>
  <c r="N613" i="79"/>
  <c r="AM612" i="79"/>
  <c r="AL610" i="79"/>
  <c r="AK610" i="79"/>
  <c r="AJ610" i="79"/>
  <c r="AI610" i="79"/>
  <c r="AH610" i="79"/>
  <c r="AG610" i="79"/>
  <c r="AF610" i="79"/>
  <c r="AE610" i="79"/>
  <c r="AD610" i="79"/>
  <c r="AC610" i="79"/>
  <c r="AB610" i="79"/>
  <c r="AA610" i="79"/>
  <c r="Z610" i="79"/>
  <c r="Y610" i="79"/>
  <c r="N610" i="79"/>
  <c r="AM609" i="79"/>
  <c r="AL607" i="79"/>
  <c r="AK607" i="79"/>
  <c r="AJ607" i="79"/>
  <c r="AI607" i="79"/>
  <c r="AH607" i="79"/>
  <c r="AG607" i="79"/>
  <c r="AF607" i="79"/>
  <c r="AE607" i="79"/>
  <c r="AD607" i="79"/>
  <c r="AC607" i="79"/>
  <c r="AB607" i="79"/>
  <c r="AA607" i="79"/>
  <c r="Z607" i="79"/>
  <c r="Y607" i="79"/>
  <c r="N607" i="79"/>
  <c r="AM606" i="79"/>
  <c r="AL604" i="79"/>
  <c r="AK604" i="79"/>
  <c r="AJ604" i="79"/>
  <c r="AI604" i="79"/>
  <c r="AH604" i="79"/>
  <c r="AG604" i="79"/>
  <c r="AF604" i="79"/>
  <c r="AE604" i="79"/>
  <c r="AD604" i="79"/>
  <c r="AC604" i="79"/>
  <c r="AB604" i="79"/>
  <c r="AA604" i="79"/>
  <c r="Z604" i="79"/>
  <c r="Y604" i="79"/>
  <c r="N604" i="79"/>
  <c r="AM603" i="79"/>
  <c r="AL600" i="79"/>
  <c r="AK600" i="79"/>
  <c r="AJ600" i="79"/>
  <c r="AI600" i="79"/>
  <c r="AH600" i="79"/>
  <c r="AG600" i="79"/>
  <c r="AF600" i="79"/>
  <c r="AE600" i="79"/>
  <c r="AD600" i="79"/>
  <c r="AC600" i="79"/>
  <c r="AB600" i="79"/>
  <c r="AA600" i="79"/>
  <c r="Z600" i="79"/>
  <c r="Y600" i="79"/>
  <c r="AM599" i="79"/>
  <c r="AL597" i="79"/>
  <c r="AK597" i="79"/>
  <c r="AJ597" i="79"/>
  <c r="AI597" i="79"/>
  <c r="AH597" i="79"/>
  <c r="AG597" i="79"/>
  <c r="AF597" i="79"/>
  <c r="AE597" i="79"/>
  <c r="AD597" i="79"/>
  <c r="AC597" i="79"/>
  <c r="AB597" i="79"/>
  <c r="AA597" i="79"/>
  <c r="Z597" i="79"/>
  <c r="Y597" i="79"/>
  <c r="AM596" i="79"/>
  <c r="AL594" i="79"/>
  <c r="AK594" i="79"/>
  <c r="AJ594" i="79"/>
  <c r="AI594" i="79"/>
  <c r="AH594" i="79"/>
  <c r="AG594" i="79"/>
  <c r="AF594" i="79"/>
  <c r="AE594" i="79"/>
  <c r="AD594" i="79"/>
  <c r="AC594" i="79"/>
  <c r="AB594" i="79"/>
  <c r="AA594" i="79"/>
  <c r="Z594" i="79"/>
  <c r="Y594" i="79"/>
  <c r="AM593" i="79"/>
  <c r="AL591" i="79"/>
  <c r="AK591" i="79"/>
  <c r="AJ591" i="79"/>
  <c r="AI591" i="79"/>
  <c r="AH591" i="79"/>
  <c r="AG591" i="79"/>
  <c r="AF591" i="79"/>
  <c r="AE591" i="79"/>
  <c r="AD591" i="79"/>
  <c r="AC591" i="79"/>
  <c r="AB591" i="79"/>
  <c r="AA591" i="79"/>
  <c r="Z591" i="79"/>
  <c r="Y591" i="79"/>
  <c r="AM590" i="79"/>
  <c r="AL588" i="79"/>
  <c r="AK588" i="79"/>
  <c r="AJ588" i="79"/>
  <c r="AI588" i="79"/>
  <c r="AH588" i="79"/>
  <c r="AG588" i="79"/>
  <c r="AF588" i="79"/>
  <c r="AE588" i="79"/>
  <c r="AD588" i="79"/>
  <c r="AC588" i="79"/>
  <c r="AB588" i="79"/>
  <c r="AA588" i="79"/>
  <c r="Z588" i="79"/>
  <c r="Y588" i="79"/>
  <c r="AM587" i="79"/>
  <c r="AL585" i="79"/>
  <c r="AK585" i="79"/>
  <c r="AJ585" i="79"/>
  <c r="AI585" i="79"/>
  <c r="AH585" i="79"/>
  <c r="AG585" i="79"/>
  <c r="AF585" i="79"/>
  <c r="AE585" i="79"/>
  <c r="AD585" i="79"/>
  <c r="AC585" i="79"/>
  <c r="AB585" i="79"/>
  <c r="AA585" i="79"/>
  <c r="Z585" i="79"/>
  <c r="Y585" i="79"/>
  <c r="AM584" i="79"/>
  <c r="AL584" i="79"/>
  <c r="AK584" i="79"/>
  <c r="AJ584" i="79"/>
  <c r="AI584" i="79"/>
  <c r="AH584" i="79"/>
  <c r="AG584" i="79"/>
  <c r="AF584" i="79"/>
  <c r="AE584" i="79"/>
  <c r="AD584" i="79"/>
  <c r="AC584" i="79"/>
  <c r="AB584" i="79"/>
  <c r="AA584" i="79"/>
  <c r="Z584" i="79"/>
  <c r="Y584" i="79"/>
  <c r="AL578" i="79"/>
  <c r="AK578" i="79"/>
  <c r="AJ578" i="79"/>
  <c r="AI578" i="79"/>
  <c r="AH578" i="79"/>
  <c r="AG578" i="79"/>
  <c r="AF578" i="79"/>
  <c r="AE578" i="79"/>
  <c r="AD578" i="79"/>
  <c r="AC578" i="79"/>
  <c r="AB578" i="79"/>
  <c r="AA578" i="79"/>
  <c r="Z578" i="79"/>
  <c r="Y578" i="79"/>
  <c r="AL577" i="79"/>
  <c r="AK577" i="79"/>
  <c r="AJ577" i="79"/>
  <c r="AI577" i="79"/>
  <c r="AH577" i="79"/>
  <c r="AG577" i="79"/>
  <c r="AF577" i="79"/>
  <c r="AE577" i="79"/>
  <c r="AD577" i="79"/>
  <c r="AC577" i="79"/>
  <c r="AB577" i="79"/>
  <c r="AA577" i="79"/>
  <c r="Z577" i="79"/>
  <c r="Y577" i="79"/>
  <c r="AL576" i="79"/>
  <c r="AK576" i="79"/>
  <c r="AJ576" i="79"/>
  <c r="AI576" i="79"/>
  <c r="AH576" i="79"/>
  <c r="AG576" i="79"/>
  <c r="AF576" i="79"/>
  <c r="AE576" i="79"/>
  <c r="AD576" i="79"/>
  <c r="AC576" i="79"/>
  <c r="AB576" i="79"/>
  <c r="AA576" i="79"/>
  <c r="Z576" i="79"/>
  <c r="Y576" i="79"/>
  <c r="AM574" i="79"/>
  <c r="AM573" i="79"/>
  <c r="AL573" i="79"/>
  <c r="AK573" i="79"/>
  <c r="AJ573" i="79"/>
  <c r="AI573" i="79"/>
  <c r="AH573" i="79"/>
  <c r="AG573" i="79"/>
  <c r="AF573" i="79"/>
  <c r="AE573" i="79"/>
  <c r="AD573" i="79"/>
  <c r="AC573" i="79"/>
  <c r="AB573" i="79"/>
  <c r="AA573" i="79"/>
  <c r="Z573" i="79"/>
  <c r="Y573" i="79"/>
  <c r="AM572" i="79"/>
  <c r="AL572" i="79"/>
  <c r="AK572" i="79"/>
  <c r="AJ572" i="79"/>
  <c r="AI572" i="79"/>
  <c r="AH572" i="79"/>
  <c r="AG572" i="79"/>
  <c r="AF572" i="79"/>
  <c r="AE572" i="79"/>
  <c r="AD572" i="79"/>
  <c r="AC572" i="79"/>
  <c r="AB572" i="79"/>
  <c r="AA572" i="79"/>
  <c r="Z572" i="79"/>
  <c r="Y572" i="79"/>
  <c r="AM571" i="79"/>
  <c r="AL571" i="79"/>
  <c r="AK571" i="79"/>
  <c r="AJ571" i="79"/>
  <c r="AI571" i="79"/>
  <c r="AH571" i="79"/>
  <c r="AG571" i="79"/>
  <c r="AF571" i="79"/>
  <c r="AE571" i="79"/>
  <c r="AD571" i="79"/>
  <c r="AC571" i="79"/>
  <c r="AB571" i="79"/>
  <c r="AA571" i="79"/>
  <c r="Z571" i="79"/>
  <c r="Y571" i="79"/>
  <c r="AM570" i="79"/>
  <c r="AL570" i="79"/>
  <c r="AK570" i="79"/>
  <c r="AJ570" i="79"/>
  <c r="AI570" i="79"/>
  <c r="AH570" i="79"/>
  <c r="AG570" i="79"/>
  <c r="AF570" i="79"/>
  <c r="AE570" i="79"/>
  <c r="AD570" i="79"/>
  <c r="AC570" i="79"/>
  <c r="AB570" i="79"/>
  <c r="AA570" i="79"/>
  <c r="Z570" i="79"/>
  <c r="Y570" i="79"/>
  <c r="AM569" i="79"/>
  <c r="AL569" i="79"/>
  <c r="AK569" i="79"/>
  <c r="AJ569" i="79"/>
  <c r="AI569" i="79"/>
  <c r="AH569" i="79"/>
  <c r="AG569" i="79"/>
  <c r="AF569" i="79"/>
  <c r="AE569" i="79"/>
  <c r="AD569" i="79"/>
  <c r="AC569" i="79"/>
  <c r="AB569" i="79"/>
  <c r="AA569" i="79"/>
  <c r="Z569" i="79"/>
  <c r="Y569" i="79"/>
  <c r="AM568" i="79"/>
  <c r="AL568" i="79"/>
  <c r="AK568" i="79"/>
  <c r="AJ568" i="79"/>
  <c r="AI568" i="79"/>
  <c r="AH568" i="79"/>
  <c r="AG568" i="79"/>
  <c r="AF568" i="79"/>
  <c r="AE568" i="79"/>
  <c r="AD568" i="79"/>
  <c r="AC568" i="79"/>
  <c r="AB568" i="79"/>
  <c r="AA568" i="79"/>
  <c r="Z568" i="79"/>
  <c r="Y568" i="79"/>
  <c r="AM567" i="79"/>
  <c r="AL567" i="79"/>
  <c r="AK567" i="79"/>
  <c r="AJ567" i="79"/>
  <c r="AI567" i="79"/>
  <c r="AH567" i="79"/>
  <c r="AG567" i="79"/>
  <c r="AF567" i="79"/>
  <c r="AE567" i="79"/>
  <c r="AD567" i="79"/>
  <c r="AC567" i="79"/>
  <c r="AB567" i="79"/>
  <c r="AA567" i="79"/>
  <c r="Z567" i="79"/>
  <c r="Y567" i="79"/>
  <c r="AM566" i="79"/>
  <c r="AL566" i="79"/>
  <c r="AK566" i="79"/>
  <c r="AJ566" i="79"/>
  <c r="AI566" i="79"/>
  <c r="AH566" i="79"/>
  <c r="AG566" i="79"/>
  <c r="AF566" i="79"/>
  <c r="AE566" i="79"/>
  <c r="AD566" i="79"/>
  <c r="AC566" i="79"/>
  <c r="AB566" i="79"/>
  <c r="AA566" i="79"/>
  <c r="Z566" i="79"/>
  <c r="Y566" i="79"/>
  <c r="AM565" i="79"/>
  <c r="AL565" i="79"/>
  <c r="AK565" i="79"/>
  <c r="AJ565" i="79"/>
  <c r="AI565" i="79"/>
  <c r="AH565" i="79"/>
  <c r="AG565" i="79"/>
  <c r="AF565" i="79"/>
  <c r="AE565" i="79"/>
  <c r="AD565" i="79"/>
  <c r="AC565" i="79"/>
  <c r="AB565" i="79"/>
  <c r="AA565" i="79"/>
  <c r="Z565" i="79"/>
  <c r="Y565" i="79"/>
  <c r="AL564" i="79"/>
  <c r="AK564" i="79"/>
  <c r="AJ564" i="79"/>
  <c r="AI564" i="79"/>
  <c r="AH564" i="79"/>
  <c r="AG564" i="79"/>
  <c r="AF564" i="79"/>
  <c r="AE564" i="79"/>
  <c r="AD564" i="79"/>
  <c r="AC564" i="79"/>
  <c r="AB564" i="79"/>
  <c r="AA564" i="79"/>
  <c r="Z564" i="79"/>
  <c r="Y564" i="79"/>
  <c r="AL562" i="79"/>
  <c r="AK562" i="79"/>
  <c r="AJ562" i="79"/>
  <c r="AI562" i="79"/>
  <c r="AH562" i="79"/>
  <c r="AG562" i="79"/>
  <c r="AF562" i="79"/>
  <c r="AE562" i="79"/>
  <c r="AD562" i="79"/>
  <c r="AC562" i="79"/>
  <c r="AB562" i="79"/>
  <c r="AA562" i="79"/>
  <c r="Z562" i="79"/>
  <c r="Y562" i="79"/>
  <c r="AL561" i="79"/>
  <c r="AK561" i="79"/>
  <c r="AJ561" i="79"/>
  <c r="AI561" i="79"/>
  <c r="AH561" i="79"/>
  <c r="AG561" i="79"/>
  <c r="AF561" i="79"/>
  <c r="AE561" i="79"/>
  <c r="AD561" i="79"/>
  <c r="AC561" i="79"/>
  <c r="AB561" i="79"/>
  <c r="AA561" i="79"/>
  <c r="Z561" i="79"/>
  <c r="Y561" i="79"/>
  <c r="O561" i="79"/>
  <c r="D561" i="79"/>
  <c r="AL559" i="79"/>
  <c r="AK559" i="79"/>
  <c r="AJ559" i="79"/>
  <c r="AI559" i="79"/>
  <c r="AH559" i="79"/>
  <c r="AG559" i="79"/>
  <c r="AF559" i="79"/>
  <c r="AE559" i="79"/>
  <c r="AD559" i="79"/>
  <c r="AC559" i="79"/>
  <c r="AB559" i="79"/>
  <c r="AA559" i="79"/>
  <c r="Z559" i="79"/>
  <c r="Y559" i="79"/>
  <c r="N559" i="79"/>
  <c r="AM558" i="79"/>
  <c r="AL556" i="79"/>
  <c r="AK556" i="79"/>
  <c r="AJ556" i="79"/>
  <c r="AI556" i="79"/>
  <c r="AH556" i="79"/>
  <c r="AG556" i="79"/>
  <c r="AF556" i="79"/>
  <c r="AE556" i="79"/>
  <c r="AD556" i="79"/>
  <c r="AC556" i="79"/>
  <c r="AB556" i="79"/>
  <c r="AA556" i="79"/>
  <c r="Z556" i="79"/>
  <c r="Y556" i="79"/>
  <c r="N556" i="79"/>
  <c r="AM555" i="79"/>
  <c r="AL553" i="79"/>
  <c r="AK553" i="79"/>
  <c r="AJ553" i="79"/>
  <c r="AI553" i="79"/>
  <c r="AH553" i="79"/>
  <c r="AG553" i="79"/>
  <c r="AF553" i="79"/>
  <c r="AE553" i="79"/>
  <c r="AD553" i="79"/>
  <c r="AC553" i="79"/>
  <c r="AB553" i="79"/>
  <c r="AA553" i="79"/>
  <c r="Z553" i="79"/>
  <c r="Y553" i="79"/>
  <c r="N553" i="79"/>
  <c r="AM552" i="79"/>
  <c r="AL550" i="79"/>
  <c r="AK550" i="79"/>
  <c r="AJ550" i="79"/>
  <c r="AI550" i="79"/>
  <c r="AH550" i="79"/>
  <c r="AG550" i="79"/>
  <c r="AF550" i="79"/>
  <c r="AE550" i="79"/>
  <c r="AD550" i="79"/>
  <c r="AC550" i="79"/>
  <c r="AB550" i="79"/>
  <c r="AA550" i="79"/>
  <c r="Z550" i="79"/>
  <c r="Y550" i="79"/>
  <c r="N550" i="79"/>
  <c r="AM549" i="79"/>
  <c r="AL547" i="79"/>
  <c r="AK547" i="79"/>
  <c r="AJ547" i="79"/>
  <c r="AI547" i="79"/>
  <c r="AH547" i="79"/>
  <c r="AG547" i="79"/>
  <c r="AF547" i="79"/>
  <c r="AE547" i="79"/>
  <c r="AD547" i="79"/>
  <c r="AC547" i="79"/>
  <c r="AB547" i="79"/>
  <c r="AA547" i="79"/>
  <c r="Z547" i="79"/>
  <c r="Y547" i="79"/>
  <c r="N547" i="79"/>
  <c r="AM546" i="79"/>
  <c r="AL544" i="79"/>
  <c r="AK544" i="79"/>
  <c r="AJ544" i="79"/>
  <c r="AI544" i="79"/>
  <c r="AH544" i="79"/>
  <c r="AG544" i="79"/>
  <c r="AF544" i="79"/>
  <c r="AE544" i="79"/>
  <c r="AD544" i="79"/>
  <c r="AC544" i="79"/>
  <c r="AB544" i="79"/>
  <c r="AA544" i="79"/>
  <c r="Z544" i="79"/>
  <c r="Y544" i="79"/>
  <c r="N544" i="79"/>
  <c r="AM543" i="79"/>
  <c r="AL541" i="79"/>
  <c r="AK541" i="79"/>
  <c r="AJ541" i="79"/>
  <c r="AI541" i="79"/>
  <c r="AH541" i="79"/>
  <c r="AG541" i="79"/>
  <c r="AF541" i="79"/>
  <c r="AE541" i="79"/>
  <c r="AD541" i="79"/>
  <c r="AC541" i="79"/>
  <c r="AB541" i="79"/>
  <c r="AA541" i="79"/>
  <c r="Z541" i="79"/>
  <c r="Y541" i="79"/>
  <c r="N541" i="79"/>
  <c r="AM540" i="79"/>
  <c r="AL538" i="79"/>
  <c r="AK538" i="79"/>
  <c r="AJ538" i="79"/>
  <c r="AI538" i="79"/>
  <c r="AH538" i="79"/>
  <c r="AG538" i="79"/>
  <c r="AF538" i="79"/>
  <c r="AE538" i="79"/>
  <c r="AD538" i="79"/>
  <c r="AC538" i="79"/>
  <c r="AB538" i="79"/>
  <c r="AA538" i="79"/>
  <c r="Z538" i="79"/>
  <c r="Y538" i="79"/>
  <c r="AM537" i="79"/>
  <c r="AL535" i="79"/>
  <c r="AK535" i="79"/>
  <c r="AJ535" i="79"/>
  <c r="AI535" i="79"/>
  <c r="AH535" i="79"/>
  <c r="AG535" i="79"/>
  <c r="AF535" i="79"/>
  <c r="AE535" i="79"/>
  <c r="AD535" i="79"/>
  <c r="AC535" i="79"/>
  <c r="AB535" i="79"/>
  <c r="AA535" i="79"/>
  <c r="Z535" i="79"/>
  <c r="Y535" i="79"/>
  <c r="N535" i="79"/>
  <c r="AM534" i="79"/>
  <c r="AL532" i="79"/>
  <c r="AK532" i="79"/>
  <c r="AJ532" i="79"/>
  <c r="AI532" i="79"/>
  <c r="AH532" i="79"/>
  <c r="AG532" i="79"/>
  <c r="AF532" i="79"/>
  <c r="AE532" i="79"/>
  <c r="AD532" i="79"/>
  <c r="AC532" i="79"/>
  <c r="AB532" i="79"/>
  <c r="AA532" i="79"/>
  <c r="Z532" i="79"/>
  <c r="Y532" i="79"/>
  <c r="N532" i="79"/>
  <c r="AM531" i="79"/>
  <c r="AL529" i="79"/>
  <c r="AK529" i="79"/>
  <c r="AJ529" i="79"/>
  <c r="AI529" i="79"/>
  <c r="AH529" i="79"/>
  <c r="AG529" i="79"/>
  <c r="AF529" i="79"/>
  <c r="AE529" i="79"/>
  <c r="AD529" i="79"/>
  <c r="AC529" i="79"/>
  <c r="AB529" i="79"/>
  <c r="AA529" i="79"/>
  <c r="Z529" i="79"/>
  <c r="Y529" i="79"/>
  <c r="N529" i="79"/>
  <c r="AM528" i="79"/>
  <c r="AL526" i="79"/>
  <c r="AK526" i="79"/>
  <c r="AJ526" i="79"/>
  <c r="AI526" i="79"/>
  <c r="AH526" i="79"/>
  <c r="AG526" i="79"/>
  <c r="AF526" i="79"/>
  <c r="AE526" i="79"/>
  <c r="AD526" i="79"/>
  <c r="AC526" i="79"/>
  <c r="AB526" i="79"/>
  <c r="AA526" i="79"/>
  <c r="Z526" i="79"/>
  <c r="Y526" i="79"/>
  <c r="N526" i="79"/>
  <c r="AM525" i="79"/>
  <c r="O525" i="79"/>
  <c r="F525" i="79"/>
  <c r="E525" i="79"/>
  <c r="D525" i="79"/>
  <c r="B525" i="79"/>
  <c r="AL523" i="79"/>
  <c r="AK523" i="79"/>
  <c r="AJ523" i="79"/>
  <c r="AI523" i="79"/>
  <c r="AH523" i="79"/>
  <c r="AG523" i="79"/>
  <c r="AF523" i="79"/>
  <c r="AE523" i="79"/>
  <c r="AD523" i="79"/>
  <c r="AC523" i="79"/>
  <c r="AB523" i="79"/>
  <c r="AA523" i="79"/>
  <c r="Z523" i="79"/>
  <c r="Y523" i="79"/>
  <c r="N523" i="79"/>
  <c r="AM522" i="79"/>
  <c r="Q522" i="79"/>
  <c r="P522" i="79"/>
  <c r="O522" i="79"/>
  <c r="F522" i="79"/>
  <c r="E522" i="79"/>
  <c r="D522" i="79"/>
  <c r="B522" i="79"/>
  <c r="AL520" i="79"/>
  <c r="AK520" i="79"/>
  <c r="AJ520" i="79"/>
  <c r="AI520" i="79"/>
  <c r="AH520" i="79"/>
  <c r="AG520" i="79"/>
  <c r="AF520" i="79"/>
  <c r="AE520" i="79"/>
  <c r="AD520" i="79"/>
  <c r="AC520" i="79"/>
  <c r="AB520" i="79"/>
  <c r="AA520" i="79"/>
  <c r="Z520" i="79"/>
  <c r="Y520" i="79"/>
  <c r="N520" i="79"/>
  <c r="AM519" i="79"/>
  <c r="X519" i="79"/>
  <c r="W519" i="79"/>
  <c r="V519" i="79"/>
  <c r="U519" i="79"/>
  <c r="T519" i="79"/>
  <c r="S519" i="79"/>
  <c r="R519" i="79"/>
  <c r="Q519" i="79"/>
  <c r="P519" i="79"/>
  <c r="O519" i="79"/>
  <c r="M519" i="79"/>
  <c r="L519" i="79"/>
  <c r="K519" i="79"/>
  <c r="J519" i="79"/>
  <c r="I519" i="79"/>
  <c r="H519" i="79"/>
  <c r="G519" i="79"/>
  <c r="F519" i="79"/>
  <c r="E519" i="79"/>
  <c r="D519" i="79"/>
  <c r="B519" i="79"/>
  <c r="AL516" i="79"/>
  <c r="AK516" i="79"/>
  <c r="AJ516" i="79"/>
  <c r="AI516" i="79"/>
  <c r="AH516" i="79"/>
  <c r="AG516" i="79"/>
  <c r="AF516" i="79"/>
  <c r="AE516" i="79"/>
  <c r="AD516" i="79"/>
  <c r="AC516" i="79"/>
  <c r="AB516" i="79"/>
  <c r="AA516" i="79"/>
  <c r="Z516" i="79"/>
  <c r="Y516" i="79"/>
  <c r="N516" i="79"/>
  <c r="AM515" i="79"/>
  <c r="X515" i="79"/>
  <c r="W515" i="79"/>
  <c r="V515" i="79"/>
  <c r="U515" i="79"/>
  <c r="T515" i="79"/>
  <c r="S515" i="79"/>
  <c r="R515" i="79"/>
  <c r="Q515" i="79"/>
  <c r="P515" i="79"/>
  <c r="O515" i="79"/>
  <c r="M515" i="79"/>
  <c r="L515" i="79"/>
  <c r="K515" i="79"/>
  <c r="J515" i="79"/>
  <c r="I515" i="79"/>
  <c r="H515" i="79"/>
  <c r="G515" i="79"/>
  <c r="F515" i="79"/>
  <c r="E515" i="79"/>
  <c r="D515" i="79"/>
  <c r="AL513" i="79"/>
  <c r="AK513" i="79"/>
  <c r="AJ513" i="79"/>
  <c r="AI513" i="79"/>
  <c r="AH513" i="79"/>
  <c r="AG513" i="79"/>
  <c r="AF513" i="79"/>
  <c r="AE513" i="79"/>
  <c r="AD513" i="79"/>
  <c r="AC513" i="79"/>
  <c r="AB513" i="79"/>
  <c r="AA513" i="79"/>
  <c r="Z513" i="79"/>
  <c r="Y513" i="79"/>
  <c r="N513" i="79"/>
  <c r="AM512" i="79"/>
  <c r="AL510" i="79"/>
  <c r="AK510" i="79"/>
  <c r="AJ510" i="79"/>
  <c r="AI510" i="79"/>
  <c r="AH510" i="79"/>
  <c r="AG510" i="79"/>
  <c r="AF510" i="79"/>
  <c r="AE510" i="79"/>
  <c r="AD510" i="79"/>
  <c r="AC510" i="79"/>
  <c r="AB510" i="79"/>
  <c r="AA510" i="79"/>
  <c r="Z510" i="79"/>
  <c r="Y510" i="79"/>
  <c r="N510" i="79"/>
  <c r="AM509" i="79"/>
  <c r="AL506" i="79"/>
  <c r="AK506" i="79"/>
  <c r="AJ506" i="79"/>
  <c r="AI506" i="79"/>
  <c r="AH506" i="79"/>
  <c r="AG506" i="79"/>
  <c r="AF506" i="79"/>
  <c r="AE506" i="79"/>
  <c r="AD506" i="79"/>
  <c r="AC506" i="79"/>
  <c r="AB506" i="79"/>
  <c r="AA506" i="79"/>
  <c r="Z506" i="79"/>
  <c r="Y506" i="79"/>
  <c r="N506" i="79"/>
  <c r="AM505" i="79"/>
  <c r="AL503" i="79"/>
  <c r="AK503" i="79"/>
  <c r="AJ503" i="79"/>
  <c r="AI503" i="79"/>
  <c r="AH503" i="79"/>
  <c r="AG503" i="79"/>
  <c r="AF503" i="79"/>
  <c r="AE503" i="79"/>
  <c r="AD503" i="79"/>
  <c r="AC503" i="79"/>
  <c r="AB503" i="79"/>
  <c r="AA503" i="79"/>
  <c r="Z503" i="79"/>
  <c r="Y503" i="79"/>
  <c r="N503" i="79"/>
  <c r="AM502" i="79"/>
  <c r="AL500" i="79"/>
  <c r="AK500" i="79"/>
  <c r="AJ500" i="79"/>
  <c r="AI500" i="79"/>
  <c r="AH500" i="79"/>
  <c r="AG500" i="79"/>
  <c r="AF500" i="79"/>
  <c r="AE500" i="79"/>
  <c r="AD500" i="79"/>
  <c r="AC500" i="79"/>
  <c r="AB500" i="79"/>
  <c r="AA500" i="79"/>
  <c r="Z500" i="79"/>
  <c r="Y500" i="79"/>
  <c r="N500" i="79"/>
  <c r="AM499" i="79"/>
  <c r="AL497" i="79"/>
  <c r="AK497" i="79"/>
  <c r="AJ497" i="79"/>
  <c r="AI497" i="79"/>
  <c r="AH497" i="79"/>
  <c r="AG497" i="79"/>
  <c r="AF497" i="79"/>
  <c r="AE497" i="79"/>
  <c r="AD497" i="79"/>
  <c r="AC497" i="79"/>
  <c r="AB497" i="79"/>
  <c r="AA497" i="79"/>
  <c r="Z497" i="79"/>
  <c r="Y497" i="79"/>
  <c r="N497" i="79"/>
  <c r="AM496" i="79"/>
  <c r="AL494" i="79"/>
  <c r="AK494" i="79"/>
  <c r="AJ494" i="79"/>
  <c r="AI494" i="79"/>
  <c r="AH494" i="79"/>
  <c r="AG494" i="79"/>
  <c r="AF494" i="79"/>
  <c r="AE494" i="79"/>
  <c r="AD494" i="79"/>
  <c r="AC494" i="79"/>
  <c r="AB494" i="79"/>
  <c r="AA494" i="79"/>
  <c r="Z494" i="79"/>
  <c r="Y494" i="79"/>
  <c r="N494" i="79"/>
  <c r="AM493" i="79"/>
  <c r="AL491" i="79"/>
  <c r="AK491" i="79"/>
  <c r="AJ491" i="79"/>
  <c r="AI491" i="79"/>
  <c r="AH491" i="79"/>
  <c r="AG491" i="79"/>
  <c r="AF491" i="79"/>
  <c r="AE491" i="79"/>
  <c r="AD491" i="79"/>
  <c r="AC491" i="79"/>
  <c r="AB491" i="79"/>
  <c r="AA491" i="79"/>
  <c r="Z491" i="79"/>
  <c r="Y491" i="79"/>
  <c r="N491" i="79"/>
  <c r="AM490" i="79"/>
  <c r="AL488" i="79"/>
  <c r="AK488" i="79"/>
  <c r="AJ488" i="79"/>
  <c r="AI488" i="79"/>
  <c r="AH488" i="79"/>
  <c r="AG488" i="79"/>
  <c r="AF488" i="79"/>
  <c r="AE488" i="79"/>
  <c r="AD488" i="79"/>
  <c r="AC488" i="79"/>
  <c r="AB488" i="79"/>
  <c r="AA488" i="79"/>
  <c r="Z488" i="79"/>
  <c r="Y488" i="79"/>
  <c r="Q488" i="79"/>
  <c r="P488" i="79"/>
  <c r="O488" i="79"/>
  <c r="N488" i="79"/>
  <c r="G488" i="79"/>
  <c r="F488" i="79"/>
  <c r="E488" i="79"/>
  <c r="D488" i="79"/>
  <c r="AM487" i="79"/>
  <c r="X487" i="79"/>
  <c r="W487" i="79"/>
  <c r="V487" i="79"/>
  <c r="U487" i="79"/>
  <c r="T487" i="79"/>
  <c r="S487" i="79"/>
  <c r="R487" i="79"/>
  <c r="Q487" i="79"/>
  <c r="P487" i="79"/>
  <c r="O487" i="79"/>
  <c r="M487" i="79"/>
  <c r="L487" i="79"/>
  <c r="K487" i="79"/>
  <c r="J487" i="79"/>
  <c r="I487" i="79"/>
  <c r="H487" i="79"/>
  <c r="G487" i="79"/>
  <c r="F487" i="79"/>
  <c r="E487" i="79"/>
  <c r="D487" i="79"/>
  <c r="AL485" i="79"/>
  <c r="AK485" i="79"/>
  <c r="AJ485" i="79"/>
  <c r="AI485" i="79"/>
  <c r="AH485" i="79"/>
  <c r="AG485" i="79"/>
  <c r="AF485" i="79"/>
  <c r="AE485" i="79"/>
  <c r="AD485" i="79"/>
  <c r="AC485" i="79"/>
  <c r="AB485" i="79"/>
  <c r="AA485" i="79"/>
  <c r="Z485" i="79"/>
  <c r="Y485" i="79"/>
  <c r="N485" i="79"/>
  <c r="AM484" i="79"/>
  <c r="AL481" i="79"/>
  <c r="AK481" i="79"/>
  <c r="AJ481" i="79"/>
  <c r="AI481" i="79"/>
  <c r="AH481" i="79"/>
  <c r="AG481" i="79"/>
  <c r="AF481" i="79"/>
  <c r="AE481" i="79"/>
  <c r="AD481" i="79"/>
  <c r="AC481" i="79"/>
  <c r="AB481" i="79"/>
  <c r="AA481" i="79"/>
  <c r="Z481" i="79"/>
  <c r="Y481" i="79"/>
  <c r="AM480" i="79"/>
  <c r="X480" i="79"/>
  <c r="W480" i="79"/>
  <c r="V480" i="79"/>
  <c r="U480" i="79"/>
  <c r="T480" i="79"/>
  <c r="S480" i="79"/>
  <c r="R480" i="79"/>
  <c r="Q480" i="79"/>
  <c r="P480" i="79"/>
  <c r="O480" i="79"/>
  <c r="M480" i="79"/>
  <c r="L480" i="79"/>
  <c r="K480" i="79"/>
  <c r="J480" i="79"/>
  <c r="I480" i="79"/>
  <c r="H480" i="79"/>
  <c r="G480" i="79"/>
  <c r="F480" i="79"/>
  <c r="E480" i="79"/>
  <c r="D480" i="79"/>
  <c r="AL478" i="79"/>
  <c r="AK478" i="79"/>
  <c r="AJ478" i="79"/>
  <c r="AI478" i="79"/>
  <c r="AH478" i="79"/>
  <c r="AG478" i="79"/>
  <c r="AF478" i="79"/>
  <c r="AE478" i="79"/>
  <c r="AD478" i="79"/>
  <c r="AC478" i="79"/>
  <c r="AB478" i="79"/>
  <c r="AA478" i="79"/>
  <c r="Z478" i="79"/>
  <c r="Y478" i="79"/>
  <c r="AM477" i="79"/>
  <c r="AL475" i="79"/>
  <c r="AK475" i="79"/>
  <c r="AJ475" i="79"/>
  <c r="AI475" i="79"/>
  <c r="AH475" i="79"/>
  <c r="AG475" i="79"/>
  <c r="AF475" i="79"/>
  <c r="AE475" i="79"/>
  <c r="AD475" i="79"/>
  <c r="AC475" i="79"/>
  <c r="AB475" i="79"/>
  <c r="AA475" i="79"/>
  <c r="Z475" i="79"/>
  <c r="Y475" i="79"/>
  <c r="Q475" i="79"/>
  <c r="P475" i="79"/>
  <c r="O475" i="79"/>
  <c r="F475" i="79"/>
  <c r="E475" i="79"/>
  <c r="D475" i="79"/>
  <c r="AM474" i="79"/>
  <c r="X474" i="79"/>
  <c r="W474" i="79"/>
  <c r="V474" i="79"/>
  <c r="U474" i="79"/>
  <c r="T474" i="79"/>
  <c r="S474" i="79"/>
  <c r="R474" i="79"/>
  <c r="Q474" i="79"/>
  <c r="P474" i="79"/>
  <c r="O474" i="79"/>
  <c r="M474" i="79"/>
  <c r="L474" i="79"/>
  <c r="K474" i="79"/>
  <c r="J474" i="79"/>
  <c r="I474" i="79"/>
  <c r="H474" i="79"/>
  <c r="G474" i="79"/>
  <c r="F474" i="79"/>
  <c r="E474" i="79"/>
  <c r="D474" i="79"/>
  <c r="AL472" i="79"/>
  <c r="AK472" i="79"/>
  <c r="AJ472" i="79"/>
  <c r="AI472" i="79"/>
  <c r="AH472" i="79"/>
  <c r="AG472" i="79"/>
  <c r="AF472" i="79"/>
  <c r="AE472" i="79"/>
  <c r="AD472" i="79"/>
  <c r="AC472" i="79"/>
  <c r="AB472" i="79"/>
  <c r="AA472" i="79"/>
  <c r="Z472" i="79"/>
  <c r="Y472" i="79"/>
  <c r="O472" i="79"/>
  <c r="F472" i="79"/>
  <c r="E472" i="79"/>
  <c r="D472" i="79"/>
  <c r="AM471" i="79"/>
  <c r="X471" i="79"/>
  <c r="W471" i="79"/>
  <c r="V471" i="79"/>
  <c r="U471" i="79"/>
  <c r="T471" i="79"/>
  <c r="S471" i="79"/>
  <c r="R471" i="79"/>
  <c r="Q471" i="79"/>
  <c r="P471" i="79"/>
  <c r="O471" i="79"/>
  <c r="M471" i="79"/>
  <c r="L471" i="79"/>
  <c r="K471" i="79"/>
  <c r="J471" i="79"/>
  <c r="I471" i="79"/>
  <c r="H471" i="79"/>
  <c r="G471" i="79"/>
  <c r="F471" i="79"/>
  <c r="E471" i="79"/>
  <c r="D471" i="79"/>
  <c r="AL467" i="79"/>
  <c r="AK467" i="79"/>
  <c r="AJ467" i="79"/>
  <c r="AI467" i="79"/>
  <c r="AH467" i="79"/>
  <c r="AG467" i="79"/>
  <c r="AF467" i="79"/>
  <c r="AE467" i="79"/>
  <c r="AD467" i="79"/>
  <c r="AC467" i="79"/>
  <c r="AB467" i="79"/>
  <c r="AA467" i="79"/>
  <c r="Z467" i="79"/>
  <c r="Y467" i="79"/>
  <c r="N467" i="79"/>
  <c r="AM466" i="79"/>
  <c r="AL464" i="79"/>
  <c r="AK464" i="79"/>
  <c r="AJ464" i="79"/>
  <c r="AI464" i="79"/>
  <c r="AH464" i="79"/>
  <c r="AG464" i="79"/>
  <c r="AF464" i="79"/>
  <c r="AE464" i="79"/>
  <c r="AD464" i="79"/>
  <c r="AC464" i="79"/>
  <c r="AB464" i="79"/>
  <c r="AA464" i="79"/>
  <c r="Z464" i="79"/>
  <c r="Y464" i="79"/>
  <c r="N464" i="79"/>
  <c r="AM463" i="79"/>
  <c r="AL461" i="79"/>
  <c r="AK461" i="79"/>
  <c r="AJ461" i="79"/>
  <c r="AI461" i="79"/>
  <c r="AH461" i="79"/>
  <c r="AG461" i="79"/>
  <c r="AF461" i="79"/>
  <c r="AE461" i="79"/>
  <c r="AD461" i="79"/>
  <c r="AC461" i="79"/>
  <c r="AB461" i="79"/>
  <c r="AA461" i="79"/>
  <c r="Z461" i="79"/>
  <c r="Y461" i="79"/>
  <c r="N461" i="79"/>
  <c r="AM460" i="79"/>
  <c r="AL458" i="79"/>
  <c r="AK458" i="79"/>
  <c r="AJ458" i="79"/>
  <c r="AI458" i="79"/>
  <c r="AH458" i="79"/>
  <c r="AG458" i="79"/>
  <c r="AF458" i="79"/>
  <c r="AE458" i="79"/>
  <c r="AD458" i="79"/>
  <c r="AC458" i="79"/>
  <c r="AB458" i="79"/>
  <c r="AA458" i="79"/>
  <c r="Z458" i="79"/>
  <c r="Y458" i="79"/>
  <c r="N458" i="79"/>
  <c r="AM457" i="79"/>
  <c r="AL454" i="79"/>
  <c r="AK454" i="79"/>
  <c r="AJ454" i="79"/>
  <c r="AI454" i="79"/>
  <c r="AH454" i="79"/>
  <c r="AG454" i="79"/>
  <c r="AF454" i="79"/>
  <c r="AE454" i="79"/>
  <c r="AD454" i="79"/>
  <c r="AC454" i="79"/>
  <c r="AB454" i="79"/>
  <c r="AA454" i="79"/>
  <c r="Z454" i="79"/>
  <c r="Y454" i="79"/>
  <c r="N454" i="79"/>
  <c r="AM453" i="79"/>
  <c r="AL451" i="79"/>
  <c r="AK451" i="79"/>
  <c r="AJ451" i="79"/>
  <c r="AI451" i="79"/>
  <c r="AH451" i="79"/>
  <c r="AG451" i="79"/>
  <c r="AF451" i="79"/>
  <c r="AE451" i="79"/>
  <c r="AD451" i="79"/>
  <c r="AC451" i="79"/>
  <c r="AB451" i="79"/>
  <c r="AA451" i="79"/>
  <c r="Z451" i="79"/>
  <c r="Y451" i="79"/>
  <c r="N451" i="79"/>
  <c r="AM450" i="79"/>
  <c r="AL447" i="79"/>
  <c r="AK447" i="79"/>
  <c r="AJ447" i="79"/>
  <c r="AI447" i="79"/>
  <c r="AH447" i="79"/>
  <c r="AG447" i="79"/>
  <c r="AF447" i="79"/>
  <c r="AE447" i="79"/>
  <c r="AD447" i="79"/>
  <c r="AC447" i="79"/>
  <c r="AB447" i="79"/>
  <c r="AA447" i="79"/>
  <c r="Z447" i="79"/>
  <c r="Y447" i="79"/>
  <c r="N447" i="79"/>
  <c r="AM446" i="79"/>
  <c r="AL443" i="79"/>
  <c r="AK443" i="79"/>
  <c r="AJ443" i="79"/>
  <c r="AI443" i="79"/>
  <c r="AH443" i="79"/>
  <c r="AG443" i="79"/>
  <c r="AF443" i="79"/>
  <c r="AE443" i="79"/>
  <c r="AD443" i="79"/>
  <c r="AC443" i="79"/>
  <c r="AB443" i="79"/>
  <c r="AA443" i="79"/>
  <c r="Z443" i="79"/>
  <c r="Y443" i="79"/>
  <c r="N443" i="79"/>
  <c r="AM442" i="79"/>
  <c r="AL440" i="79"/>
  <c r="AK440" i="79"/>
  <c r="AJ440" i="79"/>
  <c r="AI440" i="79"/>
  <c r="AH440" i="79"/>
  <c r="AG440" i="79"/>
  <c r="AF440" i="79"/>
  <c r="AE440" i="79"/>
  <c r="AD440" i="79"/>
  <c r="AC440" i="79"/>
  <c r="AB440" i="79"/>
  <c r="AA440" i="79"/>
  <c r="Z440" i="79"/>
  <c r="Y440" i="79"/>
  <c r="N440" i="79"/>
  <c r="AM439" i="79"/>
  <c r="AL437" i="79"/>
  <c r="AK437" i="79"/>
  <c r="AJ437" i="79"/>
  <c r="AI437" i="79"/>
  <c r="AH437" i="79"/>
  <c r="AG437" i="79"/>
  <c r="AF437" i="79"/>
  <c r="AE437" i="79"/>
  <c r="AD437" i="79"/>
  <c r="AC437" i="79"/>
  <c r="AB437" i="79"/>
  <c r="AA437" i="79"/>
  <c r="Z437" i="79"/>
  <c r="Y437" i="79"/>
  <c r="N437" i="79"/>
  <c r="AM436" i="79"/>
  <c r="AL433" i="79"/>
  <c r="AK433" i="79"/>
  <c r="AJ433" i="79"/>
  <c r="AI433" i="79"/>
  <c r="AH433" i="79"/>
  <c r="AG433" i="79"/>
  <c r="AF433" i="79"/>
  <c r="AE433" i="79"/>
  <c r="AD433" i="79"/>
  <c r="AC433" i="79"/>
  <c r="AB433" i="79"/>
  <c r="AA433" i="79"/>
  <c r="Z433" i="79"/>
  <c r="Y433" i="79"/>
  <c r="N433" i="79"/>
  <c r="AM432" i="79"/>
  <c r="AL430" i="79"/>
  <c r="AK430" i="79"/>
  <c r="AJ430" i="79"/>
  <c r="AI430" i="79"/>
  <c r="AH430" i="79"/>
  <c r="AG430" i="79"/>
  <c r="AF430" i="79"/>
  <c r="AE430" i="79"/>
  <c r="AD430" i="79"/>
  <c r="AC430" i="79"/>
  <c r="AB430" i="79"/>
  <c r="AA430" i="79"/>
  <c r="Z430" i="79"/>
  <c r="Y430" i="79"/>
  <c r="N430" i="79"/>
  <c r="AM429" i="79"/>
  <c r="AL427" i="79"/>
  <c r="AK427" i="79"/>
  <c r="AJ427" i="79"/>
  <c r="AI427" i="79"/>
  <c r="AH427" i="79"/>
  <c r="AG427" i="79"/>
  <c r="AF427" i="79"/>
  <c r="AE427" i="79"/>
  <c r="AD427" i="79"/>
  <c r="AC427" i="79"/>
  <c r="AB427" i="79"/>
  <c r="AA427" i="79"/>
  <c r="Z427" i="79"/>
  <c r="Y427" i="79"/>
  <c r="N427" i="79"/>
  <c r="AM426" i="79"/>
  <c r="AL424" i="79"/>
  <c r="AK424" i="79"/>
  <c r="AJ424" i="79"/>
  <c r="AI424" i="79"/>
  <c r="AH424" i="79"/>
  <c r="AG424" i="79"/>
  <c r="AF424" i="79"/>
  <c r="AE424" i="79"/>
  <c r="AD424" i="79"/>
  <c r="AC424" i="79"/>
  <c r="AB424" i="79"/>
  <c r="AA424" i="79"/>
  <c r="Z424" i="79"/>
  <c r="Y424" i="79"/>
  <c r="N424" i="79"/>
  <c r="AM423" i="79"/>
  <c r="AL421" i="79"/>
  <c r="AK421" i="79"/>
  <c r="AJ421" i="79"/>
  <c r="AI421" i="79"/>
  <c r="AH421" i="79"/>
  <c r="AG421" i="79"/>
  <c r="AF421" i="79"/>
  <c r="AE421" i="79"/>
  <c r="AD421" i="79"/>
  <c r="AC421" i="79"/>
  <c r="AB421" i="79"/>
  <c r="AA421" i="79"/>
  <c r="Z421" i="79"/>
  <c r="Y421" i="79"/>
  <c r="N421" i="79"/>
  <c r="AM420" i="79"/>
  <c r="AL417" i="79"/>
  <c r="AK417" i="79"/>
  <c r="AJ417" i="79"/>
  <c r="AI417" i="79"/>
  <c r="AH417" i="79"/>
  <c r="AG417" i="79"/>
  <c r="AF417" i="79"/>
  <c r="AE417" i="79"/>
  <c r="AD417" i="79"/>
  <c r="AC417" i="79"/>
  <c r="AB417" i="79"/>
  <c r="AA417" i="79"/>
  <c r="Z417" i="79"/>
  <c r="Y417" i="79"/>
  <c r="AM416" i="79"/>
  <c r="AL414" i="79"/>
  <c r="AK414" i="79"/>
  <c r="AJ414" i="79"/>
  <c r="AI414" i="79"/>
  <c r="AH414" i="79"/>
  <c r="AG414" i="79"/>
  <c r="AF414" i="79"/>
  <c r="AE414" i="79"/>
  <c r="AD414" i="79"/>
  <c r="AC414" i="79"/>
  <c r="AB414" i="79"/>
  <c r="AA414" i="79"/>
  <c r="Z414" i="79"/>
  <c r="Y414" i="79"/>
  <c r="AM413" i="79"/>
  <c r="AL411" i="79"/>
  <c r="AK411" i="79"/>
  <c r="AJ411" i="79"/>
  <c r="AI411" i="79"/>
  <c r="AH411" i="79"/>
  <c r="AG411" i="79"/>
  <c r="AF411" i="79"/>
  <c r="AE411" i="79"/>
  <c r="AD411" i="79"/>
  <c r="AC411" i="79"/>
  <c r="AB411" i="79"/>
  <c r="AA411" i="79"/>
  <c r="Z411" i="79"/>
  <c r="Y411" i="79"/>
  <c r="AM410" i="79"/>
  <c r="AL408" i="79"/>
  <c r="AK408" i="79"/>
  <c r="AJ408" i="79"/>
  <c r="AI408" i="79"/>
  <c r="AH408" i="79"/>
  <c r="AG408" i="79"/>
  <c r="AF408" i="79"/>
  <c r="AE408" i="79"/>
  <c r="AD408" i="79"/>
  <c r="AC408" i="79"/>
  <c r="AB408" i="79"/>
  <c r="AA408" i="79"/>
  <c r="Z408" i="79"/>
  <c r="Y408" i="79"/>
  <c r="AM407" i="79"/>
  <c r="AL405" i="79"/>
  <c r="AK405" i="79"/>
  <c r="AJ405" i="79"/>
  <c r="AI405" i="79"/>
  <c r="AH405" i="79"/>
  <c r="AG405" i="79"/>
  <c r="AF405" i="79"/>
  <c r="AE405" i="79"/>
  <c r="AD405" i="79"/>
  <c r="AC405" i="79"/>
  <c r="AB405" i="79"/>
  <c r="AA405" i="79"/>
  <c r="Z405" i="79"/>
  <c r="Y405" i="79"/>
  <c r="AM404" i="79"/>
  <c r="AL402" i="79"/>
  <c r="AK402" i="79"/>
  <c r="AJ402" i="79"/>
  <c r="AI402" i="79"/>
  <c r="AH402" i="79"/>
  <c r="AG402" i="79"/>
  <c r="AF402" i="79"/>
  <c r="AE402" i="79"/>
  <c r="AD402" i="79"/>
  <c r="AC402" i="79"/>
  <c r="AB402" i="79"/>
  <c r="AA402" i="79"/>
  <c r="Z402" i="79"/>
  <c r="Y402" i="79"/>
  <c r="AM401" i="79"/>
  <c r="AL401" i="79"/>
  <c r="AK401" i="79"/>
  <c r="AJ401" i="79"/>
  <c r="AI401" i="79"/>
  <c r="AH401" i="79"/>
  <c r="AG401" i="79"/>
  <c r="AF401" i="79"/>
  <c r="AE401" i="79"/>
  <c r="AD401" i="79"/>
  <c r="AC401" i="79"/>
  <c r="AB401" i="79"/>
  <c r="AA401" i="79"/>
  <c r="Z401" i="79"/>
  <c r="Y401" i="79"/>
  <c r="AL395" i="79"/>
  <c r="AK395" i="79"/>
  <c r="AJ395" i="79"/>
  <c r="AI395" i="79"/>
  <c r="AH395" i="79"/>
  <c r="AG395" i="79"/>
  <c r="AF395" i="79"/>
  <c r="AE395" i="79"/>
  <c r="AD395" i="79"/>
  <c r="AC395" i="79"/>
  <c r="AB395" i="79"/>
  <c r="AA395" i="79"/>
  <c r="Z395" i="79"/>
  <c r="Y395" i="79"/>
  <c r="AL394" i="79"/>
  <c r="AK394" i="79"/>
  <c r="AJ394" i="79"/>
  <c r="AI394" i="79"/>
  <c r="AH394" i="79"/>
  <c r="AG394" i="79"/>
  <c r="AF394" i="79"/>
  <c r="AE394" i="79"/>
  <c r="AD394" i="79"/>
  <c r="AC394" i="79"/>
  <c r="AB394" i="79"/>
  <c r="AA394" i="79"/>
  <c r="Z394" i="79"/>
  <c r="Y394" i="79"/>
  <c r="AL393" i="79"/>
  <c r="AK393" i="79"/>
  <c r="AJ393" i="79"/>
  <c r="AI393" i="79"/>
  <c r="AH393" i="79"/>
  <c r="AG393" i="79"/>
  <c r="AF393" i="79"/>
  <c r="AE393" i="79"/>
  <c r="AD393" i="79"/>
  <c r="AC393" i="79"/>
  <c r="AB393" i="79"/>
  <c r="AA393" i="79"/>
  <c r="Z393" i="79"/>
  <c r="Y393" i="79"/>
  <c r="AL392" i="79"/>
  <c r="AK392" i="79"/>
  <c r="AJ392" i="79"/>
  <c r="AI392" i="79"/>
  <c r="AH392" i="79"/>
  <c r="AG392" i="79"/>
  <c r="AF392" i="79"/>
  <c r="AE392" i="79"/>
  <c r="AD392" i="79"/>
  <c r="AC392" i="79"/>
  <c r="AB392" i="79"/>
  <c r="AA392" i="79"/>
  <c r="Z392" i="79"/>
  <c r="Y392" i="79"/>
  <c r="AM390" i="79"/>
  <c r="AM389" i="79"/>
  <c r="AL389" i="79"/>
  <c r="AK389" i="79"/>
  <c r="AJ389" i="79"/>
  <c r="AI389" i="79"/>
  <c r="AH389" i="79"/>
  <c r="AG389" i="79"/>
  <c r="AF389" i="79"/>
  <c r="AE389" i="79"/>
  <c r="AD389" i="79"/>
  <c r="AC389" i="79"/>
  <c r="AB389" i="79"/>
  <c r="AA389" i="79"/>
  <c r="Z389" i="79"/>
  <c r="Y389" i="79"/>
  <c r="AM388" i="79"/>
  <c r="AL388" i="79"/>
  <c r="AK388" i="79"/>
  <c r="AJ388" i="79"/>
  <c r="AI388" i="79"/>
  <c r="AH388" i="79"/>
  <c r="AG388" i="79"/>
  <c r="AF388" i="79"/>
  <c r="AE388" i="79"/>
  <c r="AD388" i="79"/>
  <c r="AC388" i="79"/>
  <c r="AB388" i="79"/>
  <c r="AA388" i="79"/>
  <c r="Z388" i="79"/>
  <c r="Y388" i="79"/>
  <c r="AM387" i="79"/>
  <c r="AL387" i="79"/>
  <c r="AK387" i="79"/>
  <c r="AJ387" i="79"/>
  <c r="AI387" i="79"/>
  <c r="AH387" i="79"/>
  <c r="AG387" i="79"/>
  <c r="AF387" i="79"/>
  <c r="AE387" i="79"/>
  <c r="AD387" i="79"/>
  <c r="AC387" i="79"/>
  <c r="AB387" i="79"/>
  <c r="AA387" i="79"/>
  <c r="Z387" i="79"/>
  <c r="Y387" i="79"/>
  <c r="AM386" i="79"/>
  <c r="AL386" i="79"/>
  <c r="AK386" i="79"/>
  <c r="AJ386" i="79"/>
  <c r="AI386" i="79"/>
  <c r="AH386" i="79"/>
  <c r="AG386" i="79"/>
  <c r="AF386" i="79"/>
  <c r="AE386" i="79"/>
  <c r="AD386" i="79"/>
  <c r="AC386" i="79"/>
  <c r="AB386" i="79"/>
  <c r="AA386" i="79"/>
  <c r="Z386" i="79"/>
  <c r="Y386" i="79"/>
  <c r="AM385" i="79"/>
  <c r="AL385" i="79"/>
  <c r="AK385" i="79"/>
  <c r="AJ385" i="79"/>
  <c r="AI385" i="79"/>
  <c r="AH385" i="79"/>
  <c r="AG385" i="79"/>
  <c r="AF385" i="79"/>
  <c r="AE385" i="79"/>
  <c r="AD385" i="79"/>
  <c r="AC385" i="79"/>
  <c r="AB385" i="79"/>
  <c r="AA385" i="79"/>
  <c r="Z385" i="79"/>
  <c r="Y385" i="79"/>
  <c r="AM384" i="79"/>
  <c r="AL384" i="79"/>
  <c r="AK384" i="79"/>
  <c r="AJ384" i="79"/>
  <c r="AI384" i="79"/>
  <c r="AH384" i="79"/>
  <c r="AG384" i="79"/>
  <c r="AF384" i="79"/>
  <c r="AE384" i="79"/>
  <c r="AD384" i="79"/>
  <c r="AC384" i="79"/>
  <c r="AB384" i="79"/>
  <c r="AA384" i="79"/>
  <c r="Z384" i="79"/>
  <c r="Y384" i="79"/>
  <c r="AM383" i="79"/>
  <c r="AL383" i="79"/>
  <c r="AK383" i="79"/>
  <c r="AJ383" i="79"/>
  <c r="AI383" i="79"/>
  <c r="AH383" i="79"/>
  <c r="AG383" i="79"/>
  <c r="AF383" i="79"/>
  <c r="AE383" i="79"/>
  <c r="AD383" i="79"/>
  <c r="AC383" i="79"/>
  <c r="AB383" i="79"/>
  <c r="AA383" i="79"/>
  <c r="Z383" i="79"/>
  <c r="Y383" i="79"/>
  <c r="AM382" i="79"/>
  <c r="AL382" i="79"/>
  <c r="AK382" i="79"/>
  <c r="AJ382" i="79"/>
  <c r="AI382" i="79"/>
  <c r="AH382" i="79"/>
  <c r="AG382" i="79"/>
  <c r="AF382" i="79"/>
  <c r="AE382" i="79"/>
  <c r="AD382" i="79"/>
  <c r="AC382" i="79"/>
  <c r="AB382" i="79"/>
  <c r="AA382" i="79"/>
  <c r="Z382" i="79"/>
  <c r="Y382" i="79"/>
  <c r="AL381" i="79"/>
  <c r="AK381" i="79"/>
  <c r="AJ381" i="79"/>
  <c r="AI381" i="79"/>
  <c r="AH381" i="79"/>
  <c r="AG381" i="79"/>
  <c r="AF381" i="79"/>
  <c r="AE381" i="79"/>
  <c r="AD381" i="79"/>
  <c r="AC381" i="79"/>
  <c r="AB381" i="79"/>
  <c r="AA381" i="79"/>
  <c r="Z381" i="79"/>
  <c r="Y381" i="79"/>
  <c r="AL379" i="79"/>
  <c r="AK379" i="79"/>
  <c r="AJ379" i="79"/>
  <c r="AI379" i="79"/>
  <c r="AH379" i="79"/>
  <c r="AG379" i="79"/>
  <c r="AF379" i="79"/>
  <c r="AE379" i="79"/>
  <c r="AD379" i="79"/>
  <c r="AC379" i="79"/>
  <c r="AB379" i="79"/>
  <c r="AA379" i="79"/>
  <c r="Z379" i="79"/>
  <c r="Y379" i="79"/>
  <c r="AL378" i="79"/>
  <c r="AK378" i="79"/>
  <c r="AJ378" i="79"/>
  <c r="AI378" i="79"/>
  <c r="AH378" i="79"/>
  <c r="AG378" i="79"/>
  <c r="AF378" i="79"/>
  <c r="AE378" i="79"/>
  <c r="AD378" i="79"/>
  <c r="AC378" i="79"/>
  <c r="AB378" i="79"/>
  <c r="AA378" i="79"/>
  <c r="Z378" i="79"/>
  <c r="Y378" i="79"/>
  <c r="O378" i="79"/>
  <c r="D378" i="79"/>
  <c r="AL376" i="79"/>
  <c r="AK376" i="79"/>
  <c r="AJ376" i="79"/>
  <c r="AI376" i="79"/>
  <c r="AH376" i="79"/>
  <c r="AG376" i="79"/>
  <c r="AF376" i="79"/>
  <c r="AE376" i="79"/>
  <c r="AD376" i="79"/>
  <c r="AC376" i="79"/>
  <c r="AB376" i="79"/>
  <c r="AA376" i="79"/>
  <c r="Z376" i="79"/>
  <c r="Y376" i="79"/>
  <c r="N376" i="79"/>
  <c r="AM375" i="79"/>
  <c r="AL373" i="79"/>
  <c r="AK373" i="79"/>
  <c r="AJ373" i="79"/>
  <c r="AI373" i="79"/>
  <c r="AH373" i="79"/>
  <c r="AG373" i="79"/>
  <c r="AF373" i="79"/>
  <c r="AE373" i="79"/>
  <c r="AD373" i="79"/>
  <c r="AC373" i="79"/>
  <c r="AB373" i="79"/>
  <c r="AA373" i="79"/>
  <c r="Z373" i="79"/>
  <c r="Y373" i="79"/>
  <c r="N373" i="79"/>
  <c r="AM372" i="79"/>
  <c r="AL370" i="79"/>
  <c r="AK370" i="79"/>
  <c r="AJ370" i="79"/>
  <c r="AI370" i="79"/>
  <c r="AH370" i="79"/>
  <c r="AG370" i="79"/>
  <c r="AF370" i="79"/>
  <c r="AE370" i="79"/>
  <c r="AD370" i="79"/>
  <c r="AC370" i="79"/>
  <c r="AB370" i="79"/>
  <c r="AA370" i="79"/>
  <c r="Z370" i="79"/>
  <c r="Y370" i="79"/>
  <c r="N370" i="79"/>
  <c r="AM369" i="79"/>
  <c r="AL367" i="79"/>
  <c r="AK367" i="79"/>
  <c r="AJ367" i="79"/>
  <c r="AI367" i="79"/>
  <c r="AH367" i="79"/>
  <c r="AG367" i="79"/>
  <c r="AF367" i="79"/>
  <c r="AE367" i="79"/>
  <c r="AD367" i="79"/>
  <c r="AC367" i="79"/>
  <c r="AB367" i="79"/>
  <c r="AA367" i="79"/>
  <c r="Z367" i="79"/>
  <c r="Y367" i="79"/>
  <c r="N367" i="79"/>
  <c r="AM366" i="79"/>
  <c r="AL364" i="79"/>
  <c r="AK364" i="79"/>
  <c r="AJ364" i="79"/>
  <c r="AI364" i="79"/>
  <c r="AH364" i="79"/>
  <c r="AG364" i="79"/>
  <c r="AF364" i="79"/>
  <c r="AE364" i="79"/>
  <c r="AD364" i="79"/>
  <c r="AC364" i="79"/>
  <c r="AB364" i="79"/>
  <c r="AA364" i="79"/>
  <c r="Z364" i="79"/>
  <c r="Y364" i="79"/>
  <c r="N364" i="79"/>
  <c r="AM363" i="79"/>
  <c r="AL361" i="79"/>
  <c r="AK361" i="79"/>
  <c r="AJ361" i="79"/>
  <c r="AI361" i="79"/>
  <c r="AH361" i="79"/>
  <c r="AG361" i="79"/>
  <c r="AF361" i="79"/>
  <c r="AE361" i="79"/>
  <c r="AD361" i="79"/>
  <c r="AC361" i="79"/>
  <c r="AB361" i="79"/>
  <c r="AA361" i="79"/>
  <c r="Z361" i="79"/>
  <c r="Y361" i="79"/>
  <c r="N361" i="79"/>
  <c r="AM360" i="79"/>
  <c r="AL358" i="79"/>
  <c r="AK358" i="79"/>
  <c r="AJ358" i="79"/>
  <c r="AI358" i="79"/>
  <c r="AH358" i="79"/>
  <c r="AG358" i="79"/>
  <c r="AF358" i="79"/>
  <c r="AE358" i="79"/>
  <c r="AD358" i="79"/>
  <c r="AC358" i="79"/>
  <c r="AB358" i="79"/>
  <c r="AA358" i="79"/>
  <c r="Z358" i="79"/>
  <c r="Y358" i="79"/>
  <c r="N358" i="79"/>
  <c r="AM357" i="79"/>
  <c r="AL355" i="79"/>
  <c r="AK355" i="79"/>
  <c r="AJ355" i="79"/>
  <c r="AI355" i="79"/>
  <c r="AH355" i="79"/>
  <c r="AG355" i="79"/>
  <c r="AF355" i="79"/>
  <c r="AE355" i="79"/>
  <c r="AD355" i="79"/>
  <c r="AC355" i="79"/>
  <c r="AB355" i="79"/>
  <c r="AA355" i="79"/>
  <c r="Z355" i="79"/>
  <c r="Y355" i="79"/>
  <c r="AM354" i="79"/>
  <c r="AL352" i="79"/>
  <c r="AK352" i="79"/>
  <c r="AJ352" i="79"/>
  <c r="AI352" i="79"/>
  <c r="AH352" i="79"/>
  <c r="AG352" i="79"/>
  <c r="AF352" i="79"/>
  <c r="AE352" i="79"/>
  <c r="AD352" i="79"/>
  <c r="AC352" i="79"/>
  <c r="AB352" i="79"/>
  <c r="AA352" i="79"/>
  <c r="Z352" i="79"/>
  <c r="Y352" i="79"/>
  <c r="N352" i="79"/>
  <c r="AM351" i="79"/>
  <c r="AL349" i="79"/>
  <c r="AK349" i="79"/>
  <c r="AJ349" i="79"/>
  <c r="AI349" i="79"/>
  <c r="AH349" i="79"/>
  <c r="AG349" i="79"/>
  <c r="AF349" i="79"/>
  <c r="AE349" i="79"/>
  <c r="AD349" i="79"/>
  <c r="AC349" i="79"/>
  <c r="AB349" i="79"/>
  <c r="AA349" i="79"/>
  <c r="Z349" i="79"/>
  <c r="Y349" i="79"/>
  <c r="N349" i="79"/>
  <c r="AM348" i="79"/>
  <c r="AL346" i="79"/>
  <c r="AK346" i="79"/>
  <c r="AJ346" i="79"/>
  <c r="AI346" i="79"/>
  <c r="AH346" i="79"/>
  <c r="AG346" i="79"/>
  <c r="AF346" i="79"/>
  <c r="AE346" i="79"/>
  <c r="AD346" i="79"/>
  <c r="AC346" i="79"/>
  <c r="AB346" i="79"/>
  <c r="AA346" i="79"/>
  <c r="Z346" i="79"/>
  <c r="Y346" i="79"/>
  <c r="N346" i="79"/>
  <c r="AM345" i="79"/>
  <c r="AL343" i="79"/>
  <c r="AK343" i="79"/>
  <c r="AJ343" i="79"/>
  <c r="AI343" i="79"/>
  <c r="AH343" i="79"/>
  <c r="AG343" i="79"/>
  <c r="AF343" i="79"/>
  <c r="AE343" i="79"/>
  <c r="AD343" i="79"/>
  <c r="AC343" i="79"/>
  <c r="AB343" i="79"/>
  <c r="AA343" i="79"/>
  <c r="Z343" i="79"/>
  <c r="Y343" i="79"/>
  <c r="N343" i="79"/>
  <c r="AM342" i="79"/>
  <c r="AL340" i="79"/>
  <c r="AK340" i="79"/>
  <c r="AJ340" i="79"/>
  <c r="AI340" i="79"/>
  <c r="AH340" i="79"/>
  <c r="AG340" i="79"/>
  <c r="AF340" i="79"/>
  <c r="AE340" i="79"/>
  <c r="AD340" i="79"/>
  <c r="AC340" i="79"/>
  <c r="AB340" i="79"/>
  <c r="AA340" i="79"/>
  <c r="Z340" i="79"/>
  <c r="Y340" i="79"/>
  <c r="N340" i="79"/>
  <c r="AM339" i="79"/>
  <c r="AL337" i="79"/>
  <c r="AK337" i="79"/>
  <c r="AJ337" i="79"/>
  <c r="AI337" i="79"/>
  <c r="AH337" i="79"/>
  <c r="AG337" i="79"/>
  <c r="AF337" i="79"/>
  <c r="AE337" i="79"/>
  <c r="AD337" i="79"/>
  <c r="AC337" i="79"/>
  <c r="AB337" i="79"/>
  <c r="AA337" i="79"/>
  <c r="Z337" i="79"/>
  <c r="Y337" i="79"/>
  <c r="N337" i="79"/>
  <c r="AM336" i="79"/>
  <c r="AL333" i="79"/>
  <c r="AK333" i="79"/>
  <c r="AJ333" i="79"/>
  <c r="AI333" i="79"/>
  <c r="AH333" i="79"/>
  <c r="AG333" i="79"/>
  <c r="AF333" i="79"/>
  <c r="AE333" i="79"/>
  <c r="AD333" i="79"/>
  <c r="AC333" i="79"/>
  <c r="AB333" i="79"/>
  <c r="AA333" i="79"/>
  <c r="Z333" i="79"/>
  <c r="Y333" i="79"/>
  <c r="N333" i="79"/>
  <c r="AM332" i="79"/>
  <c r="AL330" i="79"/>
  <c r="AK330" i="79"/>
  <c r="AJ330" i="79"/>
  <c r="AI330" i="79"/>
  <c r="AH330" i="79"/>
  <c r="AG330" i="79"/>
  <c r="AF330" i="79"/>
  <c r="AE330" i="79"/>
  <c r="AD330" i="79"/>
  <c r="AC330" i="79"/>
  <c r="AB330" i="79"/>
  <c r="AA330" i="79"/>
  <c r="Z330" i="79"/>
  <c r="Y330" i="79"/>
  <c r="N330" i="79"/>
  <c r="AM329" i="79"/>
  <c r="AL327" i="79"/>
  <c r="AK327" i="79"/>
  <c r="AJ327" i="79"/>
  <c r="AI327" i="79"/>
  <c r="AH327" i="79"/>
  <c r="AG327" i="79"/>
  <c r="AF327" i="79"/>
  <c r="AE327" i="79"/>
  <c r="AD327" i="79"/>
  <c r="AC327" i="79"/>
  <c r="AB327" i="79"/>
  <c r="AA327" i="79"/>
  <c r="Z327" i="79"/>
  <c r="Y327" i="79"/>
  <c r="N327" i="79"/>
  <c r="AM326" i="79"/>
  <c r="AL323" i="79"/>
  <c r="AK323" i="79"/>
  <c r="AJ323" i="79"/>
  <c r="AI323" i="79"/>
  <c r="AH323" i="79"/>
  <c r="AG323" i="79"/>
  <c r="AF323" i="79"/>
  <c r="AE323" i="79"/>
  <c r="AD323" i="79"/>
  <c r="AC323" i="79"/>
  <c r="AB323" i="79"/>
  <c r="AA323" i="79"/>
  <c r="Z323" i="79"/>
  <c r="Y323" i="79"/>
  <c r="N323" i="79"/>
  <c r="AM322" i="79"/>
  <c r="AL320" i="79"/>
  <c r="AK320" i="79"/>
  <c r="AJ320" i="79"/>
  <c r="AI320" i="79"/>
  <c r="AH320" i="79"/>
  <c r="AG320" i="79"/>
  <c r="AF320" i="79"/>
  <c r="AE320" i="79"/>
  <c r="AD320" i="79"/>
  <c r="AC320" i="79"/>
  <c r="AB320" i="79"/>
  <c r="AA320" i="79"/>
  <c r="Z320" i="79"/>
  <c r="Y320" i="79"/>
  <c r="N320" i="79"/>
  <c r="AM319" i="79"/>
  <c r="AL317" i="79"/>
  <c r="AK317" i="79"/>
  <c r="AJ317" i="79"/>
  <c r="AI317" i="79"/>
  <c r="AH317" i="79"/>
  <c r="AG317" i="79"/>
  <c r="AF317" i="79"/>
  <c r="AE317" i="79"/>
  <c r="AD317" i="79"/>
  <c r="AC317" i="79"/>
  <c r="AB317" i="79"/>
  <c r="AA317" i="79"/>
  <c r="Z317" i="79"/>
  <c r="Y317" i="79"/>
  <c r="N317" i="79"/>
  <c r="AM316" i="79"/>
  <c r="AL314" i="79"/>
  <c r="AK314" i="79"/>
  <c r="AJ314" i="79"/>
  <c r="AI314" i="79"/>
  <c r="AH314" i="79"/>
  <c r="AG314" i="79"/>
  <c r="AF314" i="79"/>
  <c r="AE314" i="79"/>
  <c r="AD314" i="79"/>
  <c r="AC314" i="79"/>
  <c r="AB314" i="79"/>
  <c r="AA314" i="79"/>
  <c r="Z314" i="79"/>
  <c r="Y314" i="79"/>
  <c r="N314" i="79"/>
  <c r="AM313" i="79"/>
  <c r="AL311" i="79"/>
  <c r="AK311" i="79"/>
  <c r="AJ311" i="79"/>
  <c r="AI311" i="79"/>
  <c r="AH311" i="79"/>
  <c r="AG311" i="79"/>
  <c r="AF311" i="79"/>
  <c r="AE311" i="79"/>
  <c r="AD311" i="79"/>
  <c r="AC311" i="79"/>
  <c r="AB311" i="79"/>
  <c r="AA311" i="79"/>
  <c r="Z311" i="79"/>
  <c r="Y311" i="79"/>
  <c r="N311" i="79"/>
  <c r="AM310" i="79"/>
  <c r="AL308" i="79"/>
  <c r="AK308" i="79"/>
  <c r="AJ308" i="79"/>
  <c r="AI308" i="79"/>
  <c r="AH308" i="79"/>
  <c r="AG308" i="79"/>
  <c r="AF308" i="79"/>
  <c r="AE308" i="79"/>
  <c r="AD308" i="79"/>
  <c r="AC308" i="79"/>
  <c r="AB308" i="79"/>
  <c r="AA308" i="79"/>
  <c r="Z308" i="79"/>
  <c r="Y308" i="79"/>
  <c r="N308" i="79"/>
  <c r="AM307" i="79"/>
  <c r="AL305" i="79"/>
  <c r="AK305" i="79"/>
  <c r="AJ305" i="79"/>
  <c r="AI305" i="79"/>
  <c r="AH305" i="79"/>
  <c r="AG305" i="79"/>
  <c r="AF305" i="79"/>
  <c r="AE305" i="79"/>
  <c r="AD305" i="79"/>
  <c r="AC305" i="79"/>
  <c r="AB305" i="79"/>
  <c r="AA305" i="79"/>
  <c r="Z305" i="79"/>
  <c r="Y305" i="79"/>
  <c r="X305" i="79"/>
  <c r="W305" i="79"/>
  <c r="V305" i="79"/>
  <c r="U305" i="79"/>
  <c r="T305" i="79"/>
  <c r="S305" i="79"/>
  <c r="R305" i="79"/>
  <c r="Q305" i="79"/>
  <c r="P305" i="79"/>
  <c r="O305" i="79"/>
  <c r="N305" i="79"/>
  <c r="M305" i="79"/>
  <c r="L305" i="79"/>
  <c r="K305" i="79"/>
  <c r="J305" i="79"/>
  <c r="I305" i="79"/>
  <c r="H305" i="79"/>
  <c r="G305" i="79"/>
  <c r="F305" i="79"/>
  <c r="E305" i="79"/>
  <c r="D305" i="79"/>
  <c r="AM304" i="79"/>
  <c r="AB304" i="79"/>
  <c r="AA304" i="79"/>
  <c r="Z304" i="79"/>
  <c r="X304" i="79"/>
  <c r="W304" i="79"/>
  <c r="V304" i="79"/>
  <c r="U304" i="79"/>
  <c r="T304" i="79"/>
  <c r="S304" i="79"/>
  <c r="R304" i="79"/>
  <c r="Q304" i="79"/>
  <c r="P304" i="79"/>
  <c r="O304" i="79"/>
  <c r="M304" i="79"/>
  <c r="L304" i="79"/>
  <c r="K304" i="79"/>
  <c r="J304" i="79"/>
  <c r="I304" i="79"/>
  <c r="H304" i="79"/>
  <c r="G304" i="79"/>
  <c r="F304" i="79"/>
  <c r="E304" i="79"/>
  <c r="D304" i="79"/>
  <c r="AL302" i="79"/>
  <c r="AK302" i="79"/>
  <c r="AJ302" i="79"/>
  <c r="AI302" i="79"/>
  <c r="AH302" i="79"/>
  <c r="AG302" i="79"/>
  <c r="AF302" i="79"/>
  <c r="AE302" i="79"/>
  <c r="AD302" i="79"/>
  <c r="AC302" i="79"/>
  <c r="AB302" i="79"/>
  <c r="AA302" i="79"/>
  <c r="Z302" i="79"/>
  <c r="Y302" i="79"/>
  <c r="N302" i="79"/>
  <c r="AM301" i="79"/>
  <c r="AL298" i="79"/>
  <c r="AK298" i="79"/>
  <c r="AJ298" i="79"/>
  <c r="AI298" i="79"/>
  <c r="AH298" i="79"/>
  <c r="AG298" i="79"/>
  <c r="AF298" i="79"/>
  <c r="AE298" i="79"/>
  <c r="AD298" i="79"/>
  <c r="AC298" i="79"/>
  <c r="AB298" i="79"/>
  <c r="AA298" i="79"/>
  <c r="Z298" i="79"/>
  <c r="Y298" i="79"/>
  <c r="AM297" i="79"/>
  <c r="AL295" i="79"/>
  <c r="AK295" i="79"/>
  <c r="AJ295" i="79"/>
  <c r="AI295" i="79"/>
  <c r="AH295" i="79"/>
  <c r="AG295" i="79"/>
  <c r="AF295" i="79"/>
  <c r="AE295" i="79"/>
  <c r="AD295" i="79"/>
  <c r="AC295" i="79"/>
  <c r="AB295" i="79"/>
  <c r="AA295" i="79"/>
  <c r="Z295" i="79"/>
  <c r="Y295" i="79"/>
  <c r="AM294" i="79"/>
  <c r="AL292" i="79"/>
  <c r="AK292" i="79"/>
  <c r="AJ292" i="79"/>
  <c r="AI292" i="79"/>
  <c r="AH292" i="79"/>
  <c r="AG292" i="79"/>
  <c r="AF292" i="79"/>
  <c r="AE292" i="79"/>
  <c r="AD292" i="79"/>
  <c r="AC292" i="79"/>
  <c r="AB292" i="79"/>
  <c r="AA292" i="79"/>
  <c r="Z292" i="79"/>
  <c r="Y292" i="79"/>
  <c r="X292" i="79"/>
  <c r="W292" i="79"/>
  <c r="V292" i="79"/>
  <c r="U292" i="79"/>
  <c r="T292" i="79"/>
  <c r="S292" i="79"/>
  <c r="R292" i="79"/>
  <c r="Q292" i="79"/>
  <c r="P292" i="79"/>
  <c r="O292" i="79"/>
  <c r="M292" i="79"/>
  <c r="L292" i="79"/>
  <c r="K292" i="79"/>
  <c r="J292" i="79"/>
  <c r="I292" i="79"/>
  <c r="H292" i="79"/>
  <c r="G292" i="79"/>
  <c r="F292" i="79"/>
  <c r="E292" i="79"/>
  <c r="D292" i="79"/>
  <c r="AM291" i="79"/>
  <c r="X291" i="79"/>
  <c r="W291" i="79"/>
  <c r="V291" i="79"/>
  <c r="U291" i="79"/>
  <c r="T291" i="79"/>
  <c r="S291" i="79"/>
  <c r="R291" i="79"/>
  <c r="Q291" i="79"/>
  <c r="P291" i="79"/>
  <c r="O291" i="79"/>
  <c r="M291" i="79"/>
  <c r="L291" i="79"/>
  <c r="K291" i="79"/>
  <c r="J291" i="79"/>
  <c r="I291" i="79"/>
  <c r="H291" i="79"/>
  <c r="G291" i="79"/>
  <c r="F291" i="79"/>
  <c r="E291" i="79"/>
  <c r="D291" i="79"/>
  <c r="AL289" i="79"/>
  <c r="AK289" i="79"/>
  <c r="AJ289" i="79"/>
  <c r="AI289" i="79"/>
  <c r="AH289" i="79"/>
  <c r="AG289" i="79"/>
  <c r="AF289" i="79"/>
  <c r="AE289" i="79"/>
  <c r="AD289" i="79"/>
  <c r="AC289" i="79"/>
  <c r="AB289" i="79"/>
  <c r="AA289" i="79"/>
  <c r="Z289" i="79"/>
  <c r="Y289" i="79"/>
  <c r="X289" i="79"/>
  <c r="W289" i="79"/>
  <c r="V289" i="79"/>
  <c r="U289" i="79"/>
  <c r="T289" i="79"/>
  <c r="S289" i="79"/>
  <c r="R289" i="79"/>
  <c r="Q289" i="79"/>
  <c r="P289" i="79"/>
  <c r="O289" i="79"/>
  <c r="M289" i="79"/>
  <c r="L289" i="79"/>
  <c r="K289" i="79"/>
  <c r="J289" i="79"/>
  <c r="I289" i="79"/>
  <c r="H289" i="79"/>
  <c r="G289" i="79"/>
  <c r="F289" i="79"/>
  <c r="E289" i="79"/>
  <c r="D289" i="79"/>
  <c r="AM288" i="79"/>
  <c r="X288" i="79"/>
  <c r="W288" i="79"/>
  <c r="V288" i="79"/>
  <c r="U288" i="79"/>
  <c r="T288" i="79"/>
  <c r="S288" i="79"/>
  <c r="R288" i="79"/>
  <c r="Q288" i="79"/>
  <c r="P288" i="79"/>
  <c r="O288" i="79"/>
  <c r="M288" i="79"/>
  <c r="L288" i="79"/>
  <c r="K288" i="79"/>
  <c r="J288" i="79"/>
  <c r="I288" i="79"/>
  <c r="H288" i="79"/>
  <c r="G288" i="79"/>
  <c r="F288" i="79"/>
  <c r="E288" i="79"/>
  <c r="D288" i="79"/>
  <c r="AL284" i="79"/>
  <c r="AK284" i="79"/>
  <c r="AJ284" i="79"/>
  <c r="AI284" i="79"/>
  <c r="AH284" i="79"/>
  <c r="AG284" i="79"/>
  <c r="AF284" i="79"/>
  <c r="AE284" i="79"/>
  <c r="AD284" i="79"/>
  <c r="AC284" i="79"/>
  <c r="AB284" i="79"/>
  <c r="AA284" i="79"/>
  <c r="Z284" i="79"/>
  <c r="Y284" i="79"/>
  <c r="N284" i="79"/>
  <c r="AM283" i="79"/>
  <c r="AL281" i="79"/>
  <c r="AK281" i="79"/>
  <c r="AJ281" i="79"/>
  <c r="AI281" i="79"/>
  <c r="AH281" i="79"/>
  <c r="AG281" i="79"/>
  <c r="AF281" i="79"/>
  <c r="AE281" i="79"/>
  <c r="AD281" i="79"/>
  <c r="AC281" i="79"/>
  <c r="AB281" i="79"/>
  <c r="AA281" i="79"/>
  <c r="Z281" i="79"/>
  <c r="Y281" i="79"/>
  <c r="N281" i="79"/>
  <c r="AM280" i="79"/>
  <c r="AL278" i="79"/>
  <c r="AK278" i="79"/>
  <c r="AJ278" i="79"/>
  <c r="AI278" i="79"/>
  <c r="AH278" i="79"/>
  <c r="AG278" i="79"/>
  <c r="AF278" i="79"/>
  <c r="AE278" i="79"/>
  <c r="AD278" i="79"/>
  <c r="AC278" i="79"/>
  <c r="AB278" i="79"/>
  <c r="AA278" i="79"/>
  <c r="Z278" i="79"/>
  <c r="Y278" i="79"/>
  <c r="N278" i="79"/>
  <c r="AM277" i="79"/>
  <c r="AL275" i="79"/>
  <c r="AK275" i="79"/>
  <c r="AJ275" i="79"/>
  <c r="AI275" i="79"/>
  <c r="AH275" i="79"/>
  <c r="AG275" i="79"/>
  <c r="AF275" i="79"/>
  <c r="AE275" i="79"/>
  <c r="AD275" i="79"/>
  <c r="AC275" i="79"/>
  <c r="AB275" i="79"/>
  <c r="AA275" i="79"/>
  <c r="Z275" i="79"/>
  <c r="Y275" i="79"/>
  <c r="N275" i="79"/>
  <c r="AM274" i="79"/>
  <c r="AL271" i="79"/>
  <c r="AK271" i="79"/>
  <c r="AJ271" i="79"/>
  <c r="AI271" i="79"/>
  <c r="AH271" i="79"/>
  <c r="AG271" i="79"/>
  <c r="AF271" i="79"/>
  <c r="AE271" i="79"/>
  <c r="AD271" i="79"/>
  <c r="AC271" i="79"/>
  <c r="AB271" i="79"/>
  <c r="AA271" i="79"/>
  <c r="Z271" i="79"/>
  <c r="Y271" i="79"/>
  <c r="N271" i="79"/>
  <c r="AM270" i="79"/>
  <c r="AL268" i="79"/>
  <c r="AK268" i="79"/>
  <c r="AJ268" i="79"/>
  <c r="AI268" i="79"/>
  <c r="AH268" i="79"/>
  <c r="AG268" i="79"/>
  <c r="AF268" i="79"/>
  <c r="AE268" i="79"/>
  <c r="AD268" i="79"/>
  <c r="AC268" i="79"/>
  <c r="AB268" i="79"/>
  <c r="AA268" i="79"/>
  <c r="Z268" i="79"/>
  <c r="Y268" i="79"/>
  <c r="N268" i="79"/>
  <c r="AM267" i="79"/>
  <c r="AL264" i="79"/>
  <c r="AK264" i="79"/>
  <c r="AJ264" i="79"/>
  <c r="AI264" i="79"/>
  <c r="AH264" i="79"/>
  <c r="AG264" i="79"/>
  <c r="AF264" i="79"/>
  <c r="AE264" i="79"/>
  <c r="AD264" i="79"/>
  <c r="AC264" i="79"/>
  <c r="AB264" i="79"/>
  <c r="AA264" i="79"/>
  <c r="Z264" i="79"/>
  <c r="Y264" i="79"/>
  <c r="N264" i="79"/>
  <c r="AM263" i="79"/>
  <c r="AL260" i="79"/>
  <c r="AK260" i="79"/>
  <c r="AJ260" i="79"/>
  <c r="AI260" i="79"/>
  <c r="AH260" i="79"/>
  <c r="AG260" i="79"/>
  <c r="AF260" i="79"/>
  <c r="AE260" i="79"/>
  <c r="AD260" i="79"/>
  <c r="AC260" i="79"/>
  <c r="AB260" i="79"/>
  <c r="AA260" i="79"/>
  <c r="Z260" i="79"/>
  <c r="Y260" i="79"/>
  <c r="N260" i="79"/>
  <c r="AM259" i="79"/>
  <c r="AL257" i="79"/>
  <c r="AK257" i="79"/>
  <c r="AJ257" i="79"/>
  <c r="AI257" i="79"/>
  <c r="AH257" i="79"/>
  <c r="AG257" i="79"/>
  <c r="AF257" i="79"/>
  <c r="AE257" i="79"/>
  <c r="AD257" i="79"/>
  <c r="AC257" i="79"/>
  <c r="AB257" i="79"/>
  <c r="AA257" i="79"/>
  <c r="Z257" i="79"/>
  <c r="Y257" i="79"/>
  <c r="N257" i="79"/>
  <c r="AM256" i="79"/>
  <c r="AL254" i="79"/>
  <c r="AK254" i="79"/>
  <c r="AJ254" i="79"/>
  <c r="AI254" i="79"/>
  <c r="AH254" i="79"/>
  <c r="AG254" i="79"/>
  <c r="AF254" i="79"/>
  <c r="AE254" i="79"/>
  <c r="AD254" i="79"/>
  <c r="AC254" i="79"/>
  <c r="AB254" i="79"/>
  <c r="AA254" i="79"/>
  <c r="Z254" i="79"/>
  <c r="Y254" i="79"/>
  <c r="N254" i="79"/>
  <c r="AM253" i="79"/>
  <c r="AL250" i="79"/>
  <c r="AK250" i="79"/>
  <c r="AJ250" i="79"/>
  <c r="AI250" i="79"/>
  <c r="AH250" i="79"/>
  <c r="AG250" i="79"/>
  <c r="AF250" i="79"/>
  <c r="AE250" i="79"/>
  <c r="AD250" i="79"/>
  <c r="AC250" i="79"/>
  <c r="AB250" i="79"/>
  <c r="AA250" i="79"/>
  <c r="Z250" i="79"/>
  <c r="Y250" i="79"/>
  <c r="N250" i="79"/>
  <c r="AM249" i="79"/>
  <c r="AL247" i="79"/>
  <c r="AK247" i="79"/>
  <c r="AJ247" i="79"/>
  <c r="AI247" i="79"/>
  <c r="AH247" i="79"/>
  <c r="AG247" i="79"/>
  <c r="AF247" i="79"/>
  <c r="AE247" i="79"/>
  <c r="AD247" i="79"/>
  <c r="AC247" i="79"/>
  <c r="AB247" i="79"/>
  <c r="AA247" i="79"/>
  <c r="Z247" i="79"/>
  <c r="Y247" i="79"/>
  <c r="N247" i="79"/>
  <c r="AM246" i="79"/>
  <c r="AL244" i="79"/>
  <c r="AK244" i="79"/>
  <c r="AJ244" i="79"/>
  <c r="AI244" i="79"/>
  <c r="AH244" i="79"/>
  <c r="AG244" i="79"/>
  <c r="AF244" i="79"/>
  <c r="AE244" i="79"/>
  <c r="AD244" i="79"/>
  <c r="AC244" i="79"/>
  <c r="AB244" i="79"/>
  <c r="AA244" i="79"/>
  <c r="Z244" i="79"/>
  <c r="Y244" i="79"/>
  <c r="N244" i="79"/>
  <c r="AM243" i="79"/>
  <c r="AL241" i="79"/>
  <c r="AK241" i="79"/>
  <c r="AJ241" i="79"/>
  <c r="AI241" i="79"/>
  <c r="AH241" i="79"/>
  <c r="AG241" i="79"/>
  <c r="AF241" i="79"/>
  <c r="AE241" i="79"/>
  <c r="AD241" i="79"/>
  <c r="AC241" i="79"/>
  <c r="AB241" i="79"/>
  <c r="AA241" i="79"/>
  <c r="Z241" i="79"/>
  <c r="Y241" i="79"/>
  <c r="N241" i="79"/>
  <c r="AM240" i="79"/>
  <c r="AL238" i="79"/>
  <c r="AK238" i="79"/>
  <c r="AJ238" i="79"/>
  <c r="AI238" i="79"/>
  <c r="AH238" i="79"/>
  <c r="AG238" i="79"/>
  <c r="AF238" i="79"/>
  <c r="AE238" i="79"/>
  <c r="AD238" i="79"/>
  <c r="AC238" i="79"/>
  <c r="AB238" i="79"/>
  <c r="AA238" i="79"/>
  <c r="Z238" i="79"/>
  <c r="Y238" i="79"/>
  <c r="N238" i="79"/>
  <c r="AM237" i="79"/>
  <c r="AL234" i="79"/>
  <c r="AK234" i="79"/>
  <c r="AJ234" i="79"/>
  <c r="AI234" i="79"/>
  <c r="AH234" i="79"/>
  <c r="AG234" i="79"/>
  <c r="AF234" i="79"/>
  <c r="AE234" i="79"/>
  <c r="AD234" i="79"/>
  <c r="AC234" i="79"/>
  <c r="AB234" i="79"/>
  <c r="AA234" i="79"/>
  <c r="Z234" i="79"/>
  <c r="Y234" i="79"/>
  <c r="AM233" i="79"/>
  <c r="AL231" i="79"/>
  <c r="AK231" i="79"/>
  <c r="AJ231" i="79"/>
  <c r="AI231" i="79"/>
  <c r="AH231" i="79"/>
  <c r="AG231" i="79"/>
  <c r="AF231" i="79"/>
  <c r="AE231" i="79"/>
  <c r="AD231" i="79"/>
  <c r="AC231" i="79"/>
  <c r="AB231" i="79"/>
  <c r="AA231" i="79"/>
  <c r="Z231" i="79"/>
  <c r="Y231" i="79"/>
  <c r="AM230" i="79"/>
  <c r="AL228" i="79"/>
  <c r="AK228" i="79"/>
  <c r="AJ228" i="79"/>
  <c r="AI228" i="79"/>
  <c r="AH228" i="79"/>
  <c r="AG228" i="79"/>
  <c r="AF228" i="79"/>
  <c r="AE228" i="79"/>
  <c r="AD228" i="79"/>
  <c r="AC228" i="79"/>
  <c r="AB228" i="79"/>
  <c r="AA228" i="79"/>
  <c r="Z228" i="79"/>
  <c r="Y228" i="79"/>
  <c r="AM227" i="79"/>
  <c r="AL225" i="79"/>
  <c r="AK225" i="79"/>
  <c r="AJ225" i="79"/>
  <c r="AI225" i="79"/>
  <c r="AH225" i="79"/>
  <c r="AG225" i="79"/>
  <c r="AF225" i="79"/>
  <c r="AE225" i="79"/>
  <c r="AD225" i="79"/>
  <c r="AC225" i="79"/>
  <c r="AB225" i="79"/>
  <c r="AA225" i="79"/>
  <c r="Z225" i="79"/>
  <c r="Y225" i="79"/>
  <c r="AM224" i="79"/>
  <c r="AL222" i="79"/>
  <c r="AK222" i="79"/>
  <c r="AJ222" i="79"/>
  <c r="AI222" i="79"/>
  <c r="AH222" i="79"/>
  <c r="AG222" i="79"/>
  <c r="AF222" i="79"/>
  <c r="AE222" i="79"/>
  <c r="AD222" i="79"/>
  <c r="AC222" i="79"/>
  <c r="AB222" i="79"/>
  <c r="AA222" i="79"/>
  <c r="Z222" i="79"/>
  <c r="Y222" i="79"/>
  <c r="AM221" i="79"/>
  <c r="AL219" i="79"/>
  <c r="AK219" i="79"/>
  <c r="AJ219" i="79"/>
  <c r="AI219" i="79"/>
  <c r="AH219" i="79"/>
  <c r="AG219" i="79"/>
  <c r="AF219" i="79"/>
  <c r="AE219" i="79"/>
  <c r="AD219" i="79"/>
  <c r="AC219" i="79"/>
  <c r="AB219" i="79"/>
  <c r="AA219" i="79"/>
  <c r="Z219" i="79"/>
  <c r="Y219" i="79"/>
  <c r="AM218" i="79"/>
  <c r="AL218" i="79"/>
  <c r="AK218" i="79"/>
  <c r="AJ218" i="79"/>
  <c r="AI218" i="79"/>
  <c r="AH218" i="79"/>
  <c r="AG218" i="79"/>
  <c r="AF218" i="79"/>
  <c r="AE218" i="79"/>
  <c r="AD218" i="79"/>
  <c r="AC218" i="79"/>
  <c r="AB218" i="79"/>
  <c r="AA218" i="79"/>
  <c r="Z218" i="79"/>
  <c r="Y218" i="79"/>
  <c r="AL212" i="79"/>
  <c r="AK212" i="79"/>
  <c r="AJ212" i="79"/>
  <c r="AI212" i="79"/>
  <c r="AH212" i="79"/>
  <c r="AG212" i="79"/>
  <c r="AF212" i="79"/>
  <c r="AE212" i="79"/>
  <c r="AD212" i="79"/>
  <c r="AC212" i="79"/>
  <c r="AB212" i="79"/>
  <c r="AA212" i="79"/>
  <c r="Z212" i="79"/>
  <c r="Y212" i="79"/>
  <c r="AL211" i="79"/>
  <c r="AK211" i="79"/>
  <c r="AJ211" i="79"/>
  <c r="AI211" i="79"/>
  <c r="AH211" i="79"/>
  <c r="AG211" i="79"/>
  <c r="AF211" i="79"/>
  <c r="AE211" i="79"/>
  <c r="AD211" i="79"/>
  <c r="AC211" i="79"/>
  <c r="AB211" i="79"/>
  <c r="AA211" i="79"/>
  <c r="Z211" i="79"/>
  <c r="Y211" i="79"/>
  <c r="AL210" i="79"/>
  <c r="AK210" i="79"/>
  <c r="AJ210" i="79"/>
  <c r="AI210" i="79"/>
  <c r="AH210" i="79"/>
  <c r="AG210" i="79"/>
  <c r="AF210" i="79"/>
  <c r="AE210" i="79"/>
  <c r="AD210" i="79"/>
  <c r="AC210" i="79"/>
  <c r="AB210" i="79"/>
  <c r="AA210" i="79"/>
  <c r="Z210" i="79"/>
  <c r="Y210" i="79"/>
  <c r="AL209" i="79"/>
  <c r="AK209" i="79"/>
  <c r="AJ209" i="79"/>
  <c r="AI209" i="79"/>
  <c r="AH209" i="79"/>
  <c r="AG209" i="79"/>
  <c r="AF209" i="79"/>
  <c r="AE209" i="79"/>
  <c r="AD209" i="79"/>
  <c r="AC209" i="79"/>
  <c r="AB209" i="79"/>
  <c r="AA209" i="79"/>
  <c r="Z209" i="79"/>
  <c r="Y209" i="79"/>
  <c r="AL208" i="79"/>
  <c r="AK208" i="79"/>
  <c r="AJ208" i="79"/>
  <c r="AI208" i="79"/>
  <c r="AH208" i="79"/>
  <c r="AG208" i="79"/>
  <c r="AF208" i="79"/>
  <c r="AE208" i="79"/>
  <c r="AD208" i="79"/>
  <c r="AC208" i="79"/>
  <c r="AB208" i="79"/>
  <c r="AA208" i="79"/>
  <c r="Z208" i="79"/>
  <c r="Y208" i="79"/>
  <c r="AM206" i="79"/>
  <c r="AM205" i="79"/>
  <c r="AL205" i="79"/>
  <c r="AK205" i="79"/>
  <c r="AJ205" i="79"/>
  <c r="AI205" i="79"/>
  <c r="AH205" i="79"/>
  <c r="AG205" i="79"/>
  <c r="AF205" i="79"/>
  <c r="AE205" i="79"/>
  <c r="AD205" i="79"/>
  <c r="AC205" i="79"/>
  <c r="AB205" i="79"/>
  <c r="AA205" i="79"/>
  <c r="Z205" i="79"/>
  <c r="Y205" i="79"/>
  <c r="AM204" i="79"/>
  <c r="AL204" i="79"/>
  <c r="AK204" i="79"/>
  <c r="AJ204" i="79"/>
  <c r="AI204" i="79"/>
  <c r="AH204" i="79"/>
  <c r="AG204" i="79"/>
  <c r="AF204" i="79"/>
  <c r="AE204" i="79"/>
  <c r="AD204" i="79"/>
  <c r="AC204" i="79"/>
  <c r="AB204" i="79"/>
  <c r="AA204" i="79"/>
  <c r="Z204" i="79"/>
  <c r="Y204" i="79"/>
  <c r="AM203" i="79"/>
  <c r="AL203" i="79"/>
  <c r="AK203" i="79"/>
  <c r="AJ203" i="79"/>
  <c r="AI203" i="79"/>
  <c r="AH203" i="79"/>
  <c r="AG203" i="79"/>
  <c r="AF203" i="79"/>
  <c r="AE203" i="79"/>
  <c r="AD203" i="79"/>
  <c r="AC203" i="79"/>
  <c r="AB203" i="79"/>
  <c r="AA203" i="79"/>
  <c r="Z203" i="79"/>
  <c r="Y203" i="79"/>
  <c r="AM202" i="79"/>
  <c r="AL202" i="79"/>
  <c r="AK202" i="79"/>
  <c r="AJ202" i="79"/>
  <c r="AI202" i="79"/>
  <c r="AH202" i="79"/>
  <c r="AG202" i="79"/>
  <c r="AF202" i="79"/>
  <c r="AE202" i="79"/>
  <c r="AD202" i="79"/>
  <c r="AC202" i="79"/>
  <c r="AB202" i="79"/>
  <c r="AA202" i="79"/>
  <c r="Z202" i="79"/>
  <c r="Y202" i="79"/>
  <c r="AM201" i="79"/>
  <c r="AL201" i="79"/>
  <c r="AK201" i="79"/>
  <c r="AJ201" i="79"/>
  <c r="AI201" i="79"/>
  <c r="AH201" i="79"/>
  <c r="AG201" i="79"/>
  <c r="AF201" i="79"/>
  <c r="AE201" i="79"/>
  <c r="AD201" i="79"/>
  <c r="AC201" i="79"/>
  <c r="AB201" i="79"/>
  <c r="AA201" i="79"/>
  <c r="Z201" i="79"/>
  <c r="Y201" i="79"/>
  <c r="AM200" i="79"/>
  <c r="AL200" i="79"/>
  <c r="AK200" i="79"/>
  <c r="AJ200" i="79"/>
  <c r="AI200" i="79"/>
  <c r="AH200" i="79"/>
  <c r="AG200" i="79"/>
  <c r="AF200" i="79"/>
  <c r="AE200" i="79"/>
  <c r="AD200" i="79"/>
  <c r="AC200" i="79"/>
  <c r="AB200" i="79"/>
  <c r="AA200" i="79"/>
  <c r="Z200" i="79"/>
  <c r="Y200" i="79"/>
  <c r="AM199" i="79"/>
  <c r="AL199" i="79"/>
  <c r="AK199" i="79"/>
  <c r="AJ199" i="79"/>
  <c r="AI199" i="79"/>
  <c r="AH199" i="79"/>
  <c r="AG199" i="79"/>
  <c r="AF199" i="79"/>
  <c r="AE199" i="79"/>
  <c r="AD199" i="79"/>
  <c r="AC199" i="79"/>
  <c r="AB199" i="79"/>
  <c r="AA199" i="79"/>
  <c r="Z199" i="79"/>
  <c r="Y199" i="79"/>
  <c r="AL198" i="79"/>
  <c r="AK198" i="79"/>
  <c r="AJ198" i="79"/>
  <c r="AI198" i="79"/>
  <c r="AH198" i="79"/>
  <c r="AG198" i="79"/>
  <c r="AF198" i="79"/>
  <c r="AE198" i="79"/>
  <c r="AD198" i="79"/>
  <c r="AC198" i="79"/>
  <c r="AB198" i="79"/>
  <c r="AA198" i="79"/>
  <c r="Z198" i="79"/>
  <c r="Y198" i="79"/>
  <c r="AL196" i="79"/>
  <c r="AK196" i="79"/>
  <c r="AJ196" i="79"/>
  <c r="AI196" i="79"/>
  <c r="AH196" i="79"/>
  <c r="AG196" i="79"/>
  <c r="AF196" i="79"/>
  <c r="AE196" i="79"/>
  <c r="AD196" i="79"/>
  <c r="AC196" i="79"/>
  <c r="AB196" i="79"/>
  <c r="AA196" i="79"/>
  <c r="Z196" i="79"/>
  <c r="Y196" i="79"/>
  <c r="AL195" i="79"/>
  <c r="AK195" i="79"/>
  <c r="AJ195" i="79"/>
  <c r="AI195" i="79"/>
  <c r="AH195" i="79"/>
  <c r="AG195" i="79"/>
  <c r="AF195" i="79"/>
  <c r="AE195" i="79"/>
  <c r="AD195" i="79"/>
  <c r="AC195" i="79"/>
  <c r="AB195" i="79"/>
  <c r="AA195" i="79"/>
  <c r="Z195" i="79"/>
  <c r="Y195" i="79"/>
  <c r="O195" i="79"/>
  <c r="D195" i="79"/>
  <c r="AL193" i="79"/>
  <c r="AK193" i="79"/>
  <c r="AJ193" i="79"/>
  <c r="AI193" i="79"/>
  <c r="AH193" i="79"/>
  <c r="AG193" i="79"/>
  <c r="AF193" i="79"/>
  <c r="AE193" i="79"/>
  <c r="AD193" i="79"/>
  <c r="AC193" i="79"/>
  <c r="AB193" i="79"/>
  <c r="AA193" i="79"/>
  <c r="Z193" i="79"/>
  <c r="Y193" i="79"/>
  <c r="N193" i="79"/>
  <c r="AM192" i="79"/>
  <c r="AL190" i="79"/>
  <c r="AK190" i="79"/>
  <c r="AJ190" i="79"/>
  <c r="AI190" i="79"/>
  <c r="AH190" i="79"/>
  <c r="AG190" i="79"/>
  <c r="AF190" i="79"/>
  <c r="AE190" i="79"/>
  <c r="AD190" i="79"/>
  <c r="AC190" i="79"/>
  <c r="AB190" i="79"/>
  <c r="AA190" i="79"/>
  <c r="Z190" i="79"/>
  <c r="Y190" i="79"/>
  <c r="N190" i="79"/>
  <c r="AM189" i="79"/>
  <c r="AL187" i="79"/>
  <c r="AK187" i="79"/>
  <c r="AJ187" i="79"/>
  <c r="AI187" i="79"/>
  <c r="AH187" i="79"/>
  <c r="AG187" i="79"/>
  <c r="AF187" i="79"/>
  <c r="AE187" i="79"/>
  <c r="AD187" i="79"/>
  <c r="AC187" i="79"/>
  <c r="AB187" i="79"/>
  <c r="AA187" i="79"/>
  <c r="Z187" i="79"/>
  <c r="Y187" i="79"/>
  <c r="N187" i="79"/>
  <c r="AM186" i="79"/>
  <c r="AL184" i="79"/>
  <c r="AK184" i="79"/>
  <c r="AJ184" i="79"/>
  <c r="AI184" i="79"/>
  <c r="AH184" i="79"/>
  <c r="AG184" i="79"/>
  <c r="AF184" i="79"/>
  <c r="AE184" i="79"/>
  <c r="AD184" i="79"/>
  <c r="AC184" i="79"/>
  <c r="AB184" i="79"/>
  <c r="AA184" i="79"/>
  <c r="Z184" i="79"/>
  <c r="Y184" i="79"/>
  <c r="N184" i="79"/>
  <c r="AM183" i="79"/>
  <c r="AL181" i="79"/>
  <c r="AK181" i="79"/>
  <c r="AJ181" i="79"/>
  <c r="AI181" i="79"/>
  <c r="AH181" i="79"/>
  <c r="AG181" i="79"/>
  <c r="AF181" i="79"/>
  <c r="AE181" i="79"/>
  <c r="AD181" i="79"/>
  <c r="AC181" i="79"/>
  <c r="AB181" i="79"/>
  <c r="AA181" i="79"/>
  <c r="Z181" i="79"/>
  <c r="Y181" i="79"/>
  <c r="N181" i="79"/>
  <c r="AM180" i="79"/>
  <c r="AL178" i="79"/>
  <c r="AK178" i="79"/>
  <c r="AJ178" i="79"/>
  <c r="AI178" i="79"/>
  <c r="AH178" i="79"/>
  <c r="AG178" i="79"/>
  <c r="AF178" i="79"/>
  <c r="AE178" i="79"/>
  <c r="AD178" i="79"/>
  <c r="AC178" i="79"/>
  <c r="AB178" i="79"/>
  <c r="AA178" i="79"/>
  <c r="Z178" i="79"/>
  <c r="Y178" i="79"/>
  <c r="N178" i="79"/>
  <c r="AM177" i="79"/>
  <c r="AL175" i="79"/>
  <c r="AK175" i="79"/>
  <c r="AJ175" i="79"/>
  <c r="AI175" i="79"/>
  <c r="AH175" i="79"/>
  <c r="AG175" i="79"/>
  <c r="AF175" i="79"/>
  <c r="AE175" i="79"/>
  <c r="AD175" i="79"/>
  <c r="AC175" i="79"/>
  <c r="AB175" i="79"/>
  <c r="AA175" i="79"/>
  <c r="Z175" i="79"/>
  <c r="Y175" i="79"/>
  <c r="N175" i="79"/>
  <c r="AM174" i="79"/>
  <c r="AL172" i="79"/>
  <c r="AK172" i="79"/>
  <c r="AJ172" i="79"/>
  <c r="AI172" i="79"/>
  <c r="AH172" i="79"/>
  <c r="AG172" i="79"/>
  <c r="AF172" i="79"/>
  <c r="AE172" i="79"/>
  <c r="AD172" i="79"/>
  <c r="AC172" i="79"/>
  <c r="AB172" i="79"/>
  <c r="AA172" i="79"/>
  <c r="Z172" i="79"/>
  <c r="Y172" i="79"/>
  <c r="AM171" i="79"/>
  <c r="AL169" i="79"/>
  <c r="AK169" i="79"/>
  <c r="AJ169" i="79"/>
  <c r="AI169" i="79"/>
  <c r="AH169" i="79"/>
  <c r="AG169" i="79"/>
  <c r="AF169" i="79"/>
  <c r="AE169" i="79"/>
  <c r="AD169" i="79"/>
  <c r="AC169" i="79"/>
  <c r="AB169" i="79"/>
  <c r="AA169" i="79"/>
  <c r="Z169" i="79"/>
  <c r="Y169" i="79"/>
  <c r="N169" i="79"/>
  <c r="AM168" i="79"/>
  <c r="AL166" i="79"/>
  <c r="AK166" i="79"/>
  <c r="AJ166" i="79"/>
  <c r="AI166" i="79"/>
  <c r="AH166" i="79"/>
  <c r="AG166" i="79"/>
  <c r="AF166" i="79"/>
  <c r="AE166" i="79"/>
  <c r="AD166" i="79"/>
  <c r="AC166" i="79"/>
  <c r="AB166" i="79"/>
  <c r="AA166" i="79"/>
  <c r="Z166" i="79"/>
  <c r="Y166" i="79"/>
  <c r="N166" i="79"/>
  <c r="AM165" i="79"/>
  <c r="AL163" i="79"/>
  <c r="AK163" i="79"/>
  <c r="AJ163" i="79"/>
  <c r="AI163" i="79"/>
  <c r="AH163" i="79"/>
  <c r="AG163" i="79"/>
  <c r="AF163" i="79"/>
  <c r="AE163" i="79"/>
  <c r="AD163" i="79"/>
  <c r="AC163" i="79"/>
  <c r="AB163" i="79"/>
  <c r="AA163" i="79"/>
  <c r="Z163" i="79"/>
  <c r="Y163" i="79"/>
  <c r="N163" i="79"/>
  <c r="AM162" i="79"/>
  <c r="AL160" i="79"/>
  <c r="AK160" i="79"/>
  <c r="AJ160" i="79"/>
  <c r="AI160" i="79"/>
  <c r="AH160" i="79"/>
  <c r="AG160" i="79"/>
  <c r="AF160" i="79"/>
  <c r="AE160" i="79"/>
  <c r="AD160" i="79"/>
  <c r="AC160" i="79"/>
  <c r="AB160" i="79"/>
  <c r="AA160" i="79"/>
  <c r="Z160" i="79"/>
  <c r="Y160" i="79"/>
  <c r="N160" i="79"/>
  <c r="AM159" i="79"/>
  <c r="AL157" i="79"/>
  <c r="AK157" i="79"/>
  <c r="AJ157" i="79"/>
  <c r="AI157" i="79"/>
  <c r="AH157" i="79"/>
  <c r="AG157" i="79"/>
  <c r="AF157" i="79"/>
  <c r="AE157" i="79"/>
  <c r="AD157" i="79"/>
  <c r="AC157" i="79"/>
  <c r="AB157" i="79"/>
  <c r="AA157" i="79"/>
  <c r="Z157" i="79"/>
  <c r="Y157" i="79"/>
  <c r="N157" i="79"/>
  <c r="AM156" i="79"/>
  <c r="AL154" i="79"/>
  <c r="AK154" i="79"/>
  <c r="AJ154" i="79"/>
  <c r="AI154" i="79"/>
  <c r="AH154" i="79"/>
  <c r="AG154" i="79"/>
  <c r="AF154" i="79"/>
  <c r="AE154" i="79"/>
  <c r="AD154" i="79"/>
  <c r="AC154" i="79"/>
  <c r="AB154" i="79"/>
  <c r="AA154" i="79"/>
  <c r="Z154" i="79"/>
  <c r="Y154" i="79"/>
  <c r="N154" i="79"/>
  <c r="AM153" i="79"/>
  <c r="AL150" i="79"/>
  <c r="AK150" i="79"/>
  <c r="AJ150" i="79"/>
  <c r="AI150" i="79"/>
  <c r="AH150" i="79"/>
  <c r="AG150" i="79"/>
  <c r="AF150" i="79"/>
  <c r="AE150" i="79"/>
  <c r="AD150" i="79"/>
  <c r="AC150" i="79"/>
  <c r="AB150" i="79"/>
  <c r="AA150" i="79"/>
  <c r="Z150" i="79"/>
  <c r="Y150" i="79"/>
  <c r="N150" i="79"/>
  <c r="AM149" i="79"/>
  <c r="AL147" i="79"/>
  <c r="AK147" i="79"/>
  <c r="AJ147" i="79"/>
  <c r="AI147" i="79"/>
  <c r="AH147" i="79"/>
  <c r="AG147" i="79"/>
  <c r="AF147" i="79"/>
  <c r="AE147" i="79"/>
  <c r="AD147" i="79"/>
  <c r="AC147" i="79"/>
  <c r="AB147" i="79"/>
  <c r="AA147" i="79"/>
  <c r="Z147" i="79"/>
  <c r="Y147" i="79"/>
  <c r="N147" i="79"/>
  <c r="AM146" i="79"/>
  <c r="AL144" i="79"/>
  <c r="AK144" i="79"/>
  <c r="AJ144" i="79"/>
  <c r="AI144" i="79"/>
  <c r="AH144" i="79"/>
  <c r="AG144" i="79"/>
  <c r="AF144" i="79"/>
  <c r="AE144" i="79"/>
  <c r="AD144" i="79"/>
  <c r="AC144" i="79"/>
  <c r="AB144" i="79"/>
  <c r="AA144" i="79"/>
  <c r="Z144" i="79"/>
  <c r="Y144" i="79"/>
  <c r="N144" i="79"/>
  <c r="AM143" i="79"/>
  <c r="AL140" i="79"/>
  <c r="AK140" i="79"/>
  <c r="AJ140" i="79"/>
  <c r="AI140" i="79"/>
  <c r="AH140" i="79"/>
  <c r="AG140" i="79"/>
  <c r="AF140" i="79"/>
  <c r="AE140" i="79"/>
  <c r="AD140" i="79"/>
  <c r="AC140" i="79"/>
  <c r="AB140" i="79"/>
  <c r="AA140" i="79"/>
  <c r="Z140" i="79"/>
  <c r="Y140" i="79"/>
  <c r="N140" i="79"/>
  <c r="AM139" i="79"/>
  <c r="AL137" i="79"/>
  <c r="AK137" i="79"/>
  <c r="AJ137" i="79"/>
  <c r="AI137" i="79"/>
  <c r="AH137" i="79"/>
  <c r="AG137" i="79"/>
  <c r="AF137" i="79"/>
  <c r="AE137" i="79"/>
  <c r="AD137" i="79"/>
  <c r="AC137" i="79"/>
  <c r="AB137" i="79"/>
  <c r="AA137" i="79"/>
  <c r="Z137" i="79"/>
  <c r="Y137" i="79"/>
  <c r="N137" i="79"/>
  <c r="AM136" i="79"/>
  <c r="AL134" i="79"/>
  <c r="AK134" i="79"/>
  <c r="AJ134" i="79"/>
  <c r="AI134" i="79"/>
  <c r="AH134" i="79"/>
  <c r="AG134" i="79"/>
  <c r="AF134" i="79"/>
  <c r="AE134" i="79"/>
  <c r="AD134" i="79"/>
  <c r="AC134" i="79"/>
  <c r="AB134" i="79"/>
  <c r="AA134" i="79"/>
  <c r="Z134" i="79"/>
  <c r="Y134" i="79"/>
  <c r="N134" i="79"/>
  <c r="AM133" i="79"/>
  <c r="AL131" i="79"/>
  <c r="AK131" i="79"/>
  <c r="AJ131" i="79"/>
  <c r="AI131" i="79"/>
  <c r="AH131" i="79"/>
  <c r="AG131" i="79"/>
  <c r="AF131" i="79"/>
  <c r="AE131" i="79"/>
  <c r="AD131" i="79"/>
  <c r="AC131" i="79"/>
  <c r="AB131" i="79"/>
  <c r="AA131" i="79"/>
  <c r="Z131" i="79"/>
  <c r="Y131" i="79"/>
  <c r="N131" i="79"/>
  <c r="AM130" i="79"/>
  <c r="AL128" i="79"/>
  <c r="AK128" i="79"/>
  <c r="AJ128" i="79"/>
  <c r="AI128" i="79"/>
  <c r="AH128" i="79"/>
  <c r="AG128" i="79"/>
  <c r="AF128" i="79"/>
  <c r="AE128" i="79"/>
  <c r="AD128" i="79"/>
  <c r="AC128" i="79"/>
  <c r="AB128" i="79"/>
  <c r="AA128" i="79"/>
  <c r="Z128" i="79"/>
  <c r="Y128" i="79"/>
  <c r="N128" i="79"/>
  <c r="AM127" i="79"/>
  <c r="AL125" i="79"/>
  <c r="AK125" i="79"/>
  <c r="AJ125" i="79"/>
  <c r="AI125" i="79"/>
  <c r="AH125" i="79"/>
  <c r="AG125" i="79"/>
  <c r="AF125" i="79"/>
  <c r="AE125" i="79"/>
  <c r="AD125" i="79"/>
  <c r="AC125" i="79"/>
  <c r="AB125" i="79"/>
  <c r="AA125" i="79"/>
  <c r="Z125" i="79"/>
  <c r="Y125" i="79"/>
  <c r="N125" i="79"/>
  <c r="AM124" i="79"/>
  <c r="AL122" i="79"/>
  <c r="AK122" i="79"/>
  <c r="AJ122" i="79"/>
  <c r="AI122" i="79"/>
  <c r="AH122" i="79"/>
  <c r="AG122" i="79"/>
  <c r="AF122" i="79"/>
  <c r="AE122" i="79"/>
  <c r="AD122" i="79"/>
  <c r="AC122" i="79"/>
  <c r="AB122" i="79"/>
  <c r="AA122" i="79"/>
  <c r="Z122" i="79"/>
  <c r="Y122" i="79"/>
  <c r="X122" i="79"/>
  <c r="W122" i="79"/>
  <c r="V122" i="79"/>
  <c r="U122" i="79"/>
  <c r="T122" i="79"/>
  <c r="S122" i="79"/>
  <c r="R122" i="79"/>
  <c r="Q122" i="79"/>
  <c r="P122" i="79"/>
  <c r="O122" i="79"/>
  <c r="N122" i="79"/>
  <c r="M122" i="79"/>
  <c r="L122" i="79"/>
  <c r="K122" i="79"/>
  <c r="J122" i="79"/>
  <c r="I122" i="79"/>
  <c r="H122" i="79"/>
  <c r="G122" i="79"/>
  <c r="F122" i="79"/>
  <c r="E122" i="79"/>
  <c r="D122" i="79"/>
  <c r="AM121" i="79"/>
  <c r="AL119" i="79"/>
  <c r="AK119" i="79"/>
  <c r="AJ119" i="79"/>
  <c r="AI119" i="79"/>
  <c r="AH119" i="79"/>
  <c r="AG119" i="79"/>
  <c r="AF119" i="79"/>
  <c r="AE119" i="79"/>
  <c r="AD119" i="79"/>
  <c r="AC119" i="79"/>
  <c r="AB119" i="79"/>
  <c r="AA119" i="79"/>
  <c r="Z119" i="79"/>
  <c r="Y119" i="79"/>
  <c r="N119" i="79"/>
  <c r="AM118" i="79"/>
  <c r="AL115" i="79"/>
  <c r="AK115" i="79"/>
  <c r="AJ115" i="79"/>
  <c r="AI115" i="79"/>
  <c r="AH115" i="79"/>
  <c r="AG115" i="79"/>
  <c r="AF115" i="79"/>
  <c r="AE115" i="79"/>
  <c r="AD115" i="79"/>
  <c r="AC115" i="79"/>
  <c r="AB115" i="79"/>
  <c r="AA115" i="79"/>
  <c r="Z115" i="79"/>
  <c r="Y115" i="79"/>
  <c r="AM114" i="79"/>
  <c r="AL112" i="79"/>
  <c r="AK112" i="79"/>
  <c r="AJ112" i="79"/>
  <c r="AI112" i="79"/>
  <c r="AH112" i="79"/>
  <c r="AG112" i="79"/>
  <c r="AF112" i="79"/>
  <c r="AE112" i="79"/>
  <c r="AD112" i="79"/>
  <c r="AC112" i="79"/>
  <c r="AB112" i="79"/>
  <c r="AA112" i="79"/>
  <c r="Z112" i="79"/>
  <c r="Y112" i="79"/>
  <c r="AM111" i="79"/>
  <c r="AL109" i="79"/>
  <c r="AK109" i="79"/>
  <c r="AJ109" i="79"/>
  <c r="AI109" i="79"/>
  <c r="AH109" i="79"/>
  <c r="AG109" i="79"/>
  <c r="AF109" i="79"/>
  <c r="AE109" i="79"/>
  <c r="AD109" i="79"/>
  <c r="AC109" i="79"/>
  <c r="AB109" i="79"/>
  <c r="AA109" i="79"/>
  <c r="Z109" i="79"/>
  <c r="Y109" i="79"/>
  <c r="AM108" i="79"/>
  <c r="AL106" i="79"/>
  <c r="AK106" i="79"/>
  <c r="AJ106" i="79"/>
  <c r="AI106" i="79"/>
  <c r="AH106" i="79"/>
  <c r="AG106" i="79"/>
  <c r="AF106" i="79"/>
  <c r="AE106" i="79"/>
  <c r="AD106" i="79"/>
  <c r="AC106" i="79"/>
  <c r="AB106" i="79"/>
  <c r="AA106" i="79"/>
  <c r="Z106" i="79"/>
  <c r="Y106" i="79"/>
  <c r="AM105" i="79"/>
  <c r="AL101" i="79"/>
  <c r="AK101" i="79"/>
  <c r="AJ101" i="79"/>
  <c r="AI101" i="79"/>
  <c r="AH101" i="79"/>
  <c r="AG101" i="79"/>
  <c r="AF101" i="79"/>
  <c r="AE101" i="79"/>
  <c r="AD101" i="79"/>
  <c r="AC101" i="79"/>
  <c r="AB101" i="79"/>
  <c r="AA101" i="79"/>
  <c r="Z101" i="79"/>
  <c r="Y101" i="79"/>
  <c r="N101" i="79"/>
  <c r="AM100" i="79"/>
  <c r="AL98" i="79"/>
  <c r="AK98" i="79"/>
  <c r="AJ98" i="79"/>
  <c r="AI98" i="79"/>
  <c r="AH98" i="79"/>
  <c r="AG98" i="79"/>
  <c r="AF98" i="79"/>
  <c r="AE98" i="79"/>
  <c r="AD98" i="79"/>
  <c r="AC98" i="79"/>
  <c r="AB98" i="79"/>
  <c r="AA98" i="79"/>
  <c r="Z98" i="79"/>
  <c r="Y98" i="79"/>
  <c r="N98" i="79"/>
  <c r="AM97" i="79"/>
  <c r="AL95" i="79"/>
  <c r="AK95" i="79"/>
  <c r="AJ95" i="79"/>
  <c r="AI95" i="79"/>
  <c r="AH95" i="79"/>
  <c r="AG95" i="79"/>
  <c r="AF95" i="79"/>
  <c r="AE95" i="79"/>
  <c r="AD95" i="79"/>
  <c r="AC95" i="79"/>
  <c r="AB95" i="79"/>
  <c r="AA95" i="79"/>
  <c r="Z95" i="79"/>
  <c r="Y95" i="79"/>
  <c r="N95" i="79"/>
  <c r="AM94" i="79"/>
  <c r="AL92" i="79"/>
  <c r="AK92" i="79"/>
  <c r="AJ92" i="79"/>
  <c r="AI92" i="79"/>
  <c r="AH92" i="79"/>
  <c r="AG92" i="79"/>
  <c r="AF92" i="79"/>
  <c r="AE92" i="79"/>
  <c r="AD92" i="79"/>
  <c r="AC92" i="79"/>
  <c r="AB92" i="79"/>
  <c r="AA92" i="79"/>
  <c r="Z92" i="79"/>
  <c r="Y92" i="79"/>
  <c r="N92" i="79"/>
  <c r="AM91" i="79"/>
  <c r="AL88" i="79"/>
  <c r="AK88" i="79"/>
  <c r="AJ88" i="79"/>
  <c r="AI88" i="79"/>
  <c r="AH88" i="79"/>
  <c r="AG88" i="79"/>
  <c r="AF88" i="79"/>
  <c r="AE88" i="79"/>
  <c r="AD88" i="79"/>
  <c r="AC88" i="79"/>
  <c r="AB88" i="79"/>
  <c r="AA88" i="79"/>
  <c r="Z88" i="79"/>
  <c r="Y88" i="79"/>
  <c r="N88" i="79"/>
  <c r="AM87" i="79"/>
  <c r="AL85" i="79"/>
  <c r="AK85" i="79"/>
  <c r="AJ85" i="79"/>
  <c r="AI85" i="79"/>
  <c r="AH85" i="79"/>
  <c r="AG85" i="79"/>
  <c r="AF85" i="79"/>
  <c r="AE85" i="79"/>
  <c r="AD85" i="79"/>
  <c r="AC85" i="79"/>
  <c r="AB85" i="79"/>
  <c r="AA85" i="79"/>
  <c r="Z85" i="79"/>
  <c r="Y85" i="79"/>
  <c r="N85" i="79"/>
  <c r="AM84" i="79"/>
  <c r="AL81" i="79"/>
  <c r="AK81" i="79"/>
  <c r="AJ81" i="79"/>
  <c r="AI81" i="79"/>
  <c r="AH81" i="79"/>
  <c r="AG81" i="79"/>
  <c r="AF81" i="79"/>
  <c r="AE81" i="79"/>
  <c r="AD81" i="79"/>
  <c r="AC81" i="79"/>
  <c r="AB81" i="79"/>
  <c r="AA81" i="79"/>
  <c r="Z81" i="79"/>
  <c r="Y81" i="79"/>
  <c r="N81" i="79"/>
  <c r="AM80" i="79"/>
  <c r="AL77" i="79"/>
  <c r="AK77" i="79"/>
  <c r="AJ77" i="79"/>
  <c r="AI77" i="79"/>
  <c r="AH77" i="79"/>
  <c r="AG77" i="79"/>
  <c r="AF77" i="79"/>
  <c r="AE77" i="79"/>
  <c r="AD77" i="79"/>
  <c r="AC77" i="79"/>
  <c r="AB77" i="79"/>
  <c r="AA77" i="79"/>
  <c r="Z77" i="79"/>
  <c r="Y77" i="79"/>
  <c r="N77" i="79"/>
  <c r="AM76" i="79"/>
  <c r="AL74" i="79"/>
  <c r="AK74" i="79"/>
  <c r="AJ74" i="79"/>
  <c r="AI74" i="79"/>
  <c r="AH74" i="79"/>
  <c r="AG74" i="79"/>
  <c r="AF74" i="79"/>
  <c r="AE74" i="79"/>
  <c r="AD74" i="79"/>
  <c r="AC74" i="79"/>
  <c r="AB74" i="79"/>
  <c r="AA74" i="79"/>
  <c r="Z74" i="79"/>
  <c r="Y74" i="79"/>
  <c r="N74" i="79"/>
  <c r="AM73" i="79"/>
  <c r="AL71" i="79"/>
  <c r="AK71" i="79"/>
  <c r="AJ71" i="79"/>
  <c r="AI71" i="79"/>
  <c r="AH71" i="79"/>
  <c r="AG71" i="79"/>
  <c r="AF71" i="79"/>
  <c r="AE71" i="79"/>
  <c r="AD71" i="79"/>
  <c r="AC71" i="79"/>
  <c r="AB71" i="79"/>
  <c r="AA71" i="79"/>
  <c r="Z71" i="79"/>
  <c r="Y71" i="79"/>
  <c r="N71" i="79"/>
  <c r="AM70" i="79"/>
  <c r="AL67" i="79"/>
  <c r="AK67" i="79"/>
  <c r="AJ67" i="79"/>
  <c r="AI67" i="79"/>
  <c r="AH67" i="79"/>
  <c r="AG67" i="79"/>
  <c r="AF67" i="79"/>
  <c r="AE67" i="79"/>
  <c r="AD67" i="79"/>
  <c r="AC67" i="79"/>
  <c r="AB67" i="79"/>
  <c r="AA67" i="79"/>
  <c r="Z67" i="79"/>
  <c r="Y67" i="79"/>
  <c r="N67" i="79"/>
  <c r="AM66" i="79"/>
  <c r="AL64" i="79"/>
  <c r="AK64" i="79"/>
  <c r="AJ64" i="79"/>
  <c r="AI64" i="79"/>
  <c r="AH64" i="79"/>
  <c r="AG64" i="79"/>
  <c r="AF64" i="79"/>
  <c r="AE64" i="79"/>
  <c r="AD64" i="79"/>
  <c r="AC64" i="79"/>
  <c r="AB64" i="79"/>
  <c r="AA64" i="79"/>
  <c r="Z64" i="79"/>
  <c r="Y64" i="79"/>
  <c r="N64" i="79"/>
  <c r="AM63" i="79"/>
  <c r="AL61" i="79"/>
  <c r="AK61" i="79"/>
  <c r="AJ61" i="79"/>
  <c r="AI61" i="79"/>
  <c r="AH61" i="79"/>
  <c r="AG61" i="79"/>
  <c r="AF61" i="79"/>
  <c r="AE61" i="79"/>
  <c r="AD61" i="79"/>
  <c r="AC61" i="79"/>
  <c r="AB61" i="79"/>
  <c r="AA61" i="79"/>
  <c r="Z61" i="79"/>
  <c r="Y61" i="79"/>
  <c r="X61" i="79"/>
  <c r="W61" i="79"/>
  <c r="V61" i="79"/>
  <c r="U61" i="79"/>
  <c r="T61" i="79"/>
  <c r="S61" i="79"/>
  <c r="R61" i="79"/>
  <c r="Q61" i="79"/>
  <c r="P61" i="79"/>
  <c r="O61" i="79"/>
  <c r="N61" i="79"/>
  <c r="M61" i="79"/>
  <c r="L61" i="79"/>
  <c r="K61" i="79"/>
  <c r="J61" i="79"/>
  <c r="I61" i="79"/>
  <c r="H61" i="79"/>
  <c r="G61" i="79"/>
  <c r="F61" i="79"/>
  <c r="E61" i="79"/>
  <c r="D61" i="79"/>
  <c r="AM60" i="79"/>
  <c r="X60" i="79"/>
  <c r="W60" i="79"/>
  <c r="V60" i="79"/>
  <c r="U60" i="79"/>
  <c r="T60" i="79"/>
  <c r="S60" i="79"/>
  <c r="R60" i="79"/>
  <c r="Q60" i="79"/>
  <c r="P60" i="79"/>
  <c r="O60" i="79"/>
  <c r="M60" i="79"/>
  <c r="L60" i="79"/>
  <c r="K60" i="79"/>
  <c r="J60" i="79"/>
  <c r="I60" i="79"/>
  <c r="H60" i="79"/>
  <c r="G60" i="79"/>
  <c r="F60" i="79"/>
  <c r="E60" i="79"/>
  <c r="D60" i="79"/>
  <c r="AL58" i="79"/>
  <c r="AK58" i="79"/>
  <c r="AJ58" i="79"/>
  <c r="AI58" i="79"/>
  <c r="AH58" i="79"/>
  <c r="AG58" i="79"/>
  <c r="AF58" i="79"/>
  <c r="AE58" i="79"/>
  <c r="AD58" i="79"/>
  <c r="AC58" i="79"/>
  <c r="AB58" i="79"/>
  <c r="AA58" i="79"/>
  <c r="Z58" i="79"/>
  <c r="Y58" i="79"/>
  <c r="X58" i="79"/>
  <c r="W58" i="79"/>
  <c r="V58" i="79"/>
  <c r="U58" i="79"/>
  <c r="T58" i="79"/>
  <c r="S58" i="79"/>
  <c r="R58" i="79"/>
  <c r="Q58" i="79"/>
  <c r="P58" i="79"/>
  <c r="O58" i="79"/>
  <c r="N58" i="79"/>
  <c r="M58" i="79"/>
  <c r="L58" i="79"/>
  <c r="K58" i="79"/>
  <c r="J58" i="79"/>
  <c r="I58" i="79"/>
  <c r="H58" i="79"/>
  <c r="G58" i="79"/>
  <c r="F58" i="79"/>
  <c r="E58" i="79"/>
  <c r="D58" i="79"/>
  <c r="AM57" i="79"/>
  <c r="X57" i="79"/>
  <c r="W57" i="79"/>
  <c r="V57" i="79"/>
  <c r="U57" i="79"/>
  <c r="T57" i="79"/>
  <c r="S57" i="79"/>
  <c r="R57" i="79"/>
  <c r="Q57" i="79"/>
  <c r="P57" i="79"/>
  <c r="O57" i="79"/>
  <c r="M57" i="79"/>
  <c r="L57" i="79"/>
  <c r="K57" i="79"/>
  <c r="J57" i="79"/>
  <c r="I57" i="79"/>
  <c r="H57" i="79"/>
  <c r="G57" i="79"/>
  <c r="F57" i="79"/>
  <c r="E57" i="79"/>
  <c r="D57" i="79"/>
  <c r="AL55" i="79"/>
  <c r="AK55" i="79"/>
  <c r="AJ55" i="79"/>
  <c r="AI55" i="79"/>
  <c r="AH55" i="79"/>
  <c r="AG55" i="79"/>
  <c r="AF55" i="79"/>
  <c r="AE55" i="79"/>
  <c r="AD55" i="79"/>
  <c r="AC55" i="79"/>
  <c r="AB55" i="79"/>
  <c r="AA55" i="79"/>
  <c r="Z55" i="79"/>
  <c r="Y55" i="79"/>
  <c r="N55" i="79"/>
  <c r="AM54" i="79"/>
  <c r="AL51" i="79"/>
  <c r="AK51" i="79"/>
  <c r="AJ51" i="79"/>
  <c r="AI51" i="79"/>
  <c r="AH51" i="79"/>
  <c r="AG51" i="79"/>
  <c r="AF51" i="79"/>
  <c r="AE51" i="79"/>
  <c r="AD51" i="79"/>
  <c r="AC51" i="79"/>
  <c r="AB51" i="79"/>
  <c r="AA51" i="79"/>
  <c r="Z51" i="79"/>
  <c r="Y51" i="79"/>
  <c r="AM50" i="79"/>
  <c r="AL48" i="79"/>
  <c r="AK48" i="79"/>
  <c r="AJ48" i="79"/>
  <c r="AI48" i="79"/>
  <c r="AH48" i="79"/>
  <c r="AG48" i="79"/>
  <c r="AF48" i="79"/>
  <c r="AE48" i="79"/>
  <c r="AD48" i="79"/>
  <c r="AC48" i="79"/>
  <c r="AB48" i="79"/>
  <c r="AA48" i="79"/>
  <c r="Z48" i="79"/>
  <c r="Y48" i="79"/>
  <c r="X48" i="79"/>
  <c r="W48" i="79"/>
  <c r="V48" i="79"/>
  <c r="U48" i="79"/>
  <c r="T48" i="79"/>
  <c r="S48" i="79"/>
  <c r="R48" i="79"/>
  <c r="Q48" i="79"/>
  <c r="P48" i="79"/>
  <c r="O48" i="79"/>
  <c r="M48" i="79"/>
  <c r="L48" i="79"/>
  <c r="K48" i="79"/>
  <c r="J48" i="79"/>
  <c r="I48" i="79"/>
  <c r="H48" i="79"/>
  <c r="G48" i="79"/>
  <c r="F48" i="79"/>
  <c r="E48" i="79"/>
  <c r="D48" i="79"/>
  <c r="AM47" i="79"/>
  <c r="X47" i="79"/>
  <c r="W47" i="79"/>
  <c r="V47" i="79"/>
  <c r="U47" i="79"/>
  <c r="T47" i="79"/>
  <c r="S47" i="79"/>
  <c r="R47" i="79"/>
  <c r="Q47" i="79"/>
  <c r="P47" i="79"/>
  <c r="O47" i="79"/>
  <c r="M47" i="79"/>
  <c r="L47" i="79"/>
  <c r="K47" i="79"/>
  <c r="J47" i="79"/>
  <c r="I47" i="79"/>
  <c r="H47" i="79"/>
  <c r="G47" i="79"/>
  <c r="F47" i="79"/>
  <c r="E47" i="79"/>
  <c r="D47" i="79"/>
  <c r="AL45" i="79"/>
  <c r="AK45" i="79"/>
  <c r="AJ45" i="79"/>
  <c r="AI45" i="79"/>
  <c r="AH45" i="79"/>
  <c r="AG45" i="79"/>
  <c r="AF45" i="79"/>
  <c r="AE45" i="79"/>
  <c r="AD45" i="79"/>
  <c r="AC45" i="79"/>
  <c r="AB45" i="79"/>
  <c r="AA45" i="79"/>
  <c r="Z45" i="79"/>
  <c r="Y45" i="79"/>
  <c r="AM44" i="79"/>
  <c r="X44" i="79"/>
  <c r="W44" i="79"/>
  <c r="V44" i="79"/>
  <c r="U44" i="79"/>
  <c r="T44" i="79"/>
  <c r="S44" i="79"/>
  <c r="R44" i="79"/>
  <c r="Q44" i="79"/>
  <c r="P44" i="79"/>
  <c r="O44" i="79"/>
  <c r="M44" i="79"/>
  <c r="L44" i="79"/>
  <c r="K44" i="79"/>
  <c r="J44" i="79"/>
  <c r="I44" i="79"/>
  <c r="H44" i="79"/>
  <c r="G44" i="79"/>
  <c r="F44" i="79"/>
  <c r="E44" i="79"/>
  <c r="D44" i="79"/>
  <c r="AL42" i="79"/>
  <c r="AK42" i="79"/>
  <c r="AJ42" i="79"/>
  <c r="AI42" i="79"/>
  <c r="AH42" i="79"/>
  <c r="AG42" i="79"/>
  <c r="AF42" i="79"/>
  <c r="AE42" i="79"/>
  <c r="AD42" i="79"/>
  <c r="AC42" i="79"/>
  <c r="AB42" i="79"/>
  <c r="AA42" i="79"/>
  <c r="Z42" i="79"/>
  <c r="Y42" i="79"/>
  <c r="X42" i="79"/>
  <c r="W42" i="79"/>
  <c r="V42" i="79"/>
  <c r="U42" i="79"/>
  <c r="T42" i="79"/>
  <c r="S42" i="79"/>
  <c r="R42" i="79"/>
  <c r="Q42" i="79"/>
  <c r="P42" i="79"/>
  <c r="O42" i="79"/>
  <c r="M42" i="79"/>
  <c r="L42" i="79"/>
  <c r="K42" i="79"/>
  <c r="J42" i="79"/>
  <c r="I42" i="79"/>
  <c r="H42" i="79"/>
  <c r="G42" i="79"/>
  <c r="F42" i="79"/>
  <c r="E42" i="79"/>
  <c r="D42" i="79"/>
  <c r="AM41" i="79"/>
  <c r="X41" i="79"/>
  <c r="W41" i="79"/>
  <c r="V41" i="79"/>
  <c r="U41" i="79"/>
  <c r="T41" i="79"/>
  <c r="S41" i="79"/>
  <c r="R41" i="79"/>
  <c r="Q41" i="79"/>
  <c r="P41" i="79"/>
  <c r="O41" i="79"/>
  <c r="M41" i="79"/>
  <c r="L41" i="79"/>
  <c r="K41" i="79"/>
  <c r="J41" i="79"/>
  <c r="I41" i="79"/>
  <c r="H41" i="79"/>
  <c r="G41" i="79"/>
  <c r="F41" i="79"/>
  <c r="E41" i="79"/>
  <c r="D41" i="79"/>
  <c r="AL39" i="79"/>
  <c r="AK39" i="79"/>
  <c r="AJ39" i="79"/>
  <c r="AI39" i="79"/>
  <c r="AH39" i="79"/>
  <c r="AG39" i="79"/>
  <c r="AF39" i="79"/>
  <c r="AE39" i="79"/>
  <c r="AD39" i="79"/>
  <c r="AC39" i="79"/>
  <c r="AB39" i="79"/>
  <c r="AA39" i="79"/>
  <c r="Z39" i="79"/>
  <c r="Y39" i="79"/>
  <c r="X39" i="79"/>
  <c r="W39" i="79"/>
  <c r="V39" i="79"/>
  <c r="U39" i="79"/>
  <c r="T39" i="79"/>
  <c r="S39" i="79"/>
  <c r="R39" i="79"/>
  <c r="Q39" i="79"/>
  <c r="P39" i="79"/>
  <c r="O39" i="79"/>
  <c r="M39" i="79"/>
  <c r="L39" i="79"/>
  <c r="K39" i="79"/>
  <c r="J39" i="79"/>
  <c r="I39" i="79"/>
  <c r="H39" i="79"/>
  <c r="G39" i="79"/>
  <c r="F39" i="79"/>
  <c r="E39" i="79"/>
  <c r="D39" i="79"/>
  <c r="AM38" i="79"/>
  <c r="X38" i="79"/>
  <c r="W38" i="79"/>
  <c r="V38" i="79"/>
  <c r="U38" i="79"/>
  <c r="T38" i="79"/>
  <c r="S38" i="79"/>
  <c r="R38" i="79"/>
  <c r="Q38" i="79"/>
  <c r="P38" i="79"/>
  <c r="O38" i="79"/>
  <c r="M38" i="79"/>
  <c r="L38" i="79"/>
  <c r="K38" i="79"/>
  <c r="J38" i="79"/>
  <c r="I38" i="79"/>
  <c r="H38" i="79"/>
  <c r="G38" i="79"/>
  <c r="F38" i="79"/>
  <c r="E38" i="79"/>
  <c r="D38" i="79"/>
  <c r="AL36" i="79"/>
  <c r="AK36" i="79"/>
  <c r="AJ36" i="79"/>
  <c r="AI36" i="79"/>
  <c r="AH36" i="79"/>
  <c r="AG36" i="79"/>
  <c r="AF36" i="79"/>
  <c r="AE36" i="79"/>
  <c r="AD36" i="79"/>
  <c r="AC36" i="79"/>
  <c r="AB36" i="79"/>
  <c r="AA36" i="79"/>
  <c r="Z36" i="79"/>
  <c r="Y36" i="79"/>
  <c r="AM35" i="79"/>
  <c r="AL35" i="79"/>
  <c r="AK35" i="79"/>
  <c r="AJ35" i="79"/>
  <c r="AI35" i="79"/>
  <c r="AH35" i="79"/>
  <c r="AG35" i="79"/>
  <c r="AF35" i="79"/>
  <c r="AE35" i="79"/>
  <c r="AD35" i="79"/>
  <c r="AC35" i="79"/>
  <c r="AB35" i="79"/>
  <c r="AA35" i="79"/>
  <c r="Z35" i="79"/>
  <c r="Y35" i="79"/>
  <c r="AL526" i="46"/>
  <c r="AK526" i="46"/>
  <c r="AJ526" i="46"/>
  <c r="AI526" i="46"/>
  <c r="AH526" i="46"/>
  <c r="AG526" i="46"/>
  <c r="AF526" i="46"/>
  <c r="AE526" i="46"/>
  <c r="AD526" i="46"/>
  <c r="AC526" i="46"/>
  <c r="AB526" i="46"/>
  <c r="AA526" i="46"/>
  <c r="Z526" i="46"/>
  <c r="Y526" i="46"/>
  <c r="AM523" i="46"/>
  <c r="AM522" i="46"/>
  <c r="AL522" i="46"/>
  <c r="AK522" i="46"/>
  <c r="AJ522" i="46"/>
  <c r="AI522" i="46"/>
  <c r="AH522" i="46"/>
  <c r="AG522" i="46"/>
  <c r="AF522" i="46"/>
  <c r="AE522" i="46"/>
  <c r="AD522" i="46"/>
  <c r="AC522" i="46"/>
  <c r="AB522" i="46"/>
  <c r="AA522" i="46"/>
  <c r="Z522" i="46"/>
  <c r="Y522" i="46"/>
  <c r="AM521" i="46"/>
  <c r="AL521" i="46"/>
  <c r="AK521" i="46"/>
  <c r="AJ521" i="46"/>
  <c r="AI521" i="46"/>
  <c r="AH521" i="46"/>
  <c r="AG521" i="46"/>
  <c r="AF521" i="46"/>
  <c r="AE521" i="46"/>
  <c r="AD521" i="46"/>
  <c r="AC521" i="46"/>
  <c r="AB521" i="46"/>
  <c r="AA521" i="46"/>
  <c r="Z521" i="46"/>
  <c r="Y521" i="46"/>
  <c r="AM520" i="46"/>
  <c r="AL520" i="46"/>
  <c r="AK520" i="46"/>
  <c r="AJ520" i="46"/>
  <c r="AI520" i="46"/>
  <c r="AH520" i="46"/>
  <c r="AG520" i="46"/>
  <c r="AF520" i="46"/>
  <c r="AE520" i="46"/>
  <c r="AD520" i="46"/>
  <c r="AC520" i="46"/>
  <c r="AB520" i="46"/>
  <c r="AA520" i="46"/>
  <c r="Z520" i="46"/>
  <c r="Y520" i="46"/>
  <c r="AM519" i="46"/>
  <c r="AL519" i="46"/>
  <c r="AK519" i="46"/>
  <c r="AJ519" i="46"/>
  <c r="AI519" i="46"/>
  <c r="AH519" i="46"/>
  <c r="AG519" i="46"/>
  <c r="AF519" i="46"/>
  <c r="AE519" i="46"/>
  <c r="AD519" i="46"/>
  <c r="AC519" i="46"/>
  <c r="AB519" i="46"/>
  <c r="AA519" i="46"/>
  <c r="Z519" i="46"/>
  <c r="Y519" i="46"/>
  <c r="AM518" i="46"/>
  <c r="AL518" i="46"/>
  <c r="AK518" i="46"/>
  <c r="AJ518" i="46"/>
  <c r="AI518" i="46"/>
  <c r="AH518" i="46"/>
  <c r="AG518" i="46"/>
  <c r="AF518" i="46"/>
  <c r="AE518" i="46"/>
  <c r="AD518" i="46"/>
  <c r="AC518" i="46"/>
  <c r="AB518" i="46"/>
  <c r="AA518" i="46"/>
  <c r="Z518" i="46"/>
  <c r="Y518" i="46"/>
  <c r="AM517" i="46"/>
  <c r="AL517" i="46"/>
  <c r="AK517" i="46"/>
  <c r="AJ517" i="46"/>
  <c r="AI517" i="46"/>
  <c r="AH517" i="46"/>
  <c r="AG517" i="46"/>
  <c r="AF517" i="46"/>
  <c r="AE517" i="46"/>
  <c r="AD517" i="46"/>
  <c r="AC517" i="46"/>
  <c r="AB517" i="46"/>
  <c r="AA517" i="46"/>
  <c r="Z517" i="46"/>
  <c r="Y517" i="46"/>
  <c r="AL514" i="46"/>
  <c r="AK514" i="46"/>
  <c r="AJ514" i="46"/>
  <c r="AI514" i="46"/>
  <c r="AH514" i="46"/>
  <c r="AG514" i="46"/>
  <c r="AF514" i="46"/>
  <c r="AE514" i="46"/>
  <c r="AD514" i="46"/>
  <c r="AC514" i="46"/>
  <c r="AB514" i="46"/>
  <c r="AA514" i="46"/>
  <c r="Z514" i="46"/>
  <c r="Y514" i="46"/>
  <c r="AL513" i="46"/>
  <c r="AK513" i="46"/>
  <c r="AJ513" i="46"/>
  <c r="AI513" i="46"/>
  <c r="AH513" i="46"/>
  <c r="AG513" i="46"/>
  <c r="AF513" i="46"/>
  <c r="AE513" i="46"/>
  <c r="AD513" i="46"/>
  <c r="AC513" i="46"/>
  <c r="AB513" i="46"/>
  <c r="AA513" i="46"/>
  <c r="Z513" i="46"/>
  <c r="Y513" i="46"/>
  <c r="O513" i="46"/>
  <c r="D513" i="46"/>
  <c r="AL511" i="46"/>
  <c r="AK511" i="46"/>
  <c r="AJ511" i="46"/>
  <c r="AI511" i="46"/>
  <c r="AH511" i="46"/>
  <c r="AG511" i="46"/>
  <c r="AF511" i="46"/>
  <c r="AE511" i="46"/>
  <c r="AD511" i="46"/>
  <c r="AC511" i="46"/>
  <c r="AB511" i="46"/>
  <c r="AA511" i="46"/>
  <c r="Z511" i="46"/>
  <c r="Y511" i="46"/>
  <c r="N511" i="46"/>
  <c r="AM510" i="46"/>
  <c r="AL508" i="46"/>
  <c r="AK508" i="46"/>
  <c r="AJ508" i="46"/>
  <c r="AI508" i="46"/>
  <c r="AH508" i="46"/>
  <c r="AG508" i="46"/>
  <c r="AF508" i="46"/>
  <c r="AE508" i="46"/>
  <c r="AD508" i="46"/>
  <c r="AC508" i="46"/>
  <c r="AB508" i="46"/>
  <c r="AA508" i="46"/>
  <c r="Z508" i="46"/>
  <c r="Y508" i="46"/>
  <c r="N508" i="46"/>
  <c r="AM507" i="46"/>
  <c r="X507" i="46"/>
  <c r="W507" i="46"/>
  <c r="V507" i="46"/>
  <c r="U507" i="46"/>
  <c r="T507" i="46"/>
  <c r="S507" i="46"/>
  <c r="R507" i="46"/>
  <c r="Q507" i="46"/>
  <c r="P507" i="46"/>
  <c r="O507" i="46"/>
  <c r="M507" i="46"/>
  <c r="L507" i="46"/>
  <c r="K507" i="46"/>
  <c r="J507" i="46"/>
  <c r="I507" i="46"/>
  <c r="H507" i="46"/>
  <c r="G507" i="46"/>
  <c r="F507" i="46"/>
  <c r="E507" i="46"/>
  <c r="D507" i="46"/>
  <c r="AL505" i="46"/>
  <c r="AK505" i="46"/>
  <c r="AJ505" i="46"/>
  <c r="AI505" i="46"/>
  <c r="AH505" i="46"/>
  <c r="AG505" i="46"/>
  <c r="AF505" i="46"/>
  <c r="AE505" i="46"/>
  <c r="AD505" i="46"/>
  <c r="AC505" i="46"/>
  <c r="AB505" i="46"/>
  <c r="AA505" i="46"/>
  <c r="Z505" i="46"/>
  <c r="Y505" i="46"/>
  <c r="N505" i="46"/>
  <c r="AM504" i="46"/>
  <c r="AL501" i="46"/>
  <c r="AK501" i="46"/>
  <c r="AJ501" i="46"/>
  <c r="AI501" i="46"/>
  <c r="AH501" i="46"/>
  <c r="AG501" i="46"/>
  <c r="AF501" i="46"/>
  <c r="AE501" i="46"/>
  <c r="AD501" i="46"/>
  <c r="AC501" i="46"/>
  <c r="AB501" i="46"/>
  <c r="AA501" i="46"/>
  <c r="Z501" i="46"/>
  <c r="Y501" i="46"/>
  <c r="N501" i="46"/>
  <c r="AM500" i="46"/>
  <c r="AL498" i="46"/>
  <c r="AK498" i="46"/>
  <c r="AJ498" i="46"/>
  <c r="AI498" i="46"/>
  <c r="AH498" i="46"/>
  <c r="AG498" i="46"/>
  <c r="AF498" i="46"/>
  <c r="AE498" i="46"/>
  <c r="AD498" i="46"/>
  <c r="AC498" i="46"/>
  <c r="AB498" i="46"/>
  <c r="AA498" i="46"/>
  <c r="Z498" i="46"/>
  <c r="Y498" i="46"/>
  <c r="N498" i="46"/>
  <c r="AM497" i="46"/>
  <c r="AL495" i="46"/>
  <c r="AK495" i="46"/>
  <c r="AJ495" i="46"/>
  <c r="AI495" i="46"/>
  <c r="AH495" i="46"/>
  <c r="AG495" i="46"/>
  <c r="AF495" i="46"/>
  <c r="AE495" i="46"/>
  <c r="AD495" i="46"/>
  <c r="AC495" i="46"/>
  <c r="AB495" i="46"/>
  <c r="AA495" i="46"/>
  <c r="Z495" i="46"/>
  <c r="Y495" i="46"/>
  <c r="N495" i="46"/>
  <c r="AM494" i="46"/>
  <c r="AL492" i="46"/>
  <c r="AK492" i="46"/>
  <c r="AJ492" i="46"/>
  <c r="AI492" i="46"/>
  <c r="AH492" i="46"/>
  <c r="AG492" i="46"/>
  <c r="AF492" i="46"/>
  <c r="AE492" i="46"/>
  <c r="AD492" i="46"/>
  <c r="AC492" i="46"/>
  <c r="AB492" i="46"/>
  <c r="AA492" i="46"/>
  <c r="Z492" i="46"/>
  <c r="Y492" i="46"/>
  <c r="N492" i="46"/>
  <c r="AM491" i="46"/>
  <c r="X491" i="46"/>
  <c r="W491" i="46"/>
  <c r="V491" i="46"/>
  <c r="U491" i="46"/>
  <c r="T491" i="46"/>
  <c r="S491" i="46"/>
  <c r="R491" i="46"/>
  <c r="Q491" i="46"/>
  <c r="P491" i="46"/>
  <c r="O491" i="46"/>
  <c r="M491" i="46"/>
  <c r="L491" i="46"/>
  <c r="K491" i="46"/>
  <c r="J491" i="46"/>
  <c r="I491" i="46"/>
  <c r="H491" i="46"/>
  <c r="G491" i="46"/>
  <c r="F491" i="46"/>
  <c r="E491" i="46"/>
  <c r="D491" i="46"/>
  <c r="AL489" i="46"/>
  <c r="AK489" i="46"/>
  <c r="AJ489" i="46"/>
  <c r="AI489" i="46"/>
  <c r="AH489" i="46"/>
  <c r="AG489" i="46"/>
  <c r="AF489" i="46"/>
  <c r="AE489" i="46"/>
  <c r="AD489" i="46"/>
  <c r="AC489" i="46"/>
  <c r="AB489" i="46"/>
  <c r="AA489" i="46"/>
  <c r="Z489" i="46"/>
  <c r="Y489" i="46"/>
  <c r="N489" i="46"/>
  <c r="AM488" i="46"/>
  <c r="AL485" i="46"/>
  <c r="AK485" i="46"/>
  <c r="AJ485" i="46"/>
  <c r="AI485" i="46"/>
  <c r="AH485" i="46"/>
  <c r="AG485" i="46"/>
  <c r="AF485" i="46"/>
  <c r="AE485" i="46"/>
  <c r="AD485" i="46"/>
  <c r="AC485" i="46"/>
  <c r="AB485" i="46"/>
  <c r="AA485" i="46"/>
  <c r="Z485" i="46"/>
  <c r="Y485" i="46"/>
  <c r="N485" i="46"/>
  <c r="AM484" i="46"/>
  <c r="AL482" i="46"/>
  <c r="AK482" i="46"/>
  <c r="AJ482" i="46"/>
  <c r="AI482" i="46"/>
  <c r="AH482" i="46"/>
  <c r="AG482" i="46"/>
  <c r="AF482" i="46"/>
  <c r="AE482" i="46"/>
  <c r="AD482" i="46"/>
  <c r="AC482" i="46"/>
  <c r="AB482" i="46"/>
  <c r="AA482" i="46"/>
  <c r="Z482" i="46"/>
  <c r="Y482" i="46"/>
  <c r="AM481" i="46"/>
  <c r="AL478" i="46"/>
  <c r="AK478" i="46"/>
  <c r="AJ478" i="46"/>
  <c r="AI478" i="46"/>
  <c r="AH478" i="46"/>
  <c r="AG478" i="46"/>
  <c r="AF478" i="46"/>
  <c r="AE478" i="46"/>
  <c r="AD478" i="46"/>
  <c r="AC478" i="46"/>
  <c r="AB478" i="46"/>
  <c r="AA478" i="46"/>
  <c r="Z478" i="46"/>
  <c r="Y478" i="46"/>
  <c r="AM477" i="46"/>
  <c r="X477" i="46"/>
  <c r="W477" i="46"/>
  <c r="V477" i="46"/>
  <c r="U477" i="46"/>
  <c r="T477" i="46"/>
  <c r="S477" i="46"/>
  <c r="R477" i="46"/>
  <c r="Q477" i="46"/>
  <c r="P477" i="46"/>
  <c r="O477" i="46"/>
  <c r="M477" i="46"/>
  <c r="L477" i="46"/>
  <c r="K477" i="46"/>
  <c r="J477" i="46"/>
  <c r="I477" i="46"/>
  <c r="H477" i="46"/>
  <c r="G477" i="46"/>
  <c r="F477" i="46"/>
  <c r="E477" i="46"/>
  <c r="D477" i="46"/>
  <c r="AL474" i="46"/>
  <c r="AK474" i="46"/>
  <c r="AJ474" i="46"/>
  <c r="AI474" i="46"/>
  <c r="AH474" i="46"/>
  <c r="AG474" i="46"/>
  <c r="AF474" i="46"/>
  <c r="AE474" i="46"/>
  <c r="AD474" i="46"/>
  <c r="AC474" i="46"/>
  <c r="AB474" i="46"/>
  <c r="AA474" i="46"/>
  <c r="Z474" i="46"/>
  <c r="Y474" i="46"/>
  <c r="AM473" i="46"/>
  <c r="AL471" i="46"/>
  <c r="AK471" i="46"/>
  <c r="AJ471" i="46"/>
  <c r="AI471" i="46"/>
  <c r="AH471" i="46"/>
  <c r="AG471" i="46"/>
  <c r="AF471" i="46"/>
  <c r="AE471" i="46"/>
  <c r="AD471" i="46"/>
  <c r="AC471" i="46"/>
  <c r="AB471" i="46"/>
  <c r="AA471" i="46"/>
  <c r="Z471" i="46"/>
  <c r="Y471" i="46"/>
  <c r="N471" i="46"/>
  <c r="AM470" i="46"/>
  <c r="AL468" i="46"/>
  <c r="AK468" i="46"/>
  <c r="AJ468" i="46"/>
  <c r="AI468" i="46"/>
  <c r="AH468" i="46"/>
  <c r="AG468" i="46"/>
  <c r="AF468" i="46"/>
  <c r="AE468" i="46"/>
  <c r="AD468" i="46"/>
  <c r="AC468" i="46"/>
  <c r="AB468" i="46"/>
  <c r="AA468" i="46"/>
  <c r="Z468" i="46"/>
  <c r="Y468" i="46"/>
  <c r="N468" i="46"/>
  <c r="AM467" i="46"/>
  <c r="AL465" i="46"/>
  <c r="AK465" i="46"/>
  <c r="AJ465" i="46"/>
  <c r="AI465" i="46"/>
  <c r="AH465" i="46"/>
  <c r="AG465" i="46"/>
  <c r="AF465" i="46"/>
  <c r="AE465" i="46"/>
  <c r="AD465" i="46"/>
  <c r="AC465" i="46"/>
  <c r="AB465" i="46"/>
  <c r="AA465" i="46"/>
  <c r="Z465" i="46"/>
  <c r="Y465" i="46"/>
  <c r="N465" i="46"/>
  <c r="AM464" i="46"/>
  <c r="AL462" i="46"/>
  <c r="AK462" i="46"/>
  <c r="AJ462" i="46"/>
  <c r="AI462" i="46"/>
  <c r="AH462" i="46"/>
  <c r="AG462" i="46"/>
  <c r="AF462" i="46"/>
  <c r="AE462" i="46"/>
  <c r="AD462" i="46"/>
  <c r="AC462" i="46"/>
  <c r="AB462" i="46"/>
  <c r="AA462" i="46"/>
  <c r="Z462" i="46"/>
  <c r="Y462" i="46"/>
  <c r="N462" i="46"/>
  <c r="AM461" i="46"/>
  <c r="AL458" i="46"/>
  <c r="AK458" i="46"/>
  <c r="AJ458" i="46"/>
  <c r="AI458" i="46"/>
  <c r="AH458" i="46"/>
  <c r="AG458" i="46"/>
  <c r="AF458" i="46"/>
  <c r="AE458" i="46"/>
  <c r="AD458" i="46"/>
  <c r="AC458" i="46"/>
  <c r="AB458" i="46"/>
  <c r="AA458" i="46"/>
  <c r="Z458" i="46"/>
  <c r="Y458" i="46"/>
  <c r="AM457" i="46"/>
  <c r="AL455" i="46"/>
  <c r="AK455" i="46"/>
  <c r="AJ455" i="46"/>
  <c r="AI455" i="46"/>
  <c r="AH455" i="46"/>
  <c r="AG455" i="46"/>
  <c r="AF455" i="46"/>
  <c r="AE455" i="46"/>
  <c r="AD455" i="46"/>
  <c r="AC455" i="46"/>
  <c r="AB455" i="46"/>
  <c r="AA455" i="46"/>
  <c r="Z455" i="46"/>
  <c r="Y455" i="46"/>
  <c r="AM454" i="46"/>
  <c r="AL452" i="46"/>
  <c r="AK452" i="46"/>
  <c r="AJ452" i="46"/>
  <c r="AI452" i="46"/>
  <c r="AH452" i="46"/>
  <c r="AG452" i="46"/>
  <c r="AF452" i="46"/>
  <c r="AE452" i="46"/>
  <c r="AD452" i="46"/>
  <c r="AC452" i="46"/>
  <c r="AB452" i="46"/>
  <c r="AA452" i="46"/>
  <c r="Z452" i="46"/>
  <c r="Y452" i="46"/>
  <c r="AM451" i="46"/>
  <c r="AL449" i="46"/>
  <c r="AK449" i="46"/>
  <c r="AJ449" i="46"/>
  <c r="AI449" i="46"/>
  <c r="AH449" i="46"/>
  <c r="AG449" i="46"/>
  <c r="AF449" i="46"/>
  <c r="AE449" i="46"/>
  <c r="AD449" i="46"/>
  <c r="AC449" i="46"/>
  <c r="AB449" i="46"/>
  <c r="AA449" i="46"/>
  <c r="Z449" i="46"/>
  <c r="Y449" i="46"/>
  <c r="N449" i="46"/>
  <c r="AM448" i="46"/>
  <c r="X448" i="46"/>
  <c r="W448" i="46"/>
  <c r="V448" i="46"/>
  <c r="U448" i="46"/>
  <c r="T448" i="46"/>
  <c r="S448" i="46"/>
  <c r="R448" i="46"/>
  <c r="Q448" i="46"/>
  <c r="P448" i="46"/>
  <c r="O448" i="46"/>
  <c r="M448" i="46"/>
  <c r="L448" i="46"/>
  <c r="K448" i="46"/>
  <c r="J448" i="46"/>
  <c r="I448" i="46"/>
  <c r="H448" i="46"/>
  <c r="G448" i="46"/>
  <c r="F448" i="46"/>
  <c r="E448" i="46"/>
  <c r="D448" i="46"/>
  <c r="AL446" i="46"/>
  <c r="AK446" i="46"/>
  <c r="AJ446" i="46"/>
  <c r="AI446" i="46"/>
  <c r="AH446" i="46"/>
  <c r="AG446" i="46"/>
  <c r="AF446" i="46"/>
  <c r="AE446" i="46"/>
  <c r="AD446" i="46"/>
  <c r="AC446" i="46"/>
  <c r="AB446" i="46"/>
  <c r="AA446" i="46"/>
  <c r="Z446" i="46"/>
  <c r="Y446" i="46"/>
  <c r="N446" i="46"/>
  <c r="AM445" i="46"/>
  <c r="AL443" i="46"/>
  <c r="AK443" i="46"/>
  <c r="AJ443" i="46"/>
  <c r="AI443" i="46"/>
  <c r="AH443" i="46"/>
  <c r="AG443" i="46"/>
  <c r="AF443" i="46"/>
  <c r="AE443" i="46"/>
  <c r="AD443" i="46"/>
  <c r="AC443" i="46"/>
  <c r="AB443" i="46"/>
  <c r="AA443" i="46"/>
  <c r="Z443" i="46"/>
  <c r="Y443" i="46"/>
  <c r="N443" i="46"/>
  <c r="AM442" i="46"/>
  <c r="AL440" i="46"/>
  <c r="AK440" i="46"/>
  <c r="AJ440" i="46"/>
  <c r="AI440" i="46"/>
  <c r="AH440" i="46"/>
  <c r="AG440" i="46"/>
  <c r="AF440" i="46"/>
  <c r="AE440" i="46"/>
  <c r="AD440" i="46"/>
  <c r="AC440" i="46"/>
  <c r="AB440" i="46"/>
  <c r="AA440" i="46"/>
  <c r="Z440" i="46"/>
  <c r="Y440" i="46"/>
  <c r="N440" i="46"/>
  <c r="AM439" i="46"/>
  <c r="X439" i="46"/>
  <c r="W439" i="46"/>
  <c r="V439" i="46"/>
  <c r="U439" i="46"/>
  <c r="T439" i="46"/>
  <c r="S439" i="46"/>
  <c r="R439" i="46"/>
  <c r="Q439" i="46"/>
  <c r="P439" i="46"/>
  <c r="O439" i="46"/>
  <c r="M439" i="46"/>
  <c r="L439" i="46"/>
  <c r="K439" i="46"/>
  <c r="J439" i="46"/>
  <c r="I439" i="46"/>
  <c r="H439" i="46"/>
  <c r="G439" i="46"/>
  <c r="F439" i="46"/>
  <c r="E439" i="46"/>
  <c r="D439" i="46"/>
  <c r="AL437" i="46"/>
  <c r="AK437" i="46"/>
  <c r="AJ437" i="46"/>
  <c r="AI437" i="46"/>
  <c r="AH437" i="46"/>
  <c r="AG437" i="46"/>
  <c r="AF437" i="46"/>
  <c r="AE437" i="46"/>
  <c r="AD437" i="46"/>
  <c r="AC437" i="46"/>
  <c r="AB437" i="46"/>
  <c r="AA437" i="46"/>
  <c r="Z437" i="46"/>
  <c r="Y437" i="46"/>
  <c r="N437" i="46"/>
  <c r="AM436" i="46"/>
  <c r="X436" i="46"/>
  <c r="W436" i="46"/>
  <c r="V436" i="46"/>
  <c r="U436" i="46"/>
  <c r="T436" i="46"/>
  <c r="S436" i="46"/>
  <c r="R436" i="46"/>
  <c r="Q436" i="46"/>
  <c r="P436" i="46"/>
  <c r="O436" i="46"/>
  <c r="M436" i="46"/>
  <c r="L436" i="46"/>
  <c r="K436" i="46"/>
  <c r="J436" i="46"/>
  <c r="I436" i="46"/>
  <c r="H436" i="46"/>
  <c r="G436" i="46"/>
  <c r="F436" i="46"/>
  <c r="E436" i="46"/>
  <c r="D436" i="46"/>
  <c r="AL433" i="46"/>
  <c r="AK433" i="46"/>
  <c r="AJ433" i="46"/>
  <c r="AI433" i="46"/>
  <c r="AH433" i="46"/>
  <c r="AG433" i="46"/>
  <c r="AF433" i="46"/>
  <c r="AE433" i="46"/>
  <c r="AD433" i="46"/>
  <c r="AC433" i="46"/>
  <c r="AB433" i="46"/>
  <c r="AA433" i="46"/>
  <c r="Z433" i="46"/>
  <c r="Y433" i="46"/>
  <c r="AM432" i="46"/>
  <c r="X432" i="46"/>
  <c r="W432" i="46"/>
  <c r="V432" i="46"/>
  <c r="U432" i="46"/>
  <c r="T432" i="46"/>
  <c r="S432" i="46"/>
  <c r="R432" i="46"/>
  <c r="Q432" i="46"/>
  <c r="P432" i="46"/>
  <c r="O432" i="46"/>
  <c r="M432" i="46"/>
  <c r="L432" i="46"/>
  <c r="K432" i="46"/>
  <c r="J432" i="46"/>
  <c r="I432" i="46"/>
  <c r="H432" i="46"/>
  <c r="G432" i="46"/>
  <c r="F432" i="46"/>
  <c r="E432" i="46"/>
  <c r="D432" i="46"/>
  <c r="AL430" i="46"/>
  <c r="AK430" i="46"/>
  <c r="AJ430" i="46"/>
  <c r="AI430" i="46"/>
  <c r="AH430" i="46"/>
  <c r="AG430" i="46"/>
  <c r="AF430" i="46"/>
  <c r="AE430" i="46"/>
  <c r="AD430" i="46"/>
  <c r="AC430" i="46"/>
  <c r="AB430" i="46"/>
  <c r="AA430" i="46"/>
  <c r="Z430" i="46"/>
  <c r="Y430" i="46"/>
  <c r="AM429" i="46"/>
  <c r="AL427" i="46"/>
  <c r="AK427" i="46"/>
  <c r="AJ427" i="46"/>
  <c r="AI427" i="46"/>
  <c r="AH427" i="46"/>
  <c r="AG427" i="46"/>
  <c r="AF427" i="46"/>
  <c r="AE427" i="46"/>
  <c r="AD427" i="46"/>
  <c r="AC427" i="46"/>
  <c r="AB427" i="46"/>
  <c r="AA427" i="46"/>
  <c r="Z427" i="46"/>
  <c r="Y427" i="46"/>
  <c r="AM426" i="46"/>
  <c r="AL424" i="46"/>
  <c r="AK424" i="46"/>
  <c r="AJ424" i="46"/>
  <c r="AI424" i="46"/>
  <c r="AH424" i="46"/>
  <c r="AG424" i="46"/>
  <c r="AF424" i="46"/>
  <c r="AE424" i="46"/>
  <c r="AD424" i="46"/>
  <c r="AC424" i="46"/>
  <c r="AB424" i="46"/>
  <c r="AA424" i="46"/>
  <c r="Z424" i="46"/>
  <c r="Y424" i="46"/>
  <c r="AM423" i="46"/>
  <c r="AL421" i="46"/>
  <c r="AK421" i="46"/>
  <c r="AJ421" i="46"/>
  <c r="AI421" i="46"/>
  <c r="AH421" i="46"/>
  <c r="AG421" i="46"/>
  <c r="AF421" i="46"/>
  <c r="AE421" i="46"/>
  <c r="AD421" i="46"/>
  <c r="AC421" i="46"/>
  <c r="AB421" i="46"/>
  <c r="AA421" i="46"/>
  <c r="Z421" i="46"/>
  <c r="Y421" i="46"/>
  <c r="AM420" i="46"/>
  <c r="X420" i="46"/>
  <c r="W420" i="46"/>
  <c r="V420" i="46"/>
  <c r="U420" i="46"/>
  <c r="T420" i="46"/>
  <c r="S420" i="46"/>
  <c r="R420" i="46"/>
  <c r="Q420" i="46"/>
  <c r="P420" i="46"/>
  <c r="O420" i="46"/>
  <c r="M420" i="46"/>
  <c r="L420" i="46"/>
  <c r="K420" i="46"/>
  <c r="J420" i="46"/>
  <c r="I420" i="46"/>
  <c r="H420" i="46"/>
  <c r="G420" i="46"/>
  <c r="F420" i="46"/>
  <c r="E420" i="46"/>
  <c r="D420" i="46"/>
  <c r="AL418" i="46"/>
  <c r="AK418" i="46"/>
  <c r="AJ418" i="46"/>
  <c r="AI418" i="46"/>
  <c r="AH418" i="46"/>
  <c r="AG418" i="46"/>
  <c r="AF418" i="46"/>
  <c r="AE418" i="46"/>
  <c r="AD418" i="46"/>
  <c r="AC418" i="46"/>
  <c r="AB418" i="46"/>
  <c r="AA418" i="46"/>
  <c r="Z418" i="46"/>
  <c r="Y418" i="46"/>
  <c r="AM417" i="46"/>
  <c r="X417" i="46"/>
  <c r="W417" i="46"/>
  <c r="V417" i="46"/>
  <c r="U417" i="46"/>
  <c r="T417" i="46"/>
  <c r="S417" i="46"/>
  <c r="R417" i="46"/>
  <c r="Q417" i="46"/>
  <c r="P417" i="46"/>
  <c r="O417" i="46"/>
  <c r="M417" i="46"/>
  <c r="L417" i="46"/>
  <c r="K417" i="46"/>
  <c r="J417" i="46"/>
  <c r="I417" i="46"/>
  <c r="H417" i="46"/>
  <c r="G417" i="46"/>
  <c r="F417" i="46"/>
  <c r="E417" i="46"/>
  <c r="D417" i="46"/>
  <c r="AL415" i="46"/>
  <c r="AK415" i="46"/>
  <c r="AJ415" i="46"/>
  <c r="AI415" i="46"/>
  <c r="AH415" i="46"/>
  <c r="AG415" i="46"/>
  <c r="AF415" i="46"/>
  <c r="AE415" i="46"/>
  <c r="AD415" i="46"/>
  <c r="AC415" i="46"/>
  <c r="AB415" i="46"/>
  <c r="AA415" i="46"/>
  <c r="Z415" i="46"/>
  <c r="Y415" i="46"/>
  <c r="AM414" i="46"/>
  <c r="X414" i="46"/>
  <c r="W414" i="46"/>
  <c r="V414" i="46"/>
  <c r="U414" i="46"/>
  <c r="T414" i="46"/>
  <c r="S414" i="46"/>
  <c r="R414" i="46"/>
  <c r="Q414" i="46"/>
  <c r="P414" i="46"/>
  <c r="O414" i="46"/>
  <c r="M414" i="46"/>
  <c r="L414" i="46"/>
  <c r="K414" i="46"/>
  <c r="J414" i="46"/>
  <c r="I414" i="46"/>
  <c r="H414" i="46"/>
  <c r="G414" i="46"/>
  <c r="F414" i="46"/>
  <c r="E414" i="46"/>
  <c r="D414" i="46"/>
  <c r="AL412" i="46"/>
  <c r="AK412" i="46"/>
  <c r="AJ412" i="46"/>
  <c r="AI412" i="46"/>
  <c r="AH412" i="46"/>
  <c r="AG412" i="46"/>
  <c r="AF412" i="46"/>
  <c r="AE412" i="46"/>
  <c r="AD412" i="46"/>
  <c r="AC412" i="46"/>
  <c r="AB412" i="46"/>
  <c r="AA412" i="46"/>
  <c r="Z412" i="46"/>
  <c r="Y412" i="46"/>
  <c r="AM411" i="46"/>
  <c r="X411" i="46"/>
  <c r="W411" i="46"/>
  <c r="V411" i="46"/>
  <c r="U411" i="46"/>
  <c r="T411" i="46"/>
  <c r="S411" i="46"/>
  <c r="R411" i="46"/>
  <c r="Q411" i="46"/>
  <c r="P411" i="46"/>
  <c r="O411" i="46"/>
  <c r="M411" i="46"/>
  <c r="L411" i="46"/>
  <c r="K411" i="46"/>
  <c r="J411" i="46"/>
  <c r="I411" i="46"/>
  <c r="H411" i="46"/>
  <c r="G411" i="46"/>
  <c r="F411" i="46"/>
  <c r="E411" i="46"/>
  <c r="D411" i="46"/>
  <c r="AL409" i="46"/>
  <c r="AK409" i="46"/>
  <c r="AJ409" i="46"/>
  <c r="AI409" i="46"/>
  <c r="AH409" i="46"/>
  <c r="AG409" i="46"/>
  <c r="AF409" i="46"/>
  <c r="AE409" i="46"/>
  <c r="AD409" i="46"/>
  <c r="AC409" i="46"/>
  <c r="AB409" i="46"/>
  <c r="AA409" i="46"/>
  <c r="Z409" i="46"/>
  <c r="Y409" i="46"/>
  <c r="AM408" i="46"/>
  <c r="X408" i="46"/>
  <c r="W408" i="46"/>
  <c r="V408" i="46"/>
  <c r="U408" i="46"/>
  <c r="T408" i="46"/>
  <c r="S408" i="46"/>
  <c r="R408" i="46"/>
  <c r="Q408" i="46"/>
  <c r="P408" i="46"/>
  <c r="O408" i="46"/>
  <c r="M408" i="46"/>
  <c r="L408" i="46"/>
  <c r="K408" i="46"/>
  <c r="J408" i="46"/>
  <c r="I408" i="46"/>
  <c r="H408" i="46"/>
  <c r="G408" i="46"/>
  <c r="F408" i="46"/>
  <c r="E408" i="46"/>
  <c r="D408" i="46"/>
  <c r="AL407" i="46"/>
  <c r="AK407" i="46"/>
  <c r="AJ407" i="46"/>
  <c r="AI407" i="46"/>
  <c r="AH407" i="46"/>
  <c r="AG407" i="46"/>
  <c r="AF407" i="46"/>
  <c r="AE407" i="46"/>
  <c r="AD407" i="46"/>
  <c r="AC407" i="46"/>
  <c r="AB407" i="46"/>
  <c r="AA407" i="46"/>
  <c r="Z407" i="46"/>
  <c r="Y407" i="46"/>
  <c r="AM406" i="46"/>
  <c r="AL406" i="46"/>
  <c r="AK406" i="46"/>
  <c r="AJ406" i="46"/>
  <c r="AI406" i="46"/>
  <c r="AH406" i="46"/>
  <c r="AG406" i="46"/>
  <c r="AF406" i="46"/>
  <c r="AE406" i="46"/>
  <c r="AD406" i="46"/>
  <c r="AC406" i="46"/>
  <c r="AB406" i="46"/>
  <c r="AA406" i="46"/>
  <c r="Z406" i="46"/>
  <c r="Y406" i="46"/>
  <c r="AL396" i="46"/>
  <c r="AK396" i="46"/>
  <c r="AJ396" i="46"/>
  <c r="AI396" i="46"/>
  <c r="AH396" i="46"/>
  <c r="AG396" i="46"/>
  <c r="AF396" i="46"/>
  <c r="AE396" i="46"/>
  <c r="AD396" i="46"/>
  <c r="AC396" i="46"/>
  <c r="AB396" i="46"/>
  <c r="AA396" i="46"/>
  <c r="Z396" i="46"/>
  <c r="Y396" i="46"/>
  <c r="AL395" i="46"/>
  <c r="AK395" i="46"/>
  <c r="AJ395" i="46"/>
  <c r="AI395" i="46"/>
  <c r="AH395" i="46"/>
  <c r="AG395" i="46"/>
  <c r="AF395" i="46"/>
  <c r="AE395" i="46"/>
  <c r="AD395" i="46"/>
  <c r="AC395" i="46"/>
  <c r="AB395" i="46"/>
  <c r="AA395" i="46"/>
  <c r="Z395" i="46"/>
  <c r="Y395" i="46"/>
  <c r="AM393" i="46"/>
  <c r="AM392" i="46"/>
  <c r="AL392" i="46"/>
  <c r="AK392" i="46"/>
  <c r="AJ392" i="46"/>
  <c r="AI392" i="46"/>
  <c r="AH392" i="46"/>
  <c r="AG392" i="46"/>
  <c r="AF392" i="46"/>
  <c r="AE392" i="46"/>
  <c r="AD392" i="46"/>
  <c r="AC392" i="46"/>
  <c r="AB392" i="46"/>
  <c r="AA392" i="46"/>
  <c r="Z392" i="46"/>
  <c r="Y392" i="46"/>
  <c r="AM391" i="46"/>
  <c r="AL391" i="46"/>
  <c r="AK391" i="46"/>
  <c r="AJ391" i="46"/>
  <c r="AI391" i="46"/>
  <c r="AH391" i="46"/>
  <c r="AG391" i="46"/>
  <c r="AF391" i="46"/>
  <c r="AE391" i="46"/>
  <c r="AD391" i="46"/>
  <c r="AC391" i="46"/>
  <c r="AB391" i="46"/>
  <c r="AA391" i="46"/>
  <c r="Z391" i="46"/>
  <c r="Y391" i="46"/>
  <c r="AM390" i="46"/>
  <c r="AL390" i="46"/>
  <c r="AK390" i="46"/>
  <c r="AJ390" i="46"/>
  <c r="AI390" i="46"/>
  <c r="AH390" i="46"/>
  <c r="AG390" i="46"/>
  <c r="AF390" i="46"/>
  <c r="AE390" i="46"/>
  <c r="AD390" i="46"/>
  <c r="AC390" i="46"/>
  <c r="AB390" i="46"/>
  <c r="AA390" i="46"/>
  <c r="Z390" i="46"/>
  <c r="Y390" i="46"/>
  <c r="AM389" i="46"/>
  <c r="AL389" i="46"/>
  <c r="AK389" i="46"/>
  <c r="AJ389" i="46"/>
  <c r="AI389" i="46"/>
  <c r="AH389" i="46"/>
  <c r="AG389" i="46"/>
  <c r="AF389" i="46"/>
  <c r="AE389" i="46"/>
  <c r="AD389" i="46"/>
  <c r="AC389" i="46"/>
  <c r="AB389" i="46"/>
  <c r="AA389" i="46"/>
  <c r="Z389" i="46"/>
  <c r="Y389" i="46"/>
  <c r="AM388" i="46"/>
  <c r="AL388" i="46"/>
  <c r="AK388" i="46"/>
  <c r="AJ388" i="46"/>
  <c r="AI388" i="46"/>
  <c r="AH388" i="46"/>
  <c r="AG388" i="46"/>
  <c r="AF388" i="46"/>
  <c r="AE388" i="46"/>
  <c r="AD388" i="46"/>
  <c r="AC388" i="46"/>
  <c r="AB388" i="46"/>
  <c r="AA388" i="46"/>
  <c r="Z388" i="46"/>
  <c r="Y388" i="46"/>
  <c r="AL387" i="46"/>
  <c r="AK387" i="46"/>
  <c r="AJ387" i="46"/>
  <c r="AI387" i="46"/>
  <c r="AH387" i="46"/>
  <c r="AG387" i="46"/>
  <c r="AF387" i="46"/>
  <c r="AE387" i="46"/>
  <c r="AD387" i="46"/>
  <c r="AC387" i="46"/>
  <c r="AB387" i="46"/>
  <c r="AA387" i="46"/>
  <c r="Z387" i="46"/>
  <c r="Y387" i="46"/>
  <c r="AL385" i="46"/>
  <c r="AK385" i="46"/>
  <c r="AJ385" i="46"/>
  <c r="AI385" i="46"/>
  <c r="AH385" i="46"/>
  <c r="AG385" i="46"/>
  <c r="AF385" i="46"/>
  <c r="AE385" i="46"/>
  <c r="AD385" i="46"/>
  <c r="AC385" i="46"/>
  <c r="AB385" i="46"/>
  <c r="AA385" i="46"/>
  <c r="Z385" i="46"/>
  <c r="Y385" i="46"/>
  <c r="AL384" i="46"/>
  <c r="AK384" i="46"/>
  <c r="AJ384" i="46"/>
  <c r="AI384" i="46"/>
  <c r="AH384" i="46"/>
  <c r="AG384" i="46"/>
  <c r="AF384" i="46"/>
  <c r="AE384" i="46"/>
  <c r="AD384" i="46"/>
  <c r="AC384" i="46"/>
  <c r="AB384" i="46"/>
  <c r="AA384" i="46"/>
  <c r="Z384" i="46"/>
  <c r="Y384" i="46"/>
  <c r="O384" i="46"/>
  <c r="D384" i="46"/>
  <c r="AL382" i="46"/>
  <c r="AK382" i="46"/>
  <c r="AJ382" i="46"/>
  <c r="AI382" i="46"/>
  <c r="AH382" i="46"/>
  <c r="AG382" i="46"/>
  <c r="AF382" i="46"/>
  <c r="AE382" i="46"/>
  <c r="AD382" i="46"/>
  <c r="AC382" i="46"/>
  <c r="AB382" i="46"/>
  <c r="AA382" i="46"/>
  <c r="Z382" i="46"/>
  <c r="Y382" i="46"/>
  <c r="N382" i="46"/>
  <c r="AM381" i="46"/>
  <c r="AL379" i="46"/>
  <c r="AK379" i="46"/>
  <c r="AJ379" i="46"/>
  <c r="AI379" i="46"/>
  <c r="AH379" i="46"/>
  <c r="AG379" i="46"/>
  <c r="AF379" i="46"/>
  <c r="AE379" i="46"/>
  <c r="AD379" i="46"/>
  <c r="AC379" i="46"/>
  <c r="AB379" i="46"/>
  <c r="AA379" i="46"/>
  <c r="Z379" i="46"/>
  <c r="Y379" i="46"/>
  <c r="N379" i="46"/>
  <c r="AM378" i="46"/>
  <c r="AL376" i="46"/>
  <c r="AK376" i="46"/>
  <c r="AJ376" i="46"/>
  <c r="AI376" i="46"/>
  <c r="AH376" i="46"/>
  <c r="AG376" i="46"/>
  <c r="AF376" i="46"/>
  <c r="AE376" i="46"/>
  <c r="AD376" i="46"/>
  <c r="AC376" i="46"/>
  <c r="AB376" i="46"/>
  <c r="AA376" i="46"/>
  <c r="Z376" i="46"/>
  <c r="Y376" i="46"/>
  <c r="N376" i="46"/>
  <c r="AM375" i="46"/>
  <c r="AL372" i="46"/>
  <c r="AK372" i="46"/>
  <c r="AJ372" i="46"/>
  <c r="AI372" i="46"/>
  <c r="AH372" i="46"/>
  <c r="AG372" i="46"/>
  <c r="AF372" i="46"/>
  <c r="AE372" i="46"/>
  <c r="AD372" i="46"/>
  <c r="AC372" i="46"/>
  <c r="AB372" i="46"/>
  <c r="AA372" i="46"/>
  <c r="Z372" i="46"/>
  <c r="Y372" i="46"/>
  <c r="N372" i="46"/>
  <c r="AM371" i="46"/>
  <c r="AL369" i="46"/>
  <c r="AK369" i="46"/>
  <c r="AJ369" i="46"/>
  <c r="AI369" i="46"/>
  <c r="AH369" i="46"/>
  <c r="AG369" i="46"/>
  <c r="AF369" i="46"/>
  <c r="AE369" i="46"/>
  <c r="AD369" i="46"/>
  <c r="AC369" i="46"/>
  <c r="AB369" i="46"/>
  <c r="AA369" i="46"/>
  <c r="Z369" i="46"/>
  <c r="Y369" i="46"/>
  <c r="N369" i="46"/>
  <c r="AM368" i="46"/>
  <c r="AL366" i="46"/>
  <c r="AK366" i="46"/>
  <c r="AJ366" i="46"/>
  <c r="AI366" i="46"/>
  <c r="AH366" i="46"/>
  <c r="AG366" i="46"/>
  <c r="AF366" i="46"/>
  <c r="AE366" i="46"/>
  <c r="AD366" i="46"/>
  <c r="AC366" i="46"/>
  <c r="AB366" i="46"/>
  <c r="AA366" i="46"/>
  <c r="Z366" i="46"/>
  <c r="Y366" i="46"/>
  <c r="N366" i="46"/>
  <c r="AM365" i="46"/>
  <c r="AL363" i="46"/>
  <c r="AK363" i="46"/>
  <c r="AJ363" i="46"/>
  <c r="AI363" i="46"/>
  <c r="AH363" i="46"/>
  <c r="AG363" i="46"/>
  <c r="AF363" i="46"/>
  <c r="AE363" i="46"/>
  <c r="AD363" i="46"/>
  <c r="AC363" i="46"/>
  <c r="AB363" i="46"/>
  <c r="AA363" i="46"/>
  <c r="Z363" i="46"/>
  <c r="Y363" i="46"/>
  <c r="N363" i="46"/>
  <c r="AM362" i="46"/>
  <c r="AL360" i="46"/>
  <c r="AK360" i="46"/>
  <c r="AJ360" i="46"/>
  <c r="AI360" i="46"/>
  <c r="AH360" i="46"/>
  <c r="AG360" i="46"/>
  <c r="AF360" i="46"/>
  <c r="AE360" i="46"/>
  <c r="AD360" i="46"/>
  <c r="AC360" i="46"/>
  <c r="AB360" i="46"/>
  <c r="AA360" i="46"/>
  <c r="Z360" i="46"/>
  <c r="Y360" i="46"/>
  <c r="N360" i="46"/>
  <c r="AM359" i="46"/>
  <c r="AL356" i="46"/>
  <c r="AK356" i="46"/>
  <c r="AJ356" i="46"/>
  <c r="AI356" i="46"/>
  <c r="AH356" i="46"/>
  <c r="AG356" i="46"/>
  <c r="AF356" i="46"/>
  <c r="AE356" i="46"/>
  <c r="AD356" i="46"/>
  <c r="AC356" i="46"/>
  <c r="AB356" i="46"/>
  <c r="AA356" i="46"/>
  <c r="Z356" i="46"/>
  <c r="Y356" i="46"/>
  <c r="N356" i="46"/>
  <c r="AM355" i="46"/>
  <c r="AL353" i="46"/>
  <c r="AK353" i="46"/>
  <c r="AJ353" i="46"/>
  <c r="AI353" i="46"/>
  <c r="AH353" i="46"/>
  <c r="AG353" i="46"/>
  <c r="AF353" i="46"/>
  <c r="AE353" i="46"/>
  <c r="AD353" i="46"/>
  <c r="AC353" i="46"/>
  <c r="AB353" i="46"/>
  <c r="AA353" i="46"/>
  <c r="Z353" i="46"/>
  <c r="Y353" i="46"/>
  <c r="AM352" i="46"/>
  <c r="AL349" i="46"/>
  <c r="AK349" i="46"/>
  <c r="AJ349" i="46"/>
  <c r="AI349" i="46"/>
  <c r="AH349" i="46"/>
  <c r="AG349" i="46"/>
  <c r="AF349" i="46"/>
  <c r="AE349" i="46"/>
  <c r="AD349" i="46"/>
  <c r="AC349" i="46"/>
  <c r="AB349" i="46"/>
  <c r="AA349" i="46"/>
  <c r="Z349" i="46"/>
  <c r="Y349" i="46"/>
  <c r="X349" i="46"/>
  <c r="W349" i="46"/>
  <c r="V349" i="46"/>
  <c r="U349" i="46"/>
  <c r="T349" i="46"/>
  <c r="S349" i="46"/>
  <c r="R349" i="46"/>
  <c r="Q349" i="46"/>
  <c r="P349" i="46"/>
  <c r="O349" i="46"/>
  <c r="M349" i="46"/>
  <c r="L349" i="46"/>
  <c r="K349" i="46"/>
  <c r="J349" i="46"/>
  <c r="I349" i="46"/>
  <c r="H349" i="46"/>
  <c r="G349" i="46"/>
  <c r="F349" i="46"/>
  <c r="E349" i="46"/>
  <c r="D349" i="46"/>
  <c r="AM348" i="46"/>
  <c r="X348" i="46"/>
  <c r="W348" i="46"/>
  <c r="V348" i="46"/>
  <c r="U348" i="46"/>
  <c r="T348" i="46"/>
  <c r="S348" i="46"/>
  <c r="R348" i="46"/>
  <c r="Q348" i="46"/>
  <c r="P348" i="46"/>
  <c r="O348" i="46"/>
  <c r="M348" i="46"/>
  <c r="L348" i="46"/>
  <c r="K348" i="46"/>
  <c r="J348" i="46"/>
  <c r="I348" i="46"/>
  <c r="H348" i="46"/>
  <c r="G348" i="46"/>
  <c r="F348" i="46"/>
  <c r="E348" i="46"/>
  <c r="D348" i="46"/>
  <c r="AL345" i="46"/>
  <c r="AK345" i="46"/>
  <c r="AJ345" i="46"/>
  <c r="AI345" i="46"/>
  <c r="AH345" i="46"/>
  <c r="AG345" i="46"/>
  <c r="AF345" i="46"/>
  <c r="AE345" i="46"/>
  <c r="AD345" i="46"/>
  <c r="AC345" i="46"/>
  <c r="AB345" i="46"/>
  <c r="AA345" i="46"/>
  <c r="Z345" i="46"/>
  <c r="Y345" i="46"/>
  <c r="AM344" i="46"/>
  <c r="AL342" i="46"/>
  <c r="AK342" i="46"/>
  <c r="AJ342" i="46"/>
  <c r="AI342" i="46"/>
  <c r="AH342" i="46"/>
  <c r="AG342" i="46"/>
  <c r="AF342" i="46"/>
  <c r="AE342" i="46"/>
  <c r="AD342" i="46"/>
  <c r="AC342" i="46"/>
  <c r="AB342" i="46"/>
  <c r="AA342" i="46"/>
  <c r="Z342" i="46"/>
  <c r="Y342" i="46"/>
  <c r="N342" i="46"/>
  <c r="AM341" i="46"/>
  <c r="AL339" i="46"/>
  <c r="AK339" i="46"/>
  <c r="AJ339" i="46"/>
  <c r="AI339" i="46"/>
  <c r="AH339" i="46"/>
  <c r="AG339" i="46"/>
  <c r="AF339" i="46"/>
  <c r="AE339" i="46"/>
  <c r="AD339" i="46"/>
  <c r="AC339" i="46"/>
  <c r="AB339" i="46"/>
  <c r="AA339" i="46"/>
  <c r="Z339" i="46"/>
  <c r="Y339" i="46"/>
  <c r="X339" i="46"/>
  <c r="W339" i="46"/>
  <c r="V339" i="46"/>
  <c r="U339" i="46"/>
  <c r="T339" i="46"/>
  <c r="S339" i="46"/>
  <c r="R339" i="46"/>
  <c r="Q339" i="46"/>
  <c r="P339" i="46"/>
  <c r="O339" i="46"/>
  <c r="N339" i="46"/>
  <c r="M339" i="46"/>
  <c r="L339" i="46"/>
  <c r="K339" i="46"/>
  <c r="J339" i="46"/>
  <c r="I339" i="46"/>
  <c r="H339" i="46"/>
  <c r="G339" i="46"/>
  <c r="F339" i="46"/>
  <c r="E339" i="46"/>
  <c r="D339" i="46"/>
  <c r="AM338" i="46"/>
  <c r="AL336" i="46"/>
  <c r="AK336" i="46"/>
  <c r="AJ336" i="46"/>
  <c r="AI336" i="46"/>
  <c r="AH336" i="46"/>
  <c r="AG336" i="46"/>
  <c r="AF336" i="46"/>
  <c r="AE336" i="46"/>
  <c r="AD336" i="46"/>
  <c r="AC336" i="46"/>
  <c r="AB336" i="46"/>
  <c r="AA336" i="46"/>
  <c r="Z336" i="46"/>
  <c r="Y336" i="46"/>
  <c r="N336" i="46"/>
  <c r="AM335" i="46"/>
  <c r="AL333" i="46"/>
  <c r="AK333" i="46"/>
  <c r="AJ333" i="46"/>
  <c r="AI333" i="46"/>
  <c r="AH333" i="46"/>
  <c r="AG333" i="46"/>
  <c r="AF333" i="46"/>
  <c r="AE333" i="46"/>
  <c r="AD333" i="46"/>
  <c r="AC333" i="46"/>
  <c r="AB333" i="46"/>
  <c r="AA333" i="46"/>
  <c r="Z333" i="46"/>
  <c r="Y333" i="46"/>
  <c r="N333" i="46"/>
  <c r="AM332" i="46"/>
  <c r="AL329" i="46"/>
  <c r="AK329" i="46"/>
  <c r="AJ329" i="46"/>
  <c r="AI329" i="46"/>
  <c r="AH329" i="46"/>
  <c r="AG329" i="46"/>
  <c r="AF329" i="46"/>
  <c r="AE329" i="46"/>
  <c r="AD329" i="46"/>
  <c r="AC329" i="46"/>
  <c r="AB329" i="46"/>
  <c r="AA329" i="46"/>
  <c r="Z329" i="46"/>
  <c r="Y329" i="46"/>
  <c r="AM328" i="46"/>
  <c r="AL326" i="46"/>
  <c r="AK326" i="46"/>
  <c r="AJ326" i="46"/>
  <c r="AI326" i="46"/>
  <c r="AH326" i="46"/>
  <c r="AG326" i="46"/>
  <c r="AF326" i="46"/>
  <c r="AE326" i="46"/>
  <c r="AD326" i="46"/>
  <c r="AC326" i="46"/>
  <c r="AB326" i="46"/>
  <c r="AA326" i="46"/>
  <c r="Z326" i="46"/>
  <c r="Y326" i="46"/>
  <c r="AM325" i="46"/>
  <c r="AL323" i="46"/>
  <c r="AK323" i="46"/>
  <c r="AJ323" i="46"/>
  <c r="AI323" i="46"/>
  <c r="AH323" i="46"/>
  <c r="AG323" i="46"/>
  <c r="AF323" i="46"/>
  <c r="AE323" i="46"/>
  <c r="AD323" i="46"/>
  <c r="AC323" i="46"/>
  <c r="AB323" i="46"/>
  <c r="AA323" i="46"/>
  <c r="Z323" i="46"/>
  <c r="Y323" i="46"/>
  <c r="AM322" i="46"/>
  <c r="AL320" i="46"/>
  <c r="AK320" i="46"/>
  <c r="AJ320" i="46"/>
  <c r="AI320" i="46"/>
  <c r="AH320" i="46"/>
  <c r="AG320" i="46"/>
  <c r="AF320" i="46"/>
  <c r="AE320" i="46"/>
  <c r="AD320" i="46"/>
  <c r="AC320" i="46"/>
  <c r="AB320" i="46"/>
  <c r="AA320" i="46"/>
  <c r="Z320" i="46"/>
  <c r="Y320" i="46"/>
  <c r="X320" i="46"/>
  <c r="W320" i="46"/>
  <c r="V320" i="46"/>
  <c r="U320" i="46"/>
  <c r="T320" i="46"/>
  <c r="S320" i="46"/>
  <c r="R320" i="46"/>
  <c r="Q320" i="46"/>
  <c r="P320" i="46"/>
  <c r="O320" i="46"/>
  <c r="N320" i="46"/>
  <c r="M320" i="46"/>
  <c r="L320" i="46"/>
  <c r="K320" i="46"/>
  <c r="J320" i="46"/>
  <c r="I320" i="46"/>
  <c r="H320" i="46"/>
  <c r="G320" i="46"/>
  <c r="F320" i="46"/>
  <c r="E320" i="46"/>
  <c r="D320" i="46"/>
  <c r="AM319" i="46"/>
  <c r="AL317" i="46"/>
  <c r="AK317" i="46"/>
  <c r="AJ317" i="46"/>
  <c r="AI317" i="46"/>
  <c r="AH317" i="46"/>
  <c r="AG317" i="46"/>
  <c r="AF317" i="46"/>
  <c r="AE317" i="46"/>
  <c r="AD317" i="46"/>
  <c r="AC317" i="46"/>
  <c r="AB317" i="46"/>
  <c r="AA317" i="46"/>
  <c r="Z317" i="46"/>
  <c r="Y317" i="46"/>
  <c r="N317" i="46"/>
  <c r="AM316" i="46"/>
  <c r="AL314" i="46"/>
  <c r="AK314" i="46"/>
  <c r="AJ314" i="46"/>
  <c r="AI314" i="46"/>
  <c r="AH314" i="46"/>
  <c r="AG314" i="46"/>
  <c r="AF314" i="46"/>
  <c r="AE314" i="46"/>
  <c r="AD314" i="46"/>
  <c r="AC314" i="46"/>
  <c r="AB314" i="46"/>
  <c r="AA314" i="46"/>
  <c r="Z314" i="46"/>
  <c r="Y314" i="46"/>
  <c r="N314" i="46"/>
  <c r="AM313" i="46"/>
  <c r="AL311" i="46"/>
  <c r="AK311" i="46"/>
  <c r="AJ311" i="46"/>
  <c r="AI311" i="46"/>
  <c r="AH311" i="46"/>
  <c r="AG311" i="46"/>
  <c r="AF311" i="46"/>
  <c r="AE311" i="46"/>
  <c r="AD311" i="46"/>
  <c r="AC311" i="46"/>
  <c r="AB311" i="46"/>
  <c r="AA311" i="46"/>
  <c r="Z311" i="46"/>
  <c r="Y311" i="46"/>
  <c r="N311" i="46"/>
  <c r="AM310" i="46"/>
  <c r="X310" i="46"/>
  <c r="W310" i="46"/>
  <c r="V310" i="46"/>
  <c r="U310" i="46"/>
  <c r="T310" i="46"/>
  <c r="S310" i="46"/>
  <c r="R310" i="46"/>
  <c r="Q310" i="46"/>
  <c r="P310" i="46"/>
  <c r="O310" i="46"/>
  <c r="M310" i="46"/>
  <c r="L310" i="46"/>
  <c r="K310" i="46"/>
  <c r="J310" i="46"/>
  <c r="I310" i="46"/>
  <c r="H310" i="46"/>
  <c r="G310" i="46"/>
  <c r="F310" i="46"/>
  <c r="E310" i="46"/>
  <c r="D310" i="46"/>
  <c r="AL308" i="46"/>
  <c r="AK308" i="46"/>
  <c r="AJ308" i="46"/>
  <c r="AI308" i="46"/>
  <c r="AH308" i="46"/>
  <c r="AG308" i="46"/>
  <c r="AF308" i="46"/>
  <c r="AE308" i="46"/>
  <c r="AD308" i="46"/>
  <c r="AC308" i="46"/>
  <c r="AB308" i="46"/>
  <c r="AA308" i="46"/>
  <c r="Z308" i="46"/>
  <c r="Y308" i="46"/>
  <c r="X308" i="46"/>
  <c r="W308" i="46"/>
  <c r="V308" i="46"/>
  <c r="U308" i="46"/>
  <c r="T308" i="46"/>
  <c r="S308" i="46"/>
  <c r="R308" i="46"/>
  <c r="Q308" i="46"/>
  <c r="P308" i="46"/>
  <c r="O308" i="46"/>
  <c r="N308" i="46"/>
  <c r="M308" i="46"/>
  <c r="L308" i="46"/>
  <c r="K308" i="46"/>
  <c r="J308" i="46"/>
  <c r="I308" i="46"/>
  <c r="H308" i="46"/>
  <c r="G308" i="46"/>
  <c r="F308" i="46"/>
  <c r="E308" i="46"/>
  <c r="D308" i="46"/>
  <c r="AM307" i="46"/>
  <c r="X307" i="46"/>
  <c r="W307" i="46"/>
  <c r="V307" i="46"/>
  <c r="U307" i="46"/>
  <c r="T307" i="46"/>
  <c r="S307" i="46"/>
  <c r="R307" i="46"/>
  <c r="Q307" i="46"/>
  <c r="P307" i="46"/>
  <c r="O307" i="46"/>
  <c r="M307" i="46"/>
  <c r="L307" i="46"/>
  <c r="K307" i="46"/>
  <c r="J307" i="46"/>
  <c r="I307" i="46"/>
  <c r="H307" i="46"/>
  <c r="G307" i="46"/>
  <c r="F307" i="46"/>
  <c r="E307" i="46"/>
  <c r="D307" i="46"/>
  <c r="AL304" i="46"/>
  <c r="AK304" i="46"/>
  <c r="AJ304" i="46"/>
  <c r="AI304" i="46"/>
  <c r="AH304" i="46"/>
  <c r="AG304" i="46"/>
  <c r="AF304" i="46"/>
  <c r="AE304" i="46"/>
  <c r="AD304" i="46"/>
  <c r="AC304" i="46"/>
  <c r="AB304" i="46"/>
  <c r="AA304" i="46"/>
  <c r="Z304" i="46"/>
  <c r="Y304" i="46"/>
  <c r="AM303" i="46"/>
  <c r="AL301" i="46"/>
  <c r="AK301" i="46"/>
  <c r="AJ301" i="46"/>
  <c r="AI301" i="46"/>
  <c r="AH301" i="46"/>
  <c r="AG301" i="46"/>
  <c r="AF301" i="46"/>
  <c r="AE301" i="46"/>
  <c r="AD301" i="46"/>
  <c r="AC301" i="46"/>
  <c r="AB301" i="46"/>
  <c r="AA301" i="46"/>
  <c r="Z301" i="46"/>
  <c r="Y301" i="46"/>
  <c r="AM300" i="46"/>
  <c r="AL298" i="46"/>
  <c r="AK298" i="46"/>
  <c r="AJ298" i="46"/>
  <c r="AI298" i="46"/>
  <c r="AH298" i="46"/>
  <c r="AG298" i="46"/>
  <c r="AF298" i="46"/>
  <c r="AE298" i="46"/>
  <c r="AD298" i="46"/>
  <c r="AC298" i="46"/>
  <c r="AB298" i="46"/>
  <c r="AA298" i="46"/>
  <c r="Z298" i="46"/>
  <c r="Y298" i="46"/>
  <c r="AM297" i="46"/>
  <c r="AL295" i="46"/>
  <c r="AK295" i="46"/>
  <c r="AJ295" i="46"/>
  <c r="AI295" i="46"/>
  <c r="AH295" i="46"/>
  <c r="AG295" i="46"/>
  <c r="AF295" i="46"/>
  <c r="AE295" i="46"/>
  <c r="AD295" i="46"/>
  <c r="AC295" i="46"/>
  <c r="AB295" i="46"/>
  <c r="AA295" i="46"/>
  <c r="Z295" i="46"/>
  <c r="Y295" i="46"/>
  <c r="AM294" i="46"/>
  <c r="AL292" i="46"/>
  <c r="AK292" i="46"/>
  <c r="AJ292" i="46"/>
  <c r="AI292" i="46"/>
  <c r="AH292" i="46"/>
  <c r="AG292" i="46"/>
  <c r="AF292" i="46"/>
  <c r="AE292" i="46"/>
  <c r="AD292" i="46"/>
  <c r="AC292" i="46"/>
  <c r="AB292" i="46"/>
  <c r="AA292" i="46"/>
  <c r="Z292" i="46"/>
  <c r="Y292" i="46"/>
  <c r="AM291" i="46"/>
  <c r="AL289" i="46"/>
  <c r="AK289" i="46"/>
  <c r="AJ289" i="46"/>
  <c r="AI289" i="46"/>
  <c r="AH289" i="46"/>
  <c r="AG289" i="46"/>
  <c r="AF289" i="46"/>
  <c r="AE289" i="46"/>
  <c r="AD289" i="46"/>
  <c r="AC289" i="46"/>
  <c r="AB289" i="46"/>
  <c r="AA289" i="46"/>
  <c r="Z289" i="46"/>
  <c r="Y289" i="46"/>
  <c r="X289" i="46"/>
  <c r="W289" i="46"/>
  <c r="V289" i="46"/>
  <c r="U289" i="46"/>
  <c r="T289" i="46"/>
  <c r="S289" i="46"/>
  <c r="R289" i="46"/>
  <c r="Q289" i="46"/>
  <c r="P289" i="46"/>
  <c r="O289" i="46"/>
  <c r="M289" i="46"/>
  <c r="L289" i="46"/>
  <c r="K289" i="46"/>
  <c r="J289" i="46"/>
  <c r="I289" i="46"/>
  <c r="H289" i="46"/>
  <c r="G289" i="46"/>
  <c r="F289" i="46"/>
  <c r="E289" i="46"/>
  <c r="D289" i="46"/>
  <c r="AM288" i="46"/>
  <c r="X288" i="46"/>
  <c r="W288" i="46"/>
  <c r="V288" i="46"/>
  <c r="U288" i="46"/>
  <c r="T288" i="46"/>
  <c r="S288" i="46"/>
  <c r="R288" i="46"/>
  <c r="Q288" i="46"/>
  <c r="P288" i="46"/>
  <c r="O288" i="46"/>
  <c r="M288" i="46"/>
  <c r="L288" i="46"/>
  <c r="K288" i="46"/>
  <c r="J288" i="46"/>
  <c r="I288" i="46"/>
  <c r="H288" i="46"/>
  <c r="G288" i="46"/>
  <c r="F288" i="46"/>
  <c r="E288" i="46"/>
  <c r="D288" i="46"/>
  <c r="AL286" i="46"/>
  <c r="AK286" i="46"/>
  <c r="AJ286" i="46"/>
  <c r="AI286" i="46"/>
  <c r="AH286" i="46"/>
  <c r="AG286" i="46"/>
  <c r="AF286" i="46"/>
  <c r="AE286" i="46"/>
  <c r="AD286" i="46"/>
  <c r="AC286" i="46"/>
  <c r="AB286" i="46"/>
  <c r="AA286" i="46"/>
  <c r="Z286" i="46"/>
  <c r="Y286" i="46"/>
  <c r="X286" i="46"/>
  <c r="W286" i="46"/>
  <c r="V286" i="46"/>
  <c r="U286" i="46"/>
  <c r="T286" i="46"/>
  <c r="S286" i="46"/>
  <c r="R286" i="46"/>
  <c r="Q286" i="46"/>
  <c r="P286" i="46"/>
  <c r="O286" i="46"/>
  <c r="M286" i="46"/>
  <c r="L286" i="46"/>
  <c r="K286" i="46"/>
  <c r="J286" i="46"/>
  <c r="I286" i="46"/>
  <c r="H286" i="46"/>
  <c r="G286" i="46"/>
  <c r="F286" i="46"/>
  <c r="E286" i="46"/>
  <c r="D286" i="46"/>
  <c r="AM285" i="46"/>
  <c r="X285" i="46"/>
  <c r="W285" i="46"/>
  <c r="V285" i="46"/>
  <c r="U285" i="46"/>
  <c r="T285" i="46"/>
  <c r="S285" i="46"/>
  <c r="R285" i="46"/>
  <c r="Q285" i="46"/>
  <c r="P285" i="46"/>
  <c r="O285" i="46"/>
  <c r="M285" i="46"/>
  <c r="L285" i="46"/>
  <c r="K285" i="46"/>
  <c r="J285" i="46"/>
  <c r="I285" i="46"/>
  <c r="H285" i="46"/>
  <c r="G285" i="46"/>
  <c r="F285" i="46"/>
  <c r="E285" i="46"/>
  <c r="D285" i="46"/>
  <c r="AL283" i="46"/>
  <c r="AK283" i="46"/>
  <c r="AJ283" i="46"/>
  <c r="AI283" i="46"/>
  <c r="AH283" i="46"/>
  <c r="AG283" i="46"/>
  <c r="AF283" i="46"/>
  <c r="AE283" i="46"/>
  <c r="AD283" i="46"/>
  <c r="AC283" i="46"/>
  <c r="AB283" i="46"/>
  <c r="AA283" i="46"/>
  <c r="Z283" i="46"/>
  <c r="Y283" i="46"/>
  <c r="AM282" i="46"/>
  <c r="X282" i="46"/>
  <c r="W282" i="46"/>
  <c r="V282" i="46"/>
  <c r="U282" i="46"/>
  <c r="T282" i="46"/>
  <c r="S282" i="46"/>
  <c r="R282" i="46"/>
  <c r="Q282" i="46"/>
  <c r="P282" i="46"/>
  <c r="O282" i="46"/>
  <c r="M282" i="46"/>
  <c r="L282" i="46"/>
  <c r="K282" i="46"/>
  <c r="J282" i="46"/>
  <c r="I282" i="46"/>
  <c r="H282" i="46"/>
  <c r="G282" i="46"/>
  <c r="F282" i="46"/>
  <c r="E282" i="46"/>
  <c r="D282" i="46"/>
  <c r="AL280" i="46"/>
  <c r="AK280" i="46"/>
  <c r="AJ280" i="46"/>
  <c r="AI280" i="46"/>
  <c r="AH280" i="46"/>
  <c r="AG280" i="46"/>
  <c r="AF280" i="46"/>
  <c r="AE280" i="46"/>
  <c r="AD280" i="46"/>
  <c r="AC280" i="46"/>
  <c r="AB280" i="46"/>
  <c r="AA280" i="46"/>
  <c r="Z280" i="46"/>
  <c r="Y280" i="46"/>
  <c r="AM279" i="46"/>
  <c r="X279" i="46"/>
  <c r="W279" i="46"/>
  <c r="V279" i="46"/>
  <c r="U279" i="46"/>
  <c r="T279" i="46"/>
  <c r="S279" i="46"/>
  <c r="R279" i="46"/>
  <c r="Q279" i="46"/>
  <c r="P279" i="46"/>
  <c r="O279" i="46"/>
  <c r="M279" i="46"/>
  <c r="L279" i="46"/>
  <c r="K279" i="46"/>
  <c r="J279" i="46"/>
  <c r="I279" i="46"/>
  <c r="H279" i="46"/>
  <c r="G279" i="46"/>
  <c r="F279" i="46"/>
  <c r="E279" i="46"/>
  <c r="D279" i="46"/>
  <c r="AL278" i="46"/>
  <c r="AK278" i="46"/>
  <c r="AJ278" i="46"/>
  <c r="AI278" i="46"/>
  <c r="AH278" i="46"/>
  <c r="AG278" i="46"/>
  <c r="AF278" i="46"/>
  <c r="AE278" i="46"/>
  <c r="AD278" i="46"/>
  <c r="AC278" i="46"/>
  <c r="AB278" i="46"/>
  <c r="AA278" i="46"/>
  <c r="Z278" i="46"/>
  <c r="Y278" i="46"/>
  <c r="AM277" i="46"/>
  <c r="AL277" i="46"/>
  <c r="AK277" i="46"/>
  <c r="AJ277" i="46"/>
  <c r="AI277" i="46"/>
  <c r="AH277" i="46"/>
  <c r="AG277" i="46"/>
  <c r="AF277" i="46"/>
  <c r="AE277" i="46"/>
  <c r="AD277" i="46"/>
  <c r="AC277" i="46"/>
  <c r="AB277" i="46"/>
  <c r="AA277" i="46"/>
  <c r="Z277" i="46"/>
  <c r="Y277" i="46"/>
  <c r="AL267" i="46"/>
  <c r="AK267" i="46"/>
  <c r="AJ267" i="46"/>
  <c r="AI267" i="46"/>
  <c r="AH267" i="46"/>
  <c r="AG267" i="46"/>
  <c r="AF267" i="46"/>
  <c r="AE267" i="46"/>
  <c r="AD267" i="46"/>
  <c r="AC267" i="46"/>
  <c r="AB267" i="46"/>
  <c r="AA267" i="46"/>
  <c r="Z267" i="46"/>
  <c r="Y267" i="46"/>
  <c r="AL266" i="46"/>
  <c r="AK266" i="46"/>
  <c r="AJ266" i="46"/>
  <c r="AI266" i="46"/>
  <c r="AH266" i="46"/>
  <c r="AG266" i="46"/>
  <c r="AF266" i="46"/>
  <c r="AE266" i="46"/>
  <c r="AD266" i="46"/>
  <c r="AC266" i="46"/>
  <c r="AB266" i="46"/>
  <c r="AA266" i="46"/>
  <c r="Z266" i="46"/>
  <c r="Y266" i="46"/>
  <c r="AL265" i="46"/>
  <c r="AK265" i="46"/>
  <c r="AJ265" i="46"/>
  <c r="AI265" i="46"/>
  <c r="AH265" i="46"/>
  <c r="AG265" i="46"/>
  <c r="AF265" i="46"/>
  <c r="AE265" i="46"/>
  <c r="AD265" i="46"/>
  <c r="AC265" i="46"/>
  <c r="AB265" i="46"/>
  <c r="AA265" i="46"/>
  <c r="Z265" i="46"/>
  <c r="Y265" i="46"/>
  <c r="AM263" i="46"/>
  <c r="AM262" i="46"/>
  <c r="AL262" i="46"/>
  <c r="AK262" i="46"/>
  <c r="AJ262" i="46"/>
  <c r="AI262" i="46"/>
  <c r="AH262" i="46"/>
  <c r="AG262" i="46"/>
  <c r="AF262" i="46"/>
  <c r="AE262" i="46"/>
  <c r="AD262" i="46"/>
  <c r="AC262" i="46"/>
  <c r="AB262" i="46"/>
  <c r="AA262" i="46"/>
  <c r="Z262" i="46"/>
  <c r="Y262" i="46"/>
  <c r="AM261" i="46"/>
  <c r="AL261" i="46"/>
  <c r="AK261" i="46"/>
  <c r="AJ261" i="46"/>
  <c r="AI261" i="46"/>
  <c r="AH261" i="46"/>
  <c r="AG261" i="46"/>
  <c r="AF261" i="46"/>
  <c r="AE261" i="46"/>
  <c r="AD261" i="46"/>
  <c r="AC261" i="46"/>
  <c r="AB261" i="46"/>
  <c r="AA261" i="46"/>
  <c r="Z261" i="46"/>
  <c r="Y261" i="46"/>
  <c r="AM260" i="46"/>
  <c r="AL260" i="46"/>
  <c r="AK260" i="46"/>
  <c r="AJ260" i="46"/>
  <c r="AI260" i="46"/>
  <c r="AH260" i="46"/>
  <c r="AG260" i="46"/>
  <c r="AF260" i="46"/>
  <c r="AE260" i="46"/>
  <c r="AD260" i="46"/>
  <c r="AC260" i="46"/>
  <c r="AB260" i="46"/>
  <c r="AA260" i="46"/>
  <c r="Z260" i="46"/>
  <c r="Y260" i="46"/>
  <c r="AM259" i="46"/>
  <c r="AL259" i="46"/>
  <c r="AK259" i="46"/>
  <c r="AJ259" i="46"/>
  <c r="AI259" i="46"/>
  <c r="AH259" i="46"/>
  <c r="AG259" i="46"/>
  <c r="AF259" i="46"/>
  <c r="AE259" i="46"/>
  <c r="AD259" i="46"/>
  <c r="AC259" i="46"/>
  <c r="AB259" i="46"/>
  <c r="AA259" i="46"/>
  <c r="Z259" i="46"/>
  <c r="Y259" i="46"/>
  <c r="AL258" i="46"/>
  <c r="AK258" i="46"/>
  <c r="AJ258" i="46"/>
  <c r="AI258" i="46"/>
  <c r="AH258" i="46"/>
  <c r="AG258" i="46"/>
  <c r="AF258" i="46"/>
  <c r="AE258" i="46"/>
  <c r="AD258" i="46"/>
  <c r="AC258" i="46"/>
  <c r="AB258" i="46"/>
  <c r="AA258" i="46"/>
  <c r="Z258" i="46"/>
  <c r="Y258" i="46"/>
  <c r="AL256" i="46"/>
  <c r="AK256" i="46"/>
  <c r="AJ256" i="46"/>
  <c r="AI256" i="46"/>
  <c r="AH256" i="46"/>
  <c r="AG256" i="46"/>
  <c r="AF256" i="46"/>
  <c r="AE256" i="46"/>
  <c r="AD256" i="46"/>
  <c r="AC256" i="46"/>
  <c r="AB256" i="46"/>
  <c r="AA256" i="46"/>
  <c r="Z256" i="46"/>
  <c r="Y256" i="46"/>
  <c r="AL255" i="46"/>
  <c r="AK255" i="46"/>
  <c r="AJ255" i="46"/>
  <c r="AI255" i="46"/>
  <c r="AH255" i="46"/>
  <c r="AG255" i="46"/>
  <c r="AF255" i="46"/>
  <c r="AE255" i="46"/>
  <c r="AD255" i="46"/>
  <c r="AC255" i="46"/>
  <c r="AB255" i="46"/>
  <c r="AA255" i="46"/>
  <c r="Z255" i="46"/>
  <c r="Y255" i="46"/>
  <c r="O255" i="46"/>
  <c r="D255" i="46"/>
  <c r="AL253" i="46"/>
  <c r="AK253" i="46"/>
  <c r="AJ253" i="46"/>
  <c r="AI253" i="46"/>
  <c r="AH253" i="46"/>
  <c r="AG253" i="46"/>
  <c r="AF253" i="46"/>
  <c r="AE253" i="46"/>
  <c r="AD253" i="46"/>
  <c r="AC253" i="46"/>
  <c r="AB253" i="46"/>
  <c r="AA253" i="46"/>
  <c r="Z253" i="46"/>
  <c r="Y253" i="46"/>
  <c r="N253" i="46"/>
  <c r="AM252" i="46"/>
  <c r="AL250" i="46"/>
  <c r="AK250" i="46"/>
  <c r="AJ250" i="46"/>
  <c r="AI250" i="46"/>
  <c r="AH250" i="46"/>
  <c r="AG250" i="46"/>
  <c r="AF250" i="46"/>
  <c r="AE250" i="46"/>
  <c r="AD250" i="46"/>
  <c r="AC250" i="46"/>
  <c r="AB250" i="46"/>
  <c r="AA250" i="46"/>
  <c r="Z250" i="46"/>
  <c r="Y250" i="46"/>
  <c r="N250" i="46"/>
  <c r="AM249" i="46"/>
  <c r="AL247" i="46"/>
  <c r="AK247" i="46"/>
  <c r="AJ247" i="46"/>
  <c r="AI247" i="46"/>
  <c r="AH247" i="46"/>
  <c r="AG247" i="46"/>
  <c r="AF247" i="46"/>
  <c r="AE247" i="46"/>
  <c r="AD247" i="46"/>
  <c r="AC247" i="46"/>
  <c r="AB247" i="46"/>
  <c r="AA247" i="46"/>
  <c r="Z247" i="46"/>
  <c r="Y247" i="46"/>
  <c r="N247" i="46"/>
  <c r="AM246" i="46"/>
  <c r="AL243" i="46"/>
  <c r="AK243" i="46"/>
  <c r="AJ243" i="46"/>
  <c r="AI243" i="46"/>
  <c r="AH243" i="46"/>
  <c r="AG243" i="46"/>
  <c r="AF243" i="46"/>
  <c r="AE243" i="46"/>
  <c r="AD243" i="46"/>
  <c r="AC243" i="46"/>
  <c r="AB243" i="46"/>
  <c r="AA243" i="46"/>
  <c r="Z243" i="46"/>
  <c r="Y243" i="46"/>
  <c r="N243" i="46"/>
  <c r="AM242" i="46"/>
  <c r="AL240" i="46"/>
  <c r="AK240" i="46"/>
  <c r="AJ240" i="46"/>
  <c r="AI240" i="46"/>
  <c r="AH240" i="46"/>
  <c r="AG240" i="46"/>
  <c r="AF240" i="46"/>
  <c r="AE240" i="46"/>
  <c r="AD240" i="46"/>
  <c r="AC240" i="46"/>
  <c r="AB240" i="46"/>
  <c r="AA240" i="46"/>
  <c r="Z240" i="46"/>
  <c r="Y240" i="46"/>
  <c r="N240" i="46"/>
  <c r="AM239" i="46"/>
  <c r="AL237" i="46"/>
  <c r="AK237" i="46"/>
  <c r="AJ237" i="46"/>
  <c r="AI237" i="46"/>
  <c r="AH237" i="46"/>
  <c r="AG237" i="46"/>
  <c r="AF237" i="46"/>
  <c r="AE237" i="46"/>
  <c r="AD237" i="46"/>
  <c r="AC237" i="46"/>
  <c r="AB237" i="46"/>
  <c r="AA237" i="46"/>
  <c r="Z237" i="46"/>
  <c r="Y237" i="46"/>
  <c r="N237" i="46"/>
  <c r="AM236" i="46"/>
  <c r="AL234" i="46"/>
  <c r="AK234" i="46"/>
  <c r="AJ234" i="46"/>
  <c r="AI234" i="46"/>
  <c r="AH234" i="46"/>
  <c r="AG234" i="46"/>
  <c r="AF234" i="46"/>
  <c r="AE234" i="46"/>
  <c r="AD234" i="46"/>
  <c r="AC234" i="46"/>
  <c r="AB234" i="46"/>
  <c r="AA234" i="46"/>
  <c r="Z234" i="46"/>
  <c r="Y234" i="46"/>
  <c r="N234" i="46"/>
  <c r="AM233" i="46"/>
  <c r="X233" i="46"/>
  <c r="W233" i="46"/>
  <c r="V233" i="46"/>
  <c r="U233" i="46"/>
  <c r="T233" i="46"/>
  <c r="S233" i="46"/>
  <c r="R233" i="46"/>
  <c r="Q233" i="46"/>
  <c r="P233" i="46"/>
  <c r="O233" i="46"/>
  <c r="M233" i="46"/>
  <c r="L233" i="46"/>
  <c r="K233" i="46"/>
  <c r="J233" i="46"/>
  <c r="I233" i="46"/>
  <c r="H233" i="46"/>
  <c r="G233" i="46"/>
  <c r="F233" i="46"/>
  <c r="E233" i="46"/>
  <c r="D233" i="46"/>
  <c r="AL231" i="46"/>
  <c r="AK231" i="46"/>
  <c r="AJ231" i="46"/>
  <c r="AI231" i="46"/>
  <c r="AH231" i="46"/>
  <c r="AG231" i="46"/>
  <c r="AF231" i="46"/>
  <c r="AE231" i="46"/>
  <c r="AD231" i="46"/>
  <c r="AC231" i="46"/>
  <c r="AB231" i="46"/>
  <c r="AA231" i="46"/>
  <c r="Z231" i="46"/>
  <c r="Y231" i="46"/>
  <c r="N231" i="46"/>
  <c r="AM230" i="46"/>
  <c r="AL227" i="46"/>
  <c r="AK227" i="46"/>
  <c r="AJ227" i="46"/>
  <c r="AI227" i="46"/>
  <c r="AH227" i="46"/>
  <c r="AG227" i="46"/>
  <c r="AF227" i="46"/>
  <c r="AE227" i="46"/>
  <c r="AD227" i="46"/>
  <c r="AC227" i="46"/>
  <c r="AB227" i="46"/>
  <c r="AA227" i="46"/>
  <c r="Z227" i="46"/>
  <c r="Y227" i="46"/>
  <c r="N227" i="46"/>
  <c r="AM226" i="46"/>
  <c r="AL224" i="46"/>
  <c r="AK224" i="46"/>
  <c r="AJ224" i="46"/>
  <c r="AI224" i="46"/>
  <c r="AH224" i="46"/>
  <c r="AG224" i="46"/>
  <c r="AF224" i="46"/>
  <c r="AE224" i="46"/>
  <c r="AD224" i="46"/>
  <c r="AC224" i="46"/>
  <c r="AB224" i="46"/>
  <c r="AA224" i="46"/>
  <c r="Z224" i="46"/>
  <c r="Y224" i="46"/>
  <c r="AM223" i="46"/>
  <c r="AL220" i="46"/>
  <c r="AK220" i="46"/>
  <c r="AJ220" i="46"/>
  <c r="AI220" i="46"/>
  <c r="AH220" i="46"/>
  <c r="AG220" i="46"/>
  <c r="AF220" i="46"/>
  <c r="AE220" i="46"/>
  <c r="AD220" i="46"/>
  <c r="AC220" i="46"/>
  <c r="AB220" i="46"/>
  <c r="AA220" i="46"/>
  <c r="Z220" i="46"/>
  <c r="Y220" i="46"/>
  <c r="AM219" i="46"/>
  <c r="AL216" i="46"/>
  <c r="AK216" i="46"/>
  <c r="AJ216" i="46"/>
  <c r="AI216" i="46"/>
  <c r="AH216" i="46"/>
  <c r="AG216" i="46"/>
  <c r="AF216" i="46"/>
  <c r="AE216" i="46"/>
  <c r="AD216" i="46"/>
  <c r="AC216" i="46"/>
  <c r="AB216" i="46"/>
  <c r="AA216" i="46"/>
  <c r="Z216" i="46"/>
  <c r="Y216" i="46"/>
  <c r="AM215" i="46"/>
  <c r="AL213" i="46"/>
  <c r="AK213" i="46"/>
  <c r="AJ213" i="46"/>
  <c r="AI213" i="46"/>
  <c r="AH213" i="46"/>
  <c r="AG213" i="46"/>
  <c r="AF213" i="46"/>
  <c r="AE213" i="46"/>
  <c r="AD213" i="46"/>
  <c r="AC213" i="46"/>
  <c r="AB213" i="46"/>
  <c r="AA213" i="46"/>
  <c r="Z213" i="46"/>
  <c r="Y213" i="46"/>
  <c r="N213" i="46"/>
  <c r="AM212" i="46"/>
  <c r="AL210" i="46"/>
  <c r="AK210" i="46"/>
  <c r="AJ210" i="46"/>
  <c r="AI210" i="46"/>
  <c r="AH210" i="46"/>
  <c r="AG210" i="46"/>
  <c r="AF210" i="46"/>
  <c r="AE210" i="46"/>
  <c r="AD210" i="46"/>
  <c r="AC210" i="46"/>
  <c r="AB210" i="46"/>
  <c r="AA210" i="46"/>
  <c r="Z210" i="46"/>
  <c r="Y210" i="46"/>
  <c r="N210" i="46"/>
  <c r="AM209" i="46"/>
  <c r="AL207" i="46"/>
  <c r="AK207" i="46"/>
  <c r="AJ207" i="46"/>
  <c r="AI207" i="46"/>
  <c r="AH207" i="46"/>
  <c r="AG207" i="46"/>
  <c r="AF207" i="46"/>
  <c r="AE207" i="46"/>
  <c r="AD207" i="46"/>
  <c r="AC207" i="46"/>
  <c r="AB207" i="46"/>
  <c r="AA207" i="46"/>
  <c r="Z207" i="46"/>
  <c r="Y207" i="46"/>
  <c r="N207" i="46"/>
  <c r="AM206" i="46"/>
  <c r="AL204" i="46"/>
  <c r="AK204" i="46"/>
  <c r="AJ204" i="46"/>
  <c r="AI204" i="46"/>
  <c r="AH204" i="46"/>
  <c r="AG204" i="46"/>
  <c r="AF204" i="46"/>
  <c r="AE204" i="46"/>
  <c r="AD204" i="46"/>
  <c r="AC204" i="46"/>
  <c r="AB204" i="46"/>
  <c r="AA204" i="46"/>
  <c r="Z204" i="46"/>
  <c r="Y204" i="46"/>
  <c r="N204" i="46"/>
  <c r="AM203" i="46"/>
  <c r="AL200" i="46"/>
  <c r="AK200" i="46"/>
  <c r="AJ200" i="46"/>
  <c r="AI200" i="46"/>
  <c r="AH200" i="46"/>
  <c r="AG200" i="46"/>
  <c r="AF200" i="46"/>
  <c r="AE200" i="46"/>
  <c r="AD200" i="46"/>
  <c r="AC200" i="46"/>
  <c r="AB200" i="46"/>
  <c r="AA200" i="46"/>
  <c r="Z200" i="46"/>
  <c r="Y200" i="46"/>
  <c r="AM199" i="46"/>
  <c r="AL197" i="46"/>
  <c r="AK197" i="46"/>
  <c r="AJ197" i="46"/>
  <c r="AI197" i="46"/>
  <c r="AH197" i="46"/>
  <c r="AG197" i="46"/>
  <c r="AF197" i="46"/>
  <c r="AE197" i="46"/>
  <c r="AD197" i="46"/>
  <c r="AC197" i="46"/>
  <c r="AB197" i="46"/>
  <c r="AA197" i="46"/>
  <c r="Z197" i="46"/>
  <c r="Y197" i="46"/>
  <c r="AM196" i="46"/>
  <c r="AL194" i="46"/>
  <c r="AK194" i="46"/>
  <c r="AJ194" i="46"/>
  <c r="AI194" i="46"/>
  <c r="AH194" i="46"/>
  <c r="AG194" i="46"/>
  <c r="AF194" i="46"/>
  <c r="AE194" i="46"/>
  <c r="AD194" i="46"/>
  <c r="AC194" i="46"/>
  <c r="AB194" i="46"/>
  <c r="AA194" i="46"/>
  <c r="Z194" i="46"/>
  <c r="Y194" i="46"/>
  <c r="AM193" i="46"/>
  <c r="AL191" i="46"/>
  <c r="AK191" i="46"/>
  <c r="AJ191" i="46"/>
  <c r="AI191" i="46"/>
  <c r="AH191" i="46"/>
  <c r="AG191" i="46"/>
  <c r="AF191" i="46"/>
  <c r="AE191" i="46"/>
  <c r="AD191" i="46"/>
  <c r="AC191" i="46"/>
  <c r="AB191" i="46"/>
  <c r="AA191" i="46"/>
  <c r="Z191" i="46"/>
  <c r="Y191" i="46"/>
  <c r="N191" i="46"/>
  <c r="AM190" i="46"/>
  <c r="AL188" i="46"/>
  <c r="AK188" i="46"/>
  <c r="AJ188" i="46"/>
  <c r="AI188" i="46"/>
  <c r="AH188" i="46"/>
  <c r="AG188" i="46"/>
  <c r="AF188" i="46"/>
  <c r="AE188" i="46"/>
  <c r="AD188" i="46"/>
  <c r="AC188" i="46"/>
  <c r="AB188" i="46"/>
  <c r="AA188" i="46"/>
  <c r="Z188" i="46"/>
  <c r="Y188" i="46"/>
  <c r="N188" i="46"/>
  <c r="AM187" i="46"/>
  <c r="AL185" i="46"/>
  <c r="AK185" i="46"/>
  <c r="AJ185" i="46"/>
  <c r="AI185" i="46"/>
  <c r="AH185" i="46"/>
  <c r="AG185" i="46"/>
  <c r="AF185" i="46"/>
  <c r="AE185" i="46"/>
  <c r="AD185" i="46"/>
  <c r="AC185" i="46"/>
  <c r="AB185" i="46"/>
  <c r="AA185" i="46"/>
  <c r="Z185" i="46"/>
  <c r="Y185" i="46"/>
  <c r="N185" i="46"/>
  <c r="AM184" i="46"/>
  <c r="AL182" i="46"/>
  <c r="AK182" i="46"/>
  <c r="AJ182" i="46"/>
  <c r="AI182" i="46"/>
  <c r="AH182" i="46"/>
  <c r="AG182" i="46"/>
  <c r="AF182" i="46"/>
  <c r="AE182" i="46"/>
  <c r="AD182" i="46"/>
  <c r="AC182" i="46"/>
  <c r="AB182" i="46"/>
  <c r="AA182" i="46"/>
  <c r="Z182" i="46"/>
  <c r="Y182" i="46"/>
  <c r="N182" i="46"/>
  <c r="AM181" i="46"/>
  <c r="X181" i="46"/>
  <c r="W181" i="46"/>
  <c r="V181" i="46"/>
  <c r="U181" i="46"/>
  <c r="T181" i="46"/>
  <c r="S181" i="46"/>
  <c r="R181" i="46"/>
  <c r="Q181" i="46"/>
  <c r="P181" i="46"/>
  <c r="O181" i="46"/>
  <c r="M181" i="46"/>
  <c r="L181" i="46"/>
  <c r="K181" i="46"/>
  <c r="J181" i="46"/>
  <c r="I181" i="46"/>
  <c r="H181" i="46"/>
  <c r="G181" i="46"/>
  <c r="F181" i="46"/>
  <c r="E181" i="46"/>
  <c r="D181" i="46"/>
  <c r="AL179" i="46"/>
  <c r="AK179" i="46"/>
  <c r="AJ179" i="46"/>
  <c r="AI179" i="46"/>
  <c r="AH179" i="46"/>
  <c r="AG179" i="46"/>
  <c r="AF179" i="46"/>
  <c r="AE179" i="46"/>
  <c r="AD179" i="46"/>
  <c r="AC179" i="46"/>
  <c r="AB179" i="46"/>
  <c r="AA179" i="46"/>
  <c r="Z179" i="46"/>
  <c r="Y179" i="46"/>
  <c r="X179" i="46"/>
  <c r="W179" i="46"/>
  <c r="V179" i="46"/>
  <c r="U179" i="46"/>
  <c r="T179" i="46"/>
  <c r="S179" i="46"/>
  <c r="R179" i="46"/>
  <c r="Q179" i="46"/>
  <c r="P179" i="46"/>
  <c r="O179" i="46"/>
  <c r="N179" i="46"/>
  <c r="M179" i="46"/>
  <c r="L179" i="46"/>
  <c r="K179" i="46"/>
  <c r="J179" i="46"/>
  <c r="I179" i="46"/>
  <c r="H179" i="46"/>
  <c r="G179" i="46"/>
  <c r="F179" i="46"/>
  <c r="E179" i="46"/>
  <c r="D179" i="46"/>
  <c r="AM178" i="46"/>
  <c r="X178" i="46"/>
  <c r="W178" i="46"/>
  <c r="V178" i="46"/>
  <c r="U178" i="46"/>
  <c r="T178" i="46"/>
  <c r="S178" i="46"/>
  <c r="R178" i="46"/>
  <c r="Q178" i="46"/>
  <c r="P178" i="46"/>
  <c r="O178" i="46"/>
  <c r="M178" i="46"/>
  <c r="L178" i="46"/>
  <c r="K178" i="46"/>
  <c r="J178" i="46"/>
  <c r="I178" i="46"/>
  <c r="H178" i="46"/>
  <c r="G178" i="46"/>
  <c r="F178" i="46"/>
  <c r="E178" i="46"/>
  <c r="D178" i="46"/>
  <c r="AL175" i="46"/>
  <c r="AK175" i="46"/>
  <c r="AJ175" i="46"/>
  <c r="AI175" i="46"/>
  <c r="AH175" i="46"/>
  <c r="AG175" i="46"/>
  <c r="AF175" i="46"/>
  <c r="AE175" i="46"/>
  <c r="AD175" i="46"/>
  <c r="AC175" i="46"/>
  <c r="AB175" i="46"/>
  <c r="AA175" i="46"/>
  <c r="Z175" i="46"/>
  <c r="Y175" i="46"/>
  <c r="AM174" i="46"/>
  <c r="AL172" i="46"/>
  <c r="AK172" i="46"/>
  <c r="AJ172" i="46"/>
  <c r="AI172" i="46"/>
  <c r="AH172" i="46"/>
  <c r="AG172" i="46"/>
  <c r="AF172" i="46"/>
  <c r="AE172" i="46"/>
  <c r="AD172" i="46"/>
  <c r="AC172" i="46"/>
  <c r="AB172" i="46"/>
  <c r="AA172" i="46"/>
  <c r="Z172" i="46"/>
  <c r="Y172" i="46"/>
  <c r="AM171" i="46"/>
  <c r="AL169" i="46"/>
  <c r="AK169" i="46"/>
  <c r="AJ169" i="46"/>
  <c r="AI169" i="46"/>
  <c r="AH169" i="46"/>
  <c r="AG169" i="46"/>
  <c r="AF169" i="46"/>
  <c r="AE169" i="46"/>
  <c r="AD169" i="46"/>
  <c r="AC169" i="46"/>
  <c r="AB169" i="46"/>
  <c r="AA169" i="46"/>
  <c r="Z169" i="46"/>
  <c r="Y169" i="46"/>
  <c r="AM168" i="46"/>
  <c r="AL166" i="46"/>
  <c r="AK166" i="46"/>
  <c r="AJ166" i="46"/>
  <c r="AI166" i="46"/>
  <c r="AH166" i="46"/>
  <c r="AG166" i="46"/>
  <c r="AF166" i="46"/>
  <c r="AE166" i="46"/>
  <c r="AD166" i="46"/>
  <c r="AC166" i="46"/>
  <c r="AB166" i="46"/>
  <c r="AA166" i="46"/>
  <c r="Z166" i="46"/>
  <c r="Y166" i="46"/>
  <c r="AM165" i="46"/>
  <c r="AL163" i="46"/>
  <c r="AK163" i="46"/>
  <c r="AJ163" i="46"/>
  <c r="AI163" i="46"/>
  <c r="AH163" i="46"/>
  <c r="AG163" i="46"/>
  <c r="AF163" i="46"/>
  <c r="AE163" i="46"/>
  <c r="AD163" i="46"/>
  <c r="AC163" i="46"/>
  <c r="AB163" i="46"/>
  <c r="AA163" i="46"/>
  <c r="Z163" i="46"/>
  <c r="Y163" i="46"/>
  <c r="AM162" i="46"/>
  <c r="X162" i="46"/>
  <c r="W162" i="46"/>
  <c r="V162" i="46"/>
  <c r="U162" i="46"/>
  <c r="T162" i="46"/>
  <c r="S162" i="46"/>
  <c r="R162" i="46"/>
  <c r="Q162" i="46"/>
  <c r="P162" i="46"/>
  <c r="O162" i="46"/>
  <c r="M162" i="46"/>
  <c r="L162" i="46"/>
  <c r="K162" i="46"/>
  <c r="J162" i="46"/>
  <c r="I162" i="46"/>
  <c r="H162" i="46"/>
  <c r="G162" i="46"/>
  <c r="F162" i="46"/>
  <c r="E162" i="46"/>
  <c r="D162" i="46"/>
  <c r="AL160" i="46"/>
  <c r="AK160" i="46"/>
  <c r="AJ160" i="46"/>
  <c r="AI160" i="46"/>
  <c r="AH160" i="46"/>
  <c r="AG160" i="46"/>
  <c r="AF160" i="46"/>
  <c r="AE160" i="46"/>
  <c r="AD160" i="46"/>
  <c r="AC160" i="46"/>
  <c r="AB160" i="46"/>
  <c r="AA160" i="46"/>
  <c r="Z160" i="46"/>
  <c r="Y160" i="46"/>
  <c r="AM159" i="46"/>
  <c r="X159" i="46"/>
  <c r="W159" i="46"/>
  <c r="V159" i="46"/>
  <c r="U159" i="46"/>
  <c r="T159" i="46"/>
  <c r="S159" i="46"/>
  <c r="R159" i="46"/>
  <c r="Q159" i="46"/>
  <c r="P159" i="46"/>
  <c r="O159" i="46"/>
  <c r="M159" i="46"/>
  <c r="L159" i="46"/>
  <c r="K159" i="46"/>
  <c r="J159" i="46"/>
  <c r="I159" i="46"/>
  <c r="H159" i="46"/>
  <c r="G159" i="46"/>
  <c r="F159" i="46"/>
  <c r="E159" i="46"/>
  <c r="D159" i="46"/>
  <c r="AL157" i="46"/>
  <c r="AK157" i="46"/>
  <c r="AJ157" i="46"/>
  <c r="AI157" i="46"/>
  <c r="AH157" i="46"/>
  <c r="AG157" i="46"/>
  <c r="AF157" i="46"/>
  <c r="AE157" i="46"/>
  <c r="AD157" i="46"/>
  <c r="AC157" i="46"/>
  <c r="AB157" i="46"/>
  <c r="AA157" i="46"/>
  <c r="Z157" i="46"/>
  <c r="Y157" i="46"/>
  <c r="X157" i="46"/>
  <c r="W157" i="46"/>
  <c r="V157" i="46"/>
  <c r="U157" i="46"/>
  <c r="T157" i="46"/>
  <c r="S157" i="46"/>
  <c r="R157" i="46"/>
  <c r="Q157" i="46"/>
  <c r="P157" i="46"/>
  <c r="O157" i="46"/>
  <c r="M157" i="46"/>
  <c r="L157" i="46"/>
  <c r="K157" i="46"/>
  <c r="J157" i="46"/>
  <c r="I157" i="46"/>
  <c r="H157" i="46"/>
  <c r="G157" i="46"/>
  <c r="F157" i="46"/>
  <c r="E157" i="46"/>
  <c r="D157" i="46"/>
  <c r="AM156" i="46"/>
  <c r="X156" i="46"/>
  <c r="W156" i="46"/>
  <c r="V156" i="46"/>
  <c r="U156" i="46"/>
  <c r="T156" i="46"/>
  <c r="S156" i="46"/>
  <c r="R156" i="46"/>
  <c r="Q156" i="46"/>
  <c r="P156" i="46"/>
  <c r="O156" i="46"/>
  <c r="M156" i="46"/>
  <c r="L156" i="46"/>
  <c r="K156" i="46"/>
  <c r="J156" i="46"/>
  <c r="I156" i="46"/>
  <c r="H156" i="46"/>
  <c r="G156" i="46"/>
  <c r="F156" i="46"/>
  <c r="E156" i="46"/>
  <c r="D156" i="46"/>
  <c r="AL154" i="46"/>
  <c r="AK154" i="46"/>
  <c r="AJ154" i="46"/>
  <c r="AI154" i="46"/>
  <c r="AH154" i="46"/>
  <c r="AG154" i="46"/>
  <c r="AF154" i="46"/>
  <c r="AE154" i="46"/>
  <c r="AD154" i="46"/>
  <c r="AC154" i="46"/>
  <c r="AB154" i="46"/>
  <c r="AA154" i="46"/>
  <c r="Z154" i="46"/>
  <c r="Y154" i="46"/>
  <c r="AM153" i="46"/>
  <c r="X153" i="46"/>
  <c r="W153" i="46"/>
  <c r="V153" i="46"/>
  <c r="U153" i="46"/>
  <c r="T153" i="46"/>
  <c r="S153" i="46"/>
  <c r="R153" i="46"/>
  <c r="Q153" i="46"/>
  <c r="P153" i="46"/>
  <c r="O153" i="46"/>
  <c r="M153" i="46"/>
  <c r="L153" i="46"/>
  <c r="K153" i="46"/>
  <c r="J153" i="46"/>
  <c r="I153" i="46"/>
  <c r="H153" i="46"/>
  <c r="G153" i="46"/>
  <c r="F153" i="46"/>
  <c r="E153" i="46"/>
  <c r="D153" i="46"/>
  <c r="AL151" i="46"/>
  <c r="AK151" i="46"/>
  <c r="AJ151" i="46"/>
  <c r="AI151" i="46"/>
  <c r="AH151" i="46"/>
  <c r="AG151" i="46"/>
  <c r="AF151" i="46"/>
  <c r="AE151" i="46"/>
  <c r="AD151" i="46"/>
  <c r="AC151" i="46"/>
  <c r="AB151" i="46"/>
  <c r="AA151" i="46"/>
  <c r="Z151" i="46"/>
  <c r="Y151" i="46"/>
  <c r="AM150" i="46"/>
  <c r="X150" i="46"/>
  <c r="W150" i="46"/>
  <c r="V150" i="46"/>
  <c r="U150" i="46"/>
  <c r="T150" i="46"/>
  <c r="S150" i="46"/>
  <c r="R150" i="46"/>
  <c r="Q150" i="46"/>
  <c r="P150" i="46"/>
  <c r="O150" i="46"/>
  <c r="M150" i="46"/>
  <c r="L150" i="46"/>
  <c r="K150" i="46"/>
  <c r="J150" i="46"/>
  <c r="I150" i="46"/>
  <c r="H150" i="46"/>
  <c r="G150" i="46"/>
  <c r="F150" i="46"/>
  <c r="E150" i="46"/>
  <c r="D150" i="46"/>
  <c r="AL149" i="46"/>
  <c r="AK149" i="46"/>
  <c r="AJ149" i="46"/>
  <c r="AI149" i="46"/>
  <c r="AH149" i="46"/>
  <c r="AG149" i="46"/>
  <c r="AF149" i="46"/>
  <c r="AE149" i="46"/>
  <c r="AD149" i="46"/>
  <c r="AC149" i="46"/>
  <c r="AB149" i="46"/>
  <c r="AA149" i="46"/>
  <c r="Z149" i="46"/>
  <c r="Y149" i="46"/>
  <c r="AM148" i="46"/>
  <c r="AL148" i="46"/>
  <c r="AK148" i="46"/>
  <c r="AJ148" i="46"/>
  <c r="AI148" i="46"/>
  <c r="AH148" i="46"/>
  <c r="AG148" i="46"/>
  <c r="AF148" i="46"/>
  <c r="AE148" i="46"/>
  <c r="AD148" i="46"/>
  <c r="AC148" i="46"/>
  <c r="AB148" i="46"/>
  <c r="AA148" i="46"/>
  <c r="Z148" i="46"/>
  <c r="Y148" i="46"/>
  <c r="AL138" i="46"/>
  <c r="AK138" i="46"/>
  <c r="AJ138" i="46"/>
  <c r="AI138" i="46"/>
  <c r="AH138" i="46"/>
  <c r="AG138" i="46"/>
  <c r="AF138" i="46"/>
  <c r="AE138" i="46"/>
  <c r="AD138" i="46"/>
  <c r="AC138" i="46"/>
  <c r="AB138" i="46"/>
  <c r="AA138" i="46"/>
  <c r="Z138" i="46"/>
  <c r="Y138" i="46"/>
  <c r="AL137" i="46"/>
  <c r="AK137" i="46"/>
  <c r="AJ137" i="46"/>
  <c r="AI137" i="46"/>
  <c r="AH137" i="46"/>
  <c r="AG137" i="46"/>
  <c r="AF137" i="46"/>
  <c r="AE137" i="46"/>
  <c r="AD137" i="46"/>
  <c r="AC137" i="46"/>
  <c r="AB137" i="46"/>
  <c r="AA137" i="46"/>
  <c r="Z137" i="46"/>
  <c r="Y137" i="46"/>
  <c r="AL136" i="46"/>
  <c r="AK136" i="46"/>
  <c r="AJ136" i="46"/>
  <c r="AI136" i="46"/>
  <c r="AH136" i="46"/>
  <c r="AG136" i="46"/>
  <c r="AF136" i="46"/>
  <c r="AE136" i="46"/>
  <c r="AD136" i="46"/>
  <c r="AC136" i="46"/>
  <c r="AB136" i="46"/>
  <c r="AA136" i="46"/>
  <c r="Z136" i="46"/>
  <c r="Y136" i="46"/>
  <c r="AL135" i="46"/>
  <c r="AK135" i="46"/>
  <c r="AJ135" i="46"/>
  <c r="AI135" i="46"/>
  <c r="AH135" i="46"/>
  <c r="AG135" i="46"/>
  <c r="AF135" i="46"/>
  <c r="AE135" i="46"/>
  <c r="AD135" i="46"/>
  <c r="AC135" i="46"/>
  <c r="AB135" i="46"/>
  <c r="AA135" i="46"/>
  <c r="Z135" i="46"/>
  <c r="Y135" i="46"/>
  <c r="AM133" i="46"/>
  <c r="AM132" i="46"/>
  <c r="AL132" i="46"/>
  <c r="AK132" i="46"/>
  <c r="AJ132" i="46"/>
  <c r="AI132" i="46"/>
  <c r="AH132" i="46"/>
  <c r="AG132" i="46"/>
  <c r="AF132" i="46"/>
  <c r="AE132" i="46"/>
  <c r="AD132" i="46"/>
  <c r="AC132" i="46"/>
  <c r="AB132" i="46"/>
  <c r="AA132" i="46"/>
  <c r="Z132" i="46"/>
  <c r="Y132" i="46"/>
  <c r="AM131" i="46"/>
  <c r="AL131" i="46"/>
  <c r="AK131" i="46"/>
  <c r="AJ131" i="46"/>
  <c r="AI131" i="46"/>
  <c r="AH131" i="46"/>
  <c r="AG131" i="46"/>
  <c r="AF131" i="46"/>
  <c r="AE131" i="46"/>
  <c r="AD131" i="46"/>
  <c r="AC131" i="46"/>
  <c r="AB131" i="46"/>
  <c r="AA131" i="46"/>
  <c r="Z131" i="46"/>
  <c r="Y131" i="46"/>
  <c r="AL130" i="46"/>
  <c r="AK130" i="46"/>
  <c r="AJ130" i="46"/>
  <c r="AI130" i="46"/>
  <c r="AH130" i="46"/>
  <c r="AG130" i="46"/>
  <c r="AF130" i="46"/>
  <c r="AE130" i="46"/>
  <c r="AD130" i="46"/>
  <c r="AC130" i="46"/>
  <c r="AB130" i="46"/>
  <c r="AA130" i="46"/>
  <c r="Z130" i="46"/>
  <c r="Y130" i="46"/>
  <c r="AL128" i="46"/>
  <c r="AK128" i="46"/>
  <c r="AJ128" i="46"/>
  <c r="AI128" i="46"/>
  <c r="AH128" i="46"/>
  <c r="AG128" i="46"/>
  <c r="AF128" i="46"/>
  <c r="AE128" i="46"/>
  <c r="AD128" i="46"/>
  <c r="AC128" i="46"/>
  <c r="AB128" i="46"/>
  <c r="AA128" i="46"/>
  <c r="Z128" i="46"/>
  <c r="Y128" i="46"/>
  <c r="AL127" i="46"/>
  <c r="AK127" i="46"/>
  <c r="AJ127" i="46"/>
  <c r="AI127" i="46"/>
  <c r="AH127" i="46"/>
  <c r="AG127" i="46"/>
  <c r="AF127" i="46"/>
  <c r="AE127" i="46"/>
  <c r="AD127" i="46"/>
  <c r="AC127" i="46"/>
  <c r="AB127" i="46"/>
  <c r="AA127" i="46"/>
  <c r="Z127" i="46"/>
  <c r="Y127" i="46"/>
  <c r="O127" i="46"/>
  <c r="D127" i="46"/>
  <c r="AL125" i="46"/>
  <c r="AK125" i="46"/>
  <c r="AJ125" i="46"/>
  <c r="AI125" i="46"/>
  <c r="AH125" i="46"/>
  <c r="AG125" i="46"/>
  <c r="AF125" i="46"/>
  <c r="AE125" i="46"/>
  <c r="AD125" i="46"/>
  <c r="AC125" i="46"/>
  <c r="AB125" i="46"/>
  <c r="AA125" i="46"/>
  <c r="Z125" i="46"/>
  <c r="Y125" i="46"/>
  <c r="N125" i="46"/>
  <c r="AM124" i="46"/>
  <c r="AL122" i="46"/>
  <c r="AK122" i="46"/>
  <c r="AJ122" i="46"/>
  <c r="AI122" i="46"/>
  <c r="AH122" i="46"/>
  <c r="AG122" i="46"/>
  <c r="AF122" i="46"/>
  <c r="AE122" i="46"/>
  <c r="AD122" i="46"/>
  <c r="AC122" i="46"/>
  <c r="AB122" i="46"/>
  <c r="AA122" i="46"/>
  <c r="Z122" i="46"/>
  <c r="Y122" i="46"/>
  <c r="N122" i="46"/>
  <c r="AM121" i="46"/>
  <c r="AL119" i="46"/>
  <c r="AK119" i="46"/>
  <c r="AJ119" i="46"/>
  <c r="AI119" i="46"/>
  <c r="AH119" i="46"/>
  <c r="AG119" i="46"/>
  <c r="AF119" i="46"/>
  <c r="AE119" i="46"/>
  <c r="AD119" i="46"/>
  <c r="AC119" i="46"/>
  <c r="AB119" i="46"/>
  <c r="AA119" i="46"/>
  <c r="Z119" i="46"/>
  <c r="Y119" i="46"/>
  <c r="N119" i="46"/>
  <c r="AM118" i="46"/>
  <c r="AL115" i="46"/>
  <c r="AK115" i="46"/>
  <c r="AJ115" i="46"/>
  <c r="AI115" i="46"/>
  <c r="AH115" i="46"/>
  <c r="AG115" i="46"/>
  <c r="AF115" i="46"/>
  <c r="AE115" i="46"/>
  <c r="AD115" i="46"/>
  <c r="AC115" i="46"/>
  <c r="AB115" i="46"/>
  <c r="AA115" i="46"/>
  <c r="Z115" i="46"/>
  <c r="Y115" i="46"/>
  <c r="N115" i="46"/>
  <c r="AM114" i="46"/>
  <c r="AL112" i="46"/>
  <c r="AK112" i="46"/>
  <c r="AJ112" i="46"/>
  <c r="AI112" i="46"/>
  <c r="AH112" i="46"/>
  <c r="AG112" i="46"/>
  <c r="AF112" i="46"/>
  <c r="AE112" i="46"/>
  <c r="AD112" i="46"/>
  <c r="AC112" i="46"/>
  <c r="AB112" i="46"/>
  <c r="AA112" i="46"/>
  <c r="Z112" i="46"/>
  <c r="Y112" i="46"/>
  <c r="N112" i="46"/>
  <c r="AM111" i="46"/>
  <c r="AL109" i="46"/>
  <c r="AK109" i="46"/>
  <c r="AJ109" i="46"/>
  <c r="AI109" i="46"/>
  <c r="AH109" i="46"/>
  <c r="AG109" i="46"/>
  <c r="AF109" i="46"/>
  <c r="AE109" i="46"/>
  <c r="AD109" i="46"/>
  <c r="AC109" i="46"/>
  <c r="AB109" i="46"/>
  <c r="AA109" i="46"/>
  <c r="Z109" i="46"/>
  <c r="Y109" i="46"/>
  <c r="N109" i="46"/>
  <c r="AM108" i="46"/>
  <c r="AL106" i="46"/>
  <c r="AK106" i="46"/>
  <c r="AJ106" i="46"/>
  <c r="AI106" i="46"/>
  <c r="AH106" i="46"/>
  <c r="AG106" i="46"/>
  <c r="AF106" i="46"/>
  <c r="AE106" i="46"/>
  <c r="AD106" i="46"/>
  <c r="AC106" i="46"/>
  <c r="AB106" i="46"/>
  <c r="AA106" i="46"/>
  <c r="Z106" i="46"/>
  <c r="Y106" i="46"/>
  <c r="X106" i="46"/>
  <c r="W106" i="46"/>
  <c r="V106" i="46"/>
  <c r="U106" i="46"/>
  <c r="T106" i="46"/>
  <c r="S106" i="46"/>
  <c r="R106" i="46"/>
  <c r="Q106" i="46"/>
  <c r="P106" i="46"/>
  <c r="O106" i="46"/>
  <c r="N106" i="46"/>
  <c r="M106" i="46"/>
  <c r="L106" i="46"/>
  <c r="K106" i="46"/>
  <c r="J106" i="46"/>
  <c r="I106" i="46"/>
  <c r="H106" i="46"/>
  <c r="G106" i="46"/>
  <c r="F106" i="46"/>
  <c r="E106" i="46"/>
  <c r="D106" i="46"/>
  <c r="AM105" i="46"/>
  <c r="X105" i="46"/>
  <c r="W105" i="46"/>
  <c r="V105" i="46"/>
  <c r="U105" i="46"/>
  <c r="T105" i="46"/>
  <c r="S105" i="46"/>
  <c r="R105" i="46"/>
  <c r="Q105" i="46"/>
  <c r="P105" i="46"/>
  <c r="O105" i="46"/>
  <c r="M105" i="46"/>
  <c r="L105" i="46"/>
  <c r="K105" i="46"/>
  <c r="J105" i="46"/>
  <c r="I105" i="46"/>
  <c r="H105" i="46"/>
  <c r="G105" i="46"/>
  <c r="F105" i="46"/>
  <c r="E105" i="46"/>
  <c r="D105" i="46"/>
  <c r="AL103" i="46"/>
  <c r="AK103" i="46"/>
  <c r="AJ103" i="46"/>
  <c r="AI103" i="46"/>
  <c r="AH103" i="46"/>
  <c r="AG103" i="46"/>
  <c r="AF103" i="46"/>
  <c r="AE103" i="46"/>
  <c r="AD103" i="46"/>
  <c r="AC103" i="46"/>
  <c r="AB103" i="46"/>
  <c r="AA103" i="46"/>
  <c r="Z103" i="46"/>
  <c r="Y103" i="46"/>
  <c r="N103" i="46"/>
  <c r="AM102" i="46"/>
  <c r="X102" i="46"/>
  <c r="W102" i="46"/>
  <c r="V102" i="46"/>
  <c r="U102" i="46"/>
  <c r="T102" i="46"/>
  <c r="S102" i="46"/>
  <c r="R102" i="46"/>
  <c r="Q102" i="46"/>
  <c r="P102" i="46"/>
  <c r="O102" i="46"/>
  <c r="M102" i="46"/>
  <c r="L102" i="46"/>
  <c r="K102" i="46"/>
  <c r="J102" i="46"/>
  <c r="I102" i="46"/>
  <c r="H102" i="46"/>
  <c r="G102" i="46"/>
  <c r="F102" i="46"/>
  <c r="E102" i="46"/>
  <c r="D102" i="46"/>
  <c r="AL99" i="46"/>
  <c r="AK99" i="46"/>
  <c r="AJ99" i="46"/>
  <c r="AI99" i="46"/>
  <c r="AH99" i="46"/>
  <c r="AG99" i="46"/>
  <c r="AF99" i="46"/>
  <c r="AE99" i="46"/>
  <c r="AD99" i="46"/>
  <c r="AC99" i="46"/>
  <c r="AB99" i="46"/>
  <c r="AA99" i="46"/>
  <c r="Z99" i="46"/>
  <c r="Y99" i="46"/>
  <c r="N99" i="46"/>
  <c r="AM98" i="46"/>
  <c r="AL96" i="46"/>
  <c r="AK96" i="46"/>
  <c r="AJ96" i="46"/>
  <c r="AI96" i="46"/>
  <c r="AH96" i="46"/>
  <c r="AG96" i="46"/>
  <c r="AF96" i="46"/>
  <c r="AE96" i="46"/>
  <c r="AD96" i="46"/>
  <c r="AC96" i="46"/>
  <c r="AB96" i="46"/>
  <c r="AA96" i="46"/>
  <c r="Z96" i="46"/>
  <c r="Y96" i="46"/>
  <c r="AM95" i="46"/>
  <c r="AL92" i="46"/>
  <c r="AK92" i="46"/>
  <c r="AJ92" i="46"/>
  <c r="AI92" i="46"/>
  <c r="AH92" i="46"/>
  <c r="AG92" i="46"/>
  <c r="AF92" i="46"/>
  <c r="AE92" i="46"/>
  <c r="AD92" i="46"/>
  <c r="AC92" i="46"/>
  <c r="AB92" i="46"/>
  <c r="AA92" i="46"/>
  <c r="Z92" i="46"/>
  <c r="Y92" i="46"/>
  <c r="AM91" i="46"/>
  <c r="AL88" i="46"/>
  <c r="AK88" i="46"/>
  <c r="AJ88" i="46"/>
  <c r="AI88" i="46"/>
  <c r="AH88" i="46"/>
  <c r="AG88" i="46"/>
  <c r="AF88" i="46"/>
  <c r="AE88" i="46"/>
  <c r="AD88" i="46"/>
  <c r="AC88" i="46"/>
  <c r="AB88" i="46"/>
  <c r="AA88" i="46"/>
  <c r="Z88" i="46"/>
  <c r="Y88" i="46"/>
  <c r="AM87" i="46"/>
  <c r="AL85" i="46"/>
  <c r="AK85" i="46"/>
  <c r="AJ85" i="46"/>
  <c r="AI85" i="46"/>
  <c r="AH85" i="46"/>
  <c r="AG85" i="46"/>
  <c r="AF85" i="46"/>
  <c r="AE85" i="46"/>
  <c r="AD85" i="46"/>
  <c r="AC85" i="46"/>
  <c r="AB85" i="46"/>
  <c r="AA85" i="46"/>
  <c r="Z85" i="46"/>
  <c r="Y85" i="46"/>
  <c r="N85" i="46"/>
  <c r="AM84" i="46"/>
  <c r="X84" i="46"/>
  <c r="W84" i="46"/>
  <c r="V84" i="46"/>
  <c r="U84" i="46"/>
  <c r="T84" i="46"/>
  <c r="S84" i="46"/>
  <c r="R84" i="46"/>
  <c r="Q84" i="46"/>
  <c r="P84" i="46"/>
  <c r="O84" i="46"/>
  <c r="M84" i="46"/>
  <c r="L84" i="46"/>
  <c r="K84" i="46"/>
  <c r="J84" i="46"/>
  <c r="I84" i="46"/>
  <c r="H84" i="46"/>
  <c r="G84" i="46"/>
  <c r="F84" i="46"/>
  <c r="E84" i="46"/>
  <c r="D84" i="46"/>
  <c r="AL82" i="46"/>
  <c r="AK82" i="46"/>
  <c r="AJ82" i="46"/>
  <c r="AI82" i="46"/>
  <c r="AH82" i="46"/>
  <c r="AG82" i="46"/>
  <c r="AF82" i="46"/>
  <c r="AE82" i="46"/>
  <c r="AD82" i="46"/>
  <c r="AC82" i="46"/>
  <c r="AB82" i="46"/>
  <c r="AA82" i="46"/>
  <c r="Z82" i="46"/>
  <c r="Y82" i="46"/>
  <c r="N82" i="46"/>
  <c r="AM81" i="46"/>
  <c r="AL79" i="46"/>
  <c r="AK79" i="46"/>
  <c r="AJ79" i="46"/>
  <c r="AI79" i="46"/>
  <c r="AH79" i="46"/>
  <c r="AG79" i="46"/>
  <c r="AF79" i="46"/>
  <c r="AE79" i="46"/>
  <c r="AD79" i="46"/>
  <c r="AC79" i="46"/>
  <c r="AB79" i="46"/>
  <c r="AA79" i="46"/>
  <c r="Z79" i="46"/>
  <c r="Y79" i="46"/>
  <c r="N79" i="46"/>
  <c r="AM78" i="46"/>
  <c r="AL76" i="46"/>
  <c r="AK76" i="46"/>
  <c r="AJ76" i="46"/>
  <c r="AI76" i="46"/>
  <c r="AH76" i="46"/>
  <c r="AG76" i="46"/>
  <c r="AF76" i="46"/>
  <c r="AE76" i="46"/>
  <c r="AD76" i="46"/>
  <c r="AC76" i="46"/>
  <c r="AB76" i="46"/>
  <c r="AA76" i="46"/>
  <c r="Z76" i="46"/>
  <c r="Y76" i="46"/>
  <c r="N76" i="46"/>
  <c r="AM75" i="46"/>
  <c r="AL72" i="46"/>
  <c r="AK72" i="46"/>
  <c r="AJ72" i="46"/>
  <c r="AI72" i="46"/>
  <c r="AH72" i="46"/>
  <c r="AG72" i="46"/>
  <c r="AF72" i="46"/>
  <c r="AE72" i="46"/>
  <c r="AD72" i="46"/>
  <c r="AC72" i="46"/>
  <c r="AB72" i="46"/>
  <c r="AA72" i="46"/>
  <c r="Z72" i="46"/>
  <c r="Y72" i="46"/>
  <c r="AM71" i="46"/>
  <c r="AL69" i="46"/>
  <c r="AK69" i="46"/>
  <c r="AJ69" i="46"/>
  <c r="AI69" i="46"/>
  <c r="AH69" i="46"/>
  <c r="AG69" i="46"/>
  <c r="AF69" i="46"/>
  <c r="AE69" i="46"/>
  <c r="AD69" i="46"/>
  <c r="AC69" i="46"/>
  <c r="AB69" i="46"/>
  <c r="AA69" i="46"/>
  <c r="Z69" i="46"/>
  <c r="Y69" i="46"/>
  <c r="AM68" i="46"/>
  <c r="AL66" i="46"/>
  <c r="AK66" i="46"/>
  <c r="AJ66" i="46"/>
  <c r="AI66" i="46"/>
  <c r="AH66" i="46"/>
  <c r="AG66" i="46"/>
  <c r="AF66" i="46"/>
  <c r="AE66" i="46"/>
  <c r="AD66" i="46"/>
  <c r="AC66" i="46"/>
  <c r="AB66" i="46"/>
  <c r="AA66" i="46"/>
  <c r="Z66" i="46"/>
  <c r="Y66" i="46"/>
  <c r="AM65" i="46"/>
  <c r="AL63" i="46"/>
  <c r="AK63" i="46"/>
  <c r="AJ63" i="46"/>
  <c r="AI63" i="46"/>
  <c r="AH63" i="46"/>
  <c r="AG63" i="46"/>
  <c r="AF63" i="46"/>
  <c r="AE63" i="46"/>
  <c r="AD63" i="46"/>
  <c r="AC63" i="46"/>
  <c r="AB63" i="46"/>
  <c r="AA63" i="46"/>
  <c r="Z63" i="46"/>
  <c r="Y63" i="46"/>
  <c r="X63" i="46"/>
  <c r="W63" i="46"/>
  <c r="V63" i="46"/>
  <c r="U63" i="46"/>
  <c r="T63" i="46"/>
  <c r="S63" i="46"/>
  <c r="R63" i="46"/>
  <c r="Q63" i="46"/>
  <c r="P63" i="46"/>
  <c r="O63" i="46"/>
  <c r="N63" i="46"/>
  <c r="M63" i="46"/>
  <c r="L63" i="46"/>
  <c r="K63" i="46"/>
  <c r="J63" i="46"/>
  <c r="I63" i="46"/>
  <c r="H63" i="46"/>
  <c r="G63" i="46"/>
  <c r="F63" i="46"/>
  <c r="E63" i="46"/>
  <c r="D63" i="46"/>
  <c r="AM62" i="46"/>
  <c r="AL60" i="46"/>
  <c r="AK60" i="46"/>
  <c r="AJ60" i="46"/>
  <c r="AI60" i="46"/>
  <c r="AH60" i="46"/>
  <c r="AG60" i="46"/>
  <c r="AF60" i="46"/>
  <c r="AE60" i="46"/>
  <c r="AD60" i="46"/>
  <c r="AC60" i="46"/>
  <c r="AB60" i="46"/>
  <c r="AA60" i="46"/>
  <c r="Z60" i="46"/>
  <c r="Y60" i="46"/>
  <c r="N60" i="46"/>
  <c r="AM59" i="46"/>
  <c r="AL57" i="46"/>
  <c r="AK57" i="46"/>
  <c r="AJ57" i="46"/>
  <c r="AI57" i="46"/>
  <c r="AH57" i="46"/>
  <c r="AG57" i="46"/>
  <c r="AF57" i="46"/>
  <c r="AE57" i="46"/>
  <c r="AD57" i="46"/>
  <c r="AC57" i="46"/>
  <c r="AB57" i="46"/>
  <c r="AA57" i="46"/>
  <c r="Z57" i="46"/>
  <c r="Y57" i="46"/>
  <c r="N57" i="46"/>
  <c r="AM56" i="46"/>
  <c r="AL54" i="46"/>
  <c r="AK54" i="46"/>
  <c r="AJ54" i="46"/>
  <c r="AI54" i="46"/>
  <c r="AH54" i="46"/>
  <c r="AG54" i="46"/>
  <c r="AF54" i="46"/>
  <c r="AE54" i="46"/>
  <c r="AD54" i="46"/>
  <c r="AC54" i="46"/>
  <c r="AB54" i="46"/>
  <c r="AA54" i="46"/>
  <c r="Z54" i="46"/>
  <c r="Y54" i="46"/>
  <c r="N54" i="46"/>
  <c r="AM53" i="46"/>
  <c r="X53" i="46"/>
  <c r="W53" i="46"/>
  <c r="V53" i="46"/>
  <c r="U53" i="46"/>
  <c r="T53" i="46"/>
  <c r="S53" i="46"/>
  <c r="R53" i="46"/>
  <c r="Q53" i="46"/>
  <c r="P53" i="46"/>
  <c r="O53" i="46"/>
  <c r="M53" i="46"/>
  <c r="L53" i="46"/>
  <c r="K53" i="46"/>
  <c r="J53" i="46"/>
  <c r="I53" i="46"/>
  <c r="H53" i="46"/>
  <c r="G53" i="46"/>
  <c r="F53" i="46"/>
  <c r="E53" i="46"/>
  <c r="D53" i="46"/>
  <c r="AL51" i="46"/>
  <c r="AK51" i="46"/>
  <c r="AJ51" i="46"/>
  <c r="AI51" i="46"/>
  <c r="AH51" i="46"/>
  <c r="AG51" i="46"/>
  <c r="AF51" i="46"/>
  <c r="AE51" i="46"/>
  <c r="AD51" i="46"/>
  <c r="AC51" i="46"/>
  <c r="AB51" i="46"/>
  <c r="AA51" i="46"/>
  <c r="Z51" i="46"/>
  <c r="Y51" i="46"/>
  <c r="N51" i="46"/>
  <c r="AM50" i="46"/>
  <c r="X50" i="46"/>
  <c r="W50" i="46"/>
  <c r="V50" i="46"/>
  <c r="U50" i="46"/>
  <c r="T50" i="46"/>
  <c r="S50" i="46"/>
  <c r="R50" i="46"/>
  <c r="Q50" i="46"/>
  <c r="P50" i="46"/>
  <c r="O50" i="46"/>
  <c r="M50" i="46"/>
  <c r="L50" i="46"/>
  <c r="K50" i="46"/>
  <c r="J50" i="46"/>
  <c r="I50" i="46"/>
  <c r="H50" i="46"/>
  <c r="G50" i="46"/>
  <c r="F50" i="46"/>
  <c r="E50" i="46"/>
  <c r="D50" i="46"/>
  <c r="AL47" i="46"/>
  <c r="AK47" i="46"/>
  <c r="AJ47" i="46"/>
  <c r="AI47" i="46"/>
  <c r="AH47" i="46"/>
  <c r="AG47" i="46"/>
  <c r="AF47" i="46"/>
  <c r="AE47" i="46"/>
  <c r="AD47" i="46"/>
  <c r="AC47" i="46"/>
  <c r="AB47" i="46"/>
  <c r="AA47" i="46"/>
  <c r="Z47" i="46"/>
  <c r="Y47" i="46"/>
  <c r="AM46" i="46"/>
  <c r="AL44" i="46"/>
  <c r="AK44" i="46"/>
  <c r="AJ44" i="46"/>
  <c r="AI44" i="46"/>
  <c r="AH44" i="46"/>
  <c r="AG44" i="46"/>
  <c r="AF44" i="46"/>
  <c r="AE44" i="46"/>
  <c r="AD44" i="46"/>
  <c r="AC44" i="46"/>
  <c r="AB44" i="46"/>
  <c r="AA44" i="46"/>
  <c r="Z44" i="46"/>
  <c r="Y44" i="46"/>
  <c r="AM43" i="46"/>
  <c r="AL41" i="46"/>
  <c r="AK41" i="46"/>
  <c r="AJ41" i="46"/>
  <c r="AI41" i="46"/>
  <c r="AH41" i="46"/>
  <c r="AG41" i="46"/>
  <c r="AF41" i="46"/>
  <c r="AE41" i="46"/>
  <c r="AD41" i="46"/>
  <c r="AC41" i="46"/>
  <c r="AB41" i="46"/>
  <c r="AA41" i="46"/>
  <c r="Z41" i="46"/>
  <c r="Y41" i="46"/>
  <c r="AM40" i="46"/>
  <c r="AL38" i="46"/>
  <c r="AK38" i="46"/>
  <c r="AJ38" i="46"/>
  <c r="AI38" i="46"/>
  <c r="AH38" i="46"/>
  <c r="AG38" i="46"/>
  <c r="AF38" i="46"/>
  <c r="AE38" i="46"/>
  <c r="AD38" i="46"/>
  <c r="AC38" i="46"/>
  <c r="AB38" i="46"/>
  <c r="AA38" i="46"/>
  <c r="Z38" i="46"/>
  <c r="Y38" i="46"/>
  <c r="AM37" i="46"/>
  <c r="AL35" i="46"/>
  <c r="AK35" i="46"/>
  <c r="AJ35" i="46"/>
  <c r="AI35" i="46"/>
  <c r="AH35" i="46"/>
  <c r="AG35" i="46"/>
  <c r="AF35" i="46"/>
  <c r="AE35" i="46"/>
  <c r="AD35" i="46"/>
  <c r="AC35" i="46"/>
  <c r="AB35" i="46"/>
  <c r="AA35" i="46"/>
  <c r="Z35" i="46"/>
  <c r="Y35" i="46"/>
  <c r="X35" i="46"/>
  <c r="W35" i="46"/>
  <c r="V35" i="46"/>
  <c r="U35" i="46"/>
  <c r="T35" i="46"/>
  <c r="S35" i="46"/>
  <c r="R35" i="46"/>
  <c r="Q35" i="46"/>
  <c r="P35" i="46"/>
  <c r="O35" i="46"/>
  <c r="M35" i="46"/>
  <c r="L35" i="46"/>
  <c r="K35" i="46"/>
  <c r="J35" i="46"/>
  <c r="I35" i="46"/>
  <c r="H35" i="46"/>
  <c r="G35" i="46"/>
  <c r="F35" i="46"/>
  <c r="E35" i="46"/>
  <c r="D35" i="46"/>
  <c r="AM34" i="46"/>
  <c r="X34" i="46"/>
  <c r="W34" i="46"/>
  <c r="V34" i="46"/>
  <c r="U34" i="46"/>
  <c r="T34" i="46"/>
  <c r="S34" i="46"/>
  <c r="R34" i="46"/>
  <c r="Q34" i="46"/>
  <c r="P34" i="46"/>
  <c r="O34" i="46"/>
  <c r="M34" i="46"/>
  <c r="L34" i="46"/>
  <c r="K34" i="46"/>
  <c r="J34" i="46"/>
  <c r="I34" i="46"/>
  <c r="H34" i="46"/>
  <c r="G34" i="46"/>
  <c r="F34" i="46"/>
  <c r="E34" i="46"/>
  <c r="D34" i="46"/>
  <c r="AL32" i="46"/>
  <c r="AK32" i="46"/>
  <c r="AJ32" i="46"/>
  <c r="AI32" i="46"/>
  <c r="AH32" i="46"/>
  <c r="AG32" i="46"/>
  <c r="AF32" i="46"/>
  <c r="AE32" i="46"/>
  <c r="AD32" i="46"/>
  <c r="AC32" i="46"/>
  <c r="AB32" i="46"/>
  <c r="AA32" i="46"/>
  <c r="Z32" i="46"/>
  <c r="Y32" i="46"/>
  <c r="X32" i="46"/>
  <c r="W32" i="46"/>
  <c r="V32" i="46"/>
  <c r="U32" i="46"/>
  <c r="T32" i="46"/>
  <c r="S32" i="46"/>
  <c r="R32" i="46"/>
  <c r="Q32" i="46"/>
  <c r="P32" i="46"/>
  <c r="O32" i="46"/>
  <c r="M32" i="46"/>
  <c r="L32" i="46"/>
  <c r="K32" i="46"/>
  <c r="J32" i="46"/>
  <c r="I32" i="46"/>
  <c r="H32" i="46"/>
  <c r="G32" i="46"/>
  <c r="F32" i="46"/>
  <c r="E32" i="46"/>
  <c r="D32" i="46"/>
  <c r="AM31" i="46"/>
  <c r="X31" i="46"/>
  <c r="W31" i="46"/>
  <c r="V31" i="46"/>
  <c r="U31" i="46"/>
  <c r="T31" i="46"/>
  <c r="S31" i="46"/>
  <c r="R31" i="46"/>
  <c r="Q31" i="46"/>
  <c r="P31" i="46"/>
  <c r="O31" i="46"/>
  <c r="M31" i="46"/>
  <c r="L31" i="46"/>
  <c r="K31" i="46"/>
  <c r="J31" i="46"/>
  <c r="I31" i="46"/>
  <c r="H31" i="46"/>
  <c r="G31" i="46"/>
  <c r="F31" i="46"/>
  <c r="E31" i="46"/>
  <c r="D31" i="46"/>
  <c r="AL29" i="46"/>
  <c r="AK29" i="46"/>
  <c r="AJ29" i="46"/>
  <c r="AI29" i="46"/>
  <c r="AH29" i="46"/>
  <c r="AG29" i="46"/>
  <c r="AF29" i="46"/>
  <c r="AE29" i="46"/>
  <c r="AD29" i="46"/>
  <c r="AC29" i="46"/>
  <c r="AB29" i="46"/>
  <c r="AA29" i="46"/>
  <c r="Z29" i="46"/>
  <c r="Y29" i="46"/>
  <c r="X29" i="46"/>
  <c r="W29" i="46"/>
  <c r="V29" i="46"/>
  <c r="U29" i="46"/>
  <c r="T29" i="46"/>
  <c r="S29" i="46"/>
  <c r="R29" i="46"/>
  <c r="Q29" i="46"/>
  <c r="P29" i="46"/>
  <c r="O29" i="46"/>
  <c r="M29" i="46"/>
  <c r="L29" i="46"/>
  <c r="K29" i="46"/>
  <c r="J29" i="46"/>
  <c r="I29" i="46"/>
  <c r="H29" i="46"/>
  <c r="G29" i="46"/>
  <c r="F29" i="46"/>
  <c r="E29" i="46"/>
  <c r="D29" i="46"/>
  <c r="AM28" i="46"/>
  <c r="X28" i="46"/>
  <c r="W28" i="46"/>
  <c r="V28" i="46"/>
  <c r="U28" i="46"/>
  <c r="T28" i="46"/>
  <c r="S28" i="46"/>
  <c r="R28" i="46"/>
  <c r="Q28" i="46"/>
  <c r="P28" i="46"/>
  <c r="O28" i="46"/>
  <c r="M28" i="46"/>
  <c r="L28" i="46"/>
  <c r="K28" i="46"/>
  <c r="J28" i="46"/>
  <c r="I28" i="46"/>
  <c r="H28" i="46"/>
  <c r="G28" i="46"/>
  <c r="F28" i="46"/>
  <c r="E28" i="46"/>
  <c r="D28" i="46"/>
  <c r="AL26" i="46"/>
  <c r="AK26" i="46"/>
  <c r="AJ26" i="46"/>
  <c r="AI26" i="46"/>
  <c r="AH26" i="46"/>
  <c r="AG26" i="46"/>
  <c r="AF26" i="46"/>
  <c r="AE26" i="46"/>
  <c r="AD26" i="46"/>
  <c r="AC26" i="46"/>
  <c r="AB26" i="46"/>
  <c r="AA26" i="46"/>
  <c r="Z26" i="46"/>
  <c r="Y26" i="46"/>
  <c r="AM25" i="46"/>
  <c r="X25" i="46"/>
  <c r="W25" i="46"/>
  <c r="V25" i="46"/>
  <c r="U25" i="46"/>
  <c r="T25" i="46"/>
  <c r="S25" i="46"/>
  <c r="R25" i="46"/>
  <c r="Q25" i="46"/>
  <c r="P25" i="46"/>
  <c r="O25" i="46"/>
  <c r="M25" i="46"/>
  <c r="L25" i="46"/>
  <c r="K25" i="46"/>
  <c r="J25" i="46"/>
  <c r="I25" i="46"/>
  <c r="H25" i="46"/>
  <c r="G25" i="46"/>
  <c r="F25" i="46"/>
  <c r="E25" i="46"/>
  <c r="D25" i="46"/>
  <c r="AL23" i="46"/>
  <c r="AK23" i="46"/>
  <c r="AJ23" i="46"/>
  <c r="AI23" i="46"/>
  <c r="AH23" i="46"/>
  <c r="AG23" i="46"/>
  <c r="AF23" i="46"/>
  <c r="AE23" i="46"/>
  <c r="AD23" i="46"/>
  <c r="AC23" i="46"/>
  <c r="AB23" i="46"/>
  <c r="AA23" i="46"/>
  <c r="Z23" i="46"/>
  <c r="Y23" i="46"/>
  <c r="AM22" i="46"/>
  <c r="X22" i="46"/>
  <c r="W22" i="46"/>
  <c r="V22" i="46"/>
  <c r="U22" i="46"/>
  <c r="T22" i="46"/>
  <c r="S22" i="46"/>
  <c r="R22" i="46"/>
  <c r="Q22" i="46"/>
  <c r="P22" i="46"/>
  <c r="O22" i="46"/>
  <c r="M22" i="46"/>
  <c r="L22" i="46"/>
  <c r="K22" i="46"/>
  <c r="J22" i="46"/>
  <c r="I22" i="46"/>
  <c r="H22" i="46"/>
  <c r="G22" i="46"/>
  <c r="F22" i="46"/>
  <c r="E22" i="46"/>
  <c r="D22" i="46"/>
  <c r="AL21" i="46"/>
  <c r="AK21" i="46"/>
  <c r="AJ21" i="46"/>
  <c r="AI21" i="46"/>
  <c r="AH21" i="46"/>
  <c r="AG21" i="46"/>
  <c r="AF21" i="46"/>
  <c r="AE21" i="46"/>
  <c r="AD21" i="46"/>
  <c r="AC21" i="46"/>
  <c r="AB21" i="46"/>
  <c r="AA21" i="46"/>
  <c r="Z21" i="46"/>
  <c r="Y21" i="46"/>
  <c r="AM20" i="46"/>
  <c r="AL20" i="46"/>
  <c r="AK20" i="46"/>
  <c r="AJ20" i="46"/>
  <c r="AI20" i="46"/>
  <c r="AH20" i="46"/>
  <c r="AG20" i="46"/>
  <c r="AF20" i="46"/>
  <c r="AE20" i="46"/>
  <c r="AD20" i="46"/>
  <c r="AC20" i="46"/>
  <c r="AB20" i="46"/>
  <c r="AA20" i="46"/>
  <c r="Z20" i="46"/>
  <c r="Y20" i="46"/>
  <c r="I38" i="86"/>
  <c r="H38" i="86"/>
  <c r="G38" i="86"/>
  <c r="F38" i="86"/>
  <c r="C38" i="86"/>
  <c r="I37" i="86"/>
  <c r="H37" i="86"/>
  <c r="G37" i="86"/>
  <c r="F37" i="86"/>
  <c r="C37" i="86"/>
  <c r="I36" i="86"/>
  <c r="H36" i="86"/>
  <c r="G36" i="86"/>
  <c r="F36" i="86"/>
  <c r="C36" i="86"/>
  <c r="I35" i="86"/>
  <c r="H35" i="86"/>
  <c r="G35" i="86"/>
  <c r="F35" i="86"/>
  <c r="C35" i="86"/>
  <c r="I34" i="86"/>
  <c r="H34" i="86"/>
  <c r="G34" i="86"/>
  <c r="F34" i="86"/>
  <c r="C34" i="86"/>
  <c r="I33" i="86"/>
  <c r="H33" i="86"/>
  <c r="G33" i="86"/>
  <c r="F33" i="86"/>
  <c r="C33" i="86"/>
  <c r="I32" i="86"/>
  <c r="H32" i="86"/>
  <c r="G32" i="86"/>
  <c r="F32" i="86"/>
  <c r="C32" i="86"/>
  <c r="I31" i="86"/>
  <c r="H31" i="86"/>
  <c r="G31" i="86"/>
  <c r="F31" i="86"/>
  <c r="C31" i="86"/>
  <c r="P133" i="45"/>
  <c r="O133" i="45"/>
  <c r="N133" i="45"/>
  <c r="M133" i="45"/>
  <c r="L133" i="45"/>
  <c r="K133" i="45"/>
  <c r="J133" i="45"/>
  <c r="I133" i="45"/>
  <c r="H133" i="45"/>
  <c r="G133" i="45"/>
  <c r="F133" i="45"/>
  <c r="E133" i="45"/>
  <c r="D133" i="45"/>
  <c r="C133" i="45"/>
  <c r="P132" i="45"/>
  <c r="O132" i="45"/>
  <c r="N132" i="45"/>
  <c r="M132" i="45"/>
  <c r="L132" i="45"/>
  <c r="K132" i="45"/>
  <c r="J132" i="45"/>
  <c r="I132" i="45"/>
  <c r="H132" i="45"/>
  <c r="G132" i="45"/>
  <c r="F132" i="45"/>
  <c r="E132" i="45"/>
  <c r="D132" i="45"/>
  <c r="C132" i="45"/>
  <c r="P131" i="45"/>
  <c r="O131" i="45"/>
  <c r="N131" i="45"/>
  <c r="M131" i="45"/>
  <c r="L131" i="45"/>
  <c r="K131" i="45"/>
  <c r="J131" i="45"/>
  <c r="I131" i="45"/>
  <c r="H131" i="45"/>
  <c r="G131" i="45"/>
  <c r="F131" i="45"/>
  <c r="E131" i="45"/>
  <c r="D131" i="45"/>
  <c r="C131" i="45"/>
  <c r="P130" i="45"/>
  <c r="O130" i="45"/>
  <c r="N130" i="45"/>
  <c r="M130" i="45"/>
  <c r="L130" i="45"/>
  <c r="K130" i="45"/>
  <c r="J130" i="45"/>
  <c r="I130" i="45"/>
  <c r="H130" i="45"/>
  <c r="G130" i="45"/>
  <c r="F130" i="45"/>
  <c r="E130" i="45"/>
  <c r="D130" i="45"/>
  <c r="C130" i="45"/>
  <c r="P129" i="45"/>
  <c r="O129" i="45"/>
  <c r="N129" i="45"/>
  <c r="M129" i="45"/>
  <c r="L129" i="45"/>
  <c r="K129" i="45"/>
  <c r="J129" i="45"/>
  <c r="I129" i="45"/>
  <c r="H129" i="45"/>
  <c r="G129" i="45"/>
  <c r="F129" i="45"/>
  <c r="E129" i="45"/>
  <c r="D129" i="45"/>
  <c r="C129" i="45"/>
  <c r="P128" i="45"/>
  <c r="O128" i="45"/>
  <c r="N128" i="45"/>
  <c r="M128" i="45"/>
  <c r="L128" i="45"/>
  <c r="K128" i="45"/>
  <c r="J128" i="45"/>
  <c r="I128" i="45"/>
  <c r="H128" i="45"/>
  <c r="G128" i="45"/>
  <c r="F128" i="45"/>
  <c r="E128" i="45"/>
  <c r="D128" i="45"/>
  <c r="C128" i="45"/>
  <c r="P127" i="45"/>
  <c r="O127" i="45"/>
  <c r="N127" i="45"/>
  <c r="M127" i="45"/>
  <c r="L127" i="45"/>
  <c r="K127" i="45"/>
  <c r="J127" i="45"/>
  <c r="I127" i="45"/>
  <c r="H127" i="45"/>
  <c r="G127" i="45"/>
  <c r="F127" i="45"/>
  <c r="E127" i="45"/>
  <c r="D127" i="45"/>
  <c r="C127" i="45"/>
  <c r="P126" i="45"/>
  <c r="O126" i="45"/>
  <c r="N126" i="45"/>
  <c r="M126" i="45"/>
  <c r="L126" i="45"/>
  <c r="K126" i="45"/>
  <c r="J126" i="45"/>
  <c r="I126" i="45"/>
  <c r="H126" i="45"/>
  <c r="G126" i="45"/>
  <c r="F126" i="45"/>
  <c r="E126" i="45"/>
  <c r="D126" i="45"/>
  <c r="C126" i="45"/>
  <c r="P125" i="45"/>
  <c r="O125" i="45"/>
  <c r="N125" i="45"/>
  <c r="M125" i="45"/>
  <c r="L125" i="45"/>
  <c r="K125" i="45"/>
  <c r="J125" i="45"/>
  <c r="I125" i="45"/>
  <c r="H125" i="45"/>
  <c r="G125" i="45"/>
  <c r="F125" i="45"/>
  <c r="E125" i="45"/>
  <c r="D125" i="45"/>
  <c r="C125" i="45"/>
  <c r="P124" i="45"/>
  <c r="O124" i="45"/>
  <c r="N124" i="45"/>
  <c r="M124" i="45"/>
  <c r="L124" i="45"/>
  <c r="K124" i="45"/>
  <c r="J124" i="45"/>
  <c r="I124" i="45"/>
  <c r="H124" i="45"/>
  <c r="G124" i="45"/>
  <c r="F124" i="45"/>
  <c r="E124" i="45"/>
  <c r="D124" i="45"/>
  <c r="C124" i="45"/>
  <c r="P123" i="45"/>
  <c r="O123" i="45"/>
  <c r="N123" i="45"/>
  <c r="M123" i="45"/>
  <c r="L123" i="45"/>
  <c r="K123" i="45"/>
  <c r="J123" i="45"/>
  <c r="I123" i="45"/>
  <c r="H123" i="45"/>
  <c r="G123" i="45"/>
  <c r="F123" i="45"/>
  <c r="E123" i="45"/>
  <c r="D123" i="45"/>
  <c r="C123" i="45"/>
  <c r="P122" i="45"/>
  <c r="O122" i="45"/>
  <c r="N122" i="45"/>
  <c r="M122" i="45"/>
  <c r="L122" i="45"/>
  <c r="K122" i="45"/>
  <c r="J122" i="45"/>
  <c r="I122" i="45"/>
  <c r="H122" i="45"/>
  <c r="G122" i="45"/>
  <c r="F122" i="45"/>
  <c r="E122" i="45"/>
  <c r="D122" i="45"/>
  <c r="C122" i="45"/>
  <c r="N114" i="45"/>
  <c r="M114" i="45"/>
  <c r="L114" i="45"/>
  <c r="K114" i="45"/>
  <c r="J114" i="45"/>
  <c r="I114" i="45"/>
  <c r="H114" i="45"/>
  <c r="G114" i="45"/>
  <c r="F114" i="45"/>
  <c r="E114" i="45"/>
  <c r="N113" i="45"/>
  <c r="M113" i="45"/>
  <c r="L113" i="45"/>
  <c r="K113" i="45"/>
  <c r="J113" i="45"/>
  <c r="I113" i="45"/>
  <c r="H113" i="45"/>
  <c r="G113" i="45"/>
  <c r="F113" i="45"/>
  <c r="E113" i="45"/>
  <c r="D113" i="45"/>
  <c r="C109" i="45"/>
  <c r="B109" i="45"/>
  <c r="N107" i="45"/>
  <c r="M107" i="45"/>
  <c r="L107" i="45"/>
  <c r="K107" i="45"/>
  <c r="J107" i="45"/>
  <c r="I107" i="45"/>
  <c r="H107" i="45"/>
  <c r="G107" i="45"/>
  <c r="F107" i="45"/>
  <c r="E107" i="45"/>
  <c r="N106" i="45"/>
  <c r="M106" i="45"/>
  <c r="L106" i="45"/>
  <c r="K106" i="45"/>
  <c r="J106" i="45"/>
  <c r="I106" i="45"/>
  <c r="H106" i="45"/>
  <c r="G106" i="45"/>
  <c r="F106" i="45"/>
  <c r="E106" i="45"/>
  <c r="D106" i="45"/>
  <c r="C102" i="45"/>
  <c r="B102" i="45"/>
  <c r="N100" i="45"/>
  <c r="M100" i="45"/>
  <c r="L100" i="45"/>
  <c r="K100" i="45"/>
  <c r="J100" i="45"/>
  <c r="I100" i="45"/>
  <c r="H100" i="45"/>
  <c r="G100" i="45"/>
  <c r="F100" i="45"/>
  <c r="E100" i="45"/>
  <c r="N99" i="45"/>
  <c r="M99" i="45"/>
  <c r="L99" i="45"/>
  <c r="K99" i="45"/>
  <c r="J99" i="45"/>
  <c r="I99" i="45"/>
  <c r="H99" i="45"/>
  <c r="G99" i="45"/>
  <c r="F99" i="45"/>
  <c r="E99" i="45"/>
  <c r="D99" i="45"/>
  <c r="C95" i="45"/>
  <c r="B95" i="45"/>
  <c r="N93" i="45"/>
  <c r="M93" i="45"/>
  <c r="L93" i="45"/>
  <c r="K93" i="45"/>
  <c r="J93" i="45"/>
  <c r="I93" i="45"/>
  <c r="H93" i="45"/>
  <c r="G93" i="45"/>
  <c r="F93" i="45"/>
  <c r="E93" i="45"/>
  <c r="N92" i="45"/>
  <c r="M92" i="45"/>
  <c r="L92" i="45"/>
  <c r="K92" i="45"/>
  <c r="J92" i="45"/>
  <c r="I92" i="45"/>
  <c r="H92" i="45"/>
  <c r="G92" i="45"/>
  <c r="F92" i="45"/>
  <c r="E92" i="45"/>
  <c r="D92" i="45"/>
  <c r="C88" i="45"/>
  <c r="B88" i="45"/>
  <c r="N86" i="45"/>
  <c r="M86" i="45"/>
  <c r="L86" i="45"/>
  <c r="K86" i="45"/>
  <c r="J86" i="45"/>
  <c r="I86" i="45"/>
  <c r="H86" i="45"/>
  <c r="G86" i="45"/>
  <c r="F86" i="45"/>
  <c r="E86" i="45"/>
  <c r="N85" i="45"/>
  <c r="M85" i="45"/>
  <c r="L85" i="45"/>
  <c r="K85" i="45"/>
  <c r="J85" i="45"/>
  <c r="I85" i="45"/>
  <c r="H85" i="45"/>
  <c r="G85" i="45"/>
  <c r="F85" i="45"/>
  <c r="E85" i="45"/>
  <c r="D85" i="45"/>
  <c r="C81" i="45"/>
  <c r="B81" i="45"/>
  <c r="N79" i="45"/>
  <c r="M79" i="45"/>
  <c r="L79" i="45"/>
  <c r="K79" i="45"/>
  <c r="J79" i="45"/>
  <c r="I79" i="45"/>
  <c r="H79" i="45"/>
  <c r="G79" i="45"/>
  <c r="F79" i="45"/>
  <c r="E79" i="45"/>
  <c r="N78" i="45"/>
  <c r="M78" i="45"/>
  <c r="L78" i="45"/>
  <c r="K78" i="45"/>
  <c r="J78" i="45"/>
  <c r="I78" i="45"/>
  <c r="H78" i="45"/>
  <c r="G78" i="45"/>
  <c r="F78" i="45"/>
  <c r="E78" i="45"/>
  <c r="D78" i="45"/>
  <c r="C74" i="45"/>
  <c r="B74" i="45"/>
  <c r="N72" i="45"/>
  <c r="M72" i="45"/>
  <c r="L72" i="45"/>
  <c r="K72" i="45"/>
  <c r="J72" i="45"/>
  <c r="I72" i="45"/>
  <c r="H72" i="45"/>
  <c r="G72" i="45"/>
  <c r="F72" i="45"/>
  <c r="E72" i="45"/>
  <c r="N71" i="45"/>
  <c r="M71" i="45"/>
  <c r="L71" i="45"/>
  <c r="K71" i="45"/>
  <c r="J71" i="45"/>
  <c r="I71" i="45"/>
  <c r="H71" i="45"/>
  <c r="G71" i="45"/>
  <c r="F71" i="45"/>
  <c r="E71" i="45"/>
  <c r="D71" i="45"/>
  <c r="C67" i="45"/>
  <c r="B67" i="45"/>
  <c r="N65" i="45"/>
  <c r="M65" i="45"/>
  <c r="L65" i="45"/>
  <c r="K65" i="45"/>
  <c r="J65" i="45"/>
  <c r="I65" i="45"/>
  <c r="H65" i="45"/>
  <c r="G65" i="45"/>
  <c r="F65" i="45"/>
  <c r="E65" i="45"/>
  <c r="N64" i="45"/>
  <c r="M64" i="45"/>
  <c r="L64" i="45"/>
  <c r="K64" i="45"/>
  <c r="J64" i="45"/>
  <c r="I64" i="45"/>
  <c r="H64" i="45"/>
  <c r="G64" i="45"/>
  <c r="F64" i="45"/>
  <c r="E64" i="45"/>
  <c r="D64" i="45"/>
  <c r="C60" i="45"/>
  <c r="B60" i="45"/>
  <c r="N58" i="45"/>
  <c r="M58" i="45"/>
  <c r="L58" i="45"/>
  <c r="K58" i="45"/>
  <c r="J58" i="45"/>
  <c r="I58" i="45"/>
  <c r="H58" i="45"/>
  <c r="G58" i="45"/>
  <c r="F58" i="45"/>
  <c r="E58" i="45"/>
  <c r="N57" i="45"/>
  <c r="M57" i="45"/>
  <c r="L57" i="45"/>
  <c r="K57" i="45"/>
  <c r="J57" i="45"/>
  <c r="I57" i="45"/>
  <c r="H57" i="45"/>
  <c r="G57" i="45"/>
  <c r="F57" i="45"/>
  <c r="E57" i="45"/>
  <c r="D57" i="45"/>
  <c r="C53" i="45"/>
  <c r="B53" i="45"/>
  <c r="N51" i="45"/>
  <c r="M51" i="45"/>
  <c r="L51" i="45"/>
  <c r="K51" i="45"/>
  <c r="J51" i="45"/>
  <c r="I51" i="45"/>
  <c r="H51" i="45"/>
  <c r="G51" i="45"/>
  <c r="F51" i="45"/>
  <c r="E51" i="45"/>
  <c r="N50" i="45"/>
  <c r="M50" i="45"/>
  <c r="L50" i="45"/>
  <c r="K50" i="45"/>
  <c r="J50" i="45"/>
  <c r="I50" i="45"/>
  <c r="H50" i="45"/>
  <c r="G50" i="45"/>
  <c r="F50" i="45"/>
  <c r="E50" i="45"/>
  <c r="D50" i="45"/>
  <c r="C46" i="45"/>
  <c r="B46" i="45"/>
  <c r="N44" i="45"/>
  <c r="M44" i="45"/>
  <c r="L44" i="45"/>
  <c r="K44" i="45"/>
  <c r="J44" i="45"/>
  <c r="I44" i="45"/>
  <c r="H44" i="45"/>
  <c r="G44" i="45"/>
  <c r="F44" i="45"/>
  <c r="E44" i="45"/>
  <c r="N43" i="45"/>
  <c r="M43" i="45"/>
  <c r="L43" i="45"/>
  <c r="K43" i="45"/>
  <c r="J43" i="45"/>
  <c r="I43" i="45"/>
  <c r="H43" i="45"/>
  <c r="G43" i="45"/>
  <c r="F43" i="45"/>
  <c r="E43" i="45"/>
  <c r="D43" i="45"/>
  <c r="C39" i="45"/>
  <c r="B39" i="45"/>
  <c r="N37" i="45"/>
  <c r="M37" i="45"/>
  <c r="L37" i="45"/>
  <c r="K37" i="45"/>
  <c r="J37" i="45"/>
  <c r="I37" i="45"/>
  <c r="H37" i="45"/>
  <c r="G37" i="45"/>
  <c r="F37" i="45"/>
  <c r="E37" i="45"/>
  <c r="N36" i="45"/>
  <c r="M36" i="45"/>
  <c r="L36" i="45"/>
  <c r="K36" i="45"/>
  <c r="J36" i="45"/>
  <c r="I36" i="45"/>
  <c r="H36" i="45"/>
  <c r="G36" i="45"/>
  <c r="F36" i="45"/>
  <c r="E36" i="45"/>
  <c r="D36" i="45"/>
  <c r="C32" i="45"/>
  <c r="B32" i="45"/>
  <c r="N30" i="45"/>
  <c r="M30" i="45"/>
  <c r="L30" i="45"/>
  <c r="K30" i="45"/>
  <c r="J30" i="45"/>
  <c r="I30" i="45"/>
  <c r="H30" i="45"/>
  <c r="G30" i="45"/>
  <c r="F30" i="45"/>
  <c r="E30" i="45"/>
  <c r="N29" i="45"/>
  <c r="M29" i="45"/>
  <c r="L29" i="45"/>
  <c r="K29" i="45"/>
  <c r="J29" i="45"/>
  <c r="I29" i="45"/>
  <c r="H29" i="45"/>
  <c r="G29" i="45"/>
  <c r="F29" i="45"/>
  <c r="E29" i="45"/>
  <c r="D29" i="45"/>
  <c r="C25" i="45"/>
  <c r="B25" i="45"/>
  <c r="N23" i="45"/>
  <c r="M23" i="45"/>
  <c r="L23" i="45"/>
  <c r="K23" i="45"/>
  <c r="J23" i="45"/>
  <c r="I23" i="45"/>
  <c r="H23" i="45"/>
  <c r="G23" i="45"/>
  <c r="F23" i="45"/>
  <c r="E23" i="45"/>
  <c r="N22" i="45"/>
  <c r="M22" i="45"/>
  <c r="L22" i="45"/>
  <c r="K22" i="45"/>
  <c r="J22" i="45"/>
  <c r="I22" i="45"/>
  <c r="H22" i="45"/>
  <c r="G22" i="45"/>
  <c r="F22" i="45"/>
  <c r="E22" i="45"/>
  <c r="D22" i="45"/>
  <c r="C18" i="45"/>
  <c r="B18" i="45"/>
  <c r="O17" i="45"/>
  <c r="N17" i="45"/>
  <c r="M17" i="45"/>
  <c r="L17" i="45"/>
  <c r="K17" i="45"/>
  <c r="J17" i="45"/>
  <c r="I17" i="45"/>
  <c r="H17" i="45"/>
  <c r="G17" i="45"/>
  <c r="F17" i="45"/>
  <c r="E17" i="45"/>
  <c r="D17" i="45"/>
  <c r="Q53" i="44"/>
  <c r="P53" i="44"/>
  <c r="O53" i="44"/>
  <c r="N53" i="44"/>
  <c r="M53" i="44"/>
  <c r="L53" i="44"/>
  <c r="K53" i="44"/>
  <c r="J53" i="44"/>
  <c r="I53" i="44"/>
  <c r="H53" i="44"/>
  <c r="G53" i="44"/>
  <c r="F53" i="44"/>
  <c r="E53" i="44"/>
  <c r="D53" i="44"/>
  <c r="Q52" i="44"/>
  <c r="P52" i="44"/>
  <c r="O52" i="44"/>
  <c r="N52" i="44"/>
  <c r="M52" i="44"/>
  <c r="L52" i="44"/>
  <c r="K52" i="44"/>
  <c r="J52" i="44"/>
  <c r="I52" i="44"/>
  <c r="H52" i="44"/>
  <c r="G52" i="44"/>
  <c r="F52" i="44"/>
  <c r="E52" i="44"/>
  <c r="D52" i="44"/>
  <c r="Q51" i="44"/>
  <c r="P51" i="44"/>
  <c r="O51" i="44"/>
  <c r="N51" i="44"/>
  <c r="M51" i="44"/>
  <c r="L51" i="44"/>
  <c r="K51" i="44"/>
  <c r="J51" i="44"/>
  <c r="I51" i="44"/>
  <c r="H51" i="44"/>
  <c r="G51" i="44"/>
  <c r="F51" i="44"/>
  <c r="E51" i="44"/>
  <c r="D51" i="44"/>
  <c r="Q50" i="44"/>
  <c r="P50" i="44"/>
  <c r="O50" i="44"/>
  <c r="N50" i="44"/>
  <c r="M50" i="44"/>
  <c r="L50" i="44"/>
  <c r="K50" i="44"/>
  <c r="J50" i="44"/>
  <c r="I50" i="44"/>
  <c r="H50" i="44"/>
  <c r="G50" i="44"/>
  <c r="F50" i="44"/>
  <c r="E50" i="44"/>
  <c r="D50" i="44"/>
  <c r="Q49" i="44"/>
  <c r="P49" i="44"/>
  <c r="O49" i="44"/>
  <c r="N49" i="44"/>
  <c r="M49" i="44"/>
  <c r="L49" i="44"/>
  <c r="K49" i="44"/>
  <c r="J49" i="44"/>
  <c r="I49" i="44"/>
  <c r="H49" i="44"/>
  <c r="G49" i="44"/>
  <c r="F49" i="44"/>
  <c r="E49" i="44"/>
  <c r="D49" i="44"/>
  <c r="Q48" i="44"/>
  <c r="P48" i="44"/>
  <c r="O48" i="44"/>
  <c r="N48" i="44"/>
  <c r="M48" i="44"/>
  <c r="L48" i="44"/>
  <c r="K48" i="44"/>
  <c r="J48" i="44"/>
  <c r="I48" i="44"/>
  <c r="H48" i="44"/>
  <c r="G48" i="44"/>
  <c r="F48" i="44"/>
  <c r="E48" i="44"/>
  <c r="D48" i="44"/>
  <c r="Q47" i="44"/>
  <c r="P47" i="44"/>
  <c r="O47" i="44"/>
  <c r="N47" i="44"/>
  <c r="M47" i="44"/>
  <c r="L47" i="44"/>
  <c r="K47" i="44"/>
  <c r="J47" i="44"/>
  <c r="I47" i="44"/>
  <c r="H47" i="44"/>
  <c r="G47" i="44"/>
  <c r="F47" i="44"/>
  <c r="E47" i="44"/>
  <c r="D47" i="44"/>
  <c r="Q46" i="44"/>
  <c r="P46" i="44"/>
  <c r="O46" i="44"/>
  <c r="N46" i="44"/>
  <c r="M46" i="44"/>
  <c r="L46" i="44"/>
  <c r="K46" i="44"/>
  <c r="J46" i="44"/>
  <c r="I46" i="44"/>
  <c r="H46" i="44"/>
  <c r="G46" i="44"/>
  <c r="F46" i="44"/>
  <c r="E46" i="44"/>
  <c r="D46" i="44"/>
  <c r="Q45" i="44"/>
  <c r="P45" i="44"/>
  <c r="O45" i="44"/>
  <c r="N45" i="44"/>
  <c r="M45" i="44"/>
  <c r="L45" i="44"/>
  <c r="K45" i="44"/>
  <c r="J45" i="44"/>
  <c r="I45" i="44"/>
  <c r="H45" i="44"/>
  <c r="G45" i="44"/>
  <c r="F45" i="44"/>
  <c r="E45" i="44"/>
  <c r="D45" i="44"/>
  <c r="Q44" i="44"/>
  <c r="P44" i="44"/>
  <c r="O44" i="44"/>
  <c r="N44" i="44"/>
  <c r="M44" i="44"/>
  <c r="L44" i="44"/>
  <c r="K44" i="44"/>
  <c r="J44" i="44"/>
  <c r="I44" i="44"/>
  <c r="H44" i="44"/>
  <c r="G44" i="44"/>
  <c r="F44" i="44"/>
  <c r="E44" i="44"/>
  <c r="D44" i="44"/>
  <c r="Q43" i="44"/>
  <c r="P43" i="44"/>
  <c r="O43" i="44"/>
  <c r="N43" i="44"/>
  <c r="M43" i="44"/>
  <c r="L43" i="44"/>
  <c r="K43" i="44"/>
  <c r="J43" i="44"/>
  <c r="I43" i="44"/>
  <c r="H43" i="44"/>
  <c r="G43" i="44"/>
  <c r="F43" i="44"/>
  <c r="E43" i="44"/>
  <c r="D43" i="44"/>
  <c r="Q42" i="44"/>
  <c r="P42" i="44"/>
  <c r="O42" i="44"/>
  <c r="N42" i="44"/>
  <c r="M42" i="44"/>
  <c r="L42" i="44"/>
  <c r="K42" i="44"/>
  <c r="J42" i="44"/>
  <c r="I42" i="44"/>
  <c r="H42" i="44"/>
  <c r="G42" i="44"/>
  <c r="F42" i="44"/>
  <c r="E42" i="44"/>
  <c r="D42" i="44"/>
  <c r="Q33" i="44"/>
  <c r="P33" i="44"/>
  <c r="O33" i="44"/>
  <c r="N33" i="44"/>
  <c r="M33" i="44"/>
  <c r="L33" i="44"/>
  <c r="K33" i="44"/>
  <c r="J33" i="44"/>
  <c r="I33" i="44"/>
  <c r="H33" i="44"/>
  <c r="G33" i="44"/>
  <c r="F33" i="44"/>
  <c r="E33" i="44"/>
  <c r="D33" i="44"/>
  <c r="C31" i="44"/>
  <c r="C30" i="44"/>
  <c r="Q29" i="44"/>
  <c r="P29" i="44"/>
  <c r="O29" i="44"/>
  <c r="N29" i="44"/>
  <c r="M29" i="44"/>
  <c r="L29" i="44"/>
  <c r="K29" i="44"/>
  <c r="J29" i="44"/>
  <c r="I29" i="44"/>
  <c r="H29" i="44"/>
  <c r="G29" i="44"/>
  <c r="F29" i="44"/>
  <c r="E29" i="44"/>
  <c r="D29" i="44"/>
  <c r="Q28" i="44"/>
  <c r="P28" i="44"/>
  <c r="O28" i="44"/>
  <c r="N28" i="44"/>
  <c r="M28" i="44"/>
  <c r="L28" i="44"/>
  <c r="K28" i="44"/>
  <c r="J28" i="44"/>
  <c r="I28" i="44"/>
  <c r="H28" i="44"/>
  <c r="G28" i="44"/>
  <c r="F28" i="44"/>
  <c r="E28" i="44"/>
  <c r="D28" i="44"/>
  <c r="C28" i="44"/>
  <c r="Q18" i="44"/>
  <c r="P18" i="44"/>
  <c r="O18" i="44"/>
  <c r="N18" i="44"/>
  <c r="M18" i="44"/>
  <c r="L18" i="44"/>
  <c r="K18" i="44"/>
  <c r="J18" i="44"/>
  <c r="I18" i="44"/>
  <c r="H18" i="44"/>
  <c r="G18" i="44"/>
  <c r="F18" i="44"/>
  <c r="E18" i="44"/>
  <c r="D18" i="44"/>
  <c r="C16" i="44"/>
  <c r="C15" i="44"/>
  <c r="Q14" i="44"/>
  <c r="P14" i="44"/>
  <c r="O14" i="44"/>
  <c r="N14" i="44"/>
  <c r="M14" i="44"/>
  <c r="L14" i="44"/>
  <c r="K14" i="44"/>
  <c r="J14" i="44"/>
  <c r="I14" i="44"/>
  <c r="H14" i="44"/>
  <c r="G14" i="44"/>
  <c r="F14" i="44"/>
  <c r="E14" i="44"/>
  <c r="D14" i="44"/>
  <c r="Q13" i="44"/>
  <c r="P13" i="44"/>
  <c r="O13" i="44"/>
  <c r="N13" i="44"/>
  <c r="M13" i="44"/>
  <c r="L13" i="44"/>
  <c r="K13" i="44"/>
  <c r="J13" i="44"/>
  <c r="I13" i="44"/>
  <c r="H13" i="44"/>
  <c r="G13" i="44"/>
  <c r="F13" i="44"/>
  <c r="E13" i="44"/>
  <c r="D13" i="44"/>
  <c r="C13" i="44"/>
  <c r="G45" i="83"/>
  <c r="C45" i="83"/>
  <c r="G44" i="83"/>
  <c r="G134" i="43"/>
  <c r="F134" i="43"/>
  <c r="E134" i="43"/>
  <c r="I133" i="43"/>
  <c r="G133" i="43"/>
  <c r="F133" i="43"/>
  <c r="E133" i="43"/>
  <c r="I132" i="43"/>
  <c r="G132" i="43"/>
  <c r="F132" i="43"/>
  <c r="E132" i="43"/>
  <c r="I131" i="43"/>
  <c r="G131" i="43"/>
  <c r="F131" i="43"/>
  <c r="E131" i="43"/>
  <c r="I130" i="43"/>
  <c r="G130" i="43"/>
  <c r="F130" i="43"/>
  <c r="E130" i="43"/>
  <c r="I129" i="43"/>
  <c r="G129" i="43"/>
  <c r="F129" i="43"/>
  <c r="E129" i="43"/>
  <c r="I128" i="43"/>
  <c r="G128" i="43"/>
  <c r="F128" i="43"/>
  <c r="E128" i="43"/>
  <c r="I127" i="43"/>
  <c r="G127" i="43"/>
  <c r="F127" i="43"/>
  <c r="E127" i="43"/>
  <c r="H124" i="43"/>
  <c r="G124" i="43"/>
  <c r="F124" i="43"/>
  <c r="E124" i="43"/>
  <c r="D124" i="43"/>
  <c r="I123" i="43"/>
  <c r="H123" i="43"/>
  <c r="G123" i="43"/>
  <c r="F123" i="43"/>
  <c r="E123" i="43"/>
  <c r="D123" i="43"/>
  <c r="H122" i="43"/>
  <c r="G122" i="43"/>
  <c r="F122" i="43"/>
  <c r="E122" i="43"/>
  <c r="D122" i="43"/>
  <c r="I121" i="43"/>
  <c r="H121" i="43"/>
  <c r="G121" i="43"/>
  <c r="F121" i="43"/>
  <c r="E121" i="43"/>
  <c r="D121" i="43"/>
  <c r="H120" i="43"/>
  <c r="G120" i="43"/>
  <c r="F120" i="43"/>
  <c r="E120" i="43"/>
  <c r="D120" i="43"/>
  <c r="I119" i="43"/>
  <c r="H119" i="43"/>
  <c r="G119" i="43"/>
  <c r="F119" i="43"/>
  <c r="E119" i="43"/>
  <c r="D119" i="43"/>
  <c r="H118" i="43"/>
  <c r="G118" i="43"/>
  <c r="F118" i="43"/>
  <c r="E118" i="43"/>
  <c r="D118" i="43"/>
  <c r="I117" i="43"/>
  <c r="H117" i="43"/>
  <c r="G117" i="43"/>
  <c r="F117" i="43"/>
  <c r="E117" i="43"/>
  <c r="D117" i="43"/>
  <c r="H116" i="43"/>
  <c r="G116" i="43"/>
  <c r="F116" i="43"/>
  <c r="E116" i="43"/>
  <c r="D116" i="43"/>
  <c r="I115" i="43"/>
  <c r="H115" i="43"/>
  <c r="G115" i="43"/>
  <c r="F115" i="43"/>
  <c r="E115" i="43"/>
  <c r="D115" i="43"/>
  <c r="H114" i="43"/>
  <c r="G114" i="43"/>
  <c r="F114" i="43"/>
  <c r="E114" i="43"/>
  <c r="D114" i="43"/>
  <c r="I113" i="43"/>
  <c r="H113" i="43"/>
  <c r="G113" i="43"/>
  <c r="F113" i="43"/>
  <c r="E113" i="43"/>
  <c r="D113" i="43"/>
  <c r="H112" i="43"/>
  <c r="G112" i="43"/>
  <c r="F112" i="43"/>
  <c r="E112" i="43"/>
  <c r="D112" i="43"/>
  <c r="I111" i="43"/>
  <c r="H111" i="43"/>
  <c r="G111" i="43"/>
  <c r="F111" i="43"/>
  <c r="E111" i="43"/>
  <c r="D111" i="43"/>
  <c r="H110" i="43"/>
  <c r="G110" i="43"/>
  <c r="F110" i="43"/>
  <c r="E110" i="43"/>
  <c r="D110" i="43"/>
  <c r="I109" i="43"/>
  <c r="H109" i="43"/>
  <c r="G109" i="43"/>
  <c r="F109" i="43"/>
  <c r="E109" i="43"/>
  <c r="D109" i="43"/>
  <c r="M106" i="43"/>
  <c r="L106" i="43"/>
  <c r="K106" i="43"/>
  <c r="J106" i="43"/>
  <c r="I106" i="43"/>
  <c r="H106" i="43"/>
  <c r="G106" i="43"/>
  <c r="F106" i="43"/>
  <c r="E106" i="43"/>
  <c r="D106" i="43"/>
  <c r="C106" i="43"/>
  <c r="M105" i="43"/>
  <c r="L105" i="43"/>
  <c r="K105" i="43"/>
  <c r="J105" i="43"/>
  <c r="I105" i="43"/>
  <c r="H105" i="43"/>
  <c r="G105" i="43"/>
  <c r="F105" i="43"/>
  <c r="E105" i="43"/>
  <c r="D105" i="43"/>
  <c r="C105" i="43"/>
  <c r="M104" i="43"/>
  <c r="L104" i="43"/>
  <c r="K104" i="43"/>
  <c r="J104" i="43"/>
  <c r="I104" i="43"/>
  <c r="H104" i="43"/>
  <c r="G104" i="43"/>
  <c r="F104" i="43"/>
  <c r="E104" i="43"/>
  <c r="D104" i="43"/>
  <c r="C104" i="43"/>
  <c r="M103" i="43"/>
  <c r="L103" i="43"/>
  <c r="K103" i="43"/>
  <c r="J103" i="43"/>
  <c r="I103" i="43"/>
  <c r="H103" i="43"/>
  <c r="G103" i="43"/>
  <c r="F103" i="43"/>
  <c r="E103" i="43"/>
  <c r="D103" i="43"/>
  <c r="C103" i="43"/>
  <c r="M102" i="43"/>
  <c r="L102" i="43"/>
  <c r="M101" i="43"/>
  <c r="L101" i="43"/>
  <c r="K101" i="43"/>
  <c r="M100" i="43"/>
  <c r="L100" i="43"/>
  <c r="K100" i="43"/>
  <c r="J100" i="43"/>
  <c r="M99" i="43"/>
  <c r="L99" i="43"/>
  <c r="K99" i="43"/>
  <c r="J99" i="43"/>
  <c r="I99" i="43"/>
  <c r="M98" i="43"/>
  <c r="L98" i="43"/>
  <c r="K98" i="43"/>
  <c r="J98" i="43"/>
  <c r="I98" i="43"/>
  <c r="H98" i="43"/>
  <c r="M97" i="43"/>
  <c r="L97" i="43"/>
  <c r="K97" i="43"/>
  <c r="J97" i="43"/>
  <c r="I97" i="43"/>
  <c r="H97" i="43"/>
  <c r="G97" i="43"/>
  <c r="M96" i="43"/>
  <c r="L96" i="43"/>
  <c r="K96" i="43"/>
  <c r="J96" i="43"/>
  <c r="I96" i="43"/>
  <c r="H96" i="43"/>
  <c r="G96" i="43"/>
  <c r="F96" i="43"/>
  <c r="M95" i="43"/>
  <c r="L95" i="43"/>
  <c r="K95" i="43"/>
  <c r="J95" i="43"/>
  <c r="I95" i="43"/>
  <c r="H95" i="43"/>
  <c r="G95" i="43"/>
  <c r="F95" i="43"/>
  <c r="E95" i="43"/>
  <c r="M94" i="43"/>
  <c r="L94" i="43"/>
  <c r="K94" i="43"/>
  <c r="J94" i="43"/>
  <c r="I94" i="43"/>
  <c r="H94" i="43"/>
  <c r="G94" i="43"/>
  <c r="F94" i="43"/>
  <c r="E94" i="43"/>
  <c r="D94" i="43"/>
  <c r="M93" i="43"/>
  <c r="L93" i="43"/>
  <c r="K93" i="43"/>
  <c r="J93" i="43"/>
  <c r="I93" i="43"/>
  <c r="H93" i="43"/>
  <c r="G93" i="43"/>
  <c r="F93" i="43"/>
  <c r="E93" i="43"/>
  <c r="D93" i="43"/>
  <c r="C93" i="43"/>
  <c r="R85" i="43"/>
  <c r="Q85" i="43"/>
  <c r="P85" i="43"/>
  <c r="O85" i="43"/>
  <c r="N85" i="43"/>
  <c r="M85" i="43"/>
  <c r="L85" i="43"/>
  <c r="K85" i="43"/>
  <c r="J85" i="43"/>
  <c r="I85" i="43"/>
  <c r="H85" i="43"/>
  <c r="G85" i="43"/>
  <c r="F85" i="43"/>
  <c r="E85" i="43"/>
  <c r="D85" i="43"/>
  <c r="R84" i="43"/>
  <c r="Q84" i="43"/>
  <c r="P84" i="43"/>
  <c r="O84" i="43"/>
  <c r="N84" i="43"/>
  <c r="M84" i="43"/>
  <c r="L84" i="43"/>
  <c r="K84" i="43"/>
  <c r="J84" i="43"/>
  <c r="I84" i="43"/>
  <c r="H84" i="43"/>
  <c r="G84" i="43"/>
  <c r="F84" i="43"/>
  <c r="E84" i="43"/>
  <c r="D84" i="43"/>
  <c r="R76" i="43"/>
  <c r="Q76" i="43"/>
  <c r="P76" i="43"/>
  <c r="O76" i="43"/>
  <c r="N76" i="43"/>
  <c r="M76" i="43"/>
  <c r="L76" i="43"/>
  <c r="K76" i="43"/>
  <c r="J76" i="43"/>
  <c r="I76" i="43"/>
  <c r="H76" i="43"/>
  <c r="G76" i="43"/>
  <c r="F76" i="43"/>
  <c r="E76" i="43"/>
  <c r="D76" i="43"/>
  <c r="R75" i="43"/>
  <c r="Q75" i="43"/>
  <c r="P75" i="43"/>
  <c r="O75" i="43"/>
  <c r="N75" i="43"/>
  <c r="M75" i="43"/>
  <c r="L75" i="43"/>
  <c r="K75" i="43"/>
  <c r="J75" i="43"/>
  <c r="I75" i="43"/>
  <c r="H75" i="43"/>
  <c r="G75" i="43"/>
  <c r="F75" i="43"/>
  <c r="E75" i="43"/>
  <c r="D75" i="43"/>
  <c r="R73" i="43"/>
  <c r="Q73" i="43"/>
  <c r="P73" i="43"/>
  <c r="O73" i="43"/>
  <c r="N73" i="43"/>
  <c r="M73" i="43"/>
  <c r="L73" i="43"/>
  <c r="K73" i="43"/>
  <c r="J73" i="43"/>
  <c r="I73" i="43"/>
  <c r="H73" i="43"/>
  <c r="G73" i="43"/>
  <c r="F73" i="43"/>
  <c r="E73" i="43"/>
  <c r="D73" i="43"/>
  <c r="R72" i="43"/>
  <c r="Q72" i="43"/>
  <c r="P72" i="43"/>
  <c r="O72" i="43"/>
  <c r="N72" i="43"/>
  <c r="M72" i="43"/>
  <c r="L72" i="43"/>
  <c r="K72" i="43"/>
  <c r="J72" i="43"/>
  <c r="I72" i="43"/>
  <c r="H72" i="43"/>
  <c r="G72" i="43"/>
  <c r="F72" i="43"/>
  <c r="E72" i="43"/>
  <c r="D72" i="43"/>
  <c r="R70" i="43"/>
  <c r="Q70" i="43"/>
  <c r="P70" i="43"/>
  <c r="O70" i="43"/>
  <c r="N70" i="43"/>
  <c r="M70" i="43"/>
  <c r="L70" i="43"/>
  <c r="K70" i="43"/>
  <c r="J70" i="43"/>
  <c r="I70" i="43"/>
  <c r="H70" i="43"/>
  <c r="G70" i="43"/>
  <c r="F70" i="43"/>
  <c r="E70" i="43"/>
  <c r="D70" i="43"/>
  <c r="R69" i="43"/>
  <c r="Q69" i="43"/>
  <c r="P69" i="43"/>
  <c r="O69" i="43"/>
  <c r="N69" i="43"/>
  <c r="M69" i="43"/>
  <c r="L69" i="43"/>
  <c r="K69" i="43"/>
  <c r="J69" i="43"/>
  <c r="I69" i="43"/>
  <c r="H69" i="43"/>
  <c r="G69" i="43"/>
  <c r="F69" i="43"/>
  <c r="E69" i="43"/>
  <c r="D69" i="43"/>
  <c r="R67" i="43"/>
  <c r="Q67" i="43"/>
  <c r="P67" i="43"/>
  <c r="O67" i="43"/>
  <c r="N67" i="43"/>
  <c r="M67" i="43"/>
  <c r="L67" i="43"/>
  <c r="K67" i="43"/>
  <c r="J67" i="43"/>
  <c r="I67" i="43"/>
  <c r="H67" i="43"/>
  <c r="G67" i="43"/>
  <c r="F67" i="43"/>
  <c r="E67" i="43"/>
  <c r="D67" i="43"/>
  <c r="R66" i="43"/>
  <c r="Q66" i="43"/>
  <c r="P66" i="43"/>
  <c r="O66" i="43"/>
  <c r="N66" i="43"/>
  <c r="M66" i="43"/>
  <c r="L66" i="43"/>
  <c r="K66" i="43"/>
  <c r="J66" i="43"/>
  <c r="I66" i="43"/>
  <c r="H66" i="43"/>
  <c r="G66" i="43"/>
  <c r="F66" i="43"/>
  <c r="E66" i="43"/>
  <c r="D66" i="43"/>
  <c r="R64" i="43"/>
  <c r="Q64" i="43"/>
  <c r="P64" i="43"/>
  <c r="O64" i="43"/>
  <c r="N64" i="43"/>
  <c r="M64" i="43"/>
  <c r="L64" i="43"/>
  <c r="K64" i="43"/>
  <c r="J64" i="43"/>
  <c r="I64" i="43"/>
  <c r="H64" i="43"/>
  <c r="G64" i="43"/>
  <c r="F64" i="43"/>
  <c r="E64" i="43"/>
  <c r="D64" i="43"/>
  <c r="R63" i="43"/>
  <c r="Q63" i="43"/>
  <c r="P63" i="43"/>
  <c r="O63" i="43"/>
  <c r="N63" i="43"/>
  <c r="M63" i="43"/>
  <c r="L63" i="43"/>
  <c r="K63" i="43"/>
  <c r="J63" i="43"/>
  <c r="I63" i="43"/>
  <c r="H63" i="43"/>
  <c r="G63" i="43"/>
  <c r="F63" i="43"/>
  <c r="E63" i="43"/>
  <c r="D63" i="43"/>
  <c r="R61" i="43"/>
  <c r="Q61" i="43"/>
  <c r="P61" i="43"/>
  <c r="O61" i="43"/>
  <c r="N61" i="43"/>
  <c r="M61" i="43"/>
  <c r="L61" i="43"/>
  <c r="K61" i="43"/>
  <c r="J61" i="43"/>
  <c r="I61" i="43"/>
  <c r="H61" i="43"/>
  <c r="G61" i="43"/>
  <c r="F61" i="43"/>
  <c r="E61" i="43"/>
  <c r="D61" i="43"/>
  <c r="R60" i="43"/>
  <c r="Q60" i="43"/>
  <c r="P60" i="43"/>
  <c r="O60" i="43"/>
  <c r="N60" i="43"/>
  <c r="M60" i="43"/>
  <c r="L60" i="43"/>
  <c r="K60" i="43"/>
  <c r="J60" i="43"/>
  <c r="I60" i="43"/>
  <c r="H60" i="43"/>
  <c r="G60" i="43"/>
  <c r="F60" i="43"/>
  <c r="E60" i="43"/>
  <c r="D60" i="43"/>
  <c r="R58" i="43"/>
  <c r="Q58" i="43"/>
  <c r="P58" i="43"/>
  <c r="O58" i="43"/>
  <c r="N58" i="43"/>
  <c r="M58" i="43"/>
  <c r="L58" i="43"/>
  <c r="K58" i="43"/>
  <c r="J58" i="43"/>
  <c r="I58" i="43"/>
  <c r="H58" i="43"/>
  <c r="G58" i="43"/>
  <c r="F58" i="43"/>
  <c r="E58" i="43"/>
  <c r="D58" i="43"/>
  <c r="R57" i="43"/>
  <c r="Q57" i="43"/>
  <c r="P57" i="43"/>
  <c r="O57" i="43"/>
  <c r="N57" i="43"/>
  <c r="M57" i="43"/>
  <c r="L57" i="43"/>
  <c r="K57" i="43"/>
  <c r="J57" i="43"/>
  <c r="I57" i="43"/>
  <c r="H57" i="43"/>
  <c r="G57" i="43"/>
  <c r="F57" i="43"/>
  <c r="E57" i="43"/>
  <c r="D57" i="43"/>
  <c r="R55" i="43"/>
  <c r="Q55" i="43"/>
  <c r="P55" i="43"/>
  <c r="O55" i="43"/>
  <c r="N55" i="43"/>
  <c r="M55" i="43"/>
  <c r="L55" i="43"/>
  <c r="K55" i="43"/>
  <c r="J55" i="43"/>
  <c r="I55" i="43"/>
  <c r="H55" i="43"/>
  <c r="G55" i="43"/>
  <c r="F55" i="43"/>
  <c r="E55" i="43"/>
  <c r="D55" i="43"/>
  <c r="R54" i="43"/>
  <c r="Q54" i="43"/>
  <c r="P54" i="43"/>
  <c r="O54" i="43"/>
  <c r="N54" i="43"/>
  <c r="M54" i="43"/>
  <c r="L54" i="43"/>
  <c r="K54" i="43"/>
  <c r="J54" i="43"/>
  <c r="I54" i="43"/>
  <c r="H54" i="43"/>
  <c r="G54" i="43"/>
  <c r="F54" i="43"/>
  <c r="E54" i="43"/>
  <c r="D54" i="43"/>
  <c r="Q53" i="43"/>
  <c r="P53" i="43"/>
  <c r="O53" i="43"/>
  <c r="N53" i="43"/>
  <c r="M53" i="43"/>
  <c r="L53" i="43"/>
  <c r="K53" i="43"/>
  <c r="J53" i="43"/>
  <c r="I53" i="43"/>
  <c r="H53" i="43"/>
  <c r="G53" i="43"/>
  <c r="F53" i="43"/>
  <c r="E53" i="43"/>
  <c r="D53" i="43"/>
  <c r="Q52" i="43"/>
  <c r="P52" i="43"/>
  <c r="O52" i="43"/>
  <c r="N52" i="43"/>
  <c r="M52" i="43"/>
  <c r="L52" i="43"/>
  <c r="K52" i="43"/>
  <c r="J52" i="43"/>
  <c r="I52" i="43"/>
  <c r="H52" i="43"/>
  <c r="G52" i="43"/>
  <c r="F52" i="43"/>
  <c r="E52" i="43"/>
  <c r="D52" i="43"/>
  <c r="G43" i="43"/>
  <c r="F43" i="43"/>
  <c r="E43" i="43"/>
  <c r="G42" i="43"/>
  <c r="F42" i="43"/>
  <c r="E42" i="43"/>
  <c r="G41" i="43"/>
  <c r="F41" i="43"/>
  <c r="E41" i="43"/>
  <c r="G40" i="43"/>
  <c r="F40" i="43"/>
  <c r="E40" i="43"/>
  <c r="G39" i="43"/>
  <c r="F39" i="43"/>
  <c r="E39" i="43"/>
  <c r="G38" i="43"/>
  <c r="F38" i="43"/>
  <c r="E38" i="43"/>
  <c r="G37" i="43"/>
  <c r="F37" i="43"/>
  <c r="E37" i="43"/>
  <c r="G36" i="43"/>
  <c r="F36" i="43"/>
  <c r="E36" i="43"/>
  <c r="G35" i="43"/>
  <c r="F35" i="43"/>
  <c r="E35" i="43"/>
  <c r="G34" i="43"/>
  <c r="F34" i="43"/>
  <c r="E34" i="43"/>
  <c r="G33" i="43"/>
  <c r="F33" i="43"/>
  <c r="E33" i="43"/>
  <c r="G32" i="43"/>
  <c r="F32" i="43"/>
  <c r="E32" i="43"/>
  <c r="G31" i="43"/>
  <c r="F31" i="43"/>
  <c r="E31" i="43"/>
  <c r="G30" i="43"/>
  <c r="F30" i="43"/>
  <c r="E30" i="43"/>
  <c r="G29" i="43"/>
  <c r="F29" i="43"/>
  <c r="E29" i="43"/>
  <c r="H22" i="43"/>
  <c r="H21" i="43"/>
  <c r="H20" i="43"/>
  <c r="H19" i="43"/>
  <c r="E2" i="80"/>
</calcChain>
</file>

<file path=xl/sharedStrings.xml><?xml version="1.0" encoding="utf-8"?>
<sst xmlns="http://schemas.openxmlformats.org/spreadsheetml/2006/main" count="4229" uniqueCount="866">
  <si>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</si>
  <si>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</si>
  <si>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</si>
  <si>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</si>
  <si>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</si>
  <si>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</si>
  <si>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</si>
  <si>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</si>
  <si>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</si>
  <si>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</si>
  <si>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</si>
  <si>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</si>
  <si>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</si>
  <si>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</si>
  <si>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</si>
  <si>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</si>
  <si>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</si>
  <si>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</si>
  <si>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</si>
  <si>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</si>
  <si>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</si>
  <si>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</si>
  <si>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</si>
  <si>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</si>
  <si>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</si>
  <si>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</si>
  <si>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</si>
  <si>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</si>
  <si>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</si>
  <si>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</si>
  <si>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</si>
  <si>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</si>
  <si>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</si>
  <si>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</si>
  <si>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</si>
  <si>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</si>
  <si>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</si>
  <si>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</si>
  <si>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</si>
  <si>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</si>
  <si>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</si>
  <si>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</si>
  <si>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</si>
  <si>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</si>
  <si>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</si>
  <si>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</si>
  <si>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</si>
  <si>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</si>
  <si>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</si>
  <si>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</si>
  <si>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</si>
  <si>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</si>
  <si>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</si>
  <si>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</si>
  <si>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</si>
  <si>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</si>
  <si>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</si>
  <si>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</si>
  <si>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</si>
  <si>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</si>
  <si>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</si>
  <si>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</si>
  <si>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</si>
  <si>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</si>
  <si>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</si>
  <si>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</si>
  <si>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</si>
  <si>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</si>
  <si>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</si>
  <si>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</si>
  <si>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</si>
  <si>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</si>
  <si>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</si>
  <si>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</si>
  <si>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</si>
  <si>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</si>
  <si>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</si>
  <si>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</si>
  <si>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</si>
  <si>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</si>
  <si>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</si>
  <si>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</si>
  <si>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</si>
  <si>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</si>
  <si>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</si>
  <si>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</si>
  <si>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</si>
  <si>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</si>
  <si>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</si>
  <si>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</si>
  <si>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</si>
  <si>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</si>
  <si>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</si>
  <si>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</si>
  <si>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</si>
  <si>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</si>
  <si>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</si>
  <si>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</si>
  <si>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</si>
  <si>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</si>
  <si>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</si>
  <si>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</si>
  <si>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</si>
  <si>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</si>
  <si>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</si>
  <si>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</si>
  <si>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</si>
  <si>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</si>
  <si>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</si>
  <si>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</si>
  <si>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</si>
  <si>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</si>
  <si>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</si>
  <si>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</si>
  <si>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</si>
  <si>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</si>
  <si>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</si>
  <si>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</si>
  <si>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</si>
  <si>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</si>
  <si>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</si>
  <si>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</si>
  <si>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</si>
  <si>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</si>
  <si>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</si>
  <si>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</si>
  <si>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</si>
  <si>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</si>
  <si>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</si>
  <si>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</si>
  <si>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</si>
  <si>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</si>
  <si>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</si>
  <si>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</si>
  <si>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</si>
  <si>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</si>
  <si>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</si>
  <si>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</si>
  <si>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</si>
  <si>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</si>
  <si>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</si>
  <si>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</si>
  <si>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</si>
  <si>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</si>
  <si>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</si>
  <si>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</si>
  <si>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</si>
  <si>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</si>
  <si>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</si>
  <si>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</si>
  <si>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</si>
  <si>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</si>
  <si>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</si>
  <si>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</si>
  <si>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</si>
  <si>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</si>
  <si>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</si>
  <si>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</si>
  <si>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</si>
  <si>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</si>
  <si>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</si>
  <si>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</si>
  <si>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</si>
  <si>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</si>
  <si>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</si>
  <si>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</si>
  <si>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</si>
  <si>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</si>
  <si>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</si>
  <si>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</si>
  <si>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</si>
  <si>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</si>
  <si>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</si>
  <si>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</si>
  <si>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</si>
  <si>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</si>
  <si>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</si>
  <si>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</si>
  <si>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</si>
  <si>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</si>
  <si>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</si>
  <si>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</si>
  <si>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</si>
  <si>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</si>
  <si>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</si>
  <si>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</si>
  <si>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</si>
  <si>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</si>
  <si>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</si>
  <si>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</si>
  <si>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</si>
  <si>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</si>
  <si>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</si>
  <si>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</si>
  <si>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</si>
  <si>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</si>
  <si>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</si>
  <si>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</si>
  <si>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</si>
  <si>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</si>
  <si>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</si>
  <si>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</si>
  <si>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</si>
  <si>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</si>
  <si>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</si>
  <si>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</si>
  <si>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</si>
  <si>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</si>
  <si>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</si>
  <si>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</si>
  <si>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</si>
  <si>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</si>
  <si>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</si>
  <si>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</si>
  <si>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</si>
  <si>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</si>
  <si>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</si>
  <si>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</si>
  <si>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</si>
  <si>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</si>
  <si>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</si>
  <si>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</si>
  <si>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</si>
  <si>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</si>
  <si>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</si>
  <si>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</si>
  <si>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</si>
  <si>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</si>
  <si>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</si>
  <si>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</si>
  <si>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</si>
  <si>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</si>
  <si>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</si>
  <si>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</si>
  <si>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</si>
  <si>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</si>
  <si>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</si>
  <si>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</si>
  <si>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</si>
  <si>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</si>
  <si>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</si>
  <si>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</si>
  <si>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</si>
  <si>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</si>
  <si>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</si>
  <si>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</si>
  <si>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</si>
  <si>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</si>
  <si>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</si>
  <si>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</si>
  <si>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</si>
  <si>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</si>
  <si>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</si>
  <si>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</si>
  <si>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</si>
  <si>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</si>
  <si>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</si>
  <si>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</si>
  <si>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</si>
  <si>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</si>
  <si>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</si>
  <si>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</si>
  <si>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</si>
  <si>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</si>
  <si>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</si>
  <si>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</si>
  <si>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</si>
  <si>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</si>
  <si>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</si>
  <si>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</si>
  <si>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</si>
  <si>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</si>
  <si>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</si>
  <si>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</si>
  <si>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</si>
  <si>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</si>
  <si>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</si>
  <si>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</si>
  <si>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</si>
  <si>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</si>
  <si>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</si>
  <si>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</si>
  <si>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</si>
  <si>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</si>
  <si>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</si>
  <si>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</si>
  <si>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</si>
  <si>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</si>
  <si>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</si>
  <si>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</si>
  <si>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</si>
  <si>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</si>
  <si>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</si>
  <si>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</si>
  <si>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</si>
  <si>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</si>
  <si>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</si>
  <si>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</si>
  <si>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</si>
  <si>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</si>
  <si>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</si>
  <si>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</si>
  <si>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</si>
  <si>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</si>
  <si>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</si>
  <si>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</si>
  <si>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</si>
  <si>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</si>
  <si>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</si>
  <si>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</si>
  <si>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</si>
  <si>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</si>
  <si>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</si>
  <si>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</si>
  <si>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</si>
  <si>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</si>
  <si>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</si>
  <si>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</si>
  <si>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</si>
  <si>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</si>
  <si>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</si>
  <si>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</si>
  <si>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</si>
  <si>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</si>
  <si>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</si>
  <si>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</si>
  <si>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</si>
  <si>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</si>
  <si>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</si>
  <si>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</si>
  <si>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</si>
  <si>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</si>
  <si>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</si>
  <si>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</si>
  <si>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</si>
  <si>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</si>
  <si>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</si>
  <si>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</si>
  <si>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</si>
  <si>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</si>
  <si>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</si>
  <si>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</si>
  <si>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</si>
  <si>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</si>
  <si>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</si>
  <si>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</si>
  <si>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</si>
  <si>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</si>
  <si>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</si>
  <si>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</si>
  <si>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</si>
  <si>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</si>
  <si>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</si>
  <si>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</si>
  <si>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</si>
  <si>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</si>
  <si>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</si>
  <si>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</si>
  <si>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</si>
  <si>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</si>
  <si>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</si>
  <si>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</si>
  <si>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</si>
  <si>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</si>
  <si>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</si>
  <si>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</si>
  <si>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</si>
  <si>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</si>
  <si>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</si>
  <si>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</si>
  <si>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</si>
  <si>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</si>
  <si>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</si>
  <si>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</si>
  <si>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</si>
  <si>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</si>
  <si>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</si>
  <si>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</si>
  <si>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</si>
  <si>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</si>
  <si>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</si>
  <si>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</si>
  <si>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</si>
  <si>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</si>
  <si>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</si>
  <si>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</si>
  <si>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</si>
  <si>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</si>
  <si>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</si>
  <si>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</si>
  <si>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</si>
  <si>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</si>
  <si>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</si>
  <si>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</si>
  <si>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</si>
  <si>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</si>
  <si>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</si>
  <si>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</si>
  <si>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</si>
  <si>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</si>
  <si>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</si>
  <si>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</si>
  <si>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</si>
  <si>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</si>
  <si>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</si>
  <si>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</si>
  <si>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</si>
  <si>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</si>
  <si>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</si>
  <si>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</si>
  <si>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</si>
  <si>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</si>
  <si>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</si>
  <si>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</si>
  <si>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</si>
  <si>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</si>
  <si>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</si>
  <si>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</si>
  <si>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</si>
  <si>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</si>
  <si>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</si>
  <si>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</si>
  <si>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</si>
  <si>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</si>
  <si>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</si>
  <si>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</si>
  <si>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</si>
  <si>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</si>
  <si>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</si>
  <si>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</si>
  <si>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</si>
  <si>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</si>
  <si>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</si>
  <si>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</si>
  <si>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</si>
  <si>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</si>
  <si>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</si>
  <si>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</si>
  <si>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</si>
  <si>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</si>
  <si>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</si>
  <si>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</si>
  <si>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</si>
  <si>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</si>
  <si>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</si>
  <si>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</si>
  <si>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</si>
  <si>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</si>
  <si>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</si>
  <si>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</si>
  <si>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</si>
  <si>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</si>
  <si>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</si>
  <si>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</si>
  <si>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</si>
  <si>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</si>
  <si>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</si>
  <si>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</si>
  <si>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</si>
  <si>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</si>
  <si>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</si>
  <si>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</si>
  <si>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</si>
  <si>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</si>
  <si>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</si>
  <si>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</si>
  <si>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</si>
  <si>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</si>
  <si>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</si>
  <si>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</si>
  <si>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</si>
  <si>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</si>
  <si>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</si>
  <si>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</si>
  <si>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</si>
  <si>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</si>
  <si>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</si>
  <si>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</si>
  <si>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</si>
  <si>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</si>
  <si>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</si>
  <si>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</si>
  <si>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</si>
  <si>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</si>
  <si>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</si>
  <si>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</si>
  <si>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</si>
  <si>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</si>
  <si>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</si>
  <si>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</si>
  <si>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</si>
  <si>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</si>
  <si>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</si>
  <si>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</si>
  <si>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</si>
  <si>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</si>
  <si>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</si>
  <si>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</si>
  <si>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</si>
  <si>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</si>
  <si>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</si>
  <si>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</si>
  <si>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</si>
  <si>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</si>
  <si>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</si>
  <si>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</si>
  <si>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</si>
  <si>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</si>
  <si>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</si>
  <si>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</si>
  <si>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</si>
  <si>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</si>
  <si>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</si>
  <si>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</si>
  <si>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</si>
  <si>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</si>
  <si>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</si>
  <si>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</si>
  <si>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</si>
  <si>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</si>
  <si>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</si>
  <si>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</si>
  <si>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</si>
  <si>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</si>
  <si>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</si>
  <si>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</si>
  <si>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</si>
  <si>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</si>
  <si>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</si>
  <si>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</si>
  <si>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</si>
  <si>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</si>
  <si>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</si>
  <si>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</si>
  <si>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</si>
  <si>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</si>
  <si>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</si>
  <si>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</si>
  <si>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</si>
  <si>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</si>
  <si>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</si>
  <si>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</si>
  <si>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</si>
  <si>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</si>
  <si>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</si>
  <si>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</si>
  <si>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</si>
  <si>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</si>
  <si>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</si>
  <si>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</si>
  <si>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</si>
  <si>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</si>
  <si>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</si>
  <si>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</si>
  <si>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</si>
  <si>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</si>
  <si>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</si>
  <si>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</si>
  <si>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</si>
  <si>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</si>
  <si>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</si>
  <si>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</si>
  <si>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</si>
  <si>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</si>
  <si>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</si>
  <si>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</si>
  <si>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</si>
  <si>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</si>
  <si>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</si>
  <si>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</si>
  <si>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</si>
  <si>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</si>
  <si>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</si>
  <si>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</si>
  <si>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</si>
  <si>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</si>
  <si>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</si>
  <si>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</si>
  <si>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</si>
  <si>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</si>
  <si>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</si>
  <si>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</si>
  <si>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</si>
  <si>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</si>
  <si>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</si>
  <si>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</si>
  <si>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</si>
  <si>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</si>
  <si>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</si>
  <si>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</si>
  <si>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</si>
  <si>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</si>
  <si>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</si>
  <si>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</si>
  <si>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</si>
  <si>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</si>
  <si>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</si>
  <si>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</si>
  <si>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</si>
  <si>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</si>
  <si>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</si>
  <si>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</si>
  <si>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</si>
  <si>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</si>
  <si>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</si>
  <si>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</si>
  <si>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</si>
  <si>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</si>
  <si>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</si>
  <si>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</si>
  <si>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</si>
  <si>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</si>
  <si>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</si>
  <si>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</si>
  <si>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</si>
  <si>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</si>
  <si>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</si>
  <si>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</si>
  <si>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</si>
  <si>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</si>
  <si>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</si>
  <si>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</si>
  <si>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</si>
  <si>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</si>
  <si>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</si>
  <si>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</si>
  <si>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</si>
  <si>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</si>
  <si>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</si>
  <si>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</si>
  <si>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</si>
  <si>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</si>
  <si>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</si>
  <si>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</si>
  <si>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</si>
  <si>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</si>
  <si>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</si>
  <si>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</si>
  <si>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</si>
  <si>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</si>
  <si>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</si>
  <si>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</si>
  <si>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</si>
  <si>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</si>
  <si>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</si>
  <si>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</si>
  <si>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</si>
  <si>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</si>
  <si>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</si>
  <si>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</si>
  <si>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</si>
  <si>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</si>
  <si>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</si>
  <si>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</si>
  <si>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</si>
  <si>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</si>
  <si>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</si>
  <si>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</si>
  <si>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</si>
  <si>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</si>
  <si>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</si>
  <si>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</si>
  <si>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</si>
  <si>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</si>
  <si>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</si>
  <si>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</si>
  <si>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</si>
  <si>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</si>
  <si>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</si>
  <si>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</si>
  <si>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</si>
  <si>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</si>
  <si>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</si>
  <si>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</si>
  <si>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</si>
  <si>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</si>
  <si>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</si>
  <si>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</si>
  <si>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</si>
  <si>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</si>
  <si>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</si>
  <si>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</si>
  <si>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</si>
  <si>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</si>
  <si>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</si>
  <si>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</si>
  <si>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</si>
  <si>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</si>
  <si>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</si>
  <si>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</si>
  <si>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</si>
  <si>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</si>
  <si>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</si>
  <si>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</si>
  <si>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</si>
  <si>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</si>
  <si>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</si>
  <si>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</si>
  <si>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</si>
  <si>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</si>
  <si>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</si>
  <si>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</si>
  <si>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</si>
  <si>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</si>
  <si>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</si>
  <si>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</si>
  <si>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</si>
  <si>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</si>
  <si>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</si>
  <si>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</si>
  <si>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</si>
  <si>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</si>
  <si>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</si>
  <si>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</si>
  <si>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</si>
  <si>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</si>
  <si>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</si>
  <si>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</si>
  <si>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</si>
  <si>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</si>
  <si>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</si>
  <si>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</si>
  <si>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</si>
  <si>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</si>
  <si>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</si>
  <si>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</si>
  <si>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</si>
  <si>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</si>
  <si>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</si>
  <si>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</si>
  <si>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</si>
  <si>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</si>
  <si>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</si>
  <si>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</si>
  <si>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</si>
  <si>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</si>
  <si>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</si>
  <si>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</si>
  <si>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</si>
  <si>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</si>
  <si>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</si>
  <si>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</si>
  <si>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</si>
  <si>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Tier 1</t>
  </si>
  <si>
    <t>Consumer</t>
  </si>
  <si>
    <t>Halton Hills Hydro Inc.</t>
  </si>
  <si>
    <t>EE</t>
  </si>
  <si>
    <t>DR</t>
  </si>
  <si>
    <t>Business</t>
  </si>
  <si>
    <t>Demand Response 3 (part of the Industrial program schedule)</t>
  </si>
  <si>
    <t>Commercial &amp; Institutional</t>
  </si>
  <si>
    <t>Industrial</t>
  </si>
  <si>
    <t>Pre-2011 Programs Completed in 2011</t>
  </si>
  <si>
    <t>Tier 1 - 2011 Adjustment</t>
  </si>
  <si>
    <t>C&amp;I</t>
  </si>
  <si>
    <t>Commercial</t>
  </si>
  <si>
    <t>Non-Tier 1</t>
  </si>
  <si>
    <t>Residential and Small Commercial Demand Response</t>
  </si>
  <si>
    <t>HVAC</t>
  </si>
  <si>
    <t>DR-3</t>
  </si>
  <si>
    <t>Small Business Lighting</t>
  </si>
  <si>
    <t>Annual Coupons</t>
  </si>
  <si>
    <t>Bi-Annual Retailer Events</t>
  </si>
  <si>
    <t>Home Assistance</t>
  </si>
  <si>
    <t>Energy Managers</t>
  </si>
  <si>
    <t>Time-of-Use Savings</t>
  </si>
  <si>
    <t xml:space="preserve">Demand Response 3 </t>
  </si>
  <si>
    <t>Save on Energy Heating &amp; Cooling Program</t>
  </si>
  <si>
    <t>Save on Energy Instant Discount Program</t>
  </si>
  <si>
    <t>Pool Saver Local Program</t>
  </si>
  <si>
    <t>Whole Home Pilot Program</t>
  </si>
  <si>
    <t>Save on Energy Smart Thermostat Program</t>
  </si>
  <si>
    <t>Swimming Pool Efficiency Program</t>
  </si>
  <si>
    <t>GS 50 - 999 kW</t>
  </si>
  <si>
    <t>GS 1,000 - 4,999 kW</t>
  </si>
  <si>
    <t>USL</t>
  </si>
  <si>
    <t>2015/2016</t>
  </si>
  <si>
    <t>EB-2015-0074, 3-VECC-15, part f)</t>
  </si>
  <si>
    <t>CDM amount agreed in EB-2015-0074 Settlement Agreement, Page 16</t>
  </si>
  <si>
    <t>(Note: The removal of a CDM amount related to 2011-2014 persistence, that was used to produce the forecast, is also described in this section.)</t>
  </si>
  <si>
    <t>2011/2012</t>
  </si>
  <si>
    <t>EB-2011-0271 Partial Settlement Agreement, p. 11</t>
  </si>
  <si>
    <t>EB-2013-0136</t>
  </si>
  <si>
    <t>EB-2014-0079</t>
  </si>
  <si>
    <t>EB-2015-0074</t>
  </si>
  <si>
    <t>EB-2016-0076</t>
  </si>
  <si>
    <t>EB-2017-0045</t>
  </si>
  <si>
    <t>EB-2018-0037</t>
  </si>
  <si>
    <t>EB-2019-0039</t>
  </si>
  <si>
    <t>-</t>
  </si>
  <si>
    <t>Sum of Post Project Consumption Savings Attributable to Each Class</t>
  </si>
  <si>
    <t>GS&lt;50</t>
  </si>
  <si>
    <t>GS 50-999</t>
  </si>
  <si>
    <t>GS 1,000 - 4,999</t>
  </si>
  <si>
    <t>Street Lights</t>
  </si>
  <si>
    <t>Save on Energy Business Refrigeration Program</t>
  </si>
  <si>
    <t>Swimming Pool Efficiency Local Program</t>
  </si>
  <si>
    <t>Persistence in 2016</t>
  </si>
  <si>
    <t>Persistence in 2017</t>
  </si>
  <si>
    <t>Persistence in 2018</t>
  </si>
  <si>
    <t>Persistence in 2019</t>
  </si>
  <si>
    <t>Persistence in 2020</t>
  </si>
  <si>
    <t>LED Fixtures</t>
  </si>
  <si>
    <t>HPS &amp; MH Fixtures</t>
  </si>
  <si>
    <t>watt</t>
  </si>
  <si>
    <t>billing watts</t>
  </si>
  <si>
    <t>Count</t>
  </si>
  <si>
    <t>Please see "Streetlight Details"</t>
  </si>
  <si>
    <t>Gross</t>
  </si>
  <si>
    <t># of Months</t>
  </si>
  <si>
    <t xml:space="preserve">*Incremental Streetlights removed </t>
  </si>
  <si>
    <t>Replacements*</t>
  </si>
  <si>
    <t># HPS&amp;MH</t>
  </si>
  <si>
    <t># Replaced</t>
  </si>
  <si>
    <t>EB-2020-0026</t>
  </si>
  <si>
    <t>2021 COS Application</t>
  </si>
  <si>
    <t>2016 COS Application</t>
  </si>
  <si>
    <t>2020 Q3 DVA Interest Rate used for 2020 Q4 and 2021 Q1 + April</t>
  </si>
  <si>
    <t xml:space="preserve">Rates unavailable at time of workform preparation </t>
  </si>
  <si>
    <t>kW/kWh ratio of similar programs used where kW unavailable</t>
  </si>
  <si>
    <t xml:space="preserve">kW results not provided </t>
  </si>
  <si>
    <t>Streetlight Actuals from tab 8 instead of allocation</t>
  </si>
  <si>
    <t>Board Direction</t>
  </si>
  <si>
    <t>Actual</t>
  </si>
  <si>
    <t>Forecast</t>
  </si>
  <si>
    <t>GS &lt; 50 kW</t>
  </si>
  <si>
    <t>GS 50 – 999 kW</t>
  </si>
  <si>
    <t>GS &gt; 1,000 kW</t>
  </si>
  <si>
    <t>Sen. Lighting</t>
  </si>
  <si>
    <t>Rate Class</t>
  </si>
  <si>
    <t>Principal</t>
  </si>
  <si>
    <t>Total LRAMVA</t>
  </si>
  <si>
    <t>Load Forecast</t>
  </si>
  <si>
    <t>Proposed Rate Rider</t>
  </si>
  <si>
    <t>2015-2018</t>
  </si>
  <si>
    <t>8. Streetlighting</t>
  </si>
  <si>
    <t>G39, G63, G86</t>
  </si>
  <si>
    <t>Figures multipled by NTG ratio (change also impacts future years)</t>
  </si>
  <si>
    <t>NTG not originally considered in persistence calculations</t>
  </si>
  <si>
    <t>Hours On</t>
  </si>
  <si>
    <t>f</t>
  </si>
  <si>
    <t>h</t>
  </si>
  <si>
    <t>e = b * c * d</t>
  </si>
  <si>
    <t>g = e * h</t>
  </si>
  <si>
    <t>Net kWh reduction</t>
  </si>
  <si>
    <t>Energy Retrofit Streetlight Adjustment</t>
  </si>
  <si>
    <t>2015 Adjustment</t>
  </si>
  <si>
    <t>2016 Adjustment</t>
  </si>
  <si>
    <t>2017 Adjustment</t>
  </si>
  <si>
    <t>Hours On based on "Halton_Appl_HONI_Load_Profile_2021_COS"</t>
  </si>
  <si>
    <t>Includes reduced demand hours as partial hours.</t>
  </si>
  <si>
    <t xml:space="preserve">ex. Demand is 218kW from Hours 1-6 on Jan 1, then 190kW in Hour 7. Hour 7 included as 0.87. </t>
  </si>
  <si>
    <t>1/2 of first month energy included</t>
  </si>
  <si>
    <t>T24:V89</t>
  </si>
  <si>
    <t>Calculations of Streetlight kWh savings</t>
  </si>
  <si>
    <t>Required to remove from other savings</t>
  </si>
  <si>
    <t>Rows 58, 305, 488</t>
  </si>
  <si>
    <t>Addition of negative Streetlight energy savings (to offset existing values)</t>
  </si>
  <si>
    <t>Remove savings calculated in 8. Streetlighting</t>
  </si>
  <si>
    <t>Rows 139-147</t>
  </si>
  <si>
    <t>Negative Streetlight savings and Unverified 2016/2017 savings</t>
  </si>
  <si>
    <t>Not originally included in LRAMVA calculation</t>
  </si>
  <si>
    <t>Row 305</t>
  </si>
  <si>
    <t>Rows 472, 475, 488, 522, 525</t>
  </si>
  <si>
    <t>References to 2017 Unverified Adjustments from tab 7</t>
  </si>
  <si>
    <t>Reference to 2016 Unverified Adjustment from tab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</si>
</sst>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5">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quot;$&quot;* #,##0.00_);_(&quot;$&quot;* \(#,##0.00\);_(&quot;$&quot;* &quot;-&quot;??_);_(@_)"/>
    <numFmt numFmtId="167" formatCode="_(* #,##0.00_);_(* \(#,##0.00\);_(* &quot;-&quot;??_);_(@_)"/>
    <numFmt numFmtId="168" formatCode="0.0"/>
    <numFmt numFmtId="169" formatCode="&quot;$&quot;#,##0.0000"/>
    <numFmt numFmtId="170" formatCode="&quot;$&quot;#,##0.00"/>
    <numFmt numFmtId="171" formatCode="0.0_);[Red]\(0.0\)"/>
    <numFmt numFmtId="172" formatCode="&quot;$&quot;#,##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 numFmtId="179" formatCode="#,##0.0_);\(#,##0.0\)"/>
    <numFmt numFmtId="180" formatCode="&quot;$&quot;_(#,##0.00_);&quot;$&quot;\(#,##0.00\)"/>
    <numFmt numFmtId="181" formatCode="_(&quot;$&quot;* #,##0.00000000000000000_);_(&quot;$&quot;* \(#,##0.00000000000000000\);_(&quot;$&quot;* &quot;-&quot;??_);_(@_)"/>
    <numFmt numFmtId="182" formatCode="_-&quot;£&quot;* #,##0.00_-;\-&quot;£&quot;* #,##0.00_-;_-&quot;£&quot;* &quot;-&quot;??_-;_-@_-"/>
    <numFmt numFmtId="183" formatCode="#,##0.0_)\x;\(#,##0.0\)\x"/>
    <numFmt numFmtId="184" formatCode="_(&quot;$&quot;* #,##0.00000000_);_(&quot;$&quot;* \(#,##0.00000000\);_(&quot;$&quot;* &quot;-&quot;??_);_(@_)"/>
    <numFmt numFmtId="185" formatCode="_(&quot;$&quot;* #,##0.00000000000_);_(&quot;$&quot;* \(#,##0.00000000000\);_(&quot;$&quot;* &quot;-&quot;??_);_(@_)"/>
    <numFmt numFmtId="186" formatCode="_(&quot;$&quot;* #,##0.000000000000_);_(&quot;$&quot;* \(#,##0.000000000000\);_(&quot;$&quot;* &quot;-&quot;??_);_(@_)"/>
    <numFmt numFmtId="187" formatCode="_-&quot;£&quot;* #,##0_-;\-&quot;£&quot;* #,##0_-;_-&quot;£&quot;* &quot;-&quot;_-;_-@_-"/>
    <numFmt numFmtId="188" formatCode="#,##0.0_)_x;\(#,##0.0\)_x"/>
    <numFmt numFmtId="189" formatCode="_(* #,##0.0_);_(* \(#,##0.0\);_(* &quot;-&quot;?_);_(@_)"/>
    <numFmt numFmtId="190" formatCode="#,##0.0_)_x;\(#,##0.0\)_x;0.0_)_x;@_)_x"/>
    <numFmt numFmtId="191" formatCode="_(&quot;$&quot;* #,##0.00000000000000_);_(&quot;$&quot;* \(#,##0.00000000000000\);_(&quot;$&quot;* &quot;-&quot;??_);_(@_)"/>
    <numFmt numFmtId="192" formatCode="0.0_)\%;\(0.0\)\%"/>
    <numFmt numFmtId="193" formatCode="_(&quot;$&quot;* #,##0.000000000000000_);_(&quot;$&quot;* \(#,##0.000000000000000\);_(&quot;$&quot;* &quot;-&quot;??_);_(@_)"/>
    <numFmt numFmtId="194" formatCode="#,##0.0_)_%;\(#,##0.0\)_%"/>
    <numFmt numFmtId="195" formatCode="_(* #,##0.000_);_(* \(#,##0.000\);_(* &quot;-&quot;??_);_(@_)"/>
    <numFmt numFmtId="196" formatCode="#,##0.0_);\(#,##0.0\);0_._0_)"/>
    <numFmt numFmtId="198" formatCode="\¥\ #,##0_);[Red]\(\¥\ #,##0\)"/>
    <numFmt numFmtId="199" formatCode="[&gt;1]&quot;10Q: &quot;0&quot; qtrs&quot;;&quot;10Q: &quot;0&quot; qtr&quot;"/>
    <numFmt numFmtId="200" formatCode="0.0%;[Red]\(0.0%\)"/>
    <numFmt numFmtId="201" formatCode="#,##0.0\ \ \ _);\(#,##0.0\)\ \ "/>
    <numFmt numFmtId="202" formatCode="_-* #,##0.00\ _F_-;\-* #,##0.00\ _F_-;_-* &quot;-&quot;??\ _F_-;_-@_-"/>
    <numFmt numFmtId="203" formatCode="m\-d\-yy"/>
    <numFmt numFmtId="204" formatCode="&quot;£&quot;#,##0.00_);[Red]\(&quot;£&quot;#,##0.00\)"/>
    <numFmt numFmtId="205" formatCode="0.0_)"/>
    <numFmt numFmtId="206" formatCode="m/yy"/>
    <numFmt numFmtId="207" formatCode="#,###.0#"/>
    <numFmt numFmtId="208" formatCode="#,###.#"/>
    <numFmt numFmtId="209" formatCode="0000\ \-\ 0000"/>
    <numFmt numFmtId="210" formatCode="[Red][&gt;0.0000001]\+#,##0.?#;[Red][&lt;-0.0000001]\-#,##0.?#;[Green]&quot;=  &quot;"/>
    <numFmt numFmtId="211" formatCode="#.#######\x"/>
    <numFmt numFmtId="212" formatCode="0.00000E+00"/>
    <numFmt numFmtId="213" formatCode="_(* #,##0.0_);_(* \(#,##0.0\);_(* &quot;-&quot;_);_(@_)"/>
    <numFmt numFmtId="214" formatCode="_-* #,##0.00\ _D_M_-;\-* #,##0.00\ _D_M_-;_-* &quot;-&quot;??\ _D_M_-;_-@_-"/>
    <numFmt numFmtId="215" formatCode="#,##0.00_%_);\(#,##0.00\)_%;**;@_%_)"/>
    <numFmt numFmtId="216" formatCode="0.000\x"/>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quot;$&quot;#,##0.00_);[Red]\(&quot;$&quot;#,##0.00\);&quot;--  &quot;;_(@_)"/>
    <numFmt numFmtId="222" formatCode="_(\§\ #,##0_)\ ;[Red]\(\§\ #,##0\)\ ;&quot; - &quot;;_(@\ _)"/>
    <numFmt numFmtId="223" formatCode="_(\§\ #,##0.00_);[Red]\(\§\ #,##0.00\);&quot; - &quot;_0_0;_(@_)"/>
    <numFmt numFmtId="225" formatCode="m/d/yy_%_)"/>
    <numFmt numFmtId="226" formatCode="mmm\-d\-yyyy"/>
    <numFmt numFmtId="227" formatCode="mmm\-dd\-yyyy"/>
    <numFmt numFmtId="228" formatCode="mmm\-yyyy"/>
    <numFmt numFmtId="229" formatCode="m/d/yy_%_);;**"/>
    <numFmt numFmtId="230" formatCode="#,##0.0_);[Red]\(#,##0.0\)"/>
    <numFmt numFmtId="231" formatCode="_([$€-2]* #,##0.00_);_([$€-2]* \(#,##0.00\);_([$€-2]* &quot;-&quot;??_)"/>
    <numFmt numFmtId="232" formatCode="&quot;$&quot;#,##0.000_);[Red]\(&quot;$&quot;#,##0.000\)"/>
    <numFmt numFmtId="233" formatCode="0.0000000000000"/>
    <numFmt numFmtId="234" formatCode="0.0%"/>
    <numFmt numFmtId="235" formatCode="0_)"/>
    <numFmt numFmtId="236" formatCode="[$-409]d\-mmm\-yy;@"/>
    <numFmt numFmtId="238" formatCode="General_)"/>
    <numFmt numFmtId="239" formatCode="&quot;&quot;"/>
    <numFmt numFmtId="240" formatCode="#,##0.0\ ;\(#,##0.0\ \)"/>
    <numFmt numFmtId="241" formatCode="0.0%;0.0%;\-\ "/>
    <numFmt numFmtId="242" formatCode="0.0%\ ;\(0.0%\)"/>
    <numFmt numFmtId="243" formatCode="_ * #,##0.00_)\ _$_ ;_ * \(#,##0.00\)\ _$_ ;_ * &quot;-&quot;??_)\ _$_ ;_ @_ "/>
    <numFmt numFmtId="244" formatCode="#,##0.00000\ ;\(#,##0.00000\ \)"/>
    <numFmt numFmtId="245" formatCode="0.000000000000"/>
    <numFmt numFmtId="246" formatCode="_ * #,##0.00_)\ &quot;$&quot;_ ;_ * \(#,##0.00\)\ &quot;$&quot;_ ;_ * &quot;-&quot;??_)\ &quot;$&quot;_ ;_ @_ "/>
    <numFmt numFmtId="247" formatCode="#,##0.0000\ ;\(#,##0.0000\ \)"/>
    <numFmt numFmtId="248" formatCode="0.000%\ ;\(0.000%\)"/>
    <numFmt numFmtId="249" formatCode="#,##0.0\x_)_);\(#,##0.0\x\)_);#,##0.0\x_)_);@_%_)"/>
    <numFmt numFmtId="250" formatCode="_(* #,##0.00000_);_(* \(#,##0.00000\);_(* &quot;-&quot;?_);_(@_)"/>
    <numFmt numFmtId="251" formatCode="0.00_)"/>
    <numFmt numFmtId="252" formatCode="#,##0.000_);[Red]\(#,##0.000\)"/>
    <numFmt numFmtId="253" formatCode="0_);\(0\)"/>
    <numFmt numFmtId="254" formatCode="[$-1009]d\-mmm\-yy;@"/>
    <numFmt numFmtId="255" formatCode="#,##0.0_);[Red]\(#,##0.0\);&quot;--  &quot;"/>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1" formatCode="#,###.##"/>
    <numFmt numFmtId="272" formatCode="&quot;$&quot;#,##0.000000_);[Red]\(&quot;$&quot;#,##0.000000\)"/>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quot;$&quot;#,##0.00000"/>
    <numFmt numFmtId="284" formatCode="_-&quot;$&quot;* #,##0_-;\-&quot;$&quot;* #,##0_-;_-&quot;$&quot;* &quot;-&quot;??_-;_-@_-"/>
    <numFmt numFmtId="285" formatCode="&quot;$&quot;#,##0.0000_);[Red]\(&quot;$&quot;#,##0.0000\)"/>
    <numFmt numFmtId="286" formatCode="&quot;$&quot;#,##0.0000;[Red]&quot;$&quot;#,##0.0000"/>
    <numFmt numFmtId="287" formatCode="#,##0.0"/>
  </numFmts>
  <fonts count="243">
    <font>
      <sz val="11"/>
      <color theme="1"/>
      <name val="Calibri"/>
      <family val="2"/>
      <scheme val="minor"/>
    </font>
    <font>
      <sz val="10"/>
      <color theme="1"/>
      <name val="Arial"/>
      <family val="2"/>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5422223578601"/>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family val="2"/>
      <charset val="204"/>
    </font>
    <font>
      <sz val="10"/>
      <name val="Frutiger 45 Light"/>
      <family val="2"/>
    </font>
    <font>
      <sz val="10"/>
      <name val="Times New Roman"/>
      <family val="1"/>
    </font>
    <font>
      <sz val="8"/>
      <color indexed="12"/>
      <name val="Arial"/>
      <family val="2"/>
    </font>
    <font>
      <sz val="10"/>
      <name val="Book Antiqua"/>
      <family val="1"/>
    </font>
    <font>
      <sz val="10"/>
      <name val="Geneva"/>
      <family val="2"/>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amily val="2"/>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amily val="2"/>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amily val="2"/>
    </font>
    <font>
      <i/>
      <sz val="14"/>
      <name val="Palatino"/>
      <family val="1"/>
    </font>
    <font>
      <b/>
      <sz val="11"/>
      <color theme="3"/>
      <name val="Calibri"/>
      <family val="2"/>
    </font>
    <font>
      <b/>
      <sz val="9"/>
      <name val="Times New Roman"/>
      <family val="1"/>
    </font>
    <font>
      <b/>
      <i/>
      <sz val="22"/>
      <name val="Times New Roman"/>
      <family val="1"/>
    </font>
    <font>
      <b/>
      <sz val="10"/>
      <name val="Helv"/>
      <family val="2"/>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amily val="2"/>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amily val="2"/>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amily val="2"/>
    </font>
    <font>
      <sz val="22"/>
      <name val="UBSHeadline"/>
      <family val="1"/>
    </font>
    <font>
      <sz val="10"/>
      <name val="Tms Rmn"/>
      <family val="2"/>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amily val="2"/>
    </font>
    <font>
      <b/>
      <sz val="12"/>
      <name val="MS Sans Serif"/>
      <family val="2"/>
    </font>
    <font>
      <u val="singleAccounting"/>
      <sz val="10"/>
      <name val="Arial"/>
      <family val="2"/>
    </font>
    <font>
      <u val="singleAccounting"/>
      <sz val="10"/>
      <name val="Times New Roman"/>
      <family val="1"/>
    </font>
    <font>
      <vertAlign val="superscript"/>
      <sz val="12"/>
      <name val="Helv"/>
      <family val="2"/>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amily val="2"/>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amily val="2"/>
    </font>
    <font>
      <b/>
      <sz val="11"/>
      <name val="Times New Roman"/>
      <family val="1"/>
    </font>
    <font>
      <b/>
      <sz val="14"/>
      <color indexed="16"/>
      <name val="Sabon"/>
      <family val="2"/>
    </font>
    <font>
      <b/>
      <sz val="12"/>
      <name val="Helv"/>
      <family val="2"/>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5422223578601"/>
      <name val="Arial"/>
      <family val="2"/>
    </font>
    <font>
      <sz val="10"/>
      <color theme="0" tint="-0.49995422223578601"/>
      <name val="Arial"/>
      <family val="2"/>
    </font>
    <font>
      <sz val="12"/>
      <color rgb="FF000000"/>
      <name val="Arial"/>
      <family val="2"/>
    </font>
    <font>
      <b/>
      <sz val="12"/>
      <color theme="0"/>
      <name val="Arial"/>
      <family val="2"/>
    </font>
    <font>
      <sz val="11"/>
      <color theme="0" tint="-0.24994659260841701"/>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sz val="11"/>
      <color rgb="FF000000"/>
      <name val="Calibri"/>
      <family val="2"/>
      <scheme val="minor"/>
    </font>
    <font>
      <sz val="11"/>
      <color theme="1"/>
      <name val="Calibri"/>
      <family val="2"/>
      <scheme val="minor"/>
    </font>
  </fonts>
  <fills count="8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54"/>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gray125">
        <fgColor indexed="8"/>
      </patternFill>
    </fill>
    <fill>
      <patternFill patternType="solid">
        <fgColor rgb="FFFFC7CE"/>
        <bgColor indexed="64"/>
      </patternFill>
    </fill>
    <fill>
      <patternFill patternType="solid">
        <fgColor indexed="32"/>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lightGray">
        <fgColor indexed="12"/>
      </patternFill>
    </fill>
    <fill>
      <patternFill patternType="solid">
        <fgColor indexed="9"/>
        <bgColor indexed="64"/>
      </patternFill>
    </fill>
    <fill>
      <patternFill patternType="solid">
        <fgColor indexed="35"/>
        <bgColor indexed="64"/>
      </patternFill>
    </fill>
    <fill>
      <patternFill patternType="solid">
        <fgColor rgb="FFC6EFCE"/>
        <bgColor indexed="64"/>
      </patternFill>
    </fill>
    <fill>
      <patternFill patternType="solid">
        <fgColor indexed="22"/>
        <bgColor indexed="64"/>
      </patternFill>
    </fill>
    <fill>
      <patternFill patternType="solid">
        <fgColor rgb="FFFFCC99"/>
        <bgColor indexed="64"/>
      </patternFill>
    </fill>
    <fill>
      <patternFill patternType="solid">
        <fgColor indexed="13"/>
        <bgColor indexed="64"/>
      </patternFill>
    </fill>
    <fill>
      <patternFill patternType="mediumGray">
        <fgColor indexed="9"/>
        <bgColor indexed="22"/>
      </patternFill>
    </fill>
    <fill>
      <patternFill patternType="gray0625">
        <fgColor indexed="22"/>
      </patternFill>
    </fill>
    <fill>
      <patternFill patternType="solid">
        <fgColor rgb="FFFFEB9C"/>
        <bgColor indexed="64"/>
      </patternFill>
    </fill>
    <fill>
      <patternFill patternType="solid">
        <fgColor indexed="41"/>
        <bgColor indexed="64"/>
      </patternFill>
    </fill>
    <fill>
      <patternFill patternType="solid">
        <fgColor rgb="FFFFFFCC"/>
        <bgColor indexed="64"/>
      </patternFill>
    </fill>
    <fill>
      <patternFill patternType="solid">
        <fgColor indexed="40"/>
        <bgColor indexed="64"/>
      </patternFill>
    </fill>
    <fill>
      <patternFill patternType="mediumGray">
        <fgColor indexed="22"/>
      </patternFill>
    </fill>
    <fill>
      <patternFill patternType="solid">
        <fgColor indexed="22"/>
        <bgColor indexed="6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bgColor indexed="64"/>
      </patternFill>
    </fill>
    <fill>
      <patternFill patternType="solid">
        <fgColor indexed="16"/>
        <bgColor indexed="64"/>
      </patternFill>
    </fill>
    <fill>
      <patternFill patternType="solid">
        <fgColor indexed="38"/>
        <bgColor indexed="64"/>
      </patternFill>
    </fill>
    <fill>
      <patternFill patternType="solid">
        <fgColor theme="0"/>
        <bgColor indexed="64"/>
      </patternFill>
    </fill>
    <fill>
      <patternFill patternType="solid">
        <fgColor theme="1"/>
        <bgColor indexed="64"/>
      </patternFill>
    </fill>
    <fill>
      <patternFill patternType="solid">
        <fgColor theme="0"/>
        <bgColor indexed="64"/>
      </patternFill>
    </fill>
    <fill>
      <patternFill patternType="solid">
        <fgColor theme="1"/>
        <bgColor indexed="64"/>
      </patternFill>
    </fill>
    <fill>
      <patternFill patternType="solid">
        <fgColor rgb="FFFFFFFF"/>
        <bgColor indexed="64"/>
      </patternFill>
    </fill>
    <fill>
      <patternFill patternType="solid">
        <fgColor rgb="FFEBF1DE"/>
        <bgColor indexed="64"/>
      </patternFill>
    </fill>
    <fill>
      <patternFill patternType="solid">
        <fgColor theme="0" tint="-4.9958800012207406E-2"/>
        <bgColor indexed="64"/>
      </patternFill>
    </fill>
    <fill>
      <patternFill patternType="solid">
        <fgColor rgb="FFFFFF00"/>
        <bgColor indexed="64"/>
      </patternFill>
    </fill>
    <fill>
      <patternFill patternType="solid">
        <fgColor theme="0" tint="-0.14996795556505021"/>
        <bgColor indexed="64"/>
      </patternFill>
    </fill>
    <fill>
      <patternFill patternType="solid">
        <fgColor rgb="FFD9E2F3"/>
        <bgColor indexed="64"/>
      </patternFill>
    </fill>
  </fills>
  <borders count="1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style="thin">
        <color auto="1"/>
      </right>
      <top style="thin">
        <color auto="1"/>
      </top>
      <bottom style="thin">
        <color auto="1"/>
      </bottom>
      <diagonal/>
    </border>
    <border>
      <left/>
      <right/>
      <top style="thin">
        <color indexed="62"/>
      </top>
      <bottom style="double">
        <color indexed="62"/>
      </bottom>
      <diagonal/>
    </border>
    <border>
      <left style="thin">
        <color auto="1"/>
      </left>
      <right style="thin">
        <color auto="1"/>
      </right>
      <top/>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style="thin">
        <color auto="1"/>
      </left>
      <right/>
      <top/>
      <bottom/>
      <diagonal/>
    </border>
    <border>
      <left/>
      <right/>
      <top/>
      <bottom style="thin">
        <color auto="1"/>
      </bottom>
      <diagonal/>
    </border>
    <border>
      <left/>
      <right/>
      <top/>
      <bottom style="medium">
        <color auto="1"/>
      </bottom>
      <diagonal/>
    </border>
    <border>
      <left/>
      <right/>
      <top/>
      <bottom style="thin">
        <color indexed="28"/>
      </bottom>
      <diagonal/>
    </border>
    <border>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style="thin">
        <color auto="1"/>
      </left>
      <right style="thin">
        <color auto="1"/>
      </right>
      <top/>
      <bottom style="thin">
        <color auto="1"/>
      </bottom>
      <diagonal/>
    </border>
    <border>
      <left/>
      <right/>
      <top/>
      <bottom style="dotted">
        <color auto="1"/>
      </bottom>
      <diagonal/>
    </border>
    <border>
      <left style="thin">
        <color auto="1"/>
      </left>
      <right/>
      <top style="thin">
        <color auto="1"/>
      </top>
      <bottom/>
      <diagonal/>
    </border>
    <border>
      <left/>
      <right/>
      <top style="medium">
        <color auto="1"/>
      </top>
      <bottom style="medium">
        <color auto="1"/>
      </bottom>
      <diagonal/>
    </border>
    <border>
      <left/>
      <right/>
      <top style="thin">
        <color auto="1"/>
      </top>
      <bottom style="thin">
        <color auto="1"/>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thick">
        <color auto="1"/>
      </bottom>
      <diagonal/>
    </border>
    <border>
      <left/>
      <right/>
      <top/>
      <bottom style="thin">
        <color indexed="8"/>
      </bottom>
      <diagonal/>
    </border>
    <border>
      <left/>
      <right/>
      <top/>
      <bottom style="hair">
        <color auto="1"/>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top/>
      <bottom style="double">
        <color rgb="FFFF8001"/>
      </bottom>
      <diagonal/>
    </border>
    <border>
      <left/>
      <right style="hair">
        <color auto="1"/>
      </right>
      <top/>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theme="4"/>
      </top>
      <bottom style="double">
        <color theme="4"/>
      </bottom>
      <diagonal/>
    </border>
    <border>
      <left/>
      <right/>
      <top style="thin">
        <color auto="1"/>
      </top>
      <bottom style="medium">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hair">
        <color auto="1"/>
      </left>
      <right style="thin">
        <color auto="1"/>
      </right>
      <top style="hair">
        <color auto="1"/>
      </top>
      <bottom style="hair">
        <color auto="1"/>
      </bottom>
      <diagonal/>
    </border>
    <border>
      <left style="thin">
        <color auto="1"/>
      </left>
      <right/>
      <top/>
      <bottom style="thin">
        <color auto="1"/>
      </bottom>
      <diagonal/>
    </border>
    <border>
      <left style="thin">
        <color auto="1"/>
      </left>
      <right style="medium">
        <color rgb="FFFFFFFF"/>
      </right>
      <top style="medium">
        <color rgb="FFFFFFFF"/>
      </top>
      <bottom style="medium">
        <color rgb="FFFFFFFF"/>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style="thin">
        <color auto="1"/>
      </right>
      <top/>
      <bottom style="hair">
        <color auto="1"/>
      </bottom>
      <diagonal/>
    </border>
    <border>
      <left/>
      <right style="thin">
        <color auto="1"/>
      </right>
      <top style="thin">
        <color auto="1"/>
      </top>
      <bottom/>
      <diagonal/>
    </border>
    <border>
      <left style="hair">
        <color auto="1"/>
      </left>
      <right/>
      <top style="hair">
        <color auto="1"/>
      </top>
      <bottom style="hair">
        <color auto="1"/>
      </bottom>
      <diagonal/>
    </border>
    <border>
      <left style="medium">
        <color rgb="FFFFFFFF"/>
      </left>
      <right/>
      <top/>
      <bottom/>
      <diagonal/>
    </border>
    <border>
      <left style="thin">
        <color auto="1"/>
      </left>
      <right style="medium">
        <color rgb="FFFFFFFF"/>
      </right>
      <top style="medium">
        <color rgb="FFFFFFFF"/>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double">
        <color auto="1"/>
      </bottom>
      <diagonal/>
    </border>
    <border>
      <left style="thin">
        <color auto="1"/>
      </left>
      <right style="thin">
        <color auto="1"/>
      </right>
      <top style="hair">
        <color auto="1"/>
      </top>
      <bottom style="thin">
        <color auto="1"/>
      </bottom>
      <diagonal/>
    </border>
    <border>
      <left style="thin">
        <color auto="1"/>
      </left>
      <right style="medium">
        <color rgb="FFFFFFFF"/>
      </right>
      <top/>
      <bottom style="medium">
        <color rgb="FFFFFFFF"/>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auto="1"/>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right style="thin">
        <color auto="1"/>
      </right>
      <top/>
      <bottom style="thin">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theme="0"/>
      </left>
      <right/>
      <top/>
      <bottom/>
      <diagonal/>
    </border>
    <border>
      <left style="thin">
        <color auto="1"/>
      </left>
      <right style="hair">
        <color auto="1"/>
      </right>
      <top style="hair">
        <color auto="1"/>
      </top>
      <bottom style="thin">
        <color auto="1"/>
      </bottom>
      <diagonal/>
    </border>
    <border>
      <left style="thin">
        <color auto="1"/>
      </left>
      <right style="hair">
        <color auto="1"/>
      </right>
      <top/>
      <bottom style="hair">
        <color auto="1"/>
      </bottom>
      <diagonal/>
    </border>
    <border>
      <left style="thin">
        <color auto="1"/>
      </left>
      <right/>
      <top style="hair">
        <color auto="1"/>
      </top>
      <bottom/>
      <diagonal/>
    </border>
    <border>
      <left style="thin">
        <color auto="1"/>
      </left>
      <right/>
      <top style="hair">
        <color auto="1"/>
      </top>
      <bottom style="thin">
        <color auto="1"/>
      </bottom>
      <diagonal/>
    </border>
    <border>
      <left/>
      <right/>
      <top style="hair">
        <color auto="1"/>
      </top>
      <bottom/>
      <diagonal/>
    </border>
    <border>
      <left style="thin">
        <color auto="1"/>
      </left>
      <right/>
      <top style="medium">
        <color theme="0"/>
      </top>
      <bottom style="medium">
        <color rgb="FFFFFFFF"/>
      </bottom>
      <diagonal/>
    </border>
    <border>
      <left style="thin">
        <color auto="1"/>
      </left>
      <right/>
      <top style="medium">
        <color rgb="FFFFFFFF"/>
      </top>
      <bottom style="medium">
        <color rgb="FFFFFFFF"/>
      </bottom>
      <diagonal/>
    </border>
    <border>
      <left style="thin">
        <color auto="1"/>
      </left>
      <right/>
      <top style="hair">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style="thin">
        <color auto="1"/>
      </left>
      <right style="thin">
        <color auto="1"/>
      </right>
      <top style="hair">
        <color auto="1"/>
      </top>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style="medium">
        <color auto="1"/>
      </right>
      <top/>
      <bottom style="thick">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style="thick">
        <color auto="1"/>
      </left>
      <right style="medium">
        <color auto="1"/>
      </right>
      <top style="medium">
        <color auto="1"/>
      </top>
      <bottom/>
      <diagonal/>
    </border>
    <border>
      <left style="thick">
        <color auto="1"/>
      </left>
      <right style="medium">
        <color auto="1"/>
      </right>
      <top/>
      <bottom style="medium">
        <color auto="1"/>
      </bottom>
      <diagonal/>
    </border>
    <border>
      <left style="thick">
        <color auto="1"/>
      </left>
      <right style="medium">
        <color auto="1"/>
      </right>
      <top/>
      <bottom style="thick">
        <color auto="1"/>
      </bottom>
      <diagonal/>
    </border>
    <border>
      <left style="thick">
        <color auto="1"/>
      </left>
      <right style="medium">
        <color auto="1"/>
      </right>
      <top style="thick">
        <color auto="1"/>
      </top>
      <bottom/>
      <diagonal/>
    </border>
    <border>
      <left style="hair">
        <color auto="1"/>
      </left>
      <right style="hair">
        <color auto="1"/>
      </right>
      <top style="thin">
        <color auto="1"/>
      </top>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bottom style="hair">
        <color auto="1"/>
      </bottom>
      <diagonal/>
    </border>
    <border>
      <left/>
      <right style="medium">
        <color rgb="FFFFFFFF"/>
      </right>
      <top style="medium">
        <color rgb="FFFFFFFF"/>
      </top>
      <bottom style="medium">
        <color rgb="FFFFFFFF"/>
      </bottom>
      <diagonal/>
    </border>
    <border>
      <left style="thin">
        <color theme="0"/>
      </left>
      <right/>
      <top/>
      <bottom style="thin">
        <color theme="0"/>
      </bottom>
      <diagonal/>
    </border>
    <border>
      <left/>
      <right/>
      <top/>
      <bottom style="thin">
        <color theme="0"/>
      </bottom>
      <diagonal/>
    </border>
    <border>
      <left/>
      <right style="thin">
        <color auto="1"/>
      </right>
      <top/>
      <bottom style="thin">
        <color theme="0"/>
      </bottom>
      <diagonal/>
    </border>
    <border>
      <left style="thin">
        <color auto="1"/>
      </left>
      <right style="thin">
        <color theme="0"/>
      </right>
      <top style="thin">
        <color auto="1"/>
      </top>
      <bottom/>
      <diagonal/>
    </border>
    <border>
      <left style="thin">
        <color auto="1"/>
      </left>
      <right style="thin">
        <color theme="0"/>
      </right>
      <top/>
      <bottom/>
      <diagonal/>
    </border>
    <border>
      <left style="thin">
        <color theme="0"/>
      </left>
      <right style="thin">
        <color theme="0"/>
      </right>
      <top style="thin">
        <color auto="1"/>
      </top>
      <bottom/>
      <diagonal/>
    </border>
    <border>
      <left style="thin">
        <color theme="0"/>
      </left>
      <right style="thin">
        <color theme="0"/>
      </right>
      <top/>
      <bottom style="thin">
        <color theme="0"/>
      </bottom>
      <diagonal/>
    </border>
    <border>
      <left style="thin">
        <color theme="0"/>
      </left>
      <right/>
      <top style="thin">
        <color auto="1"/>
      </top>
      <bottom style="thin">
        <color theme="0"/>
      </bottom>
      <diagonal/>
    </border>
    <border>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theme="0"/>
      </right>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9773">
    <xf numFmtId="0" fontId="0" fillId="0" borderId="0"/>
    <xf numFmtId="9" fontId="242" fillId="0" borderId="0" applyFont="0" applyFill="0" applyBorder="0" applyAlignment="0" applyProtection="0"/>
    <xf numFmtId="44" fontId="242" fillId="0" borderId="0" applyFont="0" applyFill="0" applyBorder="0" applyAlignment="0" applyProtection="0"/>
    <xf numFmtId="167" fontId="242" fillId="0" borderId="0" applyFont="0" applyFill="0" applyBorder="0" applyAlignment="0" applyProtection="0"/>
    <xf numFmtId="167" fontId="9" fillId="0" borderId="0" applyFont="0" applyFill="0" applyBorder="0" applyAlignment="0" applyProtection="0"/>
    <xf numFmtId="167" fontId="10"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0" fontId="9" fillId="0" borderId="0"/>
    <xf numFmtId="0" fontId="10" fillId="0" borderId="0"/>
    <xf numFmtId="0" fontId="9" fillId="0" borderId="0"/>
    <xf numFmtId="9" fontId="9"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43" fontId="9" fillId="0" borderId="0" applyFont="0" applyFill="0" applyBorder="0" applyAlignment="0" applyProtection="0"/>
    <xf numFmtId="43" fontId="9" fillId="0" borderId="0" applyFont="0" applyFill="0" applyBorder="0" applyAlignment="0" applyProtection="0"/>
    <xf numFmtId="43" fontId="242"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6" applyNumberFormat="0" applyFill="0" applyAlignment="0" applyProtection="0"/>
    <xf numFmtId="0" fontId="24" fillId="22" borderId="0" applyNumberFormat="0" applyBorder="0" applyAlignment="0" applyProtection="0"/>
    <xf numFmtId="0" fontId="16" fillId="0" borderId="0"/>
    <xf numFmtId="0" fontId="16" fillId="0" borderId="0"/>
    <xf numFmtId="0" fontId="242" fillId="0" borderId="0"/>
    <xf numFmtId="0" fontId="9" fillId="0" borderId="0"/>
    <xf numFmtId="0" fontId="242" fillId="0" borderId="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9" fontId="242" fillId="0" borderId="0" applyFont="0" applyFill="0" applyBorder="0" applyAlignment="0" applyProtection="0"/>
    <xf numFmtId="0" fontId="9" fillId="24" borderId="9" applyNumberFormat="0" applyProtection="0">
      <alignment horizontal="left" vertical="center"/>
    </xf>
    <xf numFmtId="0" fontId="9" fillId="24" borderId="9" applyNumberFormat="0" applyProtection="0">
      <alignment horizontal="left" vertical="center"/>
    </xf>
    <xf numFmtId="0" fontId="26" fillId="0" borderId="0" applyNumberFormat="0" applyFill="0" applyBorder="0" applyAlignment="0" applyProtection="0"/>
    <xf numFmtId="0" fontId="27" fillId="0" borderId="10" applyNumberFormat="0" applyFill="0" applyAlignment="0" applyProtection="0"/>
    <xf numFmtId="0" fontId="28" fillId="0" borderId="0" applyNumberFormat="0" applyFill="0" applyBorder="0" applyAlignment="0" applyProtection="0"/>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34" fillId="0" borderId="0" applyNumberFormat="0" applyFill="0" applyBorder="0" applyAlignment="0" applyProtection="0"/>
    <xf numFmtId="0" fontId="242" fillId="0" borderId="0"/>
    <xf numFmtId="9" fontId="242" fillId="0" borderId="0" applyFont="0" applyFill="0" applyBorder="0" applyAlignment="0" applyProtection="0"/>
    <xf numFmtId="0" fontId="9" fillId="24" borderId="9" applyNumberFormat="0" applyProtection="0">
      <alignment horizontal="left" vertical="center"/>
    </xf>
    <xf numFmtId="0" fontId="9" fillId="24" borderId="9" applyNumberFormat="0" applyProtection="0">
      <alignment horizontal="left" vertical="center"/>
    </xf>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167" fontId="242"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67" fontId="242"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9" fillId="24" borderId="9" applyNumberFormat="0" applyProtection="0">
      <alignment horizontal="left" vertical="center"/>
    </xf>
    <xf numFmtId="0" fontId="9" fillId="24" borderId="9" applyNumberFormat="0" applyProtection="0">
      <alignment horizontal="left" vertical="center"/>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67" fontId="242"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0"/>
    <xf numFmtId="0" fontId="10" fillId="0" borderId="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67" fontId="73" fillId="0" borderId="0" applyFont="0" applyFill="0" applyBorder="0" applyAlignment="0" applyProtection="0"/>
    <xf numFmtId="0" fontId="10" fillId="0" borderId="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242" fillId="0" borderId="0"/>
    <xf numFmtId="0" fontId="9" fillId="0" borderId="0"/>
    <xf numFmtId="0" fontId="9" fillId="0" borderId="0" applyFont="0" applyFill="0" applyBorder="0" applyAlignment="0" applyProtection="0"/>
    <xf numFmtId="179" fontId="9" fillId="0" borderId="0" applyFont="0" applyFill="0" applyBorder="0" applyAlignment="0" applyProtection="0"/>
    <xf numFmtId="0" fontId="74" fillId="0" borderId="0"/>
    <xf numFmtId="0" fontId="75" fillId="0" borderId="0" applyFont="0" applyFill="0" applyBorder="0" applyAlignment="0" applyProtection="0"/>
    <xf numFmtId="180" fontId="9" fillId="0" borderId="0" applyFont="0" applyFill="0" applyBorder="0" applyAlignment="0" applyProtection="0"/>
    <xf numFmtId="176" fontId="9" fillId="0" borderId="0" applyFont="0" applyFill="0" applyBorder="0" applyAlignment="0" applyProtection="0"/>
    <xf numFmtId="181" fontId="76" fillId="0" borderId="0" applyFont="0" applyFill="0" applyBorder="0" applyAlignment="0" applyProtection="0"/>
    <xf numFmtId="182" fontId="76" fillId="0" borderId="0" applyFont="0" applyFill="0" applyBorder="0" applyAlignment="0" applyProtection="0"/>
    <xf numFmtId="39" fontId="9" fillId="0" borderId="0" applyFont="0" applyFill="0" applyBorder="0" applyAlignment="0" applyProtection="0"/>
    <xf numFmtId="0" fontId="74" fillId="0" borderId="0"/>
    <xf numFmtId="0" fontId="9" fillId="0" borderId="0">
      <alignment vertical="top"/>
    </xf>
    <xf numFmtId="0" fontId="75" fillId="0" borderId="0" applyNumberFormat="0" applyFill="0">
      <alignment horizontal="left" vertical="center" wrapText="1"/>
    </xf>
    <xf numFmtId="183" fontId="9" fillId="0" borderId="0" applyFont="0" applyFill="0" applyBorder="0" applyAlignment="0" applyProtection="0"/>
    <xf numFmtId="184" fontId="76" fillId="0" borderId="0" applyFont="0" applyFill="0" applyBorder="0" applyAlignment="0" applyProtection="0"/>
    <xf numFmtId="185" fontId="76" fillId="0" borderId="0" applyFont="0" applyFill="0" applyBorder="0" applyAlignment="0" applyProtection="0"/>
    <xf numFmtId="186" fontId="76" fillId="0" borderId="0" applyFont="0" applyFill="0" applyBorder="0" applyAlignment="0" applyProtection="0"/>
    <xf numFmtId="187" fontId="76" fillId="0" borderId="0" applyFont="0" applyFill="0" applyBorder="0" applyAlignment="0" applyProtection="0"/>
    <xf numFmtId="188" fontId="9" fillId="0" borderId="0" applyFont="0" applyFill="0" applyBorder="0" applyAlignment="0" applyProtection="0"/>
    <xf numFmtId="189" fontId="9" fillId="0" borderId="0" applyFont="0" applyFill="0" applyBorder="0" applyAlignment="0" applyProtection="0"/>
    <xf numFmtId="190" fontId="9" fillId="0" borderId="0" applyFont="0" applyFill="0" applyBorder="0" applyProtection="0">
      <alignment horizontal="right"/>
    </xf>
    <xf numFmtId="191" fontId="76" fillId="0" borderId="0" applyFont="0" applyFill="0" applyBorder="0" applyAlignment="0" applyProtection="0"/>
    <xf numFmtId="41" fontId="76" fillId="0" borderId="0" applyFont="0" applyFill="0" applyBorder="0" applyAlignment="0" applyProtection="0"/>
    <xf numFmtId="192" fontId="9" fillId="0" borderId="0" applyFont="0" applyFill="0" applyBorder="0" applyAlignment="0" applyProtection="0"/>
    <xf numFmtId="173" fontId="9" fillId="0" borderId="0" applyFont="0" applyFill="0" applyBorder="0" applyAlignment="0" applyProtection="0"/>
    <xf numFmtId="193" fontId="76" fillId="0" borderId="0" applyFont="0" applyFill="0" applyBorder="0" applyAlignment="0" applyProtection="0"/>
    <xf numFmtId="193" fontId="9" fillId="0" borderId="0" applyFont="0" applyFill="0" applyBorder="0" applyAlignment="0" applyProtection="0"/>
    <xf numFmtId="194" fontId="9" fillId="0" borderId="0" applyFont="0" applyFill="0" applyBorder="0" applyAlignment="0" applyProtection="0"/>
    <xf numFmtId="195" fontId="9" fillId="0" borderId="0" applyFont="0" applyFill="0" applyBorder="0" applyAlignment="0" applyProtection="0"/>
    <xf numFmtId="196" fontId="9" fillId="0" borderId="0" applyFont="0" applyFill="0" applyBorder="0" applyAlignment="0" applyProtection="0"/>
    <xf numFmtId="0" fontId="9" fillId="0" borderId="0"/>
    <xf numFmtId="0" fontId="9" fillId="0" borderId="0"/>
    <xf numFmtId="9" fontId="77" fillId="0" borderId="0">
      <alignment horizontal="right"/>
    </xf>
    <xf numFmtId="9" fontId="75" fillId="0" borderId="0">
      <alignment horizontal="right"/>
    </xf>
    <xf numFmtId="0" fontId="9" fillId="16" borderId="1" applyNumberFormat="0">
      <alignment horizontal="centerContinuous" vertical="center" wrapText="1"/>
    </xf>
    <xf numFmtId="0" fontId="9" fillId="25" borderId="1" applyNumberFormat="0">
      <alignment horizontal="left" vertical="center"/>
    </xf>
    <xf numFmtId="43" fontId="78" fillId="0" borderId="0" applyFont="0" applyFill="0" applyBorder="0" applyAlignment="0" applyProtection="0"/>
    <xf numFmtId="0" fontId="9" fillId="0" borderId="0"/>
    <xf numFmtId="9" fontId="79" fillId="0" borderId="0" applyFont="0" applyFill="0" applyBorder="0" applyAlignment="0" applyProtection="0"/>
    <xf numFmtId="10" fontId="79" fillId="0" borderId="0" applyFont="0" applyFill="0" applyBorder="0" applyAlignment="0" applyProtection="0"/>
    <xf numFmtId="0" fontId="76" fillId="0" borderId="0" applyNumberFormat="0" applyFill="0" applyBorder="0" applyAlignment="0" applyProtection="0"/>
    <xf numFmtId="0" fontId="16" fillId="0" borderId="0"/>
    <xf numFmtId="0" fontId="75" fillId="0" borderId="0" applyNumberFormat="0" applyFill="0">
      <alignment horizontal="left" vertical="center" wrapText="1"/>
    </xf>
    <xf numFmtId="5" fontId="79" fillId="0" borderId="0" applyFont="0" applyFill="0" applyBorder="0" applyAlignment="0" applyProtection="0"/>
    <xf numFmtId="8" fontId="79" fillId="0" borderId="0" applyFont="0" applyFill="0" applyBorder="0" applyAlignment="0" applyProtection="0"/>
    <xf numFmtId="0" fontId="80" fillId="0" borderId="0" applyFont="0" applyFill="0" applyBorder="0" applyAlignment="0" applyProtection="0"/>
    <xf numFmtId="198" fontId="80" fillId="0" borderId="0" applyFont="0" applyFill="0" applyBorder="0" applyAlignment="0" applyProtection="0"/>
    <xf numFmtId="0" fontId="75" fillId="24" borderId="0" applyFont="0" applyFill="0" applyProtection="0"/>
    <xf numFmtId="179" fontId="9" fillId="0" borderId="0"/>
    <xf numFmtId="199" fontId="81" fillId="0" borderId="0" applyFill="0" applyBorder="0" applyProtection="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242" fillId="26" borderId="0" applyNumberFormat="0" applyBorder="0" applyAlignment="0" applyProtection="0"/>
    <xf numFmtId="0" fontId="37"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37" fillId="26" borderId="0" applyNumberFormat="0" applyBorder="0" applyAlignment="0" applyProtection="0"/>
    <xf numFmtId="0" fontId="242"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37" fillId="26" borderId="0" applyNumberFormat="0" applyBorder="0" applyAlignment="0" applyProtection="0"/>
    <xf numFmtId="0" fontId="8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6" borderId="0" applyNumberFormat="0" applyBorder="0" applyAlignment="0" applyProtection="0"/>
    <xf numFmtId="0" fontId="242" fillId="27" borderId="0" applyNumberFormat="0" applyBorder="0" applyAlignment="0" applyProtection="0"/>
    <xf numFmtId="0" fontId="37"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37" fillId="27" borderId="0" applyNumberFormat="0" applyBorder="0" applyAlignment="0" applyProtection="0"/>
    <xf numFmtId="0" fontId="242"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8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7" borderId="0" applyNumberFormat="0" applyBorder="0" applyAlignment="0" applyProtection="0"/>
    <xf numFmtId="0" fontId="242" fillId="28" borderId="0" applyNumberFormat="0" applyBorder="0" applyAlignment="0" applyProtection="0"/>
    <xf numFmtId="0" fontId="37"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37" fillId="28" borderId="0" applyNumberFormat="0" applyBorder="0" applyAlignment="0" applyProtection="0"/>
    <xf numFmtId="0" fontId="242"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8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8" borderId="0" applyNumberFormat="0" applyBorder="0" applyAlignment="0" applyProtection="0"/>
    <xf numFmtId="0" fontId="242" fillId="29" borderId="0" applyNumberFormat="0" applyBorder="0" applyAlignment="0" applyProtection="0"/>
    <xf numFmtId="0" fontId="37"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37" fillId="29" borderId="0" applyNumberFormat="0" applyBorder="0" applyAlignment="0" applyProtection="0"/>
    <xf numFmtId="0" fontId="242"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37" fillId="29" borderId="0" applyNumberFormat="0" applyBorder="0" applyAlignment="0" applyProtection="0"/>
    <xf numFmtId="0" fontId="8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29" borderId="0" applyNumberFormat="0" applyBorder="0" applyAlignment="0" applyProtection="0"/>
    <xf numFmtId="0" fontId="242" fillId="30" borderId="0" applyNumberFormat="0" applyBorder="0" applyAlignment="0" applyProtection="0"/>
    <xf numFmtId="0" fontId="37"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37" fillId="30" borderId="0" applyNumberFormat="0" applyBorder="0" applyAlignment="0" applyProtection="0"/>
    <xf numFmtId="0" fontId="242"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37" fillId="30" borderId="0" applyNumberFormat="0" applyBorder="0" applyAlignment="0" applyProtection="0"/>
    <xf numFmtId="0" fontId="8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0" borderId="0" applyNumberFormat="0" applyBorder="0" applyAlignment="0" applyProtection="0"/>
    <xf numFmtId="0" fontId="242" fillId="31" borderId="0" applyNumberFormat="0" applyBorder="0" applyAlignment="0" applyProtection="0"/>
    <xf numFmtId="0" fontId="37"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37" fillId="31" borderId="0" applyNumberFormat="0" applyBorder="0" applyAlignment="0" applyProtection="0"/>
    <xf numFmtId="0" fontId="242"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8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242" fillId="31"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242" fillId="32" borderId="0" applyNumberFormat="0" applyBorder="0" applyAlignment="0" applyProtection="0"/>
    <xf numFmtId="0" fontId="37"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37" fillId="32" borderId="0" applyNumberFormat="0" applyBorder="0" applyAlignment="0" applyProtection="0"/>
    <xf numFmtId="0" fontId="242"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8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2" borderId="0" applyNumberFormat="0" applyBorder="0" applyAlignment="0" applyProtection="0"/>
    <xf numFmtId="0" fontId="242" fillId="33" borderId="0" applyNumberFormat="0" applyBorder="0" applyAlignment="0" applyProtection="0"/>
    <xf numFmtId="0" fontId="37"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37" fillId="33" borderId="0" applyNumberFormat="0" applyBorder="0" applyAlignment="0" applyProtection="0"/>
    <xf numFmtId="0" fontId="242"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37" fillId="33" borderId="0" applyNumberFormat="0" applyBorder="0" applyAlignment="0" applyProtection="0"/>
    <xf numFmtId="0" fontId="8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3" borderId="0" applyNumberFormat="0" applyBorder="0" applyAlignment="0" applyProtection="0"/>
    <xf numFmtId="0" fontId="242" fillId="34" borderId="0" applyNumberFormat="0" applyBorder="0" applyAlignment="0" applyProtection="0"/>
    <xf numFmtId="0" fontId="37"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37" fillId="34" borderId="0" applyNumberFormat="0" applyBorder="0" applyAlignment="0" applyProtection="0"/>
    <xf numFmtId="0" fontId="242"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8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4" borderId="0" applyNumberFormat="0" applyBorder="0" applyAlignment="0" applyProtection="0"/>
    <xf numFmtId="0" fontId="242" fillId="35" borderId="0" applyNumberFormat="0" applyBorder="0" applyAlignment="0" applyProtection="0"/>
    <xf numFmtId="0" fontId="37"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37" fillId="35" borderId="0" applyNumberFormat="0" applyBorder="0" applyAlignment="0" applyProtection="0"/>
    <xf numFmtId="0" fontId="242"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8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5" borderId="0" applyNumberFormat="0" applyBorder="0" applyAlignment="0" applyProtection="0"/>
    <xf numFmtId="0" fontId="242" fillId="36" borderId="0" applyNumberFormat="0" applyBorder="0" applyAlignment="0" applyProtection="0"/>
    <xf numFmtId="0" fontId="37"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37" fillId="36" borderId="0" applyNumberFormat="0" applyBorder="0" applyAlignment="0" applyProtection="0"/>
    <xf numFmtId="0" fontId="242"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8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6" borderId="0" applyNumberFormat="0" applyBorder="0" applyAlignment="0" applyProtection="0"/>
    <xf numFmtId="0" fontId="242" fillId="37" borderId="0" applyNumberFormat="0" applyBorder="0" applyAlignment="0" applyProtection="0"/>
    <xf numFmtId="0" fontId="37"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37" fillId="37" borderId="0" applyNumberFormat="0" applyBorder="0" applyAlignment="0" applyProtection="0"/>
    <xf numFmtId="0" fontId="242"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8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242" fillId="37"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51" fillId="38" borderId="0" applyNumberFormat="0" applyBorder="0" applyAlignment="0" applyProtection="0"/>
    <xf numFmtId="0" fontId="71" fillId="38" borderId="0" applyNumberFormat="0" applyBorder="0" applyAlignment="0" applyProtection="0"/>
    <xf numFmtId="0" fontId="71" fillId="38"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51" fillId="39" borderId="0" applyNumberFormat="0" applyBorder="0" applyAlignment="0" applyProtection="0"/>
    <xf numFmtId="0" fontId="71" fillId="39" borderId="0" applyNumberFormat="0" applyBorder="0" applyAlignment="0" applyProtection="0"/>
    <xf numFmtId="0" fontId="71" fillId="39"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5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51" fillId="41" borderId="0" applyNumberFormat="0" applyBorder="0" applyAlignment="0" applyProtection="0"/>
    <xf numFmtId="0" fontId="71" fillId="41" borderId="0" applyNumberFormat="0" applyBorder="0" applyAlignment="0" applyProtection="0"/>
    <xf numFmtId="0" fontId="71" fillId="41"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51" fillId="42" borderId="0" applyNumberFormat="0" applyBorder="0" applyAlignment="0" applyProtection="0"/>
    <xf numFmtId="0" fontId="71" fillId="42" borderId="0" applyNumberFormat="0" applyBorder="0" applyAlignment="0" applyProtection="0"/>
    <xf numFmtId="0" fontId="71" fillId="42"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51" fillId="43" borderId="0" applyNumberFormat="0" applyBorder="0" applyAlignment="0" applyProtection="0"/>
    <xf numFmtId="0" fontId="71" fillId="43" borderId="0" applyNumberFormat="0" applyBorder="0" applyAlignment="0" applyProtection="0"/>
    <xf numFmtId="0" fontId="71" fillId="43" borderId="0" applyNumberFormat="0" applyBorder="0" applyAlignment="0" applyProtection="0"/>
    <xf numFmtId="200" fontId="9" fillId="0" borderId="11">
      <alignment horizontal="right"/>
    </xf>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51" fillId="44" borderId="0" applyNumberFormat="0" applyBorder="0" applyAlignment="0" applyProtection="0"/>
    <xf numFmtId="0" fontId="71" fillId="44" borderId="0" applyNumberFormat="0" applyBorder="0" applyAlignment="0" applyProtection="0"/>
    <xf numFmtId="0" fontId="71" fillId="44"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51" fillId="45" borderId="0" applyNumberFormat="0" applyBorder="0" applyAlignment="0" applyProtection="0"/>
    <xf numFmtId="0" fontId="71" fillId="45" borderId="0" applyNumberFormat="0" applyBorder="0" applyAlignment="0" applyProtection="0"/>
    <xf numFmtId="0" fontId="71" fillId="45"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51" fillId="46" borderId="0" applyNumberFormat="0" applyBorder="0" applyAlignment="0" applyProtection="0"/>
    <xf numFmtId="0" fontId="71" fillId="46" borderId="0" applyNumberFormat="0" applyBorder="0" applyAlignment="0" applyProtection="0"/>
    <xf numFmtId="0" fontId="71" fillId="46"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51" fillId="47" borderId="0" applyNumberFormat="0" applyBorder="0" applyAlignment="0" applyProtection="0"/>
    <xf numFmtId="0" fontId="71" fillId="47" borderId="0" applyNumberFormat="0" applyBorder="0" applyAlignment="0" applyProtection="0"/>
    <xf numFmtId="0" fontId="71" fillId="47"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51" fillId="48" borderId="0" applyNumberFormat="0" applyBorder="0" applyAlignment="0" applyProtection="0"/>
    <xf numFmtId="0" fontId="71" fillId="48" borderId="0" applyNumberFormat="0" applyBorder="0" applyAlignment="0" applyProtection="0"/>
    <xf numFmtId="0" fontId="71" fillId="48"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51" fillId="49" borderId="0" applyNumberFormat="0" applyBorder="0" applyAlignment="0" applyProtection="0"/>
    <xf numFmtId="0" fontId="71" fillId="49" borderId="0" applyNumberFormat="0" applyBorder="0" applyAlignment="0" applyProtection="0"/>
    <xf numFmtId="0" fontId="71" fillId="49" borderId="0" applyNumberFormat="0" applyBorder="0" applyAlignment="0" applyProtection="0"/>
    <xf numFmtId="42" fontId="83" fillId="0" borderId="0" applyFont="0"/>
    <xf numFmtId="42" fontId="83" fillId="0" borderId="12" applyFont="0"/>
    <xf numFmtId="41" fontId="83" fillId="0" borderId="0" applyFont="0"/>
    <xf numFmtId="201" fontId="84" fillId="0" borderId="11">
      <alignment horizontal="right"/>
    </xf>
    <xf numFmtId="201" fontId="84" fillId="0" borderId="11" applyFill="0">
      <alignment horizontal="right"/>
    </xf>
    <xf numFmtId="3" fontId="9" fillId="0" borderId="11" applyFill="0">
      <alignment horizontal="right"/>
    </xf>
    <xf numFmtId="202" fontId="84" fillId="0" borderId="11" applyFill="0">
      <alignment horizontal="right"/>
    </xf>
    <xf numFmtId="203" fontId="8" fillId="8" borderId="13">
      <alignment horizontal="center" vertical="center"/>
    </xf>
    <xf numFmtId="0" fontId="9" fillId="0" borderId="0"/>
    <xf numFmtId="179" fontId="85" fillId="0" borderId="0"/>
    <xf numFmtId="0" fontId="9" fillId="0" borderId="0"/>
    <xf numFmtId="204" fontId="9" fillId="0" borderId="11">
      <alignment horizontal="right"/>
      <protection locked="0"/>
    </xf>
    <xf numFmtId="0" fontId="84" fillId="0" borderId="11" applyNumberFormat="0" applyFont="0" applyBorder="0" applyProtection="0">
      <alignment horizontal="right"/>
    </xf>
    <xf numFmtId="205" fontId="86" fillId="50" borderId="14"/>
    <xf numFmtId="0" fontId="9" fillId="0" borderId="0" applyNumberFormat="0" applyFill="0" applyBorder="0" applyAlignment="0" applyProtection="0"/>
    <xf numFmtId="0" fontId="87" fillId="0" borderId="0" applyNumberFormat="0" applyFill="0" applyBorder="0" applyAlignment="0" applyProtection="0"/>
    <xf numFmtId="0" fontId="88" fillId="0" borderId="0"/>
    <xf numFmtId="0" fontId="28" fillId="0" borderId="0" applyNumberFormat="0" applyFill="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89"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90" fillId="52" borderId="15" applyNumberFormat="0" applyBorder="0">
      <protection hidden="1"/>
    </xf>
    <xf numFmtId="0" fontId="91" fillId="23" borderId="0"/>
    <xf numFmtId="0" fontId="92" fillId="0" borderId="0" applyAlignment="0"/>
    <xf numFmtId="0" fontId="93" fillId="0" borderId="16" applyNumberFormat="0" applyFill="0" applyAlignment="0" applyProtection="0"/>
    <xf numFmtId="0" fontId="94" fillId="0" borderId="17" applyNumberFormat="0" applyFont="0" applyFill="0" applyAlignment="0" applyProtection="0"/>
    <xf numFmtId="0" fontId="95" fillId="0" borderId="18" applyNumberFormat="0" applyFont="0" applyFill="0" applyProtection="0"/>
    <xf numFmtId="0" fontId="79" fillId="0" borderId="16" applyNumberFormat="0" applyFont="0" applyFill="0" applyAlignment="0" applyProtection="0"/>
    <xf numFmtId="0" fontId="79" fillId="0" borderId="15" applyNumberFormat="0" applyFont="0" applyFill="0" applyAlignment="0" applyProtection="0"/>
    <xf numFmtId="0" fontId="79" fillId="0" borderId="19" applyNumberFormat="0" applyFont="0" applyFill="0" applyAlignment="0" applyProtection="0"/>
    <xf numFmtId="0" fontId="79" fillId="0" borderId="20" applyNumberFormat="0" applyFont="0" applyFill="0" applyAlignment="0" applyProtection="0"/>
    <xf numFmtId="206" fontId="9" fillId="0" borderId="0" applyFont="0" applyFill="0" applyBorder="0" applyAlignment="0" applyProtection="0"/>
    <xf numFmtId="0" fontId="76" fillId="0" borderId="0">
      <alignment horizontal="right"/>
    </xf>
    <xf numFmtId="0" fontId="80" fillId="0" borderId="0" applyFont="0" applyFill="0" applyBorder="0" applyAlignment="0" applyProtection="0"/>
    <xf numFmtId="207" fontId="76" fillId="0" borderId="0" applyFill="0" applyBorder="0" applyAlignment="0"/>
    <xf numFmtId="208" fontId="76" fillId="0" borderId="0" applyFill="0" applyBorder="0" applyAlignment="0"/>
    <xf numFmtId="170" fontId="76" fillId="0" borderId="0" applyFill="0" applyBorder="0" applyAlignment="0"/>
    <xf numFmtId="209" fontId="76" fillId="0" borderId="0" applyFill="0" applyBorder="0" applyAlignment="0"/>
    <xf numFmtId="170" fontId="9" fillId="0" borderId="0" applyFill="0" applyBorder="0" applyAlignment="0"/>
    <xf numFmtId="207" fontId="76" fillId="0" borderId="0" applyFill="0" applyBorder="0" applyAlignment="0"/>
    <xf numFmtId="209" fontId="9" fillId="0" borderId="0" applyFill="0" applyBorder="0" applyAlignment="0"/>
    <xf numFmtId="208" fontId="76" fillId="0" borderId="0" applyFill="0" applyBorder="0" applyAlignment="0"/>
    <xf numFmtId="0" fontId="14" fillId="20" borderId="1" applyNumberFormat="0" applyAlignment="0" applyProtection="0"/>
    <xf numFmtId="0" fontId="96" fillId="53" borderId="21" applyNumberFormat="0" applyAlignment="0" applyProtection="0"/>
    <xf numFmtId="0" fontId="96" fillId="53" borderId="21" applyNumberFormat="0" applyAlignment="0" applyProtection="0"/>
    <xf numFmtId="0" fontId="96" fillId="53" borderId="21" applyNumberFormat="0" applyAlignment="0" applyProtection="0"/>
    <xf numFmtId="0" fontId="96" fillId="53" borderId="21" applyNumberFormat="0" applyAlignment="0" applyProtection="0"/>
    <xf numFmtId="0" fontId="96" fillId="53" borderId="21" applyNumberFormat="0" applyAlignment="0" applyProtection="0"/>
    <xf numFmtId="0" fontId="66" fillId="53" borderId="21" applyNumberFormat="0" applyAlignment="0" applyProtection="0"/>
    <xf numFmtId="0" fontId="66" fillId="53" borderId="21" applyNumberFormat="0" applyAlignment="0" applyProtection="0"/>
    <xf numFmtId="0" fontId="94" fillId="54" borderId="0" applyNumberFormat="0" applyFont="0" applyBorder="0"/>
    <xf numFmtId="0" fontId="23" fillId="0" borderId="6" applyNumberFormat="0" applyFill="0" applyAlignment="0" applyProtection="0"/>
    <xf numFmtId="210" fontId="9" fillId="0" borderId="0" applyFont="0" applyFill="0" applyBorder="0" applyProtection="0">
      <alignment horizontal="center" vertical="center"/>
    </xf>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48" fillId="55" borderId="22" applyNumberFormat="0" applyAlignment="0" applyProtection="0"/>
    <xf numFmtId="0" fontId="68" fillId="55" borderId="22" applyNumberFormat="0" applyAlignment="0" applyProtection="0"/>
    <xf numFmtId="0" fontId="68" fillId="55" borderId="22" applyNumberFormat="0" applyAlignment="0" applyProtection="0"/>
    <xf numFmtId="0" fontId="9" fillId="0" borderId="0" applyNumberFormat="0" applyFont="0" applyFill="0" applyAlignment="0" applyProtection="0"/>
    <xf numFmtId="0" fontId="93" fillId="0" borderId="16" applyNumberFormat="0" applyFill="0" applyProtection="0">
      <alignment horizontal="left" vertical="center"/>
    </xf>
    <xf numFmtId="0" fontId="97" fillId="0" borderId="0">
      <alignment horizontal="center" wrapText="1"/>
      <protection hidden="1"/>
    </xf>
    <xf numFmtId="0" fontId="98" fillId="0" borderId="0">
      <alignment horizontal="right"/>
    </xf>
    <xf numFmtId="168" fontId="81" fillId="0" borderId="0" applyBorder="0">
      <alignment horizontal="right"/>
    </xf>
    <xf numFmtId="168" fontId="81" fillId="0" borderId="17"/>
    <xf numFmtId="212" fontId="76" fillId="0" borderId="0"/>
    <xf numFmtId="212" fontId="76" fillId="0" borderId="0"/>
    <xf numFmtId="212" fontId="76" fillId="0" borderId="0"/>
    <xf numFmtId="212" fontId="76" fillId="0" borderId="0"/>
    <xf numFmtId="212" fontId="76" fillId="0" borderId="0"/>
    <xf numFmtId="212" fontId="76" fillId="0" borderId="0"/>
    <xf numFmtId="212" fontId="76" fillId="0" borderId="0"/>
    <xf numFmtId="212" fontId="76" fillId="0" borderId="0"/>
    <xf numFmtId="41" fontId="99" fillId="0" borderId="0" applyFont="0" applyBorder="0">
      <alignment horizontal="right"/>
    </xf>
    <xf numFmtId="207" fontId="76" fillId="0" borderId="0" applyFont="0" applyFill="0" applyBorder="0" applyAlignment="0" applyProtection="0"/>
    <xf numFmtId="213" fontId="9" fillId="0" borderId="0" applyFont="0"/>
    <xf numFmtId="0" fontId="100" fillId="0" borderId="0" applyFont="0" applyFill="0" applyBorder="0" applyProtection="0">
      <alignment horizontal="right"/>
    </xf>
    <xf numFmtId="0" fontId="100" fillId="0" borderId="0" applyFont="0" applyFill="0" applyBorder="0" applyProtection="0">
      <alignment horizontal="right"/>
    </xf>
    <xf numFmtId="173" fontId="9" fillId="0" borderId="0" applyFont="0" applyFill="0" applyBorder="0" applyProtection="0"/>
    <xf numFmtId="214" fontId="9" fillId="0" borderId="0" applyFont="0" applyFill="0" applyBorder="0" applyAlignment="0" applyProtection="0"/>
    <xf numFmtId="43" fontId="24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4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11" fillId="0" borderId="0" applyFont="0" applyFill="0" applyBorder="0" applyAlignment="0" applyProtection="0"/>
    <xf numFmtId="43" fontId="242"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101" fillId="0" borderId="0" applyFont="0" applyFill="0" applyBorder="0" applyAlignment="0" applyProtection="0"/>
    <xf numFmtId="167" fontId="9" fillId="0" borderId="0" applyFont="0" applyFill="0" applyBorder="0" applyAlignment="0" applyProtection="0"/>
    <xf numFmtId="178" fontId="9" fillId="0" borderId="0" applyFont="0" applyFill="0" applyBorder="0" applyProtection="0"/>
    <xf numFmtId="178" fontId="9" fillId="0" borderId="0" applyFont="0" applyFill="0" applyBorder="0" applyProtection="0"/>
    <xf numFmtId="178" fontId="9" fillId="0" borderId="0" applyFont="0" applyFill="0" applyBorder="0" applyProtection="0"/>
    <xf numFmtId="178" fontId="9" fillId="0" borderId="0" applyFont="0" applyFill="0" applyBorder="0" applyProtection="0"/>
    <xf numFmtId="43" fontId="9" fillId="0" borderId="0" applyFont="0" applyFill="0" applyBorder="0" applyAlignment="0" applyProtection="0"/>
    <xf numFmtId="43" fontId="101" fillId="0" borderId="0" applyFont="0" applyFill="0" applyBorder="0" applyAlignment="0" applyProtection="0"/>
    <xf numFmtId="178" fontId="9" fillId="0" borderId="0" applyFont="0" applyFill="0" applyBorder="0" applyProtection="0"/>
    <xf numFmtId="178" fontId="9" fillId="0" borderId="0" applyFont="0" applyFill="0" applyBorder="0" applyProtection="0"/>
    <xf numFmtId="178" fontId="9" fillId="0" borderId="0" applyFont="0" applyFill="0" applyBorder="0" applyProtection="0"/>
    <xf numFmtId="178" fontId="9" fillId="0" borderId="0" applyFont="0" applyFill="0" applyBorder="0" applyProtection="0"/>
    <xf numFmtId="43" fontId="97" fillId="0" borderId="0" applyFont="0" applyFill="0" applyBorder="0" applyAlignment="0" applyProtection="0"/>
    <xf numFmtId="43" fontId="101"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101"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9"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215" fontId="102" fillId="0" borderId="0" applyFont="0" applyFill="0" applyBorder="0" applyAlignment="0" applyProtection="0"/>
    <xf numFmtId="43" fontId="11"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167" fontId="87"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73"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9" fillId="0" borderId="0" applyFont="0" applyFill="0" applyBorder="0" applyAlignment="0" applyProtection="0"/>
    <xf numFmtId="43" fontId="242" fillId="0" borderId="0" applyFont="0" applyFill="0" applyBorder="0" applyAlignment="0" applyProtection="0"/>
    <xf numFmtId="167" fontId="103"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167" fontId="9"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167"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167" fontId="103"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167" fontId="104"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76"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1"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42" fillId="0" borderId="0" applyFont="0" applyFill="0" applyBorder="0" applyAlignment="0" applyProtection="0"/>
    <xf numFmtId="43" fontId="8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43" fontId="242" fillId="0" borderId="0" applyFont="0" applyFill="0" applyBorder="0" applyAlignment="0" applyProtection="0"/>
    <xf numFmtId="3" fontId="105" fillId="0" borderId="0" applyFont="0" applyFill="0" applyBorder="0" applyAlignment="0" applyProtection="0"/>
    <xf numFmtId="179" fontId="106" fillId="0" borderId="0"/>
    <xf numFmtId="0" fontId="107" fillId="0" borderId="0"/>
    <xf numFmtId="0" fontId="9" fillId="23" borderId="7" applyNumberFormat="0" applyFont="0" applyAlignment="0" applyProtection="0"/>
    <xf numFmtId="0" fontId="108" fillId="56" borderId="0">
      <alignment horizontal="center" vertical="center" wrapText="1"/>
    </xf>
    <xf numFmtId="216" fontId="9" fillId="0" borderId="0" applyFill="0" applyBorder="0">
      <alignment horizontal="right"/>
      <protection locked="0"/>
    </xf>
    <xf numFmtId="208" fontId="76" fillId="0" borderId="0" applyFont="0" applyFill="0" applyBorder="0" applyAlignment="0" applyProtection="0"/>
    <xf numFmtId="217" fontId="33" fillId="0" borderId="0">
      <alignment horizontal="right"/>
    </xf>
    <xf numFmtId="8" fontId="109" fillId="0" borderId="23">
      <protection locked="0"/>
    </xf>
    <xf numFmtId="0" fontId="100" fillId="0" borderId="0" applyFont="0" applyFill="0" applyBorder="0" applyProtection="0">
      <alignment horizontal="right"/>
    </xf>
    <xf numFmtId="188" fontId="9" fillId="0" borderId="0" applyFont="0" applyFill="0" applyBorder="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11" fillId="0" borderId="0" applyFont="0" applyFill="0" applyBorder="0" applyAlignment="0" applyProtection="0"/>
    <xf numFmtId="44" fontId="88"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9"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1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16" fillId="0" borderId="0" applyFont="0" applyFill="0" applyBorder="0" applyAlignment="0" applyProtection="0"/>
    <xf numFmtId="44" fontId="73" fillId="0" borderId="0" applyFont="0" applyFill="0" applyBorder="0" applyAlignment="0" applyProtection="0"/>
    <xf numFmtId="44" fontId="87" fillId="0" borderId="0" applyFont="0" applyFill="0" applyBorder="0" applyAlignment="0" applyProtection="0"/>
    <xf numFmtId="14" fontId="9" fillId="0" borderId="0" applyFont="0" applyFill="0" applyBorder="0" applyAlignment="0" applyProtection="0"/>
    <xf numFmtId="44" fontId="9" fillId="0" borderId="0" applyFont="0" applyFill="0" applyBorder="0" applyAlignment="0" applyProtection="0"/>
    <xf numFmtId="44" fontId="242" fillId="0" borderId="0" applyFont="0" applyFill="0" applyBorder="0" applyAlignment="0" applyProtection="0"/>
    <xf numFmtId="166" fontId="103" fillId="0" borderId="0" applyFont="0" applyFill="0" applyBorder="0" applyAlignment="0" applyProtection="0"/>
    <xf numFmtId="166" fontId="9" fillId="0" borderId="0" applyFont="0" applyFill="0" applyBorder="0" applyAlignment="0" applyProtection="0"/>
    <xf numFmtId="218" fontId="9" fillId="0" borderId="0" applyFont="0" applyFill="0" applyBorder="0" applyProtection="0"/>
    <xf numFmtId="218" fontId="9" fillId="0" borderId="0" applyFont="0" applyFill="0" applyBorder="0" applyProtection="0"/>
    <xf numFmtId="218" fontId="9" fillId="0" borderId="0" applyFont="0" applyFill="0" applyBorder="0" applyProtection="0"/>
    <xf numFmtId="218" fontId="9" fillId="0" borderId="0" applyFont="0" applyFill="0" applyBorder="0" applyProtection="0"/>
    <xf numFmtId="44" fontId="9" fillId="0" borderId="0" applyFont="0" applyFill="0" applyBorder="0" applyAlignment="0" applyProtection="0"/>
    <xf numFmtId="44" fontId="16" fillId="0" borderId="0" applyFont="0" applyFill="0" applyBorder="0" applyAlignment="0" applyProtection="0"/>
    <xf numFmtId="166" fontId="242" fillId="0" borderId="0" applyFont="0" applyFill="0" applyBorder="0" applyAlignment="0" applyProtection="0"/>
    <xf numFmtId="218" fontId="9" fillId="0" borderId="0" applyFont="0" applyFill="0" applyBorder="0" applyProtection="0"/>
    <xf numFmtId="218" fontId="9" fillId="0" borderId="0" applyFont="0" applyFill="0" applyBorder="0" applyProtection="0"/>
    <xf numFmtId="218" fontId="9" fillId="0" borderId="0" applyFont="0" applyFill="0" applyBorder="0" applyProtection="0"/>
    <xf numFmtId="218" fontId="9" fillId="0" borderId="0" applyFont="0" applyFill="0" applyBorder="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16"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219" fontId="110"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166"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166" fontId="9"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73" fillId="0" borderId="0" applyFont="0" applyFill="0" applyBorder="0" applyAlignment="0" applyProtection="0"/>
    <xf numFmtId="44" fontId="242" fillId="0" borderId="0" applyFont="0" applyFill="0" applyBorder="0" applyAlignment="0" applyProtection="0"/>
    <xf numFmtId="44" fontId="9" fillId="0" borderId="0" applyFont="0" applyFill="0" applyBorder="0" applyAlignment="0" applyProtection="0"/>
    <xf numFmtId="44" fontId="242" fillId="0" borderId="0" applyFont="0" applyFill="0" applyBorder="0" applyAlignment="0" applyProtection="0"/>
    <xf numFmtId="44" fontId="16" fillId="0" borderId="0" applyFont="0" applyFill="0" applyBorder="0" applyAlignment="0" applyProtection="0"/>
    <xf numFmtId="44" fontId="242" fillId="0" borderId="0" applyFont="0" applyFill="0" applyBorder="0" applyAlignment="0" applyProtection="0"/>
    <xf numFmtId="166" fontId="104" fillId="0" borderId="0" applyFont="0" applyFill="0" applyBorder="0" applyAlignment="0" applyProtection="0"/>
    <xf numFmtId="44" fontId="73" fillId="0" borderId="0" applyFont="0" applyFill="0" applyBorder="0" applyAlignment="0" applyProtection="0"/>
    <xf numFmtId="166" fontId="9"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166" fontId="9"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16"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16"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16"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44" fontId="242" fillId="0" borderId="0" applyFont="0" applyFill="0" applyBorder="0" applyAlignment="0" applyProtection="0"/>
    <xf numFmtId="220" fontId="76" fillId="0" borderId="0" applyFont="0" applyFill="0" applyBorder="0" applyProtection="0">
      <alignment horizontal="right"/>
    </xf>
    <xf numFmtId="221" fontId="104" fillId="0" borderId="24" applyFont="0" applyFill="0" applyBorder="0" applyAlignment="0" applyProtection="0"/>
    <xf numFmtId="222" fontId="84" fillId="0" borderId="0" applyFont="0" applyFill="0" applyBorder="0" applyProtection="0"/>
    <xf numFmtId="223" fontId="84" fillId="0" borderId="0" applyFont="0" applyFill="0" applyBorder="0" applyProtection="0"/>
    <xf numFmtId="0" fontId="97" fillId="0" borderId="0" applyFont="0" applyFill="0" applyBorder="0" applyAlignment="0">
      <protection locked="0"/>
    </xf>
    <xf numFmtId="0" fontId="80" fillId="0" borderId="0" applyFont="0" applyFill="0" applyBorder="0" applyAlignment="0" applyProtection="0"/>
    <xf numFmtId="0" fontId="74" fillId="0" borderId="25" applyNumberFormat="0" applyFill="0">
      <alignment horizontal="right"/>
    </xf>
    <xf numFmtId="0" fontId="74" fillId="0" borderId="25" applyNumberFormat="0" applyFill="0">
      <alignment horizontal="right"/>
    </xf>
    <xf numFmtId="1" fontId="111" fillId="0" borderId="0"/>
    <xf numFmtId="225" fontId="94" fillId="0" borderId="0" applyFont="0" applyFill="0" applyBorder="0" applyProtection="0">
      <alignment horizontal="right"/>
    </xf>
    <xf numFmtId="226" fontId="77" fillId="23" borderId="26" applyFont="0" applyFill="0" applyBorder="0" applyAlignment="0" applyProtection="0"/>
    <xf numFmtId="227" fontId="104" fillId="0" borderId="0" applyFont="0" applyFill="0" applyBorder="0" applyAlignment="0" applyProtection="0"/>
    <xf numFmtId="227" fontId="104" fillId="0" borderId="0" applyFont="0" applyFill="0" applyBorder="0" applyAlignment="0" applyProtection="0"/>
    <xf numFmtId="228" fontId="81" fillId="0" borderId="16" applyFont="0" applyFill="0" applyBorder="0" applyAlignment="0" applyProtection="0"/>
    <xf numFmtId="180" fontId="9" fillId="0" borderId="0" applyFont="0" applyFill="0" applyBorder="0" applyAlignment="0" applyProtection="0"/>
    <xf numFmtId="229" fontId="102" fillId="0" borderId="0" applyFont="0" applyFill="0" applyBorder="0" applyAlignment="0" applyProtection="0"/>
    <xf numFmtId="14" fontId="16" fillId="0" borderId="0" applyFill="0" applyBorder="0" applyAlignment="0"/>
    <xf numFmtId="0" fontId="9" fillId="0" borderId="0">
      <alignment horizontal="left" vertical="top"/>
    </xf>
    <xf numFmtId="42" fontId="112" fillId="0" borderId="0"/>
    <xf numFmtId="0" fontId="104" fillId="0" borderId="0"/>
    <xf numFmtId="41" fontId="9" fillId="0" borderId="0" applyFont="0" applyFill="0" applyBorder="0" applyAlignment="0" applyProtection="0"/>
    <xf numFmtId="43" fontId="9" fillId="0" borderId="0" applyFont="0" applyFill="0" applyBorder="0" applyAlignment="0" applyProtection="0"/>
    <xf numFmtId="0" fontId="113" fillId="0" borderId="0">
      <protection locked="0"/>
    </xf>
    <xf numFmtId="0" fontId="9" fillId="0" borderId="0"/>
    <xf numFmtId="42" fontId="76" fillId="0" borderId="0"/>
    <xf numFmtId="0" fontId="9" fillId="0" borderId="27" applyNumberFormat="0" applyFont="0" applyFill="0" applyAlignment="0" applyProtection="0"/>
    <xf numFmtId="0" fontId="9" fillId="0" borderId="27" applyNumberFormat="0" applyFont="0" applyFill="0" applyAlignment="0" applyProtection="0"/>
    <xf numFmtId="0" fontId="9" fillId="0" borderId="27" applyNumberFormat="0" applyFont="0" applyFill="0" applyAlignment="0" applyProtection="0"/>
    <xf numFmtId="42" fontId="114" fillId="0" borderId="0" applyFill="0" applyBorder="0" applyAlignment="0" applyProtection="0"/>
    <xf numFmtId="1" fontId="94" fillId="0" borderId="0"/>
    <xf numFmtId="230" fontId="115" fillId="0" borderId="0">
      <protection locked="0"/>
    </xf>
    <xf numFmtId="230" fontId="115" fillId="0" borderId="0">
      <protection locked="0"/>
    </xf>
    <xf numFmtId="207" fontId="76" fillId="0" borderId="0" applyFill="0" applyBorder="0" applyAlignment="0"/>
    <xf numFmtId="208" fontId="76" fillId="0" borderId="0" applyFill="0" applyBorder="0" applyAlignment="0"/>
    <xf numFmtId="207" fontId="76" fillId="0" borderId="0" applyFill="0" applyBorder="0" applyAlignment="0"/>
    <xf numFmtId="209" fontId="9" fillId="0" borderId="0" applyFill="0" applyBorder="0" applyAlignment="0"/>
    <xf numFmtId="208" fontId="76" fillId="0" borderId="0" applyFill="0" applyBorder="0" applyAlignment="0"/>
    <xf numFmtId="0" fontId="22" fillId="7" borderId="1" applyNumberFormat="0" applyAlignment="0" applyProtection="0"/>
    <xf numFmtId="231" fontId="75" fillId="0" borderId="0" applyFon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232" fontId="97" fillId="57" borderId="15">
      <alignment horizontal="left"/>
    </xf>
    <xf numFmtId="0" fontId="117" fillId="58" borderId="28" applyNumberFormat="0" applyBorder="0">
      <protection locked="0"/>
    </xf>
    <xf numFmtId="233" fontId="9" fillId="0" borderId="0">
      <protection locked="0"/>
    </xf>
    <xf numFmtId="211" fontId="9" fillId="0" borderId="0">
      <protection locked="0"/>
    </xf>
    <xf numFmtId="2" fontId="105" fillId="0" borderId="0" applyFont="0" applyFill="0" applyBorder="0" applyAlignment="0" applyProtection="0"/>
    <xf numFmtId="0" fontId="118" fillId="0" borderId="0" applyNumberFormat="0" applyFill="0" applyBorder="0" applyAlignment="0" applyProtection="0"/>
    <xf numFmtId="0" fontId="119" fillId="0" borderId="0" applyFill="0" applyBorder="0" applyProtection="0">
      <alignment horizontal="left"/>
    </xf>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120" fillId="59" borderId="0" applyNumberFormat="0" applyBorder="0" applyAlignment="0" applyProtection="0"/>
    <xf numFmtId="0" fontId="61" fillId="59" borderId="0" applyNumberFormat="0" applyBorder="0" applyAlignment="0" applyProtection="0"/>
    <xf numFmtId="0" fontId="61" fillId="59" borderId="0" applyNumberFormat="0" applyBorder="0" applyAlignment="0" applyProtection="0"/>
    <xf numFmtId="0" fontId="104" fillId="20" borderId="0" applyNumberFormat="0" applyBorder="0" applyAlignment="0" applyProtection="0"/>
    <xf numFmtId="0" fontId="121" fillId="0" borderId="0" applyNumberFormat="0">
      <alignment horizontal="right"/>
    </xf>
    <xf numFmtId="0" fontId="9" fillId="0" borderId="0"/>
    <xf numFmtId="0" fontId="9" fillId="0" borderId="0"/>
    <xf numFmtId="0" fontId="9" fillId="0" borderId="0"/>
    <xf numFmtId="0" fontId="9" fillId="0" borderId="0"/>
    <xf numFmtId="0" fontId="9" fillId="4" borderId="9" applyNumberFormat="0" applyFont="0" applyBorder="0" applyAlignment="0" applyProtection="0"/>
    <xf numFmtId="183" fontId="9" fillId="0" borderId="0" applyFont="0" applyFill="0" applyBorder="0" applyProtection="0"/>
    <xf numFmtId="0" fontId="122" fillId="4" borderId="0" applyNumberFormat="0" applyFont="0" applyAlignment="0"/>
    <xf numFmtId="0" fontId="123" fillId="0" borderId="0" applyProtection="0">
      <alignment horizontal="right"/>
    </xf>
    <xf numFmtId="0" fontId="43" fillId="0" borderId="29" applyNumberFormat="0" applyProtection="0"/>
    <xf numFmtId="0" fontId="43" fillId="0" borderId="30">
      <alignment horizontal="left" vertical="center"/>
    </xf>
    <xf numFmtId="49" fontId="124" fillId="0" borderId="0">
      <alignment horizontal="centerContinuous"/>
    </xf>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125" fillId="0" borderId="0" applyNumberFormat="0" applyFill="0" applyBorder="0" applyAlignment="0" applyProtection="0"/>
    <xf numFmtId="0" fontId="58" fillId="0" borderId="31" applyNumberFormat="0" applyFill="0" applyAlignment="0" applyProtection="0"/>
    <xf numFmtId="0" fontId="125" fillId="0" borderId="0" applyNumberFormat="0" applyFill="0" applyBorder="0" applyAlignment="0" applyProtection="0"/>
    <xf numFmtId="0" fontId="126" fillId="0" borderId="0" applyProtection="0">
      <alignment horizontal="left"/>
    </xf>
    <xf numFmtId="0" fontId="126" fillId="0" borderId="0" applyProtection="0">
      <alignment horizontal="left"/>
    </xf>
    <xf numFmtId="0" fontId="126" fillId="0" borderId="0" applyProtection="0">
      <alignment horizontal="left"/>
    </xf>
    <xf numFmtId="0" fontId="126" fillId="0" borderId="0" applyProtection="0">
      <alignment horizontal="left"/>
    </xf>
    <xf numFmtId="0" fontId="59" fillId="0" borderId="32" applyNumberFormat="0" applyFill="0" applyAlignment="0" applyProtection="0"/>
    <xf numFmtId="0" fontId="126" fillId="0" borderId="0" applyProtection="0">
      <alignment horizontal="left"/>
    </xf>
    <xf numFmtId="0" fontId="127" fillId="0" borderId="0" applyProtection="0">
      <alignment horizontal="left"/>
    </xf>
    <xf numFmtId="0" fontId="127" fillId="0" borderId="0" applyProtection="0">
      <alignment horizontal="left"/>
    </xf>
    <xf numFmtId="0" fontId="127" fillId="0" borderId="0" applyProtection="0">
      <alignment horizontal="left"/>
    </xf>
    <xf numFmtId="0" fontId="127" fillId="0" borderId="0" applyProtection="0">
      <alignment horizontal="left"/>
    </xf>
    <xf numFmtId="0" fontId="128" fillId="0" borderId="33" applyNumberFormat="0" applyFill="0" applyAlignment="0" applyProtection="0"/>
    <xf numFmtId="0" fontId="60" fillId="0" borderId="33" applyNumberFormat="0" applyFill="0" applyAlignment="0" applyProtection="0"/>
    <xf numFmtId="0" fontId="127" fillId="0" borderId="0" applyProtection="0">
      <alignment horizontal="left"/>
    </xf>
    <xf numFmtId="0" fontId="60" fillId="0" borderId="0" applyNumberFormat="0" applyFill="0" applyBorder="0" applyAlignment="0" applyProtection="0"/>
    <xf numFmtId="0" fontId="60" fillId="0" borderId="0" applyNumberFormat="0" applyFill="0" applyBorder="0" applyAlignment="0" applyProtection="0"/>
    <xf numFmtId="0" fontId="129" fillId="0" borderId="0"/>
    <xf numFmtId="0" fontId="88" fillId="0" borderId="0"/>
    <xf numFmtId="235" fontId="83" fillId="0" borderId="0">
      <alignment horizontal="centerContinuous"/>
    </xf>
    <xf numFmtId="0" fontId="130" fillId="0" borderId="34" applyNumberFormat="0" applyFill="0" applyBorder="0" applyProtection="0"/>
    <xf numFmtId="235" fontId="83" fillId="0" borderId="35">
      <alignment horizontal="center"/>
    </xf>
    <xf numFmtId="0" fontId="9" fillId="0" borderId="0" applyNumberFormat="0" applyFill="0" applyBorder="0" applyProtection="0">
      <alignment wrapText="1"/>
    </xf>
    <xf numFmtId="0" fontId="9" fillId="0" borderId="0" applyNumberFormat="0" applyFill="0" applyBorder="0" applyProtection="0">
      <alignment horizontal="justify" vertical="top" wrapText="1"/>
    </xf>
    <xf numFmtId="0" fontId="131" fillId="0" borderId="36">
      <alignment horizontal="left" vertical="center"/>
    </xf>
    <xf numFmtId="0" fontId="131" fillId="60" borderId="0">
      <alignment horizontal="centerContinuous" wrapText="1"/>
    </xf>
    <xf numFmtId="0" fontId="132" fillId="0" borderId="0" applyNumberFormat="0" applyFill="0" applyBorder="0" applyAlignment="0" applyProtection="0"/>
    <xf numFmtId="0" fontId="133" fillId="0" borderId="0" applyNumberFormat="0" applyFill="0" applyBorder="0">
      <protection locked="0"/>
    </xf>
    <xf numFmtId="0" fontId="134" fillId="0" borderId="0" applyNumberFormat="0" applyFill="0" applyBorder="0">
      <protection locked="0"/>
    </xf>
    <xf numFmtId="0" fontId="133" fillId="0" borderId="0" applyNumberFormat="0" applyFill="0" applyBorder="0">
      <protection locked="0"/>
    </xf>
    <xf numFmtId="0" fontId="134" fillId="0" borderId="0" applyNumberFormat="0" applyFill="0" applyBorder="0">
      <protection locked="0"/>
    </xf>
    <xf numFmtId="0" fontId="34" fillId="0" borderId="0" applyNumberFormat="0" applyFill="0" applyBorder="0" applyAlignment="0" applyProtection="0"/>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5"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5" fillId="0" borderId="0" applyNumberFormat="0" applyFill="0" applyBorder="0">
      <protection locked="0"/>
    </xf>
    <xf numFmtId="0" fontId="136" fillId="0" borderId="0" applyNumberFormat="0" applyFill="0" applyBorder="0">
      <protection locked="0"/>
    </xf>
    <xf numFmtId="0" fontId="133" fillId="0" borderId="0" applyNumberFormat="0" applyFill="0" applyBorder="0">
      <protection locked="0"/>
    </xf>
    <xf numFmtId="0" fontId="136"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3" fillId="0" borderId="0" applyNumberFormat="0" applyFill="0" applyBorder="0">
      <protection locked="0"/>
    </xf>
    <xf numFmtId="0" fontId="137" fillId="0" borderId="0" applyNumberFormat="0" applyFill="0" applyBorder="0">
      <protection locked="0"/>
    </xf>
    <xf numFmtId="0" fontId="133" fillId="0" borderId="0" applyNumberFormat="0" applyFill="0" applyBorder="0">
      <protection locked="0"/>
    </xf>
    <xf numFmtId="0" fontId="9" fillId="0" borderId="0" applyNumberFormat="0" applyFill="0" applyBorder="0" applyAlignment="0" applyProtection="0"/>
    <xf numFmtId="0" fontId="9" fillId="0" borderId="0">
      <alignment horizontal="right"/>
    </xf>
    <xf numFmtId="0" fontId="104" fillId="23" borderId="9" applyNumberFormat="0" applyBorder="0" applyAlignment="0" applyProtection="0"/>
    <xf numFmtId="0" fontId="138" fillId="61" borderId="21" applyNumberFormat="0" applyAlignment="0" applyProtection="0"/>
    <xf numFmtId="0" fontId="138" fillId="61" borderId="21" applyNumberFormat="0" applyAlignment="0" applyProtection="0"/>
    <xf numFmtId="0" fontId="138" fillId="61" borderId="21" applyNumberFormat="0" applyAlignment="0" applyProtection="0"/>
    <xf numFmtId="0" fontId="138" fillId="61" borderId="21" applyNumberFormat="0" applyAlignment="0" applyProtection="0"/>
    <xf numFmtId="0" fontId="138" fillId="61" borderId="21" applyNumberFormat="0" applyAlignment="0" applyProtection="0"/>
    <xf numFmtId="0" fontId="64" fillId="61" borderId="21" applyNumberFormat="0" applyAlignment="0" applyProtection="0"/>
    <xf numFmtId="0" fontId="97" fillId="0" borderId="0" applyNumberFormat="0" applyFill="0" applyBorder="0" applyAlignment="0" applyProtection="0"/>
    <xf numFmtId="0" fontId="9" fillId="0" borderId="0" applyNumberFormat="0" applyFill="0" applyBorder="0" applyAlignment="0">
      <protection locked="0"/>
    </xf>
    <xf numFmtId="0" fontId="139" fillId="23" borderId="0" applyNumberFormat="0" applyFont="0" applyBorder="0">
      <protection locked="0"/>
    </xf>
    <xf numFmtId="0" fontId="140" fillId="22" borderId="0" applyNumberFormat="0" applyFont="0" applyBorder="0">
      <protection locked="0"/>
    </xf>
    <xf numFmtId="0" fontId="9" fillId="23" borderId="37" applyNumberFormat="0" applyFont="0" applyBorder="0">
      <protection locked="0"/>
    </xf>
    <xf numFmtId="0" fontId="140" fillId="22" borderId="0" applyNumberFormat="0" applyFont="0" applyBorder="0">
      <protection locked="0"/>
    </xf>
    <xf numFmtId="0" fontId="97" fillId="0" borderId="0" applyFill="0" applyBorder="0">
      <alignment horizontal="right"/>
      <protection locked="0"/>
    </xf>
    <xf numFmtId="239" fontId="141" fillId="0" borderId="38" applyFont="0" applyFill="0" applyBorder="0" applyAlignment="0" applyProtection="0"/>
    <xf numFmtId="240" fontId="9" fillId="0" borderId="0" applyFill="0" applyBorder="0">
      <alignment horizontal="right"/>
      <protection locked="0"/>
    </xf>
    <xf numFmtId="0" fontId="142" fillId="0" borderId="0" applyFill="0" applyBorder="0"/>
    <xf numFmtId="0" fontId="143" fillId="62" borderId="39">
      <alignment horizontal="left" vertical="center" wrapText="1"/>
    </xf>
    <xf numFmtId="0" fontId="80" fillId="0" borderId="0" applyNumberFormat="0" applyFill="0" applyBorder="0" applyProtection="0">
      <alignment horizontal="left" vertical="center"/>
    </xf>
    <xf numFmtId="0" fontId="144" fillId="0" borderId="0" applyNumberFormat="0" applyFill="0" applyBorder="0">
      <protection locked="0"/>
    </xf>
    <xf numFmtId="0" fontId="133" fillId="0" borderId="0" applyNumberFormat="0" applyFill="0" applyBorder="0">
      <protection locked="0"/>
    </xf>
    <xf numFmtId="0" fontId="76" fillId="63" borderId="0" applyNumberFormat="0" applyFont="0" applyBorder="0" applyProtection="0"/>
    <xf numFmtId="2" fontId="145" fillId="0" borderId="16"/>
    <xf numFmtId="207" fontId="76" fillId="0" borderId="0" applyFill="0" applyBorder="0" applyAlignment="0"/>
    <xf numFmtId="208" fontId="76" fillId="0" borderId="0" applyFill="0" applyBorder="0" applyAlignment="0"/>
    <xf numFmtId="207" fontId="76" fillId="0" borderId="0" applyFill="0" applyBorder="0" applyAlignment="0"/>
    <xf numFmtId="209" fontId="9" fillId="0" borderId="0" applyFill="0" applyBorder="0" applyAlignment="0"/>
    <xf numFmtId="208" fontId="76" fillId="0" borderId="0" applyFill="0" applyBorder="0" applyAlignment="0"/>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146" fillId="0" borderId="40" applyNumberFormat="0" applyFill="0" applyAlignment="0" applyProtection="0"/>
    <xf numFmtId="0" fontId="67" fillId="0" borderId="40" applyNumberFormat="0" applyFill="0" applyAlignment="0" applyProtection="0"/>
    <xf numFmtId="0" fontId="67" fillId="0" borderId="40" applyNumberFormat="0" applyFill="0" applyAlignment="0" applyProtection="0"/>
    <xf numFmtId="14" fontId="81" fillId="0" borderId="16" applyFont="0" applyFill="0" applyBorder="0" applyAlignment="0" applyProtection="0"/>
    <xf numFmtId="3" fontId="9" fillId="0" borderId="0"/>
    <xf numFmtId="1" fontId="147" fillId="0" borderId="0"/>
    <xf numFmtId="241" fontId="148" fillId="64" borderId="0" applyBorder="0"/>
    <xf numFmtId="41" fontId="9" fillId="0" borderId="0" applyFont="0" applyFill="0" applyBorder="0" applyAlignment="0" applyProtection="0"/>
    <xf numFmtId="43"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242" fontId="9" fillId="0" borderId="0" applyFont="0" applyFill="0" applyBorder="0" applyAlignment="0" applyProtection="0"/>
    <xf numFmtId="243" fontId="242" fillId="0" borderId="0" applyFont="0" applyFill="0" applyBorder="0" applyAlignment="0" applyProtection="0"/>
    <xf numFmtId="244" fontId="9" fillId="0" borderId="0" applyFont="0" applyFill="0" applyBorder="0" applyAlignment="0" applyProtection="0"/>
    <xf numFmtId="14" fontId="79" fillId="0" borderId="0" applyFont="0" applyFill="0" applyBorder="0" applyAlignment="0" applyProtection="0"/>
    <xf numFmtId="3" fontId="80" fillId="0" borderId="0"/>
    <xf numFmtId="3" fontId="80" fillId="0" borderId="0"/>
    <xf numFmtId="0" fontId="9" fillId="0" borderId="0" applyFont="0" applyFill="0" applyBorder="0" applyAlignment="0" applyProtection="0"/>
    <xf numFmtId="0" fontId="9" fillId="0" borderId="0" applyFont="0" applyFill="0" applyBorder="0" applyAlignment="0" applyProtection="0"/>
    <xf numFmtId="245" fontId="9" fillId="0" borderId="0" applyFont="0" applyFill="0" applyBorder="0" applyAlignment="0" applyProtection="0"/>
    <xf numFmtId="246" fontId="242" fillId="0" borderId="0" applyFont="0" applyFill="0" applyBorder="0" applyAlignment="0" applyProtection="0"/>
    <xf numFmtId="247" fontId="9" fillId="0" borderId="0" applyFont="0" applyFill="0" applyBorder="0" applyAlignment="0" applyProtection="0"/>
    <xf numFmtId="248" fontId="9" fillId="0" borderId="0">
      <protection locked="0"/>
    </xf>
    <xf numFmtId="228" fontId="104" fillId="23" borderId="0">
      <alignment horizontal="center"/>
    </xf>
    <xf numFmtId="249" fontId="102" fillId="0" borderId="0" applyFont="0" applyFill="0" applyBorder="0" applyProtection="0">
      <alignment horizontal="right"/>
    </xf>
    <xf numFmtId="250" fontId="9" fillId="0" borderId="0" applyFont="0" applyFill="0" applyBorder="0" applyAlignment="0" applyProtection="0"/>
    <xf numFmtId="176" fontId="9" fillId="0" borderId="0" applyFont="0" applyFill="0" applyBorder="0" applyAlignment="0" applyProtection="0"/>
    <xf numFmtId="0" fontId="100" fillId="0" borderId="0" applyFont="0" applyFill="0" applyBorder="0" applyProtection="0">
      <alignment horizontal="right"/>
    </xf>
    <xf numFmtId="0" fontId="100" fillId="0" borderId="0" applyFont="0" applyFill="0" applyBorder="0" applyProtection="0">
      <alignment horizontal="right"/>
    </xf>
    <xf numFmtId="0" fontId="100" fillId="0" borderId="0" applyFont="0" applyFill="0" applyBorder="0" applyProtection="0">
      <alignment horizontal="right"/>
    </xf>
    <xf numFmtId="0" fontId="9" fillId="0" borderId="0" applyFont="0" applyFill="0" applyBorder="0" applyProtection="0">
      <alignment horizontal="right"/>
    </xf>
    <xf numFmtId="168" fontId="9" fillId="0" borderId="0" applyFont="0" applyFill="0" applyBorder="0" applyProtection="0">
      <alignment horizontal="right"/>
    </xf>
    <xf numFmtId="0" fontId="9" fillId="0" borderId="41" applyBorder="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149" fillId="65" borderId="0" applyNumberFormat="0" applyBorder="0" applyAlignment="0" applyProtection="0"/>
    <xf numFmtId="0" fontId="63" fillId="65" borderId="0" applyNumberFormat="0" applyBorder="0" applyAlignment="0" applyProtection="0"/>
    <xf numFmtId="0" fontId="63" fillId="65" borderId="0" applyNumberFormat="0" applyBorder="0" applyAlignment="0" applyProtection="0"/>
    <xf numFmtId="0" fontId="92" fillId="0" borderId="0"/>
    <xf numFmtId="0" fontId="84" fillId="0" borderId="0" applyNumberFormat="0" applyFont="0" applyFill="0" applyBorder="0" applyProtection="0"/>
    <xf numFmtId="37" fontId="150" fillId="0" borderId="0"/>
    <xf numFmtId="0" fontId="151" fillId="0" borderId="0"/>
    <xf numFmtId="0" fontId="33" fillId="66" borderId="0" applyNumberFormat="0" applyBorder="0">
      <protection hidden="1"/>
    </xf>
    <xf numFmtId="0" fontId="152" fillId="0" borderId="0" applyNumberFormat="0" applyFill="0" applyBorder="0" applyProtection="0"/>
    <xf numFmtId="1" fontId="80" fillId="0" borderId="0"/>
    <xf numFmtId="251" fontId="153" fillId="0" borderId="0"/>
    <xf numFmtId="37" fontId="77" fillId="22" borderId="0" applyFont="0" applyFill="0" applyBorder="0" applyAlignment="0" applyProtection="0"/>
    <xf numFmtId="230" fontId="9" fillId="0" borderId="0" applyFont="0" applyFill="0" applyBorder="0" applyAlignment="0"/>
    <xf numFmtId="252" fontId="104" fillId="0" borderId="0" applyFont="0" applyFill="0" applyBorder="0" applyAlignment="0"/>
    <xf numFmtId="253" fontId="104" fillId="0" borderId="0" applyFont="0" applyFill="0" applyBorder="0" applyAlignment="0"/>
    <xf numFmtId="252" fontId="104" fillId="0" borderId="0" applyFont="0" applyFill="0" applyBorder="0" applyAlignment="0"/>
    <xf numFmtId="254" fontId="242" fillId="0" borderId="0"/>
    <xf numFmtId="0" fontId="9" fillId="0" borderId="0"/>
    <xf numFmtId="0" fontId="9" fillId="0" borderId="0"/>
    <xf numFmtId="0" fontId="9" fillId="0" borderId="0"/>
    <xf numFmtId="0" fontId="9" fillId="0" borderId="0"/>
    <xf numFmtId="0" fontId="97" fillId="0" borderId="0"/>
    <xf numFmtId="0" fontId="9" fillId="0" borderId="0"/>
    <xf numFmtId="0" fontId="242" fillId="0" borderId="0"/>
    <xf numFmtId="0" fontId="9" fillId="0" borderId="0"/>
    <xf numFmtId="0" fontId="242" fillId="0" borderId="0"/>
    <xf numFmtId="0" fontId="242" fillId="0" borderId="0"/>
    <xf numFmtId="0" fontId="242" fillId="0" borderId="0"/>
    <xf numFmtId="0" fontId="97" fillId="0" borderId="0"/>
    <xf numFmtId="0" fontId="9" fillId="0" borderId="0"/>
    <xf numFmtId="0" fontId="16" fillId="0" borderId="0"/>
    <xf numFmtId="0" fontId="242" fillId="0" borderId="0"/>
    <xf numFmtId="0" fontId="242" fillId="0" borderId="0"/>
    <xf numFmtId="0" fontId="242" fillId="0" borderId="0"/>
    <xf numFmtId="0" fontId="242" fillId="0" borderId="0"/>
    <xf numFmtId="0" fontId="9" fillId="0" borderId="9"/>
    <xf numFmtId="0" fontId="16" fillId="0" borderId="0">
      <alignment vertical="top"/>
    </xf>
    <xf numFmtId="0" fontId="16" fillId="0" borderId="0">
      <alignment vertical="top"/>
    </xf>
    <xf numFmtId="0" fontId="9" fillId="0" borderId="0"/>
    <xf numFmtId="0" fontId="242" fillId="0" borderId="0"/>
    <xf numFmtId="0" fontId="9" fillId="0" borderId="0"/>
    <xf numFmtId="0" fontId="242" fillId="0" borderId="0"/>
    <xf numFmtId="0" fontId="9" fillId="0" borderId="0"/>
    <xf numFmtId="0" fontId="9" fillId="0" borderId="0"/>
    <xf numFmtId="0" fontId="9" fillId="0" borderId="0"/>
    <xf numFmtId="0" fontId="9" fillId="0" borderId="0"/>
    <xf numFmtId="0" fontId="242" fillId="0" borderId="0"/>
    <xf numFmtId="0" fontId="9" fillId="0" borderId="0"/>
    <xf numFmtId="0" fontId="9" fillId="0" borderId="0"/>
    <xf numFmtId="0" fontId="97" fillId="0" borderId="0"/>
    <xf numFmtId="0" fontId="242" fillId="0" borderId="0"/>
    <xf numFmtId="0" fontId="97" fillId="0" borderId="0"/>
    <xf numFmtId="0" fontId="9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1" fillId="0" borderId="0"/>
    <xf numFmtId="0" fontId="9" fillId="0" borderId="0"/>
    <xf numFmtId="0" fontId="9" fillId="0" borderId="0"/>
    <xf numFmtId="0" fontId="1" fillId="0" borderId="0"/>
    <xf numFmtId="0" fontId="97" fillId="0" borderId="0"/>
    <xf numFmtId="0" fontId="9" fillId="0" borderId="0"/>
    <xf numFmtId="236" fontId="9" fillId="0" borderId="0"/>
    <xf numFmtId="0" fontId="97" fillId="0" borderId="0"/>
    <xf numFmtId="0" fontId="97" fillId="0" borderId="0"/>
    <xf numFmtId="236" fontId="9" fillId="0" borderId="0"/>
    <xf numFmtId="0" fontId="1"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242" fillId="0" borderId="0"/>
    <xf numFmtId="0" fontId="242" fillId="0" borderId="0"/>
    <xf numFmtId="0" fontId="242"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8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11" fillId="0" borderId="0"/>
    <xf numFmtId="0" fontId="121" fillId="0" borderId="0"/>
    <xf numFmtId="0" fontId="9" fillId="0" borderId="0"/>
    <xf numFmtId="236" fontId="9" fillId="0" borderId="0"/>
    <xf numFmtId="236" fontId="9" fillId="0" borderId="0"/>
    <xf numFmtId="0" fontId="9" fillId="0" borderId="0"/>
    <xf numFmtId="0" fontId="9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2" fillId="0" borderId="0"/>
    <xf numFmtId="236" fontId="9" fillId="0" borderId="0"/>
    <xf numFmtId="0" fontId="9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7" fillId="0" borderId="0"/>
    <xf numFmtId="0" fontId="97" fillId="0" borderId="0"/>
    <xf numFmtId="0" fontId="97" fillId="0" borderId="0"/>
    <xf numFmtId="0" fontId="97" fillId="0" borderId="0"/>
    <xf numFmtId="0" fontId="9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 fillId="0" borderId="0"/>
    <xf numFmtId="0" fontId="9" fillId="0" borderId="0"/>
    <xf numFmtId="0" fontId="97" fillId="0" borderId="0"/>
    <xf numFmtId="0" fontId="73" fillId="0" borderId="0"/>
    <xf numFmtId="0" fontId="97" fillId="0" borderId="0"/>
    <xf numFmtId="0" fontId="97" fillId="0" borderId="0"/>
    <xf numFmtId="0"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97" fillId="0" borderId="0"/>
    <xf numFmtId="0" fontId="97" fillId="0" borderId="0"/>
    <xf numFmtId="0" fontId="242" fillId="0" borderId="0"/>
    <xf numFmtId="0" fontId="242" fillId="0" borderId="0"/>
    <xf numFmtId="0" fontId="242" fillId="0" borderId="0"/>
    <xf numFmtId="0" fontId="97" fillId="0" borderId="0"/>
    <xf numFmtId="0" fontId="97" fillId="0" borderId="0"/>
    <xf numFmtId="0" fontId="97" fillId="0" borderId="0"/>
    <xf numFmtId="0" fontId="97" fillId="0" borderId="0"/>
    <xf numFmtId="0" fontId="97" fillId="0" borderId="0"/>
    <xf numFmtId="0" fontId="11" fillId="0" borderId="0"/>
    <xf numFmtId="0" fontId="97" fillId="0" borderId="0"/>
    <xf numFmtId="0" fontId="73" fillId="0" borderId="0"/>
    <xf numFmtId="0" fontId="73" fillId="0" borderId="0"/>
    <xf numFmtId="0" fontId="97" fillId="0" borderId="0"/>
    <xf numFmtId="0" fontId="97"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73" fillId="0" borderId="0"/>
    <xf numFmtId="0" fontId="242" fillId="0" borderId="0"/>
    <xf numFmtId="0" fontId="97" fillId="0" borderId="0"/>
    <xf numFmtId="0" fontId="9" fillId="0" borderId="0"/>
    <xf numFmtId="0" fontId="73" fillId="0" borderId="0"/>
    <xf numFmtId="0" fontId="9" fillId="0" borderId="0"/>
    <xf numFmtId="0" fontId="9" fillId="0" borderId="0"/>
    <xf numFmtId="0" fontId="73" fillId="0" borderId="0"/>
    <xf numFmtId="0" fontId="9" fillId="0" borderId="0"/>
    <xf numFmtId="0" fontId="9" fillId="0" borderId="0"/>
    <xf numFmtId="0" fontId="9" fillId="0" borderId="0"/>
    <xf numFmtId="0" fontId="9" fillId="0" borderId="0"/>
    <xf numFmtId="0" fontId="9" fillId="0" borderId="0"/>
    <xf numFmtId="0" fontId="73" fillId="0" borderId="0"/>
    <xf numFmtId="0" fontId="9" fillId="0" borderId="0"/>
    <xf numFmtId="0" fontId="97" fillId="0" borderId="0"/>
    <xf numFmtId="0" fontId="73" fillId="0" borderId="0"/>
    <xf numFmtId="0" fontId="9" fillId="0" borderId="0"/>
    <xf numFmtId="0" fontId="9" fillId="0" borderId="0"/>
    <xf numFmtId="0" fontId="87" fillId="0" borderId="0"/>
    <xf numFmtId="0" fontId="97" fillId="0" borderId="0"/>
    <xf numFmtId="0" fontId="97" fillId="0" borderId="0"/>
    <xf numFmtId="0" fontId="97" fillId="0" borderId="0"/>
    <xf numFmtId="0" fontId="9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7" fillId="0" borderId="0"/>
    <xf numFmtId="0" fontId="97" fillId="0" borderId="0"/>
    <xf numFmtId="0" fontId="9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242" fillId="0" borderId="0"/>
    <xf numFmtId="236" fontId="9" fillId="0" borderId="0"/>
    <xf numFmtId="236" fontId="9" fillId="0" borderId="0"/>
    <xf numFmtId="0" fontId="9" fillId="0" borderId="0"/>
    <xf numFmtId="236"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154" fillId="0" borderId="0"/>
    <xf numFmtId="0" fontId="154" fillId="0" borderId="0"/>
    <xf numFmtId="236" fontId="9" fillId="0" borderId="0"/>
    <xf numFmtId="236" fontId="9" fillId="0" borderId="0"/>
    <xf numFmtId="0" fontId="8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54" fontId="242" fillId="0" borderId="0"/>
    <xf numFmtId="0" fontId="242" fillId="0" borderId="0"/>
    <xf numFmtId="0" fontId="103" fillId="0" borderId="0"/>
    <xf numFmtId="236" fontId="9" fillId="0" borderId="0"/>
    <xf numFmtId="0" fontId="9" fillId="0" borderId="0"/>
    <xf numFmtId="236" fontId="9" fillId="0" borderId="0"/>
    <xf numFmtId="0" fontId="73" fillId="0" borderId="0"/>
    <xf numFmtId="0" fontId="242" fillId="0" borderId="0"/>
    <xf numFmtId="0" fontId="73" fillId="0" borderId="0"/>
    <xf numFmtId="236" fontId="9" fillId="0" borderId="0"/>
    <xf numFmtId="236" fontId="9" fillId="0" borderId="0"/>
    <xf numFmtId="236"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236" fontId="9" fillId="0" borderId="0"/>
    <xf numFmtId="236"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236" fontId="9" fillId="0" borderId="0"/>
    <xf numFmtId="236"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236" fontId="9" fillId="0" borderId="0"/>
    <xf numFmtId="236"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236" fontId="9" fillId="0" borderId="0"/>
    <xf numFmtId="236" fontId="9" fillId="0" borderId="0"/>
    <xf numFmtId="0" fontId="242" fillId="0" borderId="0"/>
    <xf numFmtId="0" fontId="242" fillId="0" borderId="0"/>
    <xf numFmtId="0" fontId="242" fillId="0" borderId="0"/>
    <xf numFmtId="236" fontId="9" fillId="0" borderId="0"/>
    <xf numFmtId="236" fontId="9" fillId="0" borderId="0"/>
    <xf numFmtId="236" fontId="9" fillId="0" borderId="0"/>
    <xf numFmtId="236" fontId="9" fillId="0" borderId="0"/>
    <xf numFmtId="0" fontId="242" fillId="0" borderId="0"/>
    <xf numFmtId="0" fontId="242" fillId="0" borderId="0"/>
    <xf numFmtId="0" fontId="242" fillId="0" borderId="0"/>
    <xf numFmtId="236" fontId="9" fillId="0" borderId="0"/>
    <xf numFmtId="236" fontId="9" fillId="0" borderId="0"/>
    <xf numFmtId="0" fontId="242" fillId="0" borderId="0"/>
    <xf numFmtId="236" fontId="9" fillId="0" borderId="0"/>
    <xf numFmtId="236" fontId="9" fillId="0" borderId="0"/>
    <xf numFmtId="236" fontId="9" fillId="0" borderId="0"/>
    <xf numFmtId="0" fontId="242" fillId="0" borderId="0"/>
    <xf numFmtId="0" fontId="9" fillId="0" borderId="0"/>
    <xf numFmtId="0" fontId="9" fillId="0" borderId="0"/>
    <xf numFmtId="0" fontId="9" fillId="0" borderId="0"/>
    <xf numFmtId="0" fontId="9" fillId="0" borderId="0"/>
    <xf numFmtId="236" fontId="9" fillId="0" borderId="0"/>
    <xf numFmtId="0" fontId="9" fillId="0" borderId="0"/>
    <xf numFmtId="0" fontId="9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 fillId="0" borderId="0"/>
    <xf numFmtId="0" fontId="9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76"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88"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 fillId="0" borderId="0"/>
    <xf numFmtId="236" fontId="9" fillId="0" borderId="0"/>
    <xf numFmtId="236" fontId="9" fillId="0" borderId="0"/>
    <xf numFmtId="236" fontId="9" fillId="0" borderId="0"/>
    <xf numFmtId="0" fontId="9" fillId="0" borderId="0">
      <alignment wrapText="1"/>
    </xf>
    <xf numFmtId="0" fontId="9" fillId="0" borderId="0">
      <alignment wrapText="1"/>
    </xf>
    <xf numFmtId="0" fontId="8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 fillId="0" borderId="0"/>
    <xf numFmtId="236" fontId="9" fillId="0" borderId="0"/>
    <xf numFmtId="0" fontId="9" fillId="0" borderId="0"/>
    <xf numFmtId="0" fontId="242" fillId="0" borderId="0"/>
    <xf numFmtId="236" fontId="9" fillId="0" borderId="0"/>
    <xf numFmtId="236" fontId="9" fillId="0" borderId="0"/>
    <xf numFmtId="236" fontId="9" fillId="0" borderId="0"/>
    <xf numFmtId="236" fontId="9" fillId="0" borderId="0"/>
    <xf numFmtId="236" fontId="9" fillId="0" borderId="0"/>
    <xf numFmtId="0" fontId="242" fillId="0" borderId="0"/>
    <xf numFmtId="0" fontId="242" fillId="0" borderId="0"/>
    <xf numFmtId="0" fontId="242"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101"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80"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236"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 fillId="0" borderId="0"/>
    <xf numFmtId="236" fontId="9" fillId="0" borderId="0"/>
    <xf numFmtId="236" fontId="9" fillId="0" borderId="0"/>
    <xf numFmtId="236" fontId="9" fillId="0" borderId="0"/>
    <xf numFmtId="0" fontId="37" fillId="0" borderId="0"/>
    <xf numFmtId="0" fontId="37" fillId="0" borderId="0"/>
    <xf numFmtId="0" fontId="9" fillId="0" borderId="0">
      <alignment wrapText="1"/>
    </xf>
    <xf numFmtId="0" fontId="9" fillId="0" borderId="0">
      <alignment wrapText="1"/>
    </xf>
    <xf numFmtId="0" fontId="9" fillId="0" borderId="0">
      <alignment wrapText="1"/>
    </xf>
    <xf numFmtId="0" fontId="37" fillId="0" borderId="0"/>
    <xf numFmtId="0" fontId="3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242" fillId="0" borderId="0"/>
    <xf numFmtId="236" fontId="9" fillId="0" borderId="0"/>
    <xf numFmtId="0" fontId="97" fillId="0" borderId="0"/>
    <xf numFmtId="0" fontId="9" fillId="0" borderId="0">
      <alignment wrapText="1"/>
    </xf>
    <xf numFmtId="236" fontId="9" fillId="0" borderId="0"/>
    <xf numFmtId="236" fontId="9" fillId="0" borderId="0"/>
    <xf numFmtId="236" fontId="9" fillId="0" borderId="0"/>
    <xf numFmtId="0" fontId="242" fillId="0" borderId="0"/>
    <xf numFmtId="0" fontId="242" fillId="0" borderId="0"/>
    <xf numFmtId="0" fontId="242" fillId="0" borderId="0"/>
    <xf numFmtId="236" fontId="9" fillId="0" borderId="0"/>
    <xf numFmtId="236" fontId="9" fillId="0" borderId="0"/>
    <xf numFmtId="0" fontId="242" fillId="0" borderId="0"/>
    <xf numFmtId="0" fontId="242" fillId="0" borderId="0"/>
    <xf numFmtId="0" fontId="242"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9" fillId="0" borderId="0">
      <alignment wrapText="1"/>
    </xf>
    <xf numFmtId="0" fontId="97"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236"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254" fontId="242"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 fillId="0" borderId="0"/>
    <xf numFmtId="0" fontId="9" fillId="0" borderId="0"/>
    <xf numFmtId="0" fontId="1" fillId="0" borderId="0"/>
    <xf numFmtId="0" fontId="16"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242" fillId="0" borderId="0"/>
    <xf numFmtId="0" fontId="97" fillId="0" borderId="0"/>
    <xf numFmtId="0" fontId="9" fillId="0" borderId="0"/>
    <xf numFmtId="0" fontId="9" fillId="0" borderId="0"/>
    <xf numFmtId="0" fontId="9" fillId="0" borderId="0"/>
    <xf numFmtId="0" fontId="9" fillId="0" borderId="0"/>
    <xf numFmtId="0" fontId="9" fillId="0" borderId="0"/>
    <xf numFmtId="0" fontId="16" fillId="0" borderId="0"/>
    <xf numFmtId="0" fontId="16" fillId="0" borderId="0"/>
    <xf numFmtId="236" fontId="9" fillId="0" borderId="0"/>
    <xf numFmtId="0" fontId="9" fillId="0" borderId="0"/>
    <xf numFmtId="0" fontId="97" fillId="0" borderId="0"/>
    <xf numFmtId="0" fontId="97" fillId="0" borderId="0"/>
    <xf numFmtId="0" fontId="97" fillId="0" borderId="0"/>
    <xf numFmtId="0" fontId="97" fillId="0" borderId="0"/>
    <xf numFmtId="0" fontId="97"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9" fillId="0" borderId="0"/>
    <xf numFmtId="0" fontId="73" fillId="0" borderId="0"/>
    <xf numFmtId="254" fontId="242"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7" fillId="0" borderId="0"/>
    <xf numFmtId="0" fontId="9" fillId="0" borderId="0"/>
    <xf numFmtId="0" fontId="242" fillId="0" borderId="0"/>
    <xf numFmtId="0" fontId="9" fillId="0" borderId="0"/>
    <xf numFmtId="0" fontId="97"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97"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97" fillId="0" borderId="0"/>
    <xf numFmtId="0" fontId="242" fillId="0" borderId="0"/>
    <xf numFmtId="0" fontId="242" fillId="0" borderId="0"/>
    <xf numFmtId="0" fontId="242" fillId="0" borderId="0"/>
    <xf numFmtId="0" fontId="97" fillId="0" borderId="0"/>
    <xf numFmtId="0" fontId="242" fillId="0" borderId="0"/>
    <xf numFmtId="0" fontId="97" fillId="0" borderId="0"/>
    <xf numFmtId="0" fontId="97" fillId="0" borderId="0"/>
    <xf numFmtId="0" fontId="97" fillId="0" borderId="0"/>
    <xf numFmtId="0" fontId="97" fillId="0" borderId="0"/>
    <xf numFmtId="0" fontId="97" fillId="0" borderId="0"/>
    <xf numFmtId="0" fontId="9" fillId="0" borderId="0"/>
    <xf numFmtId="0" fontId="97" fillId="0" borderId="0"/>
    <xf numFmtId="0" fontId="97"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242" fillId="0" borderId="0"/>
    <xf numFmtId="0" fontId="97" fillId="0" borderId="0"/>
    <xf numFmtId="0" fontId="242" fillId="0" borderId="0"/>
    <xf numFmtId="0" fontId="242" fillId="0" borderId="0"/>
    <xf numFmtId="0" fontId="242" fillId="0" borderId="0"/>
    <xf numFmtId="0" fontId="97" fillId="0" borderId="0"/>
    <xf numFmtId="0" fontId="97" fillId="0" borderId="0"/>
    <xf numFmtId="0" fontId="97" fillId="0" borderId="0"/>
    <xf numFmtId="0" fontId="97" fillId="0" borderId="0"/>
    <xf numFmtId="0" fontId="97" fillId="0" borderId="0"/>
    <xf numFmtId="254" fontId="242" fillId="0" borderId="0"/>
    <xf numFmtId="0" fontId="16" fillId="0" borderId="0"/>
    <xf numFmtId="0" fontId="9" fillId="0" borderId="0"/>
    <xf numFmtId="0" fontId="9" fillId="0" borderId="0"/>
    <xf numFmtId="0" fontId="104" fillId="0" borderId="0"/>
    <xf numFmtId="0" fontId="242" fillId="0" borderId="0"/>
    <xf numFmtId="0" fontId="97" fillId="0" borderId="0"/>
    <xf numFmtId="255" fontId="104" fillId="0" borderId="0" applyFont="0" applyFill="0" applyBorder="0" applyProtection="0"/>
    <xf numFmtId="255" fontId="104" fillId="0" borderId="0" applyFont="0" applyFill="0" applyBorder="0" applyProtection="0"/>
    <xf numFmtId="255" fontId="104" fillId="0" borderId="0" applyFont="0" applyFill="0" applyBorder="0" applyProtection="0"/>
    <xf numFmtId="255" fontId="104" fillId="0" borderId="0" applyFont="0" applyFill="0" applyBorder="0" applyProtection="0"/>
    <xf numFmtId="255" fontId="104" fillId="0" borderId="0" applyFont="0" applyFill="0" applyBorder="0" applyProtection="0"/>
    <xf numFmtId="255" fontId="104" fillId="0" borderId="0" applyFont="0" applyFill="0" applyBorder="0" applyProtection="0"/>
    <xf numFmtId="255" fontId="104" fillId="0" borderId="0" applyFont="0" applyFill="0" applyBorder="0" applyProtection="0"/>
    <xf numFmtId="255" fontId="104" fillId="0" borderId="0" applyFont="0" applyFill="0" applyBorder="0" applyProtection="0"/>
    <xf numFmtId="0" fontId="155" fillId="0" borderId="0"/>
    <xf numFmtId="0" fontId="9" fillId="0" borderId="0"/>
    <xf numFmtId="0" fontId="156" fillId="0" borderId="0"/>
    <xf numFmtId="256" fontId="104" fillId="0" borderId="0" applyFont="0" applyFill="0" applyBorder="0" applyAlignment="0" applyProtection="0"/>
    <xf numFmtId="0" fontId="82" fillId="67" borderId="42" applyNumberFormat="0" applyFont="0" applyAlignment="0" applyProtection="0"/>
    <xf numFmtId="0" fontId="242" fillId="67" borderId="42" applyNumberFormat="0" applyFont="0" applyAlignment="0" applyProtection="0"/>
    <xf numFmtId="0" fontId="37" fillId="67" borderId="42" applyNumberFormat="0" applyFont="0" applyAlignment="0" applyProtection="0"/>
    <xf numFmtId="0" fontId="242" fillId="67" borderId="42" applyNumberFormat="0" applyFont="0" applyAlignment="0" applyProtection="0"/>
    <xf numFmtId="0" fontId="37"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157" fillId="67" borderId="42" applyNumberFormat="0" applyFont="0" applyAlignment="0" applyProtection="0"/>
    <xf numFmtId="0" fontId="82" fillId="67" borderId="42" applyNumberFormat="0" applyFont="0" applyAlignment="0" applyProtection="0"/>
    <xf numFmtId="0" fontId="242" fillId="67" borderId="42" applyNumberFormat="0" applyFont="0" applyAlignment="0" applyProtection="0"/>
    <xf numFmtId="0" fontId="82" fillId="67" borderId="42" applyNumberFormat="0" applyFont="0" applyAlignment="0" applyProtection="0"/>
    <xf numFmtId="0" fontId="242" fillId="67" borderId="42" applyNumberFormat="0" applyFont="0" applyAlignment="0" applyProtection="0"/>
    <xf numFmtId="0" fontId="82" fillId="67" borderId="42" applyNumberFormat="0" applyFont="0" applyAlignment="0" applyProtection="0"/>
    <xf numFmtId="0" fontId="242" fillId="67" borderId="42" applyNumberFormat="0" applyFont="0" applyAlignment="0" applyProtection="0"/>
    <xf numFmtId="0" fontId="8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0" fontId="242" fillId="67" borderId="42" applyNumberFormat="0" applyFont="0" applyAlignment="0" applyProtection="0"/>
    <xf numFmtId="257" fontId="158" fillId="0" borderId="0" applyBorder="0" applyProtection="0">
      <alignment horizontal="right"/>
    </xf>
    <xf numFmtId="257" fontId="159" fillId="68" borderId="0" applyBorder="0" applyProtection="0">
      <alignment horizontal="right"/>
    </xf>
    <xf numFmtId="257" fontId="160" fillId="0" borderId="30" applyBorder="0"/>
    <xf numFmtId="257" fontId="158" fillId="0" borderId="0" applyBorder="0" applyProtection="0">
      <alignment horizontal="right"/>
    </xf>
    <xf numFmtId="258" fontId="158" fillId="0" borderId="0" applyBorder="0" applyProtection="0">
      <alignment horizontal="right"/>
    </xf>
    <xf numFmtId="258" fontId="161" fillId="68" borderId="0" applyProtection="0">
      <alignment horizontal="right"/>
    </xf>
    <xf numFmtId="37" fontId="75" fillId="0" borderId="0" applyFill="0" applyBorder="0" applyProtection="0">
      <alignment horizontal="right"/>
    </xf>
    <xf numFmtId="189" fontId="77" fillId="0" borderId="0" applyFont="0" applyFill="0" applyBorder="0" applyProtection="0">
      <alignment horizontal="right"/>
    </xf>
    <xf numFmtId="259" fontId="158" fillId="0" borderId="0" applyFill="0" applyBorder="0" applyProtection="0"/>
    <xf numFmtId="0" fontId="91" fillId="23" borderId="0">
      <alignment horizontal="right"/>
    </xf>
    <xf numFmtId="0" fontId="9" fillId="0" borderId="0">
      <alignment horizontal="right"/>
    </xf>
    <xf numFmtId="0" fontId="162" fillId="53" borderId="43" applyNumberFormat="0" applyAlignment="0" applyProtection="0"/>
    <xf numFmtId="0" fontId="162" fillId="53" borderId="43" applyNumberFormat="0" applyAlignment="0" applyProtection="0"/>
    <xf numFmtId="0" fontId="162" fillId="53" borderId="43" applyNumberFormat="0" applyAlignment="0" applyProtection="0"/>
    <xf numFmtId="0" fontId="162" fillId="53" borderId="43" applyNumberFormat="0" applyAlignment="0" applyProtection="0"/>
    <xf numFmtId="0" fontId="162" fillId="53" borderId="43" applyNumberFormat="0" applyAlignment="0" applyProtection="0"/>
    <xf numFmtId="0" fontId="65" fillId="53" borderId="43" applyNumberFormat="0" applyAlignment="0" applyProtection="0"/>
    <xf numFmtId="0" fontId="65" fillId="53" borderId="43" applyNumberFormat="0" applyAlignment="0" applyProtection="0"/>
    <xf numFmtId="0" fontId="163" fillId="0" borderId="0" applyProtection="0">
      <alignment horizontal="left"/>
    </xf>
    <xf numFmtId="0" fontId="163" fillId="0" borderId="0" applyFill="0" applyBorder="0" applyProtection="0">
      <alignment horizontal="left"/>
    </xf>
    <xf numFmtId="0" fontId="164" fillId="0" borderId="0" applyFill="0" applyBorder="0" applyProtection="0">
      <alignment horizontal="left"/>
    </xf>
    <xf numFmtId="1" fontId="165" fillId="0" borderId="0" applyProtection="0">
      <alignment horizontal="right" vertical="center"/>
    </xf>
    <xf numFmtId="238" fontId="166" fillId="0" borderId="16">
      <alignment vertical="center"/>
    </xf>
    <xf numFmtId="2" fontId="94" fillId="0" borderId="0"/>
    <xf numFmtId="234" fontId="167" fillId="0" borderId="0" applyFill="0" applyBorder="0" applyAlignment="0" applyProtection="0"/>
    <xf numFmtId="170" fontId="9" fillId="0" borderId="0" applyFont="0" applyFill="0" applyBorder="0" applyAlignment="0" applyProtection="0"/>
    <xf numFmtId="260" fontId="76" fillId="0" borderId="0" applyFont="0" applyFill="0" applyBorder="0" applyAlignment="0" applyProtection="0"/>
    <xf numFmtId="261" fontId="168" fillId="23" borderId="9" applyFill="0" applyBorder="0">
      <protection locked="0"/>
    </xf>
    <xf numFmtId="262" fontId="168" fillId="20" borderId="0" applyFill="0" applyBorder="0" applyAlignment="0">
      <protection hidden="1"/>
    </xf>
    <xf numFmtId="10" fontId="9" fillId="0" borderId="0" applyFont="0" applyFill="0" applyBorder="0" applyAlignment="0" applyProtection="0"/>
    <xf numFmtId="10" fontId="9" fillId="0" borderId="0" applyFont="0" applyFill="0" applyBorder="0" applyAlignment="0" applyProtection="0"/>
    <xf numFmtId="263" fontId="158" fillId="0" borderId="0" applyBorder="0" applyProtection="0">
      <alignment horizontal="right"/>
    </xf>
    <xf numFmtId="263" fontId="159" fillId="68" borderId="0" applyProtection="0">
      <alignment horizontal="right"/>
    </xf>
    <xf numFmtId="263" fontId="158" fillId="0" borderId="0" applyFont="0" applyBorder="0" applyProtection="0">
      <alignment horizontal="right"/>
    </xf>
    <xf numFmtId="9" fontId="9"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9"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2"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16"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234" fontId="9"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1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2"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9"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9" fontId="242" fillId="0" borderId="0" applyFont="0" applyFill="0" applyBorder="0" applyAlignment="0" applyProtection="0"/>
    <xf numFmtId="264" fontId="94" fillId="0" borderId="0" applyFont="0" applyFill="0" applyBorder="0" applyProtection="0">
      <alignment horizontal="right"/>
    </xf>
    <xf numFmtId="9" fontId="9" fillId="0" borderId="0"/>
    <xf numFmtId="265" fontId="9" fillId="0" borderId="0" applyFill="0" applyBorder="0">
      <alignment horizontal="right"/>
      <protection locked="0"/>
    </xf>
    <xf numFmtId="1" fontId="80" fillId="0" borderId="0"/>
    <xf numFmtId="248" fontId="9" fillId="0" borderId="0">
      <protection locked="0"/>
    </xf>
    <xf numFmtId="234" fontId="9" fillId="0" borderId="0" applyFont="0" applyFill="0" applyBorder="0" applyAlignment="0" applyProtection="0"/>
    <xf numFmtId="207" fontId="76" fillId="0" borderId="0" applyFill="0" applyBorder="0" applyAlignment="0"/>
    <xf numFmtId="208" fontId="76" fillId="0" borderId="0" applyFill="0" applyBorder="0" applyAlignment="0"/>
    <xf numFmtId="207" fontId="76" fillId="0" borderId="0" applyFill="0" applyBorder="0" applyAlignment="0"/>
    <xf numFmtId="209" fontId="9" fillId="0" borderId="0" applyFill="0" applyBorder="0" applyAlignment="0"/>
    <xf numFmtId="208" fontId="76" fillId="0" borderId="0" applyFill="0" applyBorder="0" applyAlignment="0"/>
    <xf numFmtId="10" fontId="94" fillId="0" borderId="0"/>
    <xf numFmtId="10" fontId="94" fillId="62" borderId="0"/>
    <xf numFmtId="9" fontId="94" fillId="0" borderId="0" applyFont="0" applyFill="0" applyBorder="0" applyAlignment="0" applyProtection="0"/>
    <xf numFmtId="168" fontId="16" fillId="0" borderId="0"/>
    <xf numFmtId="266" fontId="169" fillId="20" borderId="0" applyBorder="0" applyAlignment="0">
      <protection hidden="1"/>
    </xf>
    <xf numFmtId="1" fontId="169" fillId="20" borderId="0">
      <alignment horizontal="center"/>
    </xf>
    <xf numFmtId="0" fontId="97" fillId="0" borderId="0" applyNumberFormat="0" applyFont="0" applyFill="0" applyBorder="0" applyProtection="0"/>
    <xf numFmtId="15" fontId="97" fillId="0" borderId="0" applyFont="0" applyFill="0" applyBorder="0" applyAlignment="0" applyProtection="0"/>
    <xf numFmtId="4" fontId="97" fillId="0" borderId="0" applyFont="0" applyFill="0" applyBorder="0" applyAlignment="0" applyProtection="0"/>
    <xf numFmtId="0" fontId="143" fillId="0" borderId="17">
      <alignment horizontal="center"/>
    </xf>
    <xf numFmtId="3" fontId="97" fillId="0" borderId="0" applyFont="0" applyFill="0" applyBorder="0" applyAlignment="0" applyProtection="0"/>
    <xf numFmtId="0" fontId="97" fillId="69" borderId="0" applyNumberFormat="0" applyFont="0" applyBorder="0" applyAlignment="0" applyProtection="0"/>
    <xf numFmtId="0" fontId="97" fillId="0" borderId="0">
      <alignment horizontal="right"/>
      <protection locked="0"/>
    </xf>
    <xf numFmtId="0" fontId="170" fillId="0" borderId="0" applyNumberFormat="0" applyFill="0" applyBorder="0" applyProtection="0"/>
    <xf numFmtId="0" fontId="171" fillId="57" borderId="0"/>
    <xf numFmtId="0" fontId="80" fillId="0" borderId="0" applyNumberFormat="0" applyFill="0" applyBorder="0" applyProtection="0">
      <alignment horizontal="right" vertical="center"/>
    </xf>
    <xf numFmtId="0" fontId="172" fillId="0" borderId="44">
      <alignment vertical="center"/>
    </xf>
    <xf numFmtId="267" fontId="9" fillId="0" borderId="0" applyFill="0" applyBorder="0">
      <alignment horizontal="right"/>
      <protection hidden="1"/>
    </xf>
    <xf numFmtId="0" fontId="173" fillId="56" borderId="9">
      <alignment horizontal="center" vertical="center" wrapText="1"/>
      <protection hidden="1"/>
    </xf>
    <xf numFmtId="0" fontId="97" fillId="70" borderId="45"/>
    <xf numFmtId="0" fontId="76" fillId="71" borderId="0" applyNumberFormat="0" applyFont="0" applyBorder="0" applyAlignment="0" applyProtection="0"/>
    <xf numFmtId="42" fontId="174" fillId="0" borderId="0" applyFill="0" applyBorder="0" applyAlignment="0" applyProtection="0"/>
    <xf numFmtId="41" fontId="175" fillId="0" borderId="0"/>
    <xf numFmtId="0" fontId="104" fillId="0" borderId="0"/>
    <xf numFmtId="0" fontId="176" fillId="0" borderId="0">
      <alignment horizontal="right"/>
    </xf>
    <xf numFmtId="0" fontId="111" fillId="0" borderId="0">
      <alignment horizontal="left"/>
    </xf>
    <xf numFmtId="234" fontId="177" fillId="0" borderId="35"/>
    <xf numFmtId="268" fontId="84" fillId="64" borderId="0" applyFont="0" applyBorder="0"/>
    <xf numFmtId="0" fontId="178" fillId="0" borderId="0"/>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9" fillId="0" borderId="0">
      <alignment vertical="top"/>
    </xf>
    <xf numFmtId="41" fontId="9" fillId="0" borderId="0" applyFont="0" applyFill="0" applyBorder="0" applyAlignment="0" applyProtection="0"/>
    <xf numFmtId="0" fontId="33" fillId="0" borderId="0">
      <alignment vertical="top"/>
    </xf>
    <xf numFmtId="0" fontId="76" fillId="0" borderId="0">
      <alignment vertical="top"/>
    </xf>
    <xf numFmtId="0" fontId="76" fillId="0" borderId="0">
      <alignment vertical="top"/>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6" fillId="0" borderId="0">
      <alignment vertical="top"/>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76" fillId="0" borderId="0">
      <alignment vertical="top"/>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44" fontId="9" fillId="0" borderId="0" applyFont="0" applyFill="0" applyBorder="0" applyAlignment="0" applyProtection="0"/>
    <xf numFmtId="0" fontId="76" fillId="0" borderId="0">
      <alignment vertical="top"/>
    </xf>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179" fillId="71" borderId="9" applyNumberFormat="0" applyProtection="0">
      <alignment horizontal="center" vertical="center"/>
    </xf>
    <xf numFmtId="0" fontId="76" fillId="0" borderId="0">
      <alignment vertical="top"/>
    </xf>
    <xf numFmtId="0" fontId="8" fillId="71" borderId="9" applyNumberFormat="0" applyProtection="0">
      <alignment horizontal="center" vertical="center" wrapText="1"/>
    </xf>
    <xf numFmtId="0" fontId="8" fillId="71" borderId="9" applyNumberFormat="0" applyProtection="0">
      <alignment horizontal="center" vertical="center"/>
    </xf>
    <xf numFmtId="0" fontId="8" fillId="71" borderId="9" applyNumberFormat="0" applyProtection="0">
      <alignment horizontal="center" vertical="center" wrapText="1"/>
    </xf>
    <xf numFmtId="0" fontId="180" fillId="0" borderId="0" applyNumberFormat="0" applyFill="0" applyBorder="0" applyAlignment="0" applyProtection="0"/>
    <xf numFmtId="0" fontId="8" fillId="16" borderId="9" applyNumberFormat="0" applyProtection="0">
      <alignment horizontal="left" vertical="center" wrapText="1"/>
    </xf>
    <xf numFmtId="0" fontId="76" fillId="0" borderId="0">
      <alignment vertical="top"/>
    </xf>
    <xf numFmtId="0" fontId="76" fillId="0" borderId="0">
      <alignment vertical="top"/>
    </xf>
    <xf numFmtId="0" fontId="43" fillId="0" borderId="0" applyNumberFormat="0" applyFill="0" applyBorder="0" applyAlignment="0" applyProtection="0"/>
    <xf numFmtId="0" fontId="8" fillId="72" borderId="9" applyNumberFormat="0" applyProtection="0">
      <alignment horizontal="center" vertical="center" wrapText="1"/>
    </xf>
    <xf numFmtId="0" fontId="9" fillId="24" borderId="9" applyNumberFormat="0" applyProtection="0">
      <alignment horizontal="left" vertical="center" wrapText="1"/>
    </xf>
    <xf numFmtId="0" fontId="76" fillId="0" borderId="0">
      <alignment vertical="top"/>
    </xf>
    <xf numFmtId="0" fontId="8" fillId="16" borderId="9" applyNumberFormat="0" applyProtection="0">
      <alignment horizontal="left" vertical="center" wrapText="1"/>
    </xf>
    <xf numFmtId="0" fontId="76" fillId="0" borderId="0">
      <alignment vertical="top"/>
    </xf>
    <xf numFmtId="0" fontId="76" fillId="0" borderId="0">
      <alignment vertical="top"/>
    </xf>
    <xf numFmtId="0" fontId="181" fillId="73" borderId="0" applyNumberFormat="0" applyBorder="0" applyAlignment="0" applyProtection="0"/>
    <xf numFmtId="0" fontId="76" fillId="0" borderId="0">
      <alignment vertical="top"/>
    </xf>
    <xf numFmtId="0" fontId="76" fillId="0" borderId="0">
      <alignment vertical="top"/>
    </xf>
    <xf numFmtId="0" fontId="76" fillId="0" borderId="0">
      <alignment vertical="top"/>
    </xf>
    <xf numFmtId="43" fontId="75" fillId="0" borderId="0" applyFont="0" applyFill="0" applyBorder="0" applyAlignment="0" applyProtection="0"/>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182" fontId="9" fillId="0" borderId="0" applyFont="0" applyFill="0" applyBorder="0" applyAlignment="0" applyProtection="0"/>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44" fontId="9" fillId="0" borderId="0" applyFont="0" applyFill="0" applyBorder="0" applyAlignment="0" applyProtection="0"/>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269" fontId="94" fillId="0" borderId="0" applyFont="0" applyFill="0" applyBorder="0" applyAlignment="0" applyProtection="0"/>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269" fontId="94" fillId="0" borderId="0" applyFont="0" applyFill="0" applyBorder="0" applyAlignment="0" applyProtection="0"/>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76" fillId="0" borderId="0">
      <alignment vertical="top"/>
    </xf>
    <xf numFmtId="0" fontId="16" fillId="0" borderId="0" applyNumberFormat="0" applyBorder="0" applyAlignment="0"/>
    <xf numFmtId="0" fontId="182" fillId="0" borderId="0" applyNumberFormat="0" applyBorder="0" applyAlignment="0"/>
    <xf numFmtId="0" fontId="183" fillId="0" borderId="0" applyNumberFormat="0" applyBorder="0" applyAlignment="0"/>
    <xf numFmtId="0" fontId="93" fillId="0" borderId="0" applyNumberFormat="0" applyFill="0" applyBorder="0" applyProtection="0">
      <alignment horizontal="left" vertical="center"/>
    </xf>
    <xf numFmtId="0" fontId="93" fillId="0" borderId="30" applyNumberFormat="0" applyFill="0" applyProtection="0">
      <alignment horizontal="left" vertical="center"/>
    </xf>
    <xf numFmtId="0" fontId="84" fillId="74" borderId="0" applyNumberFormat="0" applyFont="0" applyBorder="0">
      <alignment horizontal="center" vertical="center"/>
      <protection locked="0"/>
    </xf>
    <xf numFmtId="9" fontId="9" fillId="0" borderId="0"/>
    <xf numFmtId="0" fontId="95" fillId="0" borderId="0" applyFill="0" applyBorder="0" applyProtection="0">
      <alignment horizontal="center" vertical="center"/>
    </xf>
    <xf numFmtId="0" fontId="184" fillId="0" borderId="0" applyBorder="0" applyProtection="0">
      <alignment vertical="center"/>
    </xf>
    <xf numFmtId="168" fontId="9" fillId="0" borderId="16" applyBorder="0" applyProtection="0">
      <alignment horizontal="right" vertical="center"/>
    </xf>
    <xf numFmtId="0" fontId="185" fillId="75" borderId="0" applyBorder="0" applyProtection="0">
      <alignment horizontal="centerContinuous" vertical="center"/>
    </xf>
    <xf numFmtId="0" fontId="185" fillId="73" borderId="16" applyBorder="0" applyProtection="0">
      <alignment horizontal="centerContinuous" vertical="center"/>
    </xf>
    <xf numFmtId="0" fontId="186" fillId="0" borderId="0"/>
    <xf numFmtId="0" fontId="95" fillId="0" borderId="0" applyFill="0" applyBorder="0" applyProtection="0"/>
    <xf numFmtId="0" fontId="156" fillId="0" borderId="0"/>
    <xf numFmtId="0" fontId="187" fillId="0" borderId="0" applyFill="0" applyBorder="0" applyProtection="0">
      <alignment horizontal="left"/>
    </xf>
    <xf numFmtId="0" fontId="188" fillId="0" borderId="0" applyFill="0" applyBorder="0" applyProtection="0">
      <alignment horizontal="left" vertical="top"/>
    </xf>
    <xf numFmtId="0" fontId="189" fillId="0" borderId="0">
      <alignment horizontal="centerContinuous"/>
    </xf>
    <xf numFmtId="0" fontId="9" fillId="24" borderId="46" applyNumberFormat="0"/>
    <xf numFmtId="0" fontId="190" fillId="24" borderId="47" applyNumberFormat="0" applyBorder="0" applyProtection="0"/>
    <xf numFmtId="0" fontId="9" fillId="24" borderId="46" applyNumberFormat="0" applyProtection="0">
      <alignment horizontal="centerContinuous" vertical="center"/>
    </xf>
    <xf numFmtId="0" fontId="191" fillId="76" borderId="0" applyNumberFormat="0" applyBorder="0" applyProtection="0"/>
    <xf numFmtId="238" fontId="9" fillId="24" borderId="0" applyBorder="0" applyProtection="0"/>
    <xf numFmtId="49" fontId="75" fillId="0" borderId="16">
      <alignment vertical="center"/>
    </xf>
    <xf numFmtId="0" fontId="192" fillId="0" borderId="0"/>
    <xf numFmtId="0" fontId="193" fillId="0" borderId="0"/>
    <xf numFmtId="49" fontId="16" fillId="0" borderId="0" applyFill="0" applyBorder="0" applyAlignment="0"/>
    <xf numFmtId="271" fontId="76" fillId="0" borderId="0" applyFill="0" applyBorder="0" applyAlignment="0"/>
    <xf numFmtId="272" fontId="76" fillId="0" borderId="0" applyFill="0" applyBorder="0" applyAlignment="0"/>
    <xf numFmtId="0" fontId="79" fillId="0" borderId="0" applyNumberFormat="0" applyFont="0" applyFill="0" applyBorder="0" applyProtection="0">
      <alignment horizontal="left" vertical="top" wrapText="1"/>
    </xf>
    <xf numFmtId="18" fontId="104" fillId="0" borderId="0" applyFill="0" applyBorder="0" applyAlignment="0" applyProtection="0"/>
    <xf numFmtId="0" fontId="76" fillId="0" borderId="0" applyNumberFormat="0" applyFill="0" applyBorder="0" applyAlignment="0" applyProtection="0"/>
    <xf numFmtId="0" fontId="80" fillId="0" borderId="0" applyNumberFormat="0" applyFill="0" applyBorder="0" applyAlignment="0" applyProtection="0"/>
    <xf numFmtId="40" fontId="194" fillId="0" borderId="0"/>
    <xf numFmtId="0" fontId="195" fillId="0" borderId="0" applyNumberFormat="0" applyBorder="0" applyAlignment="0" applyProtection="0"/>
    <xf numFmtId="0" fontId="195" fillId="0" borderId="0" applyNumberFormat="0" applyBorder="0" applyAlignment="0" applyProtection="0"/>
    <xf numFmtId="0" fontId="196" fillId="0" borderId="0">
      <alignment horizontal="left"/>
    </xf>
    <xf numFmtId="0" fontId="197" fillId="73" borderId="0" applyNumberFormat="0" applyProtection="0">
      <alignment horizontal="left" vertical="center"/>
    </xf>
    <xf numFmtId="0" fontId="198" fillId="0" borderId="0" applyNumberFormat="0" applyProtection="0">
      <alignment horizontal="left" vertical="center"/>
    </xf>
    <xf numFmtId="0" fontId="97" fillId="0" borderId="0" applyBorder="0"/>
    <xf numFmtId="0" fontId="76" fillId="60" borderId="0" applyNumberFormat="0" applyFont="0" applyBorder="0" applyProtection="0">
      <alignment horizontal="left"/>
    </xf>
    <xf numFmtId="0" fontId="9" fillId="0" borderId="0" applyNumberFormat="0" applyFill="0" applyBorder="0" applyProtection="0">
      <alignment vertical="top"/>
    </xf>
    <xf numFmtId="0" fontId="3" fillId="0" borderId="48" applyNumberFormat="0" applyFill="0" applyAlignment="0" applyProtection="0"/>
    <xf numFmtId="0" fontId="38" fillId="0" borderId="48" applyNumberFormat="0" applyFill="0" applyAlignment="0" applyProtection="0"/>
    <xf numFmtId="0" fontId="38" fillId="0" borderId="48" applyNumberFormat="0" applyFill="0" applyAlignment="0" applyProtection="0"/>
    <xf numFmtId="0" fontId="38" fillId="0" borderId="48" applyNumberFormat="0" applyFill="0" applyAlignment="0" applyProtection="0"/>
    <xf numFmtId="0" fontId="38" fillId="0" borderId="48" applyNumberFormat="0" applyFill="0" applyAlignment="0" applyProtection="0"/>
    <xf numFmtId="0" fontId="38" fillId="0" borderId="48" applyNumberFormat="0" applyFill="0" applyAlignment="0" applyProtection="0"/>
    <xf numFmtId="0" fontId="199" fillId="0" borderId="48" applyNumberFormat="0" applyFill="0" applyAlignment="0" applyProtection="0"/>
    <xf numFmtId="39" fontId="9" fillId="0" borderId="12">
      <protection locked="0"/>
    </xf>
    <xf numFmtId="6" fontId="189" fillId="0" borderId="12" applyFill="0" applyAlignment="0" applyProtection="0"/>
    <xf numFmtId="168" fontId="81" fillId="0" borderId="49"/>
    <xf numFmtId="0" fontId="200" fillId="0" borderId="0">
      <alignment horizontal="fill"/>
    </xf>
    <xf numFmtId="275" fontId="169" fillId="20" borderId="15" applyBorder="0">
      <alignment horizontal="right" vertical="center"/>
      <protection locked="0"/>
    </xf>
    <xf numFmtId="42" fontId="9" fillId="0" borderId="0" applyFont="0" applyFill="0" applyBorder="0" applyAlignment="0" applyProtection="0"/>
    <xf numFmtId="276"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0" fontId="201" fillId="24" borderId="0" applyNumberFormat="0" applyBorder="0" applyProtection="0">
      <alignment horizontal="centerContinuous" vertical="center"/>
    </xf>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202" fillId="0" borderId="0"/>
    <xf numFmtId="1" fontId="202" fillId="0" borderId="0"/>
    <xf numFmtId="277" fontId="94" fillId="0" borderId="0" applyFont="0" applyFill="0" applyBorder="0" applyProtection="0">
      <alignment horizontal="right"/>
    </xf>
    <xf numFmtId="278" fontId="9" fillId="0" borderId="0"/>
    <xf numFmtId="279" fontId="158" fillId="0" borderId="0" applyFill="0" applyBorder="0" applyProtection="0"/>
    <xf numFmtId="0" fontId="9" fillId="0" borderId="0">
      <alignment horizontal="center"/>
    </xf>
    <xf numFmtId="280" fontId="75" fillId="0" borderId="16">
      <alignment horizontal="right"/>
    </xf>
    <xf numFmtId="281" fontId="9" fillId="0" borderId="0" applyFont="0" applyFill="0" applyBorder="0" applyAlignment="0" applyProtection="0"/>
    <xf numFmtId="282" fontId="86" fillId="0" borderId="0" applyFont="0" applyFill="0" applyBorder="0" applyProtection="0">
      <alignment horizontal="right"/>
    </xf>
    <xf numFmtId="0" fontId="9" fillId="0" borderId="0"/>
    <xf numFmtId="167" fontId="9" fillId="0" borderId="0" applyFont="0" applyFill="0" applyBorder="0" applyAlignment="0" applyProtection="0"/>
    <xf numFmtId="254" fontId="9" fillId="0" borderId="0"/>
    <xf numFmtId="0" fontId="41" fillId="0" borderId="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0" fillId="0" borderId="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00" fontId="9" fillId="0" borderId="11">
      <alignment horizontal="right"/>
    </xf>
    <xf numFmtId="201" fontId="84" fillId="0" borderId="11">
      <alignment horizontal="right"/>
    </xf>
    <xf numFmtId="201" fontId="84" fillId="0" borderId="11" applyFill="0">
      <alignment horizontal="right"/>
    </xf>
    <xf numFmtId="3" fontId="9" fillId="0" borderId="11" applyFill="0">
      <alignment horizontal="right"/>
    </xf>
    <xf numFmtId="202" fontId="84" fillId="0" borderId="11" applyFill="0">
      <alignment horizontal="right"/>
    </xf>
    <xf numFmtId="204" fontId="9" fillId="0" borderId="11">
      <alignment horizontal="right"/>
      <protection locked="0"/>
    </xf>
    <xf numFmtId="0" fontId="84" fillId="0" borderId="11" applyNumberFormat="0" applyFont="0" applyBorder="0" applyProtection="0">
      <alignment horizontal="right"/>
    </xf>
    <xf numFmtId="0" fontId="90" fillId="52" borderId="15" applyNumberFormat="0" applyBorder="0">
      <protection hidden="1"/>
    </xf>
    <xf numFmtId="0" fontId="93" fillId="0" borderId="16" applyNumberFormat="0" applyFill="0" applyAlignment="0" applyProtection="0"/>
    <xf numFmtId="0" fontId="79" fillId="0" borderId="16" applyNumberFormat="0" applyFont="0" applyFill="0" applyAlignment="0" applyProtection="0"/>
    <xf numFmtId="0" fontId="79" fillId="0" borderId="15" applyNumberFormat="0" applyFont="0" applyFill="0" applyAlignment="0" applyProtection="0"/>
    <xf numFmtId="226" fontId="77" fillId="23" borderId="26" applyFont="0" applyFill="0" applyBorder="0" applyAlignment="0" applyProtection="0"/>
    <xf numFmtId="228" fontId="81" fillId="0" borderId="16" applyFont="0" applyFill="0" applyBorder="0" applyAlignment="0" applyProtection="0"/>
    <xf numFmtId="232" fontId="97" fillId="57" borderId="15">
      <alignment horizontal="left"/>
    </xf>
    <xf numFmtId="2" fontId="145" fillId="0" borderId="16"/>
    <xf numFmtId="14" fontId="81" fillId="0" borderId="16"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68" fontId="9" fillId="0" borderId="16" applyBorder="0" applyProtection="0">
      <alignment horizontal="right" vertical="center"/>
    </xf>
    <xf numFmtId="167" fontId="242" fillId="0" borderId="0" applyFont="0" applyFill="0" applyBorder="0" applyAlignment="0" applyProtection="0"/>
    <xf numFmtId="0" fontId="185" fillId="73" borderId="16" applyBorder="0" applyProtection="0">
      <alignment horizontal="centerContinuous" vertical="center"/>
    </xf>
    <xf numFmtId="49" fontId="75" fillId="0" borderId="16">
      <alignment vertical="center"/>
    </xf>
    <xf numFmtId="275" fontId="169" fillId="20" borderId="15" applyBorder="0">
      <alignment horizontal="right" vertical="center"/>
      <protection locked="0"/>
    </xf>
    <xf numFmtId="280" fontId="75" fillId="0" borderId="16">
      <alignment horizontal="right"/>
    </xf>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167" fontId="242" fillId="0" borderId="0" applyFon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43" fillId="62" borderId="39">
      <alignment horizontal="left" vertical="center" wrapText="1"/>
    </xf>
    <xf numFmtId="8" fontId="109" fillId="0" borderId="23">
      <protection locked="0"/>
    </xf>
    <xf numFmtId="205" fontId="86" fillId="50" borderId="14"/>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90" fillId="24" borderId="47" applyNumberFormat="0" applyBorder="0" applyProtection="0"/>
    <xf numFmtId="168" fontId="81" fillId="0" borderId="49"/>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14" fillId="20" borderId="1" applyNumberFormat="0" applyAlignment="0" applyProtection="0"/>
    <xf numFmtId="0" fontId="21" fillId="0" borderId="5" applyNumberFormat="0" applyFill="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9" fillId="24" borderId="9" applyNumberFormat="0" applyProtection="0">
      <alignment horizontal="left" vertical="center"/>
    </xf>
    <xf numFmtId="0" fontId="9" fillId="24" borderId="9" applyNumberFormat="0" applyProtection="0">
      <alignment horizontal="left" vertical="center"/>
    </xf>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14" fillId="20" borderId="1" applyNumberFormat="0" applyAlignment="0" applyProtection="0"/>
    <xf numFmtId="0" fontId="22"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25" fillId="20" borderId="8" applyNumberFormat="0" applyAlignment="0" applyProtection="0"/>
    <xf numFmtId="0" fontId="27" fillId="0" borderId="10" applyNumberFormat="0" applyFill="0" applyAlignment="0" applyProtection="0"/>
    <xf numFmtId="0" fontId="87" fillId="0" borderId="0"/>
  </cellStyleXfs>
  <cellXfs count="928">
    <xf numFmtId="0" fontId="0" fillId="0" borderId="0" xfId="0"/>
    <xf numFmtId="0" fontId="44" fillId="77" borderId="69" xfId="0" applyFont="1" applyFill="1" applyBorder="1" applyAlignment="1">
      <alignment wrapText="1"/>
    </xf>
    <xf numFmtId="0" fontId="44" fillId="77" borderId="30" xfId="0" applyFont="1" applyFill="1" applyBorder="1" applyAlignment="1">
      <alignment wrapText="1"/>
    </xf>
    <xf numFmtId="0" fontId="87" fillId="77" borderId="60" xfId="0" applyFont="1" applyFill="1" applyBorder="1" applyAlignment="1">
      <alignment wrapText="1"/>
    </xf>
    <xf numFmtId="0" fontId="87" fillId="77" borderId="20" xfId="0" applyFont="1" applyFill="1" applyBorder="1" applyAlignment="1">
      <alignment wrapText="1"/>
    </xf>
    <xf numFmtId="0" fontId="48" fillId="78" borderId="0" xfId="0" applyFont="1" applyFill="1" applyBorder="1" applyAlignment="1">
      <alignment horizontal="center" vertical="center"/>
    </xf>
    <xf numFmtId="0" fontId="48" fillId="78" borderId="15" xfId="0" applyFont="1" applyFill="1" applyBorder="1" applyAlignment="1">
      <alignment horizontal="center" vertical="center"/>
    </xf>
    <xf numFmtId="0" fontId="44" fillId="77" borderId="60" xfId="0" applyFont="1" applyFill="1" applyBorder="1" applyAlignment="1">
      <alignment wrapText="1"/>
    </xf>
    <xf numFmtId="0" fontId="44" fillId="77" borderId="20" xfId="0" applyFont="1" applyFill="1" applyBorder="1" applyAlignment="1">
      <alignment wrapText="1"/>
    </xf>
    <xf numFmtId="0" fontId="87" fillId="77" borderId="19" xfId="0" applyFont="1" applyFill="1" applyBorder="1" applyAlignment="1">
      <alignment wrapText="1"/>
    </xf>
    <xf numFmtId="0" fontId="87" fillId="77" borderId="0" xfId="0" applyFont="1" applyFill="1" applyBorder="1" applyAlignment="1">
      <alignment wrapText="1"/>
    </xf>
    <xf numFmtId="0" fontId="235" fillId="77" borderId="19" xfId="0" applyFont="1" applyFill="1" applyBorder="1" applyAlignment="1">
      <alignment wrapText="1"/>
    </xf>
    <xf numFmtId="0" fontId="235" fillId="77" borderId="0" xfId="0" applyFont="1" applyFill="1" applyBorder="1" applyAlignment="1">
      <alignment wrapText="1"/>
    </xf>
    <xf numFmtId="0" fontId="42" fillId="77" borderId="0" xfId="0" applyFont="1" applyFill="1" applyBorder="1" applyAlignment="1">
      <alignment horizontal="center" vertical="center"/>
    </xf>
    <xf numFmtId="0" fontId="0" fillId="77" borderId="0" xfId="0" applyFill="1"/>
    <xf numFmtId="0" fontId="2" fillId="77" borderId="0" xfId="0" applyFont="1" applyFill="1"/>
    <xf numFmtId="0" fontId="5" fillId="77" borderId="0" xfId="0" applyFont="1" applyFill="1"/>
    <xf numFmtId="0" fontId="31" fillId="77" borderId="0" xfId="0" applyFont="1" applyFill="1" applyAlignment="1"/>
    <xf numFmtId="0" fontId="6" fillId="77" borderId="0" xfId="0" applyFont="1" applyFill="1"/>
    <xf numFmtId="0" fontId="5" fillId="77" borderId="0" xfId="0" applyFont="1" applyFill="1" applyAlignment="1">
      <alignment wrapText="1"/>
    </xf>
    <xf numFmtId="0" fontId="33" fillId="77" borderId="0" xfId="0" applyFont="1" applyFill="1"/>
    <xf numFmtId="0" fontId="3" fillId="77" borderId="0" xfId="0" applyFont="1" applyFill="1"/>
    <xf numFmtId="0" fontId="0" fillId="77" borderId="0" xfId="0" applyFont="1" applyFill="1"/>
    <xf numFmtId="0" fontId="0" fillId="77" borderId="0" xfId="0" applyFill="1" applyAlignment="1">
      <alignment horizontal="left"/>
    </xf>
    <xf numFmtId="0" fontId="0" fillId="77" borderId="0" xfId="0" applyFill="1" applyAlignment="1">
      <alignment horizontal="center"/>
    </xf>
    <xf numFmtId="0" fontId="0" fillId="77" borderId="0" xfId="0" applyFill="1"/>
    <xf numFmtId="174" fontId="0" fillId="77" borderId="0" xfId="0" applyNumberFormat="1" applyFont="1" applyFill="1"/>
    <xf numFmtId="0" fontId="6" fillId="77" borderId="0" xfId="0" applyFont="1" applyFill="1" applyBorder="1"/>
    <xf numFmtId="0" fontId="31" fillId="77" borderId="0" xfId="0" applyFont="1" applyFill="1" applyAlignment="1">
      <alignment vertical="center"/>
    </xf>
    <xf numFmtId="0" fontId="0" fillId="77" borderId="0" xfId="0" applyFill="1" applyBorder="1"/>
    <xf numFmtId="0" fontId="10" fillId="77" borderId="0" xfId="0" applyFont="1" applyFill="1"/>
    <xf numFmtId="0" fontId="6" fillId="77" borderId="0" xfId="0" applyFont="1" applyFill="1"/>
    <xf numFmtId="165" fontId="4" fillId="77" borderId="0" xfId="0" applyNumberFormat="1" applyFont="1" applyFill="1" applyBorder="1" applyAlignment="1">
      <alignment horizontal="center"/>
    </xf>
    <xf numFmtId="0" fontId="2" fillId="77" borderId="0" xfId="0" applyFont="1" applyFill="1" applyBorder="1"/>
    <xf numFmtId="0" fontId="2" fillId="77" borderId="0" xfId="0" applyFont="1" applyFill="1" applyAlignment="1">
      <alignment horizontal="center"/>
    </xf>
    <xf numFmtId="0" fontId="3" fillId="77" borderId="0" xfId="0" applyFont="1" applyFill="1" applyBorder="1" applyAlignment="1">
      <alignment horizontal="center" vertical="center"/>
    </xf>
    <xf numFmtId="0" fontId="30" fillId="77" borderId="0" xfId="0" applyFont="1" applyFill="1" applyAlignment="1">
      <alignment horizontal="center"/>
    </xf>
    <xf numFmtId="0" fontId="30" fillId="77" borderId="0" xfId="0" applyFont="1" applyFill="1" applyAlignment="1">
      <alignment horizontal="center" vertical="center"/>
    </xf>
    <xf numFmtId="0" fontId="10" fillId="77" borderId="0" xfId="0" applyFont="1" applyFill="1" applyAlignment="1">
      <alignment horizontal="center"/>
    </xf>
    <xf numFmtId="0" fontId="0" fillId="77" borderId="0" xfId="0" applyFont="1" applyFill="1" applyAlignment="1">
      <alignment horizontal="left"/>
    </xf>
    <xf numFmtId="0" fontId="37" fillId="77" borderId="0" xfId="0" applyFont="1" applyFill="1"/>
    <xf numFmtId="0" fontId="0" fillId="77" borderId="0" xfId="0" applyFont="1" applyFill="1" applyBorder="1"/>
    <xf numFmtId="0" fontId="41" fillId="77" borderId="0" xfId="0" applyFont="1" applyFill="1"/>
    <xf numFmtId="0" fontId="39" fillId="77" borderId="0" xfId="0" applyFont="1" applyFill="1" applyAlignment="1">
      <alignment horizontal="left"/>
    </xf>
    <xf numFmtId="0" fontId="36" fillId="77" borderId="0" xfId="0" applyFont="1" applyFill="1" applyBorder="1" applyAlignment="1">
      <alignment horizontal="left" vertical="center"/>
    </xf>
    <xf numFmtId="0" fontId="0" fillId="77" borderId="0" xfId="0" applyFont="1" applyFill="1" applyAlignment="1">
      <alignment vertical="center"/>
    </xf>
    <xf numFmtId="0" fontId="37" fillId="77" borderId="0" xfId="0" applyFont="1" applyFill="1" applyAlignment="1">
      <alignment horizontal="left"/>
    </xf>
    <xf numFmtId="0" fontId="40" fillId="77" borderId="0" xfId="0" applyFont="1" applyFill="1" applyBorder="1" applyAlignment="1">
      <alignment horizontal="center" vertical="center"/>
    </xf>
    <xf numFmtId="0" fontId="46" fillId="77" borderId="0" xfId="0" applyFont="1" applyFill="1" applyBorder="1" applyAlignment="1">
      <alignment vertical="center"/>
    </xf>
    <xf numFmtId="0" fontId="36" fillId="77" borderId="0" xfId="0" applyFont="1" applyFill="1" applyBorder="1" applyAlignment="1">
      <alignment vertical="center"/>
    </xf>
    <xf numFmtId="0" fontId="3" fillId="77" borderId="0" xfId="0" applyFont="1" applyFill="1" applyBorder="1"/>
    <xf numFmtId="174" fontId="0" fillId="77" borderId="0" xfId="0" applyNumberFormat="1" applyFont="1" applyFill="1" applyBorder="1"/>
    <xf numFmtId="0" fontId="44" fillId="77" borderId="0" xfId="0" applyFont="1" applyFill="1" applyBorder="1" applyAlignment="1">
      <alignment horizontal="left"/>
    </xf>
    <xf numFmtId="0" fontId="44" fillId="77" borderId="0" xfId="0" applyFont="1" applyFill="1" applyBorder="1"/>
    <xf numFmtId="0" fontId="5" fillId="77" borderId="0" xfId="0" applyFont="1" applyFill="1" applyBorder="1" applyAlignment="1">
      <alignment wrapText="1"/>
    </xf>
    <xf numFmtId="0" fontId="37" fillId="77" borderId="0" xfId="0" applyFont="1" applyFill="1" applyAlignment="1">
      <alignment horizontal="center" vertical="center"/>
    </xf>
    <xf numFmtId="0" fontId="32" fillId="77" borderId="0" xfId="0" applyFont="1" applyFill="1" applyAlignment="1">
      <alignment vertical="top"/>
    </xf>
    <xf numFmtId="0" fontId="53" fillId="77" borderId="0" xfId="0" applyFont="1" applyFill="1" applyAlignment="1">
      <alignment vertical="top"/>
    </xf>
    <xf numFmtId="0" fontId="46" fillId="77" borderId="0" xfId="0" applyFont="1" applyFill="1" applyAlignment="1">
      <alignment horizontal="left"/>
    </xf>
    <xf numFmtId="177" fontId="41" fillId="28" borderId="50" xfId="2" applyNumberFormat="1" applyFont="1" applyFill="1" applyBorder="1" applyAlignment="1" applyProtection="1">
      <alignment horizontal="center"/>
      <protection locked="0"/>
    </xf>
    <xf numFmtId="0" fontId="49" fillId="77" borderId="0" xfId="0" applyFont="1" applyFill="1" applyAlignment="1">
      <alignment horizontal="center"/>
    </xf>
    <xf numFmtId="0" fontId="30" fillId="77" borderId="0" xfId="0" applyFont="1" applyFill="1" applyAlignment="1">
      <alignment horizontal="center" wrapText="1"/>
    </xf>
    <xf numFmtId="0" fontId="6" fillId="77" borderId="0" xfId="0" applyFont="1" applyFill="1" applyAlignment="1">
      <alignment horizontal="left"/>
    </xf>
    <xf numFmtId="0" fontId="0" fillId="77" borderId="0" xfId="0" applyFill="1" applyAlignment="1">
      <alignment vertical="top"/>
    </xf>
    <xf numFmtId="0" fontId="46" fillId="77" borderId="0" xfId="0" applyFont="1" applyFill="1" applyAlignment="1">
      <alignment vertical="top"/>
    </xf>
    <xf numFmtId="0" fontId="30" fillId="77" borderId="0" xfId="0" applyFont="1" applyFill="1" applyAlignment="1">
      <alignment horizontal="center" vertical="top"/>
    </xf>
    <xf numFmtId="0" fontId="55" fillId="77" borderId="0" xfId="0" applyFont="1" applyFill="1" applyAlignment="1">
      <alignment vertical="center"/>
    </xf>
    <xf numFmtId="0" fontId="8" fillId="77" borderId="0" xfId="0" applyFont="1" applyFill="1" applyAlignment="1">
      <alignment vertical="center"/>
    </xf>
    <xf numFmtId="0" fontId="56" fillId="77" borderId="0" xfId="0" applyFont="1" applyFill="1" applyAlignment="1">
      <alignment horizontal="center" wrapText="1"/>
    </xf>
    <xf numFmtId="0" fontId="56" fillId="77" borderId="0" xfId="0" applyFont="1" applyFill="1" applyAlignment="1">
      <alignment horizontal="center"/>
    </xf>
    <xf numFmtId="0" fontId="56" fillId="77" borderId="0" xfId="0" applyFont="1" applyFill="1" applyAlignment="1">
      <alignment horizontal="center" vertical="center"/>
    </xf>
    <xf numFmtId="0" fontId="57" fillId="77" borderId="0" xfId="0" applyFont="1" applyFill="1"/>
    <xf numFmtId="0" fontId="57" fillId="77" borderId="0" xfId="0" applyFont="1" applyFill="1" applyAlignment="1">
      <alignment horizontal="center"/>
    </xf>
    <xf numFmtId="0" fontId="48" fillId="78" borderId="51" xfId="0" applyFont="1" applyFill="1" applyBorder="1" applyAlignment="1">
      <alignment horizontal="center" vertical="center"/>
    </xf>
    <xf numFmtId="0" fontId="7" fillId="77" borderId="0" xfId="0" applyFont="1" applyFill="1" applyAlignment="1">
      <alignment horizontal="left" vertical="center" wrapText="1"/>
    </xf>
    <xf numFmtId="0" fontId="55" fillId="77" borderId="0" xfId="0" applyFont="1" applyFill="1" applyAlignment="1"/>
    <xf numFmtId="0" fontId="4" fillId="77" borderId="0" xfId="0" applyFont="1" applyFill="1"/>
    <xf numFmtId="0" fontId="205" fillId="77" borderId="0" xfId="0" applyFont="1" applyFill="1"/>
    <xf numFmtId="177" fontId="41" fillId="77" borderId="50" xfId="2" applyNumberFormat="1" applyFont="1" applyFill="1" applyBorder="1" applyAlignment="1" applyProtection="1">
      <alignment horizontal="center"/>
      <protection locked="0"/>
    </xf>
    <xf numFmtId="0" fontId="0" fillId="77" borderId="0" xfId="0" applyFont="1" applyFill="1" applyAlignment="1">
      <alignment horizontal="center"/>
    </xf>
    <xf numFmtId="0" fontId="44" fillId="77" borderId="0" xfId="0" applyFont="1" applyFill="1" applyAlignment="1">
      <alignment horizontal="center" vertical="center"/>
    </xf>
    <xf numFmtId="0" fontId="37" fillId="77" borderId="0" xfId="0" applyFont="1" applyFill="1" applyAlignment="1">
      <alignment horizontal="center"/>
    </xf>
    <xf numFmtId="177" fontId="41" fillId="28" borderId="52" xfId="2" applyNumberFormat="1" applyFont="1" applyFill="1" applyBorder="1" applyAlignment="1" applyProtection="1">
      <alignment horizontal="center"/>
      <protection locked="0"/>
    </xf>
    <xf numFmtId="0" fontId="5" fillId="77" borderId="0" xfId="0" applyFont="1" applyFill="1" applyBorder="1"/>
    <xf numFmtId="177" fontId="41" fillId="77" borderId="0" xfId="2" applyNumberFormat="1" applyFont="1" applyFill="1" applyBorder="1" applyAlignment="1" applyProtection="1">
      <alignment horizontal="center"/>
      <protection locked="0"/>
    </xf>
    <xf numFmtId="0" fontId="31" fillId="77" borderId="0" xfId="0" applyFont="1" applyFill="1" applyBorder="1" applyAlignment="1"/>
    <xf numFmtId="177" fontId="41" fillId="77" borderId="15" xfId="2" applyNumberFormat="1" applyFont="1" applyFill="1" applyBorder="1" applyAlignment="1" applyProtection="1">
      <alignment horizontal="center"/>
      <protection locked="0"/>
    </xf>
    <xf numFmtId="177" fontId="41" fillId="77" borderId="53" xfId="2" applyNumberFormat="1" applyFont="1" applyFill="1" applyBorder="1" applyAlignment="1" applyProtection="1">
      <alignment horizontal="center"/>
      <protection locked="0"/>
    </xf>
    <xf numFmtId="177" fontId="41" fillId="77" borderId="16" xfId="2" applyNumberFormat="1" applyFont="1" applyFill="1" applyBorder="1" applyAlignment="1" applyProtection="1">
      <alignment horizontal="center"/>
      <protection locked="0"/>
    </xf>
    <xf numFmtId="177" fontId="41" fillId="77" borderId="52" xfId="2" applyNumberFormat="1" applyFont="1" applyFill="1" applyBorder="1" applyAlignment="1" applyProtection="1">
      <alignment horizontal="center"/>
      <protection locked="0"/>
    </xf>
    <xf numFmtId="177" fontId="41" fillId="77" borderId="52" xfId="2" applyNumberFormat="1" applyFont="1" applyFill="1" applyBorder="1" applyAlignment="1" applyProtection="1">
      <alignment horizontal="left"/>
      <protection locked="0"/>
    </xf>
    <xf numFmtId="0" fontId="6" fillId="77" borderId="0" xfId="0" applyFont="1" applyFill="1" applyAlignment="1">
      <alignment vertical="center"/>
    </xf>
    <xf numFmtId="0" fontId="49" fillId="77" borderId="0" xfId="0" applyFont="1" applyFill="1" applyAlignment="1">
      <alignment horizontal="center" vertical="center"/>
    </xf>
    <xf numFmtId="177" fontId="41" fillId="77" borderId="0" xfId="2" applyNumberFormat="1" applyFont="1" applyFill="1" applyBorder="1" applyAlignment="1" applyProtection="1">
      <alignment horizontal="center" vertical="center"/>
      <protection locked="0"/>
    </xf>
    <xf numFmtId="177" fontId="41" fillId="77" borderId="16" xfId="2" applyNumberFormat="1" applyFont="1" applyFill="1" applyBorder="1" applyAlignment="1" applyProtection="1">
      <alignment horizontal="center" vertical="center"/>
      <protection locked="0"/>
    </xf>
    <xf numFmtId="0" fontId="2" fillId="77" borderId="0" xfId="0" applyFont="1" applyFill="1" applyAlignment="1">
      <alignment wrapText="1"/>
    </xf>
    <xf numFmtId="0" fontId="40" fillId="77" borderId="0" xfId="0" applyFont="1" applyFill="1" applyBorder="1" applyAlignment="1">
      <alignment horizontal="left" vertical="center"/>
    </xf>
    <xf numFmtId="0" fontId="49" fillId="77" borderId="0" xfId="0" applyFont="1" applyFill="1" applyAlignment="1">
      <alignment horizontal="center"/>
    </xf>
    <xf numFmtId="175" fontId="47" fillId="28" borderId="54" xfId="43" applyNumberFormat="1" applyFont="1" applyFill="1" applyBorder="1" applyAlignment="1">
      <alignment horizontal="left" vertical="center"/>
    </xf>
    <xf numFmtId="175" fontId="47" fillId="77" borderId="54" xfId="43" applyNumberFormat="1" applyFont="1" applyFill="1" applyBorder="1" applyAlignment="1">
      <alignment horizontal="left" vertical="center"/>
    </xf>
    <xf numFmtId="175" fontId="47" fillId="77" borderId="0" xfId="43" applyNumberFormat="1" applyFont="1" applyFill="1" applyBorder="1" applyAlignment="1">
      <alignment horizontal="left" vertical="top"/>
    </xf>
    <xf numFmtId="0" fontId="30" fillId="77" borderId="0" xfId="0" applyFont="1" applyFill="1" applyAlignment="1">
      <alignment horizontal="center" wrapText="1"/>
    </xf>
    <xf numFmtId="0" fontId="38" fillId="77" borderId="0" xfId="0" applyFont="1" applyFill="1"/>
    <xf numFmtId="0" fontId="44" fillId="77" borderId="0" xfId="0" applyFont="1" applyFill="1"/>
    <xf numFmtId="0" fontId="9" fillId="77" borderId="0" xfId="0" applyFont="1" applyFill="1" applyAlignment="1"/>
    <xf numFmtId="0" fontId="42" fillId="77" borderId="0" xfId="0" applyFont="1" applyFill="1" applyAlignment="1">
      <alignment horizontal="center"/>
    </xf>
    <xf numFmtId="0" fontId="37" fillId="77" borderId="0" xfId="0" applyNumberFormat="1" applyFont="1" applyFill="1" applyBorder="1" applyAlignment="1">
      <alignment horizontal="center"/>
    </xf>
    <xf numFmtId="172" fontId="41" fillId="77" borderId="0" xfId="0" applyNumberFormat="1" applyFont="1" applyFill="1" applyBorder="1" applyAlignment="1"/>
    <xf numFmtId="0" fontId="41" fillId="77" borderId="0" xfId="0" applyNumberFormat="1" applyFont="1" applyFill="1" applyBorder="1" applyAlignment="1">
      <alignment horizontal="center"/>
    </xf>
    <xf numFmtId="0" fontId="44" fillId="77" borderId="0" xfId="0" applyFont="1" applyFill="1" applyAlignment="1">
      <alignment wrapText="1"/>
    </xf>
    <xf numFmtId="0" fontId="29" fillId="77" borderId="0" xfId="0" applyFont="1" applyFill="1" applyBorder="1"/>
    <xf numFmtId="173" fontId="35" fillId="28" borderId="0" xfId="0" applyNumberFormat="1" applyFont="1" applyFill="1" applyBorder="1" applyAlignment="1" applyProtection="1">
      <alignment horizontal="center" vertical="center"/>
      <protection locked="0"/>
    </xf>
    <xf numFmtId="0" fontId="44" fillId="77" borderId="0" xfId="0" applyFont="1" applyFill="1" applyAlignment="1">
      <alignment horizontal="left" wrapText="1"/>
    </xf>
    <xf numFmtId="0" fontId="42" fillId="77" borderId="0" xfId="0" applyFont="1" applyFill="1" applyAlignment="1">
      <alignment horizontal="center"/>
    </xf>
    <xf numFmtId="0" fontId="38" fillId="77" borderId="0" xfId="0" applyFont="1" applyFill="1" applyBorder="1" applyAlignment="1">
      <alignment horizontal="left" vertical="top"/>
    </xf>
    <xf numFmtId="175" fontId="47" fillId="26" borderId="54" xfId="43" applyNumberFormat="1" applyFont="1" applyFill="1" applyBorder="1" applyAlignment="1">
      <alignment horizontal="left" vertical="center"/>
    </xf>
    <xf numFmtId="0" fontId="10" fillId="77" borderId="0" xfId="0" applyFont="1" applyFill="1" applyAlignment="1">
      <alignment vertical="center"/>
    </xf>
    <xf numFmtId="0" fontId="2" fillId="77" borderId="0" xfId="0" applyFont="1" applyFill="1" applyAlignment="1">
      <alignment vertical="top"/>
    </xf>
    <xf numFmtId="0" fontId="87" fillId="77" borderId="0" xfId="0" applyFont="1" applyFill="1" applyBorder="1" applyAlignment="1">
      <alignment wrapText="1"/>
    </xf>
    <xf numFmtId="0" fontId="10" fillId="77" borderId="0" xfId="0" applyFont="1" applyFill="1" applyAlignment="1"/>
    <xf numFmtId="0" fontId="211" fillId="77" borderId="0" xfId="0" applyFont="1" applyFill="1" applyBorder="1" applyAlignment="1">
      <alignment vertical="center"/>
    </xf>
    <xf numFmtId="0" fontId="44" fillId="77" borderId="0" xfId="0" applyFont="1" applyFill="1" applyAlignment="1">
      <alignment horizontal="left" wrapText="1"/>
    </xf>
    <xf numFmtId="0" fontId="37" fillId="77" borderId="0" xfId="0" applyFont="1" applyFill="1" applyBorder="1" applyAlignment="1">
      <alignment vertical="center"/>
    </xf>
    <xf numFmtId="0" fontId="44" fillId="77" borderId="0" xfId="0" applyFont="1" applyFill="1" applyAlignment="1">
      <alignment horizontal="left"/>
    </xf>
    <xf numFmtId="0" fontId="33" fillId="77" borderId="0" xfId="0" applyFont="1" applyFill="1" applyAlignment="1">
      <alignment vertical="center"/>
    </xf>
    <xf numFmtId="0" fontId="50" fillId="77" borderId="55" xfId="2" applyNumberFormat="1" applyFont="1" applyFill="1" applyBorder="1" applyAlignment="1" applyProtection="1">
      <alignment horizontal="center" vertical="center"/>
      <protection locked="0"/>
    </xf>
    <xf numFmtId="0" fontId="50" fillId="77" borderId="56" xfId="2" applyNumberFormat="1" applyFont="1" applyFill="1" applyBorder="1" applyAlignment="1" applyProtection="1">
      <alignment horizontal="center" vertical="center"/>
      <protection locked="0"/>
    </xf>
    <xf numFmtId="0" fontId="40" fillId="77" borderId="0" xfId="0" applyFont="1" applyFill="1" applyAlignment="1">
      <alignment horizontal="left"/>
    </xf>
    <xf numFmtId="0" fontId="44" fillId="77" borderId="0" xfId="0" applyFont="1" applyFill="1" applyAlignment="1">
      <alignment horizontal="left" wrapText="1"/>
    </xf>
    <xf numFmtId="0" fontId="43" fillId="77" borderId="0" xfId="0" applyFont="1" applyFill="1" applyBorder="1" applyAlignment="1">
      <alignment horizontal="left" vertical="center"/>
    </xf>
    <xf numFmtId="0" fontId="40" fillId="77" borderId="0" xfId="0" applyFont="1" applyFill="1" applyBorder="1" applyAlignment="1">
      <alignment horizontal="left" vertical="top"/>
    </xf>
    <xf numFmtId="0" fontId="40" fillId="77" borderId="0" xfId="0" applyFont="1" applyFill="1" applyBorder="1" applyAlignment="1">
      <alignment vertical="center"/>
    </xf>
    <xf numFmtId="0" fontId="40" fillId="77" borderId="0" xfId="0" applyFont="1" applyFill="1" applyBorder="1" applyAlignment="1">
      <alignment horizontal="left"/>
    </xf>
    <xf numFmtId="0" fontId="3" fillId="77" borderId="0" xfId="0" applyFont="1" applyFill="1" applyAlignment="1">
      <alignment horizontal="left"/>
    </xf>
    <xf numFmtId="0" fontId="44" fillId="77" borderId="0" xfId="0" applyFont="1" applyFill="1" applyAlignment="1">
      <alignment horizontal="center"/>
    </xf>
    <xf numFmtId="0" fontId="41" fillId="77" borderId="0" xfId="0" applyFont="1" applyFill="1" applyBorder="1" applyAlignment="1">
      <alignment wrapText="1"/>
    </xf>
    <xf numFmtId="0" fontId="0" fillId="77" borderId="0" xfId="0" applyFont="1" applyFill="1" applyBorder="1" applyAlignment="1"/>
    <xf numFmtId="0" fontId="44" fillId="77" borderId="0" xfId="0" applyFont="1" applyFill="1" applyBorder="1" applyAlignment="1">
      <alignment horizontal="left" vertical="center"/>
    </xf>
    <xf numFmtId="0" fontId="44" fillId="77" borderId="0" xfId="0" applyFont="1" applyFill="1" applyBorder="1" applyAlignment="1">
      <alignment horizontal="left" vertical="center" wrapText="1"/>
    </xf>
    <xf numFmtId="175" fontId="208" fillId="28" borderId="54" xfId="43" applyNumberFormat="1" applyFont="1" applyFill="1" applyBorder="1" applyAlignment="1">
      <alignment horizontal="left" vertical="center"/>
    </xf>
    <xf numFmtId="0" fontId="44" fillId="77" borderId="19" xfId="0" applyFont="1" applyFill="1" applyBorder="1" applyAlignment="1">
      <alignment horizontal="left" vertical="center" wrapText="1"/>
    </xf>
    <xf numFmtId="175" fontId="208" fillId="26" borderId="54" xfId="43" applyNumberFormat="1" applyFont="1" applyFill="1" applyBorder="1" applyAlignment="1">
      <alignment horizontal="left" vertical="center"/>
    </xf>
    <xf numFmtId="175" fontId="208" fillId="77" borderId="54" xfId="43" applyNumberFormat="1" applyFont="1" applyFill="1" applyBorder="1" applyAlignment="1">
      <alignment horizontal="left" vertical="center"/>
    </xf>
    <xf numFmtId="0" fontId="46" fillId="77" borderId="0" xfId="0" applyFont="1" applyFill="1" applyAlignment="1">
      <alignment horizontal="center"/>
    </xf>
    <xf numFmtId="284" fontId="212" fillId="77" borderId="54" xfId="2" applyNumberFormat="1" applyFont="1" applyFill="1" applyBorder="1" applyAlignment="1">
      <alignment horizontal="left" vertical="center"/>
    </xf>
    <xf numFmtId="44" fontId="208" fillId="28" borderId="54" xfId="2" applyFont="1" applyFill="1" applyBorder="1" applyAlignment="1">
      <alignment horizontal="left" vertical="center"/>
    </xf>
    <xf numFmtId="171" fontId="209" fillId="78" borderId="28" xfId="9" applyNumberFormat="1" applyFont="1" applyFill="1" applyBorder="1" applyAlignment="1">
      <alignment horizontal="center" vertical="center" wrapText="1"/>
    </xf>
    <xf numFmtId="171" fontId="209" fillId="78" borderId="20" xfId="9" applyNumberFormat="1" applyFont="1" applyFill="1" applyBorder="1" applyAlignment="1">
      <alignment horizontal="center" vertical="center" wrapText="1"/>
    </xf>
    <xf numFmtId="171" fontId="209" fillId="78" borderId="9" xfId="9" applyNumberFormat="1" applyFont="1" applyFill="1" applyBorder="1" applyAlignment="1">
      <alignment horizontal="center" vertical="center" wrapText="1"/>
    </xf>
    <xf numFmtId="0" fontId="213" fillId="77" borderId="0" xfId="0" applyFont="1" applyFill="1"/>
    <xf numFmtId="0" fontId="213" fillId="77" borderId="26" xfId="0" applyFont="1" applyFill="1" applyBorder="1"/>
    <xf numFmtId="172" fontId="87" fillId="77" borderId="57" xfId="0" applyNumberFormat="1" applyFont="1" applyFill="1" applyBorder="1" applyAlignment="1">
      <alignment horizontal="center"/>
    </xf>
    <xf numFmtId="172" fontId="87" fillId="77" borderId="58" xfId="0" applyNumberFormat="1" applyFont="1" applyFill="1" applyBorder="1" applyAlignment="1">
      <alignment horizontal="center"/>
    </xf>
    <xf numFmtId="172" fontId="87" fillId="77" borderId="59" xfId="0" applyNumberFormat="1" applyFont="1" applyFill="1" applyBorder="1" applyAlignment="1">
      <alignment horizontal="center"/>
    </xf>
    <xf numFmtId="172" fontId="87" fillId="77" borderId="36" xfId="0" applyNumberFormat="1" applyFont="1" applyFill="1" applyBorder="1" applyAlignment="1">
      <alignment horizontal="center"/>
    </xf>
    <xf numFmtId="172" fontId="87" fillId="77" borderId="26" xfId="0" applyNumberFormat="1" applyFont="1" applyFill="1" applyBorder="1" applyAlignment="1">
      <alignment horizontal="center"/>
    </xf>
    <xf numFmtId="172" fontId="87" fillId="77" borderId="16" xfId="0" applyNumberFormat="1" applyFont="1" applyFill="1" applyBorder="1" applyAlignment="1">
      <alignment horizontal="center"/>
    </xf>
    <xf numFmtId="172" fontId="40" fillId="77" borderId="26" xfId="0" applyNumberFormat="1" applyFont="1" applyFill="1" applyBorder="1" applyAlignment="1">
      <alignment horizontal="center"/>
    </xf>
    <xf numFmtId="165" fontId="214" fillId="77" borderId="0" xfId="0" applyNumberFormat="1" applyFont="1" applyFill="1" applyBorder="1" applyAlignment="1">
      <alignment horizontal="center"/>
    </xf>
    <xf numFmtId="0" fontId="215" fillId="77" borderId="0" xfId="0" applyFont="1" applyFill="1" applyBorder="1"/>
    <xf numFmtId="165" fontId="215" fillId="77" borderId="0" xfId="0" applyNumberFormat="1" applyFont="1" applyFill="1" applyBorder="1" applyAlignment="1">
      <alignment horizontal="center"/>
    </xf>
    <xf numFmtId="172" fontId="87" fillId="77" borderId="28" xfId="0" applyNumberFormat="1" applyFont="1" applyFill="1" applyBorder="1" applyAlignment="1">
      <alignment horizontal="center"/>
    </xf>
    <xf numFmtId="172" fontId="87" fillId="77" borderId="20" xfId="0" applyNumberFormat="1" applyFont="1" applyFill="1" applyBorder="1" applyAlignment="1">
      <alignment horizontal="center"/>
    </xf>
    <xf numFmtId="165" fontId="87" fillId="77" borderId="20" xfId="0" applyNumberFormat="1" applyFont="1" applyFill="1" applyBorder="1" applyAlignment="1">
      <alignment horizontal="center"/>
    </xf>
    <xf numFmtId="165" fontId="87" fillId="77" borderId="60" xfId="0" applyNumberFormat="1" applyFont="1" applyFill="1" applyBorder="1" applyAlignment="1">
      <alignment horizontal="center"/>
    </xf>
    <xf numFmtId="165" fontId="10" fillId="77" borderId="0" xfId="0" applyNumberFormat="1" applyFont="1" applyFill="1" applyBorder="1" applyAlignment="1">
      <alignment horizontal="center"/>
    </xf>
    <xf numFmtId="174" fontId="10" fillId="77" borderId="0" xfId="0" applyNumberFormat="1" applyFont="1" applyFill="1"/>
    <xf numFmtId="172" fontId="87" fillId="77" borderId="15" xfId="0" applyNumberFormat="1" applyFont="1" applyFill="1" applyBorder="1" applyAlignment="1">
      <alignment horizontal="center"/>
    </xf>
    <xf numFmtId="172" fontId="87" fillId="77" borderId="0" xfId="0" applyNumberFormat="1" applyFont="1" applyFill="1" applyBorder="1" applyAlignment="1">
      <alignment horizontal="center"/>
    </xf>
    <xf numFmtId="165" fontId="87" fillId="77" borderId="0" xfId="0" applyNumberFormat="1" applyFont="1" applyFill="1" applyBorder="1" applyAlignment="1">
      <alignment horizontal="center"/>
    </xf>
    <xf numFmtId="165" fontId="87" fillId="77" borderId="19" xfId="0" applyNumberFormat="1" applyFont="1" applyFill="1" applyBorder="1" applyAlignment="1">
      <alignment horizontal="center"/>
    </xf>
    <xf numFmtId="165" fontId="10" fillId="77" borderId="0" xfId="0" applyNumberFormat="1" applyFont="1" applyFill="1"/>
    <xf numFmtId="165" fontId="213" fillId="77" borderId="0" xfId="0" applyNumberFormat="1" applyFont="1" applyFill="1" applyBorder="1" applyAlignment="1">
      <alignment horizontal="center"/>
    </xf>
    <xf numFmtId="165" fontId="87" fillId="28" borderId="50" xfId="0" applyNumberFormat="1" applyFont="1" applyFill="1" applyBorder="1" applyAlignment="1">
      <alignment horizontal="center"/>
    </xf>
    <xf numFmtId="165" fontId="87" fillId="28" borderId="61" xfId="0" applyNumberFormat="1" applyFont="1" applyFill="1" applyBorder="1" applyAlignment="1">
      <alignment horizontal="center"/>
    </xf>
    <xf numFmtId="165" fontId="87" fillId="28" borderId="52" xfId="0" applyNumberFormat="1" applyFont="1" applyFill="1" applyBorder="1" applyAlignment="1">
      <alignment horizontal="center"/>
    </xf>
    <xf numFmtId="0" fontId="10" fillId="77" borderId="0" xfId="0" applyFont="1" applyFill="1" applyBorder="1"/>
    <xf numFmtId="165" fontId="44" fillId="77" borderId="0" xfId="0" applyNumberFormat="1" applyFont="1" applyFill="1" applyBorder="1" applyAlignment="1">
      <alignment horizontal="center"/>
    </xf>
    <xf numFmtId="0" fontId="215" fillId="77" borderId="0" xfId="0" applyFont="1" applyFill="1"/>
    <xf numFmtId="0" fontId="216" fillId="77" borderId="0" xfId="0" applyFont="1" applyFill="1" applyAlignment="1">
      <alignment wrapText="1"/>
    </xf>
    <xf numFmtId="0" fontId="216" fillId="77" borderId="0" xfId="0" applyFont="1" applyFill="1" applyAlignment="1"/>
    <xf numFmtId="0" fontId="10" fillId="77" borderId="0" xfId="0" applyFont="1" applyFill="1" applyAlignment="1">
      <alignment wrapText="1"/>
    </xf>
    <xf numFmtId="171" fontId="87" fillId="79" borderId="0" xfId="0" applyNumberFormat="1" applyFont="1" applyFill="1" applyBorder="1" applyAlignment="1">
      <alignment horizontal="center" vertical="center" wrapText="1"/>
    </xf>
    <xf numFmtId="0" fontId="44" fillId="0" borderId="9" xfId="0" applyNumberFormat="1" applyFont="1" applyBorder="1" applyAlignment="1">
      <alignment horizontal="center"/>
    </xf>
    <xf numFmtId="0" fontId="44" fillId="0" borderId="9" xfId="0" applyNumberFormat="1" applyFont="1" applyBorder="1" applyAlignment="1">
      <alignment horizontal="center"/>
    </xf>
    <xf numFmtId="0" fontId="44" fillId="77" borderId="62" xfId="0" applyFont="1" applyFill="1" applyBorder="1" applyAlignment="1">
      <alignment vertical="center"/>
    </xf>
    <xf numFmtId="0" fontId="10" fillId="77" borderId="0" xfId="0" applyFont="1" applyFill="1" applyAlignment="1">
      <alignment horizontal="left"/>
    </xf>
    <xf numFmtId="0" fontId="44" fillId="77" borderId="0" xfId="0" applyFont="1" applyFill="1" applyBorder="1" applyAlignment="1">
      <alignment vertical="center" wrapText="1"/>
    </xf>
    <xf numFmtId="0" fontId="10" fillId="77" borderId="0" xfId="0" applyFont="1" applyFill="1" applyAlignment="1">
      <alignment horizontal="left" vertical="center"/>
    </xf>
    <xf numFmtId="0" fontId="44" fillId="77" borderId="0" xfId="0" applyFont="1" applyFill="1" applyAlignment="1">
      <alignment vertical="center"/>
    </xf>
    <xf numFmtId="0" fontId="219" fillId="77" borderId="0" xfId="0" applyFont="1" applyFill="1" applyAlignment="1">
      <alignment horizontal="center" wrapText="1"/>
    </xf>
    <xf numFmtId="0" fontId="220" fillId="77" borderId="0" xfId="0" applyFont="1" applyFill="1" applyAlignment="1">
      <alignment horizontal="center" wrapText="1"/>
    </xf>
    <xf numFmtId="0" fontId="218" fillId="77" borderId="0" xfId="0" applyFont="1" applyFill="1" applyBorder="1" applyAlignment="1">
      <alignment vertical="top"/>
    </xf>
    <xf numFmtId="0" fontId="40" fillId="77" borderId="0" xfId="0" applyFont="1" applyFill="1" applyBorder="1" applyAlignment="1"/>
    <xf numFmtId="0" fontId="40" fillId="77" borderId="0" xfId="0" applyFont="1" applyFill="1" applyAlignment="1">
      <alignment horizontal="left" vertical="top"/>
    </xf>
    <xf numFmtId="0" fontId="40" fillId="77" borderId="0" xfId="0" applyFont="1" applyFill="1" applyAlignment="1">
      <alignment vertical="top"/>
    </xf>
    <xf numFmtId="0" fontId="221" fillId="77" borderId="0" xfId="73" applyFont="1" applyFill="1"/>
    <xf numFmtId="0" fontId="222" fillId="77" borderId="0" xfId="0" applyFont="1" applyFill="1" applyBorder="1" applyAlignment="1">
      <alignment horizontal="left"/>
    </xf>
    <xf numFmtId="0" fontId="222" fillId="77" borderId="0" xfId="0" applyFont="1" applyFill="1" applyBorder="1" applyAlignment="1">
      <alignment horizontal="left" vertical="center"/>
    </xf>
    <xf numFmtId="0" fontId="3" fillId="77" borderId="0" xfId="0" applyFont="1" applyFill="1" applyAlignment="1">
      <alignment vertical="center"/>
    </xf>
    <xf numFmtId="0" fontId="37" fillId="77" borderId="0" xfId="0" applyFont="1" applyFill="1" applyAlignment="1">
      <alignment horizontal="left" vertical="center"/>
    </xf>
    <xf numFmtId="284" fontId="212" fillId="77" borderId="63" xfId="2" applyNumberFormat="1" applyFont="1" applyFill="1" applyBorder="1" applyAlignment="1">
      <alignment horizontal="left" vertical="center"/>
    </xf>
    <xf numFmtId="175" fontId="208" fillId="28" borderId="15" xfId="43" applyNumberFormat="1" applyFont="1" applyFill="1" applyBorder="1" applyAlignment="1">
      <alignment vertical="center"/>
    </xf>
    <xf numFmtId="3" fontId="44" fillId="77" borderId="9" xfId="0" applyNumberFormat="1" applyFont="1" applyFill="1" applyBorder="1" applyAlignment="1">
      <alignment horizontal="center"/>
    </xf>
    <xf numFmtId="0" fontId="37" fillId="0" borderId="9" xfId="0" applyNumberFormat="1" applyFont="1" applyBorder="1" applyAlignment="1">
      <alignment horizontal="center"/>
    </xf>
    <xf numFmtId="0" fontId="10" fillId="77" borderId="9" xfId="0" applyFont="1" applyFill="1" applyBorder="1" applyAlignment="1">
      <alignment horizontal="center"/>
    </xf>
    <xf numFmtId="171" fontId="209" fillId="79" borderId="0" xfId="0" applyNumberFormat="1" applyFont="1" applyFill="1" applyBorder="1" applyAlignment="1">
      <alignment horizontal="center" vertical="center" wrapText="1"/>
    </xf>
    <xf numFmtId="3" fontId="44" fillId="77" borderId="0" xfId="0" applyNumberFormat="1" applyFont="1" applyFill="1" applyBorder="1" applyAlignment="1">
      <alignment horizontal="center"/>
    </xf>
    <xf numFmtId="0" fontId="44" fillId="77" borderId="0" xfId="0" applyFont="1" applyFill="1" applyAlignment="1">
      <alignment horizontal="left" wrapText="1"/>
    </xf>
    <xf numFmtId="44" fontId="44" fillId="77" borderId="0" xfId="2" applyFont="1" applyFill="1"/>
    <xf numFmtId="0" fontId="40" fillId="77" borderId="0" xfId="0" applyFont="1" applyFill="1"/>
    <xf numFmtId="0" fontId="44" fillId="77" borderId="9" xfId="0" applyFont="1" applyFill="1" applyBorder="1" applyAlignment="1">
      <alignment horizontal="center"/>
    </xf>
    <xf numFmtId="44" fontId="40" fillId="77" borderId="0" xfId="2" applyFont="1" applyFill="1"/>
    <xf numFmtId="172" fontId="3" fillId="77" borderId="0" xfId="0" applyNumberFormat="1" applyFont="1" applyFill="1"/>
    <xf numFmtId="171" fontId="48" fillId="78" borderId="51" xfId="9" applyNumberFormat="1" applyFont="1" applyFill="1" applyBorder="1" applyAlignment="1">
      <alignment horizontal="center" vertical="center" wrapText="1"/>
    </xf>
    <xf numFmtId="171" fontId="48" fillId="78" borderId="9" xfId="9" applyNumberFormat="1" applyFont="1" applyFill="1" applyBorder="1" applyAlignment="1">
      <alignment horizontal="center" vertical="center" wrapText="1"/>
    </xf>
    <xf numFmtId="171" fontId="48" fillId="77" borderId="0" xfId="9" applyNumberFormat="1" applyFont="1" applyFill="1" applyBorder="1" applyAlignment="1">
      <alignment horizontal="center" vertical="center" wrapText="1"/>
    </xf>
    <xf numFmtId="171" fontId="48" fillId="78" borderId="57" xfId="9" applyNumberFormat="1" applyFont="1" applyFill="1" applyBorder="1" applyAlignment="1">
      <alignment horizontal="center" vertical="center" wrapText="1"/>
    </xf>
    <xf numFmtId="10" fontId="37" fillId="77" borderId="57" xfId="0" applyNumberFormat="1" applyFont="1" applyFill="1" applyBorder="1" applyAlignment="1" applyProtection="1">
      <alignment horizontal="center"/>
      <protection locked="0"/>
    </xf>
    <xf numFmtId="10" fontId="37" fillId="77" borderId="0" xfId="0" applyNumberFormat="1" applyFont="1" applyFill="1" applyBorder="1" applyAlignment="1">
      <alignment horizontal="center"/>
    </xf>
    <xf numFmtId="17" fontId="37" fillId="0" borderId="59" xfId="0" applyNumberFormat="1" applyFont="1" applyFill="1" applyBorder="1" applyAlignment="1">
      <alignment horizontal="center"/>
    </xf>
    <xf numFmtId="1" fontId="37" fillId="0" borderId="59" xfId="0" applyNumberFormat="1" applyFont="1" applyFill="1" applyBorder="1" applyAlignment="1">
      <alignment horizontal="center"/>
    </xf>
    <xf numFmtId="0" fontId="37" fillId="0" borderId="59" xfId="0" applyFont="1" applyFill="1" applyBorder="1" applyAlignment="1">
      <alignment horizontal="center"/>
    </xf>
    <xf numFmtId="10" fontId="41" fillId="0" borderId="59" xfId="0" applyNumberFormat="1" applyFont="1" applyFill="1" applyBorder="1" applyAlignment="1">
      <alignment horizontal="center"/>
    </xf>
    <xf numFmtId="170" fontId="41" fillId="0" borderId="64" xfId="2" applyNumberFormat="1" applyFont="1" applyFill="1" applyBorder="1"/>
    <xf numFmtId="170" fontId="41" fillId="0" borderId="59" xfId="2" applyNumberFormat="1" applyFont="1" applyFill="1" applyBorder="1"/>
    <xf numFmtId="10" fontId="37" fillId="77" borderId="64" xfId="0" applyNumberFormat="1" applyFont="1" applyFill="1" applyBorder="1" applyAlignment="1" applyProtection="1">
      <alignment horizontal="center"/>
      <protection locked="0"/>
    </xf>
    <xf numFmtId="17" fontId="37" fillId="77" borderId="59" xfId="0" applyNumberFormat="1" applyFont="1" applyFill="1" applyBorder="1" applyAlignment="1">
      <alignment horizontal="center"/>
    </xf>
    <xf numFmtId="0" fontId="37" fillId="77" borderId="59" xfId="0" applyFont="1" applyFill="1" applyBorder="1" applyAlignment="1">
      <alignment horizontal="center"/>
    </xf>
    <xf numFmtId="17" fontId="38" fillId="77" borderId="65" xfId="0" applyNumberFormat="1" applyFont="1" applyFill="1" applyBorder="1"/>
    <xf numFmtId="0" fontId="38" fillId="77" borderId="65" xfId="0" applyFont="1" applyFill="1" applyBorder="1"/>
    <xf numFmtId="10" fontId="7" fillId="77" borderId="65" xfId="0" applyNumberFormat="1" applyFont="1" applyFill="1" applyBorder="1"/>
    <xf numFmtId="170" fontId="38" fillId="77" borderId="65" xfId="0" applyNumberFormat="1" applyFont="1" applyFill="1" applyBorder="1"/>
    <xf numFmtId="17" fontId="37" fillId="28" borderId="64" xfId="0" applyNumberFormat="1" applyFont="1" applyFill="1" applyBorder="1"/>
    <xf numFmtId="0" fontId="37" fillId="28" borderId="64" xfId="0" applyFont="1" applyFill="1" applyBorder="1"/>
    <xf numFmtId="10" fontId="41" fillId="28" borderId="64" xfId="0" applyNumberFormat="1" applyFont="1" applyFill="1" applyBorder="1"/>
    <xf numFmtId="170" fontId="37" fillId="28" borderId="64" xfId="0" applyNumberFormat="1" applyFont="1" applyFill="1" applyBorder="1" applyProtection="1">
      <protection locked="0"/>
    </xf>
    <xf numFmtId="170" fontId="41" fillId="28" borderId="64" xfId="2" applyNumberFormat="1" applyFont="1" applyFill="1" applyBorder="1" applyProtection="1"/>
    <xf numFmtId="17" fontId="45" fillId="77" borderId="64" xfId="0" applyNumberFormat="1" applyFont="1" applyFill="1" applyBorder="1"/>
    <xf numFmtId="0" fontId="45" fillId="77" borderId="64" xfId="0" applyFont="1" applyFill="1" applyBorder="1"/>
    <xf numFmtId="10" fontId="7" fillId="77" borderId="64" xfId="0" applyNumberFormat="1" applyFont="1" applyFill="1" applyBorder="1"/>
    <xf numFmtId="170" fontId="45" fillId="77" borderId="64" xfId="0" applyNumberFormat="1" applyFont="1" applyFill="1" applyBorder="1"/>
    <xf numFmtId="10" fontId="41" fillId="77" borderId="59" xfId="0" applyNumberFormat="1" applyFont="1" applyFill="1" applyBorder="1" applyAlignment="1">
      <alignment horizontal="center"/>
    </xf>
    <xf numFmtId="170" fontId="41" fillId="77" borderId="64" xfId="2" applyNumberFormat="1" applyFont="1" applyFill="1" applyBorder="1"/>
    <xf numFmtId="170" fontId="41" fillId="77" borderId="59" xfId="2" applyNumberFormat="1" applyFont="1" applyFill="1" applyBorder="1"/>
    <xf numFmtId="10" fontId="41" fillId="77" borderId="59" xfId="0" quotePrefix="1" applyNumberFormat="1" applyFont="1" applyFill="1" applyBorder="1" applyAlignment="1">
      <alignment horizontal="center"/>
    </xf>
    <xf numFmtId="10" fontId="37" fillId="28" borderId="64" xfId="0" applyNumberFormat="1" applyFont="1" applyFill="1" applyBorder="1" applyAlignment="1" applyProtection="1">
      <alignment horizontal="center"/>
      <protection locked="0"/>
    </xf>
    <xf numFmtId="17" fontId="7" fillId="77" borderId="65" xfId="0" applyNumberFormat="1" applyFont="1" applyFill="1" applyBorder="1"/>
    <xf numFmtId="10" fontId="37" fillId="77" borderId="66" xfId="0" applyNumberFormat="1" applyFont="1" applyFill="1" applyBorder="1" applyAlignment="1" applyProtection="1">
      <alignment horizontal="center"/>
      <protection locked="0"/>
    </xf>
    <xf numFmtId="10" fontId="37" fillId="28" borderId="66" xfId="0" applyNumberFormat="1" applyFont="1" applyFill="1" applyBorder="1" applyAlignment="1" applyProtection="1">
      <alignment horizontal="center"/>
      <protection locked="0"/>
    </xf>
    <xf numFmtId="0" fontId="224" fillId="77" borderId="0" xfId="0" applyFont="1" applyFill="1" applyAlignment="1">
      <alignment horizontal="center"/>
    </xf>
    <xf numFmtId="0" fontId="224" fillId="77" borderId="0" xfId="0" applyFont="1" applyFill="1"/>
    <xf numFmtId="0" fontId="3" fillId="77" borderId="0" xfId="0" applyFont="1" applyFill="1" applyAlignment="1">
      <alignment horizontal="center"/>
    </xf>
    <xf numFmtId="10" fontId="41" fillId="28" borderId="59" xfId="0" applyNumberFormat="1" applyFont="1" applyFill="1" applyBorder="1" applyAlignment="1">
      <alignment horizontal="center"/>
    </xf>
    <xf numFmtId="0" fontId="218" fillId="77" borderId="0" xfId="0" applyFont="1" applyFill="1" applyAlignment="1">
      <alignment vertical="center"/>
    </xf>
    <xf numFmtId="284" fontId="212" fillId="77" borderId="67" xfId="2" applyNumberFormat="1" applyFont="1" applyFill="1" applyBorder="1" applyAlignment="1">
      <alignment horizontal="left" vertical="center"/>
    </xf>
    <xf numFmtId="171" fontId="209" fillId="80" borderId="9" xfId="0" applyNumberFormat="1" applyFont="1" applyFill="1" applyBorder="1" applyAlignment="1">
      <alignment horizontal="center" vertical="center" wrapText="1"/>
    </xf>
    <xf numFmtId="171" fontId="48" fillId="80" borderId="9" xfId="0" applyNumberFormat="1" applyFont="1" applyFill="1" applyBorder="1" applyAlignment="1">
      <alignment horizontal="center" vertical="center" wrapText="1"/>
    </xf>
    <xf numFmtId="0" fontId="213" fillId="77" borderId="9" xfId="0" applyFont="1" applyFill="1" applyBorder="1" applyAlignment="1">
      <alignment horizontal="left" vertical="top" wrapText="1"/>
    </xf>
    <xf numFmtId="0" fontId="213" fillId="77" borderId="68" xfId="0" applyFont="1" applyFill="1" applyBorder="1" applyAlignment="1">
      <alignment vertical="top"/>
    </xf>
    <xf numFmtId="0" fontId="10" fillId="77" borderId="30" xfId="0" applyFont="1" applyFill="1" applyBorder="1" applyAlignment="1">
      <alignment vertical="top"/>
    </xf>
    <xf numFmtId="0" fontId="10" fillId="77" borderId="69" xfId="0" applyFont="1" applyFill="1" applyBorder="1" applyAlignment="1">
      <alignment vertical="top"/>
    </xf>
    <xf numFmtId="0" fontId="10" fillId="77" borderId="0" xfId="0" applyFont="1" applyFill="1" applyBorder="1" applyAlignment="1">
      <alignment vertical="top"/>
    </xf>
    <xf numFmtId="0" fontId="10" fillId="77" borderId="0" xfId="0" applyFont="1" applyFill="1" applyAlignment="1">
      <alignment vertical="top"/>
    </xf>
    <xf numFmtId="0" fontId="10" fillId="77" borderId="9" xfId="0" applyFont="1" applyFill="1" applyBorder="1" applyAlignment="1">
      <alignment horizontal="left" vertical="top" wrapText="1"/>
    </xf>
    <xf numFmtId="0" fontId="213" fillId="77" borderId="9" xfId="0" applyFont="1" applyFill="1" applyBorder="1" applyAlignment="1">
      <alignment horizontal="center" vertical="center" textRotation="180"/>
    </xf>
    <xf numFmtId="0" fontId="37" fillId="77" borderId="0" xfId="0" applyFont="1" applyFill="1" applyProtection="1">
      <protection locked="0"/>
    </xf>
    <xf numFmtId="0" fontId="37" fillId="77" borderId="0" xfId="0" applyFont="1" applyFill="1" applyAlignment="1" applyProtection="1">
      <alignment wrapText="1"/>
      <protection locked="0"/>
    </xf>
    <xf numFmtId="0" fontId="37" fillId="77" borderId="0" xfId="0" applyFont="1" applyFill="1" applyAlignment="1" applyProtection="1">
      <alignment horizontal="center" vertical="center"/>
      <protection locked="0"/>
    </xf>
    <xf numFmtId="0" fontId="37" fillId="77" borderId="0" xfId="0" applyFont="1" applyFill="1" applyBorder="1" applyAlignment="1" applyProtection="1">
      <alignment horizontal="center" vertical="center"/>
      <protection locked="0"/>
    </xf>
    <xf numFmtId="175" fontId="208" fillId="28" borderId="54" xfId="43" applyNumberFormat="1" applyFont="1" applyFill="1" applyBorder="1" applyAlignment="1" applyProtection="1">
      <alignment horizontal="left" vertical="center"/>
      <protection locked="0"/>
    </xf>
    <xf numFmtId="0" fontId="6" fillId="77" borderId="0" xfId="0" applyFont="1" applyFill="1" applyAlignment="1" applyProtection="1">
      <alignment horizontal="left"/>
      <protection locked="0"/>
    </xf>
    <xf numFmtId="0" fontId="42" fillId="77" borderId="0" xfId="0" applyFont="1" applyFill="1" applyAlignment="1" applyProtection="1">
      <alignment horizontal="center"/>
      <protection locked="0"/>
    </xf>
    <xf numFmtId="0" fontId="42" fillId="77" borderId="0" xfId="0" applyFont="1" applyFill="1" applyBorder="1" applyAlignment="1" applyProtection="1">
      <alignment horizontal="center"/>
      <protection locked="0"/>
    </xf>
    <xf numFmtId="175" fontId="208" fillId="77" borderId="54" xfId="43" applyNumberFormat="1" applyFont="1" applyFill="1" applyBorder="1" applyAlignment="1" applyProtection="1">
      <alignment horizontal="left" vertical="center"/>
      <protection locked="0"/>
    </xf>
    <xf numFmtId="175" fontId="47" fillId="77" borderId="54" xfId="43" applyNumberFormat="1" applyFont="1" applyFill="1" applyBorder="1" applyAlignment="1" applyProtection="1">
      <alignment horizontal="left" vertical="center"/>
      <protection locked="0"/>
    </xf>
    <xf numFmtId="0" fontId="6" fillId="77" borderId="0" xfId="0" applyFont="1" applyFill="1" applyProtection="1">
      <protection locked="0"/>
    </xf>
    <xf numFmtId="0" fontId="49" fillId="77" borderId="0" xfId="0" applyFont="1" applyFill="1" applyAlignment="1" applyProtection="1">
      <alignment horizontal="center"/>
      <protection locked="0"/>
    </xf>
    <xf numFmtId="0" fontId="44" fillId="77" borderId="0" xfId="0" applyFont="1" applyFill="1" applyProtection="1">
      <protection locked="0"/>
    </xf>
    <xf numFmtId="0" fontId="46" fillId="77" borderId="0" xfId="0" applyFont="1" applyFill="1" applyAlignment="1" applyProtection="1">
      <alignment horizontal="center"/>
      <protection locked="0"/>
    </xf>
    <xf numFmtId="0" fontId="46" fillId="77" borderId="0" xfId="0" applyFont="1" applyFill="1" applyAlignment="1" applyProtection="1">
      <alignment horizontal="center" vertical="center"/>
      <protection locked="0"/>
    </xf>
    <xf numFmtId="0" fontId="42" fillId="77" borderId="0" xfId="0" applyFont="1" applyFill="1" applyAlignment="1" applyProtection="1">
      <alignment horizontal="center" vertical="center"/>
      <protection locked="0"/>
    </xf>
    <xf numFmtId="0" fontId="42" fillId="77" borderId="0" xfId="0" applyFont="1" applyFill="1" applyBorder="1" applyAlignment="1" applyProtection="1">
      <alignment horizontal="center" vertical="center"/>
      <protection locked="0"/>
    </xf>
    <xf numFmtId="0" fontId="44" fillId="77" borderId="0" xfId="0" applyFont="1" applyFill="1" applyAlignment="1" applyProtection="1">
      <alignment horizontal="center" vertical="center"/>
      <protection locked="0"/>
    </xf>
    <xf numFmtId="0" fontId="37" fillId="77" borderId="0" xfId="0" applyFont="1" applyFill="1" applyAlignment="1" applyProtection="1">
      <alignment vertical="center"/>
      <protection locked="0"/>
    </xf>
    <xf numFmtId="0" fontId="87" fillId="77" borderId="0" xfId="0" applyFont="1" applyFill="1" applyBorder="1" applyAlignment="1" applyProtection="1">
      <alignment vertical="center"/>
      <protection locked="0"/>
    </xf>
    <xf numFmtId="0" fontId="40" fillId="77" borderId="0" xfId="0" applyFont="1" applyFill="1" applyBorder="1" applyAlignment="1" applyProtection="1">
      <alignment horizontal="left" vertical="top"/>
      <protection locked="0"/>
    </xf>
    <xf numFmtId="0" fontId="87" fillId="77" borderId="0" xfId="0" applyFont="1" applyFill="1" applyBorder="1" applyAlignment="1" applyProtection="1">
      <alignment horizontal="left" vertical="center" wrapText="1"/>
      <protection locked="0"/>
    </xf>
    <xf numFmtId="0" fontId="41" fillId="77" borderId="0" xfId="0" applyFont="1" applyFill="1" applyProtection="1">
      <protection locked="0"/>
    </xf>
    <xf numFmtId="0" fontId="87" fillId="77" borderId="0" xfId="0" applyFont="1" applyFill="1" applyBorder="1" applyAlignment="1" applyProtection="1">
      <alignment horizontal="left" vertical="top" wrapText="1"/>
      <protection locked="0"/>
    </xf>
    <xf numFmtId="0" fontId="38" fillId="77" borderId="0" xfId="0" applyFont="1" applyFill="1" applyBorder="1" applyAlignment="1" applyProtection="1">
      <alignment horizontal="left"/>
      <protection locked="0"/>
    </xf>
    <xf numFmtId="0" fontId="87" fillId="77" borderId="0" xfId="0" applyFont="1" applyFill="1" applyBorder="1" applyAlignment="1" applyProtection="1">
      <alignment vertical="top"/>
      <protection locked="0"/>
    </xf>
    <xf numFmtId="3" fontId="54" fillId="77" borderId="0" xfId="0" applyNumberFormat="1" applyFont="1" applyFill="1" applyBorder="1" applyAlignment="1" applyProtection="1">
      <alignment horizontal="left" vertical="center"/>
      <protection locked="0"/>
    </xf>
    <xf numFmtId="0" fontId="40" fillId="77" borderId="0" xfId="0" applyFont="1" applyFill="1" applyAlignment="1" applyProtection="1">
      <protection locked="0"/>
    </xf>
    <xf numFmtId="0" fontId="46" fillId="77" borderId="0" xfId="0" applyFont="1" applyFill="1" applyAlignment="1" applyProtection="1">
      <protection locked="0"/>
    </xf>
    <xf numFmtId="0" fontId="46" fillId="77" borderId="0" xfId="0" applyFont="1" applyFill="1" applyBorder="1" applyAlignment="1" applyProtection="1">
      <alignment horizontal="center" vertical="center"/>
      <protection locked="0"/>
    </xf>
    <xf numFmtId="0" fontId="1" fillId="77" borderId="0" xfId="0" applyFont="1" applyFill="1" applyProtection="1">
      <protection locked="0"/>
    </xf>
    <xf numFmtId="0" fontId="48" fillId="78" borderId="70" xfId="0" applyNumberFormat="1" applyFont="1" applyFill="1" applyBorder="1" applyAlignment="1" applyProtection="1">
      <alignment horizontal="center" vertical="center" wrapText="1"/>
      <protection locked="0"/>
    </xf>
    <xf numFmtId="0" fontId="48" fillId="78" borderId="71" xfId="0" applyNumberFormat="1" applyFont="1" applyFill="1" applyBorder="1" applyAlignment="1" applyProtection="1">
      <alignment horizontal="center" vertical="center" wrapText="1"/>
      <protection locked="0"/>
    </xf>
    <xf numFmtId="0" fontId="48" fillId="78" borderId="72" xfId="0" applyNumberFormat="1" applyFont="1" applyFill="1" applyBorder="1" applyAlignment="1" applyProtection="1">
      <alignment horizontal="center" vertical="center" wrapText="1"/>
      <protection locked="0"/>
    </xf>
    <xf numFmtId="0" fontId="48" fillId="78" borderId="73" xfId="0" applyNumberFormat="1" applyFont="1" applyFill="1" applyBorder="1" applyAlignment="1" applyProtection="1">
      <alignment horizontal="center" vertical="center" wrapText="1"/>
      <protection locked="0"/>
    </xf>
    <xf numFmtId="3" fontId="223" fillId="77" borderId="15" xfId="0" applyNumberFormat="1" applyFont="1" applyFill="1" applyBorder="1" applyAlignment="1" applyProtection="1">
      <alignment vertical="center"/>
      <protection locked="0"/>
    </xf>
    <xf numFmtId="3" fontId="45" fillId="77" borderId="0" xfId="0" applyNumberFormat="1" applyFont="1" applyFill="1" applyBorder="1" applyAlignment="1" applyProtection="1">
      <alignment vertical="center"/>
      <protection locked="0"/>
    </xf>
    <xf numFmtId="3" fontId="45" fillId="77" borderId="0" xfId="0" applyNumberFormat="1" applyFont="1" applyFill="1" applyBorder="1" applyAlignment="1" applyProtection="1">
      <alignment horizontal="center" vertical="center"/>
      <protection locked="0"/>
    </xf>
    <xf numFmtId="3" fontId="41" fillId="77" borderId="0" xfId="0" applyNumberFormat="1" applyFont="1" applyFill="1" applyBorder="1" applyAlignment="1" applyProtection="1">
      <alignment horizontal="center" vertical="center"/>
      <protection locked="0"/>
    </xf>
    <xf numFmtId="3" fontId="45" fillId="77" borderId="19" xfId="0" applyNumberFormat="1" applyFont="1" applyFill="1" applyBorder="1" applyAlignment="1" applyProtection="1">
      <alignment horizontal="center" vertical="center"/>
      <protection locked="0"/>
    </xf>
    <xf numFmtId="0" fontId="45" fillId="77" borderId="0" xfId="0" applyFont="1" applyFill="1" applyBorder="1" applyProtection="1">
      <protection locked="0"/>
    </xf>
    <xf numFmtId="3" fontId="87" fillId="77" borderId="15" xfId="0" applyNumberFormat="1" applyFont="1" applyFill="1" applyBorder="1" applyAlignment="1" applyProtection="1">
      <alignment vertical="center"/>
      <protection locked="0"/>
    </xf>
    <xf numFmtId="3" fontId="41" fillId="28" borderId="50" xfId="0" applyNumberFormat="1" applyFont="1" applyFill="1" applyBorder="1" applyAlignment="1" applyProtection="1">
      <alignment horizontal="center" vertical="center"/>
      <protection locked="0"/>
    </xf>
    <xf numFmtId="9" fontId="37" fillId="28" borderId="19" xfId="1" applyFont="1" applyFill="1" applyBorder="1" applyAlignment="1" applyProtection="1">
      <alignment horizontal="center" vertical="center"/>
      <protection locked="0"/>
    </xf>
    <xf numFmtId="0" fontId="1" fillId="77" borderId="19" xfId="0" applyFont="1" applyFill="1" applyBorder="1" applyAlignment="1" applyProtection="1">
      <alignment horizontal="center" vertical="center"/>
      <protection locked="0"/>
    </xf>
    <xf numFmtId="3" fontId="43" fillId="77" borderId="15" xfId="0" applyNumberFormat="1" applyFont="1" applyFill="1" applyBorder="1" applyAlignment="1" applyProtection="1">
      <alignment vertical="center"/>
      <protection locked="0"/>
    </xf>
    <xf numFmtId="3" fontId="7" fillId="77" borderId="0" xfId="0" applyNumberFormat="1" applyFont="1" applyFill="1" applyBorder="1" applyAlignment="1" applyProtection="1">
      <alignment vertical="center" wrapText="1"/>
      <protection locked="0"/>
    </xf>
    <xf numFmtId="3" fontId="7" fillId="77" borderId="0" xfId="0" applyNumberFormat="1" applyFont="1" applyFill="1" applyBorder="1" applyAlignment="1" applyProtection="1">
      <alignment horizontal="center" vertical="center"/>
      <protection locked="0"/>
    </xf>
    <xf numFmtId="9" fontId="37" fillId="77" borderId="0" xfId="0" applyNumberFormat="1" applyFont="1" applyFill="1" applyBorder="1" applyAlignment="1" applyProtection="1">
      <alignment horizontal="center" vertical="center"/>
      <protection locked="0"/>
    </xf>
    <xf numFmtId="9" fontId="38" fillId="77" borderId="19" xfId="0" applyNumberFormat="1" applyFont="1" applyFill="1" applyBorder="1" applyAlignment="1" applyProtection="1">
      <alignment horizontal="center" vertical="center"/>
      <protection locked="0"/>
    </xf>
    <xf numFmtId="0" fontId="39" fillId="77" borderId="0" xfId="0" applyFont="1" applyFill="1" applyProtection="1">
      <protection locked="0"/>
    </xf>
    <xf numFmtId="3" fontId="41" fillId="77" borderId="0" xfId="0" applyNumberFormat="1" applyFont="1" applyFill="1" applyBorder="1" applyAlignment="1" applyProtection="1">
      <alignment vertical="center"/>
      <protection locked="0"/>
    </xf>
    <xf numFmtId="3" fontId="41" fillId="77" borderId="0" xfId="0" applyNumberFormat="1" applyFont="1" applyFill="1" applyBorder="1" applyAlignment="1" applyProtection="1">
      <alignment vertical="center" wrapText="1"/>
      <protection locked="0"/>
    </xf>
    <xf numFmtId="9" fontId="37" fillId="77" borderId="19" xfId="0" applyNumberFormat="1" applyFont="1" applyFill="1" applyBorder="1" applyAlignment="1" applyProtection="1">
      <alignment horizontal="center" vertical="center"/>
      <protection locked="0"/>
    </xf>
    <xf numFmtId="3" fontId="217" fillId="77" borderId="15" xfId="0" applyNumberFormat="1" applyFont="1" applyFill="1" applyBorder="1" applyAlignment="1" applyProtection="1">
      <alignment vertical="center"/>
      <protection locked="0"/>
    </xf>
    <xf numFmtId="3" fontId="204" fillId="77" borderId="0" xfId="0" applyNumberFormat="1" applyFont="1" applyFill="1" applyBorder="1" applyAlignment="1" applyProtection="1">
      <alignment vertical="center" wrapText="1"/>
      <protection locked="0"/>
    </xf>
    <xf numFmtId="0" fontId="1" fillId="77" borderId="0" xfId="0" applyFont="1" applyFill="1" applyBorder="1" applyProtection="1">
      <protection locked="0"/>
    </xf>
    <xf numFmtId="0" fontId="87" fillId="77" borderId="15" xfId="0" applyNumberFormat="1" applyFont="1" applyFill="1" applyBorder="1" applyAlignment="1" applyProtection="1">
      <alignment vertical="top"/>
      <protection locked="0"/>
    </xf>
    <xf numFmtId="9" fontId="1" fillId="77" borderId="19" xfId="1" applyFont="1" applyFill="1" applyBorder="1" applyAlignment="1" applyProtection="1">
      <alignment horizontal="center" vertical="center"/>
      <protection locked="0"/>
    </xf>
    <xf numFmtId="0" fontId="41" fillId="77" borderId="0" xfId="0" applyNumberFormat="1" applyFont="1" applyFill="1" applyBorder="1" applyAlignment="1" applyProtection="1">
      <alignment vertical="top" wrapText="1"/>
      <protection locked="0"/>
    </xf>
    <xf numFmtId="9" fontId="37" fillId="77" borderId="19" xfId="1" applyFont="1" applyFill="1" applyBorder="1" applyAlignment="1" applyProtection="1">
      <alignment horizontal="center" vertical="center"/>
      <protection locked="0"/>
    </xf>
    <xf numFmtId="0" fontId="87" fillId="77" borderId="15" xfId="0" applyNumberFormat="1" applyFont="1" applyFill="1" applyBorder="1" applyAlignment="1" applyProtection="1">
      <alignment vertical="top" wrapText="1"/>
      <protection locked="0"/>
    </xf>
    <xf numFmtId="3" fontId="87" fillId="77" borderId="15" xfId="0" applyNumberFormat="1" applyFont="1" applyFill="1" applyBorder="1" applyAlignment="1" applyProtection="1">
      <alignment vertical="center" wrapText="1"/>
      <protection locked="0"/>
    </xf>
    <xf numFmtId="3" fontId="41" fillId="77" borderId="0" xfId="0" applyNumberFormat="1" applyFont="1" applyFill="1" applyBorder="1" applyAlignment="1" applyProtection="1">
      <alignment horizontal="left" vertical="center"/>
      <protection locked="0"/>
    </xf>
    <xf numFmtId="3" fontId="41" fillId="77" borderId="19" xfId="0" applyNumberFormat="1" applyFont="1" applyFill="1" applyBorder="1" applyAlignment="1" applyProtection="1">
      <alignment horizontal="center" vertical="center" wrapText="1"/>
      <protection locked="0"/>
    </xf>
    <xf numFmtId="3" fontId="223" fillId="77" borderId="15" xfId="0" applyNumberFormat="1" applyFont="1" applyFill="1" applyBorder="1" applyAlignment="1" applyProtection="1">
      <alignment vertical="center" wrapText="1"/>
      <protection locked="0"/>
    </xf>
    <xf numFmtId="3" fontId="45" fillId="77" borderId="0" xfId="0" applyNumberFormat="1" applyFont="1" applyFill="1" applyBorder="1" applyAlignment="1" applyProtection="1">
      <alignment vertical="center" wrapText="1"/>
      <protection locked="0"/>
    </xf>
    <xf numFmtId="3" fontId="87" fillId="77" borderId="15" xfId="0" applyNumberFormat="1" applyFont="1" applyFill="1" applyBorder="1" applyAlignment="1" applyProtection="1">
      <alignment horizontal="left" vertical="center" wrapText="1"/>
      <protection locked="0"/>
    </xf>
    <xf numFmtId="3" fontId="87" fillId="77" borderId="15" xfId="0" applyNumberFormat="1" applyFont="1" applyFill="1" applyBorder="1" applyAlignment="1" applyProtection="1">
      <alignment horizontal="center" vertical="center"/>
      <protection locked="0"/>
    </xf>
    <xf numFmtId="3" fontId="43" fillId="77" borderId="15" xfId="0" applyNumberFormat="1" applyFont="1" applyFill="1" applyBorder="1" applyAlignment="1" applyProtection="1">
      <alignment horizontal="center" vertical="center"/>
      <protection locked="0"/>
    </xf>
    <xf numFmtId="3" fontId="87" fillId="77" borderId="15" xfId="0" applyNumberFormat="1" applyFont="1" applyFill="1" applyBorder="1" applyAlignment="1" applyProtection="1">
      <alignment horizontal="left" vertical="center"/>
      <protection locked="0"/>
    </xf>
    <xf numFmtId="3" fontId="41" fillId="77" borderId="16" xfId="0" applyNumberFormat="1" applyFont="1" applyFill="1" applyBorder="1" applyAlignment="1" applyProtection="1">
      <alignment vertical="center" wrapText="1"/>
      <protection locked="0"/>
    </xf>
    <xf numFmtId="3" fontId="41" fillId="77" borderId="16" xfId="0" applyNumberFormat="1" applyFont="1" applyFill="1" applyBorder="1" applyAlignment="1" applyProtection="1">
      <alignment horizontal="center" vertical="center"/>
      <protection locked="0"/>
    </xf>
    <xf numFmtId="3" fontId="40" fillId="77" borderId="74" xfId="0" applyNumberFormat="1" applyFont="1" applyFill="1" applyBorder="1" applyAlignment="1" applyProtection="1">
      <alignment horizontal="left" vertical="center"/>
      <protection locked="0"/>
    </xf>
    <xf numFmtId="3" fontId="38" fillId="77" borderId="50" xfId="0" applyNumberFormat="1" applyFont="1" applyFill="1" applyBorder="1" applyAlignment="1" applyProtection="1">
      <alignment horizontal="center" vertical="center"/>
      <protection locked="0"/>
    </xf>
    <xf numFmtId="3" fontId="38" fillId="77" borderId="75" xfId="0" applyNumberFormat="1" applyFont="1" applyFill="1" applyBorder="1" applyAlignment="1" applyProtection="1">
      <alignment horizontal="center" vertical="center"/>
      <protection locked="0"/>
    </xf>
    <xf numFmtId="3" fontId="38" fillId="77" borderId="76" xfId="0" applyNumberFormat="1" applyFont="1" applyFill="1" applyBorder="1" applyAlignment="1" applyProtection="1">
      <alignment horizontal="center" vertical="center"/>
      <protection locked="0"/>
    </xf>
    <xf numFmtId="3" fontId="40" fillId="77" borderId="77" xfId="0" applyNumberFormat="1" applyFont="1" applyFill="1" applyBorder="1" applyAlignment="1" applyProtection="1">
      <alignment horizontal="left" vertical="center"/>
      <protection locked="0"/>
    </xf>
    <xf numFmtId="3" fontId="38" fillId="77" borderId="52" xfId="0" applyNumberFormat="1" applyFont="1" applyFill="1" applyBorder="1" applyAlignment="1" applyProtection="1">
      <alignment horizontal="center" vertical="center"/>
      <protection locked="0"/>
    </xf>
    <xf numFmtId="3" fontId="7" fillId="77" borderId="0" xfId="0" applyNumberFormat="1" applyFont="1" applyFill="1" applyBorder="1" applyAlignment="1" applyProtection="1">
      <alignment horizontal="left" vertical="center"/>
      <protection locked="0"/>
    </xf>
    <xf numFmtId="3" fontId="203" fillId="77" borderId="0" xfId="0" applyNumberFormat="1" applyFont="1" applyFill="1" applyBorder="1" applyAlignment="1" applyProtection="1">
      <alignment horizontal="left" vertical="center"/>
      <protection locked="0"/>
    </xf>
    <xf numFmtId="3" fontId="38" fillId="77" borderId="0" xfId="0" applyNumberFormat="1" applyFont="1" applyFill="1" applyBorder="1" applyAlignment="1" applyProtection="1">
      <alignment horizontal="center" vertical="center"/>
      <protection locked="0"/>
    </xf>
    <xf numFmtId="0" fontId="39" fillId="77" borderId="0" xfId="0" applyFont="1" applyFill="1" applyBorder="1" applyProtection="1">
      <protection locked="0"/>
    </xf>
    <xf numFmtId="3" fontId="7" fillId="77" borderId="19" xfId="0" applyNumberFormat="1" applyFont="1" applyFill="1" applyBorder="1" applyAlignment="1" applyProtection="1">
      <alignment horizontal="center" vertical="center"/>
      <protection locked="0"/>
    </xf>
    <xf numFmtId="0" fontId="55" fillId="77" borderId="0" xfId="0" applyFont="1" applyFill="1" applyBorder="1" applyAlignment="1" applyProtection="1">
      <alignment horizontal="center"/>
      <protection locked="0"/>
    </xf>
    <xf numFmtId="0" fontId="31" fillId="77" borderId="0" xfId="0" applyFont="1" applyFill="1" applyBorder="1" applyAlignment="1" applyProtection="1">
      <alignment horizontal="center"/>
      <protection locked="0"/>
    </xf>
    <xf numFmtId="3" fontId="54" fillId="77" borderId="0" xfId="0" applyNumberFormat="1" applyFont="1" applyFill="1" applyBorder="1" applyAlignment="1" applyProtection="1">
      <alignment horizontal="center" vertical="center"/>
      <protection locked="0"/>
    </xf>
    <xf numFmtId="283" fontId="41" fillId="77" borderId="0" xfId="0" applyNumberFormat="1" applyFont="1" applyFill="1" applyBorder="1" applyAlignment="1" applyProtection="1">
      <alignment horizontal="center" vertical="center"/>
      <protection locked="0"/>
    </xf>
    <xf numFmtId="172" fontId="41" fillId="77" borderId="19" xfId="0" applyNumberFormat="1" applyFont="1" applyFill="1" applyBorder="1" applyAlignment="1" applyProtection="1">
      <alignment horizontal="center" vertical="center"/>
      <protection locked="0"/>
    </xf>
    <xf numFmtId="0" fontId="31" fillId="77" borderId="0" xfId="0" applyFont="1" applyFill="1" applyAlignment="1" applyProtection="1">
      <alignment horizontal="center"/>
      <protection locked="0"/>
    </xf>
    <xf numFmtId="0" fontId="55" fillId="77" borderId="0" xfId="0" applyFont="1" applyFill="1" applyAlignment="1" applyProtection="1">
      <alignment horizontal="center"/>
      <protection locked="0"/>
    </xf>
    <xf numFmtId="3" fontId="7" fillId="77" borderId="0" xfId="0" applyNumberFormat="1" applyFont="1" applyFill="1" applyBorder="1" applyAlignment="1" applyProtection="1">
      <alignment vertical="center"/>
      <protection locked="0"/>
    </xf>
    <xf numFmtId="170" fontId="7" fillId="77" borderId="0" xfId="3" applyNumberFormat="1" applyFont="1" applyFill="1" applyBorder="1" applyAlignment="1" applyProtection="1">
      <alignment horizontal="center" vertical="center"/>
      <protection locked="0"/>
    </xf>
    <xf numFmtId="170" fontId="7" fillId="77" borderId="0" xfId="0" applyNumberFormat="1" applyFont="1" applyFill="1" applyBorder="1" applyAlignment="1" applyProtection="1">
      <alignment horizontal="center" vertical="center"/>
      <protection locked="0"/>
    </xf>
    <xf numFmtId="44" fontId="7" fillId="77" borderId="19" xfId="2" applyFont="1" applyFill="1" applyBorder="1" applyAlignment="1" applyProtection="1">
      <alignment horizontal="center" vertical="center"/>
      <protection locked="0"/>
    </xf>
    <xf numFmtId="3" fontId="43" fillId="77" borderId="15" xfId="0" applyNumberFormat="1" applyFont="1" applyFill="1" applyBorder="1" applyAlignment="1" applyProtection="1">
      <alignment horizontal="left" vertical="center"/>
      <protection locked="0"/>
    </xf>
    <xf numFmtId="0" fontId="55" fillId="77" borderId="0" xfId="0" applyFont="1" applyFill="1" applyBorder="1" applyProtection="1">
      <protection locked="0"/>
    </xf>
    <xf numFmtId="284" fontId="7" fillId="77" borderId="0" xfId="2" applyNumberFormat="1" applyFont="1" applyFill="1" applyBorder="1" applyAlignment="1" applyProtection="1">
      <alignment horizontal="center" vertical="center"/>
      <protection locked="0"/>
    </xf>
    <xf numFmtId="169" fontId="7" fillId="77" borderId="0" xfId="0" applyNumberFormat="1" applyFont="1" applyFill="1" applyBorder="1" applyAlignment="1" applyProtection="1">
      <alignment horizontal="center" vertical="center"/>
      <protection locked="0"/>
    </xf>
    <xf numFmtId="172" fontId="7" fillId="77" borderId="19" xfId="0" applyNumberFormat="1" applyFont="1" applyFill="1" applyBorder="1" applyAlignment="1" applyProtection="1">
      <alignment horizontal="center" vertical="center"/>
      <protection locked="0"/>
    </xf>
    <xf numFmtId="0" fontId="55" fillId="77" borderId="0" xfId="0" applyFont="1" applyFill="1" applyProtection="1">
      <protection locked="0"/>
    </xf>
    <xf numFmtId="0" fontId="87" fillId="77" borderId="15" xfId="0" applyNumberFormat="1" applyFont="1" applyFill="1" applyBorder="1" applyAlignment="1" applyProtection="1">
      <alignment horizontal="left" vertical="center"/>
      <protection locked="0"/>
    </xf>
    <xf numFmtId="0" fontId="41" fillId="77" borderId="0" xfId="0" applyNumberFormat="1" applyFont="1" applyFill="1" applyBorder="1" applyAlignment="1" applyProtection="1">
      <alignment horizontal="left" vertical="center"/>
      <protection locked="0"/>
    </xf>
    <xf numFmtId="3" fontId="37" fillId="77" borderId="0" xfId="0" applyNumberFormat="1" applyFont="1" applyFill="1" applyBorder="1" applyAlignment="1" applyProtection="1">
      <alignment horizontal="center" vertical="center"/>
      <protection locked="0"/>
    </xf>
    <xf numFmtId="0" fontId="87" fillId="77" borderId="53" xfId="0" applyNumberFormat="1" applyFont="1" applyFill="1" applyBorder="1" applyAlignment="1" applyProtection="1">
      <alignment horizontal="left" vertical="center"/>
      <protection locked="0"/>
    </xf>
    <xf numFmtId="0" fontId="41" fillId="77" borderId="16" xfId="0" applyNumberFormat="1" applyFont="1" applyFill="1" applyBorder="1" applyAlignment="1" applyProtection="1">
      <alignment horizontal="left" vertical="center"/>
      <protection locked="0"/>
    </xf>
    <xf numFmtId="39" fontId="38" fillId="77" borderId="16" xfId="0" applyNumberFormat="1" applyFont="1" applyFill="1" applyBorder="1" applyAlignment="1" applyProtection="1">
      <alignment horizontal="center"/>
      <protection locked="0"/>
    </xf>
    <xf numFmtId="39" fontId="37" fillId="77" borderId="16" xfId="0" applyNumberFormat="1" applyFont="1" applyFill="1" applyBorder="1" applyAlignment="1" applyProtection="1">
      <alignment horizontal="center"/>
      <protection locked="0"/>
    </xf>
    <xf numFmtId="39" fontId="54" fillId="77" borderId="16" xfId="0" applyNumberFormat="1" applyFont="1" applyFill="1" applyBorder="1" applyAlignment="1" applyProtection="1">
      <alignment horizontal="left"/>
      <protection locked="0"/>
    </xf>
    <xf numFmtId="39" fontId="54" fillId="77" borderId="16" xfId="0" applyNumberFormat="1" applyFont="1" applyFill="1" applyBorder="1" applyAlignment="1" applyProtection="1">
      <alignment horizontal="center"/>
      <protection locked="0"/>
    </xf>
    <xf numFmtId="3" fontId="41" fillId="77" borderId="16" xfId="0" applyNumberFormat="1" applyFont="1" applyFill="1" applyBorder="1" applyAlignment="1" applyProtection="1">
      <alignment vertical="center"/>
      <protection locked="0"/>
    </xf>
    <xf numFmtId="0" fontId="37" fillId="77" borderId="16" xfId="0" applyFont="1" applyFill="1" applyBorder="1" applyProtection="1">
      <protection locked="0"/>
    </xf>
    <xf numFmtId="0" fontId="37" fillId="77" borderId="78" xfId="0" applyFont="1" applyFill="1" applyBorder="1" applyAlignment="1" applyProtection="1">
      <alignment horizontal="center" vertical="center"/>
      <protection locked="0"/>
    </xf>
    <xf numFmtId="0" fontId="52" fillId="77" borderId="0" xfId="0" applyFont="1" applyFill="1" applyBorder="1" applyAlignment="1" applyProtection="1">
      <alignment horizontal="center" wrapText="1"/>
      <protection locked="0"/>
    </xf>
    <xf numFmtId="0" fontId="215" fillId="28" borderId="0" xfId="0" applyFont="1" applyFill="1" applyProtection="1">
      <protection locked="0"/>
    </xf>
    <xf numFmtId="0" fontId="41" fillId="28" borderId="0" xfId="0" applyFont="1" applyFill="1" applyAlignment="1" applyProtection="1">
      <protection locked="0"/>
    </xf>
    <xf numFmtId="39" fontId="7" fillId="28" borderId="0" xfId="0" applyNumberFormat="1" applyFont="1" applyFill="1" applyBorder="1" applyAlignment="1" applyProtection="1">
      <alignment horizontal="center"/>
      <protection locked="0"/>
    </xf>
    <xf numFmtId="3" fontId="41" fillId="28" borderId="0" xfId="0" applyNumberFormat="1" applyFont="1" applyFill="1" applyBorder="1" applyAlignment="1" applyProtection="1">
      <alignment vertical="center"/>
      <protection locked="0"/>
    </xf>
    <xf numFmtId="0" fontId="41" fillId="28" borderId="0" xfId="0" applyNumberFormat="1" applyFont="1" applyFill="1" applyBorder="1" applyAlignment="1" applyProtection="1">
      <alignment vertical="center"/>
      <protection locked="0"/>
    </xf>
    <xf numFmtId="0" fontId="41" fillId="28" borderId="0" xfId="0" applyFont="1" applyFill="1" applyAlignment="1" applyProtection="1">
      <alignment horizontal="center" vertical="center"/>
      <protection locked="0"/>
    </xf>
    <xf numFmtId="0" fontId="41" fillId="28" borderId="0" xfId="0" applyFont="1" applyFill="1" applyBorder="1" applyAlignment="1" applyProtection="1">
      <alignment horizontal="center" vertical="center"/>
      <protection locked="0"/>
    </xf>
    <xf numFmtId="3" fontId="41" fillId="77" borderId="19" xfId="0" applyNumberFormat="1" applyFont="1" applyFill="1" applyBorder="1" applyAlignment="1" applyProtection="1">
      <alignment horizontal="center" vertical="center"/>
      <protection locked="0"/>
    </xf>
    <xf numFmtId="3" fontId="203" fillId="77" borderId="0" xfId="0" applyNumberFormat="1" applyFont="1" applyFill="1" applyBorder="1" applyAlignment="1" applyProtection="1">
      <alignment horizontal="center" vertical="center"/>
      <protection locked="0"/>
    </xf>
    <xf numFmtId="44" fontId="41" fillId="77" borderId="19" xfId="2" applyFont="1" applyFill="1" applyBorder="1" applyAlignment="1" applyProtection="1">
      <alignment horizontal="center" vertical="center"/>
      <protection locked="0"/>
    </xf>
    <xf numFmtId="170" fontId="41" fillId="77" borderId="0" xfId="3" applyNumberFormat="1" applyFont="1" applyFill="1" applyBorder="1" applyAlignment="1" applyProtection="1">
      <alignment horizontal="center" vertical="center"/>
      <protection locked="0"/>
    </xf>
    <xf numFmtId="170" fontId="41" fillId="77" borderId="0" xfId="0" applyNumberFormat="1" applyFont="1" applyFill="1" applyBorder="1" applyAlignment="1" applyProtection="1">
      <alignment horizontal="center" vertical="center"/>
      <protection locked="0"/>
    </xf>
    <xf numFmtId="0" fontId="38" fillId="77" borderId="0" xfId="0" applyFont="1" applyFill="1" applyProtection="1">
      <protection locked="0"/>
    </xf>
    <xf numFmtId="3" fontId="87" fillId="77" borderId="53" xfId="0" applyNumberFormat="1" applyFont="1" applyFill="1" applyBorder="1" applyAlignment="1" applyProtection="1">
      <alignment horizontal="left" vertical="center"/>
      <protection locked="0"/>
    </xf>
    <xf numFmtId="3" fontId="38" fillId="77" borderId="16" xfId="0" applyNumberFormat="1" applyFont="1" applyFill="1" applyBorder="1" applyAlignment="1" applyProtection="1">
      <alignment horizontal="center" vertical="center"/>
      <protection locked="0"/>
    </xf>
    <xf numFmtId="3" fontId="37" fillId="77" borderId="16" xfId="0" applyNumberFormat="1" applyFont="1" applyFill="1" applyBorder="1" applyAlignment="1" applyProtection="1">
      <alignment horizontal="center" vertical="center"/>
      <protection locked="0"/>
    </xf>
    <xf numFmtId="3" fontId="54" fillId="77" borderId="16" xfId="0" applyNumberFormat="1" applyFont="1" applyFill="1" applyBorder="1" applyAlignment="1" applyProtection="1">
      <alignment horizontal="left" vertical="center"/>
      <protection locked="0"/>
    </xf>
    <xf numFmtId="0" fontId="1" fillId="77" borderId="16" xfId="0" applyFont="1" applyFill="1" applyBorder="1" applyProtection="1">
      <protection locked="0"/>
    </xf>
    <xf numFmtId="3" fontId="7" fillId="77" borderId="78" xfId="0" applyNumberFormat="1" applyFont="1" applyFill="1" applyBorder="1" applyAlignment="1" applyProtection="1">
      <alignment horizontal="center" vertical="center"/>
      <protection locked="0"/>
    </xf>
    <xf numFmtId="0" fontId="54" fillId="28" borderId="0" xfId="0" applyFont="1" applyFill="1" applyAlignment="1" applyProtection="1">
      <protection locked="0"/>
    </xf>
    <xf numFmtId="39" fontId="38" fillId="28" borderId="0" xfId="0" applyNumberFormat="1" applyFont="1" applyFill="1" applyBorder="1" applyAlignment="1" applyProtection="1">
      <alignment horizontal="center"/>
      <protection locked="0"/>
    </xf>
    <xf numFmtId="0" fontId="37" fillId="28" borderId="0" xfId="0" applyFont="1" applyFill="1" applyBorder="1" applyAlignment="1" applyProtection="1">
      <alignment horizontal="center" vertical="center"/>
      <protection locked="0"/>
    </xf>
    <xf numFmtId="0" fontId="37" fillId="77" borderId="0" xfId="0" applyFont="1" applyFill="1" applyBorder="1" applyProtection="1">
      <protection locked="0"/>
    </xf>
    <xf numFmtId="3" fontId="40" fillId="77" borderId="79" xfId="0" applyNumberFormat="1" applyFont="1" applyFill="1" applyBorder="1" applyAlignment="1" applyProtection="1">
      <alignment horizontal="left" vertical="center"/>
      <protection locked="0"/>
    </xf>
    <xf numFmtId="3" fontId="38" fillId="77" borderId="80" xfId="0" applyNumberFormat="1" applyFont="1" applyFill="1" applyBorder="1" applyAlignment="1" applyProtection="1">
      <alignment horizontal="center" vertical="center"/>
      <protection locked="0"/>
    </xf>
    <xf numFmtId="3" fontId="38" fillId="77" borderId="81" xfId="0" applyNumberFormat="1" applyFont="1" applyFill="1" applyBorder="1" applyAlignment="1" applyProtection="1">
      <alignment horizontal="center" vertical="center"/>
      <protection locked="0"/>
    </xf>
    <xf numFmtId="3" fontId="87" fillId="77" borderId="28" xfId="0" applyNumberFormat="1" applyFont="1" applyFill="1" applyBorder="1" applyAlignment="1" applyProtection="1">
      <alignment horizontal="left" vertical="center"/>
      <protection locked="0"/>
    </xf>
    <xf numFmtId="3" fontId="7" fillId="77" borderId="20" xfId="0" applyNumberFormat="1" applyFont="1" applyFill="1" applyBorder="1" applyAlignment="1" applyProtection="1">
      <alignment horizontal="left" vertical="center"/>
      <protection locked="0"/>
    </xf>
    <xf numFmtId="3" fontId="203" fillId="77" borderId="20" xfId="0" applyNumberFormat="1" applyFont="1" applyFill="1" applyBorder="1" applyAlignment="1" applyProtection="1">
      <alignment horizontal="left" vertical="center"/>
      <protection locked="0"/>
    </xf>
    <xf numFmtId="3" fontId="38" fillId="77" borderId="20" xfId="0" applyNumberFormat="1" applyFont="1" applyFill="1" applyBorder="1" applyAlignment="1" applyProtection="1">
      <alignment horizontal="center" vertical="center"/>
      <protection locked="0"/>
    </xf>
    <xf numFmtId="0" fontId="39" fillId="77" borderId="20" xfId="0" applyFont="1" applyFill="1" applyBorder="1" applyProtection="1">
      <protection locked="0"/>
    </xf>
    <xf numFmtId="3" fontId="7" fillId="77" borderId="20" xfId="0" applyNumberFormat="1" applyFont="1" applyFill="1" applyBorder="1" applyAlignment="1" applyProtection="1">
      <alignment horizontal="center" vertical="center"/>
      <protection locked="0"/>
    </xf>
    <xf numFmtId="3" fontId="7" fillId="77" borderId="60" xfId="0" applyNumberFormat="1" applyFont="1" applyFill="1" applyBorder="1" applyAlignment="1" applyProtection="1">
      <alignment horizontal="center" vertical="center"/>
      <protection locked="0"/>
    </xf>
    <xf numFmtId="170" fontId="41" fillId="77" borderId="19" xfId="0" applyNumberFormat="1" applyFont="1" applyFill="1" applyBorder="1" applyAlignment="1" applyProtection="1">
      <alignment horizontal="center" vertical="center"/>
      <protection locked="0"/>
    </xf>
    <xf numFmtId="0" fontId="41" fillId="77" borderId="16" xfId="0" applyNumberFormat="1" applyFont="1" applyFill="1" applyBorder="1" applyAlignment="1" applyProtection="1">
      <alignment horizontal="left" vertical="center"/>
      <protection locked="0"/>
    </xf>
    <xf numFmtId="3" fontId="38" fillId="77" borderId="16" xfId="0" applyNumberFormat="1" applyFont="1" applyFill="1" applyBorder="1" applyAlignment="1" applyProtection="1">
      <alignment horizontal="center" vertical="center"/>
      <protection locked="0"/>
    </xf>
    <xf numFmtId="0" fontId="1" fillId="77" borderId="16" xfId="0" applyFont="1" applyFill="1" applyBorder="1" applyProtection="1">
      <protection locked="0"/>
    </xf>
    <xf numFmtId="3" fontId="54" fillId="77" borderId="16" xfId="0" applyNumberFormat="1" applyFont="1" applyFill="1" applyBorder="1" applyAlignment="1" applyProtection="1">
      <alignment horizontal="left" vertical="center"/>
      <protection locked="0"/>
    </xf>
    <xf numFmtId="3" fontId="41" fillId="77" borderId="16" xfId="0" applyNumberFormat="1" applyFont="1" applyFill="1" applyBorder="1" applyAlignment="1" applyProtection="1">
      <alignment vertical="center"/>
      <protection locked="0"/>
    </xf>
    <xf numFmtId="170" fontId="7" fillId="77" borderId="19" xfId="2" applyNumberFormat="1" applyFont="1" applyFill="1" applyBorder="1" applyAlignment="1" applyProtection="1">
      <alignment horizontal="center" vertical="center"/>
      <protection locked="0"/>
    </xf>
    <xf numFmtId="172" fontId="7" fillId="77" borderId="19" xfId="2" applyNumberFormat="1" applyFont="1" applyFill="1" applyBorder="1" applyAlignment="1" applyProtection="1">
      <alignment horizontal="center" vertical="center"/>
      <protection locked="0"/>
    </xf>
    <xf numFmtId="0" fontId="37" fillId="28" borderId="0" xfId="0" applyFont="1" applyFill="1" applyAlignment="1" applyProtection="1">
      <alignment horizontal="center" vertical="center"/>
      <protection locked="0"/>
    </xf>
    <xf numFmtId="10" fontId="37" fillId="28" borderId="0" xfId="0" applyNumberFormat="1" applyFont="1" applyFill="1" applyBorder="1" applyAlignment="1" applyProtection="1">
      <alignment horizontal="center" vertical="center"/>
      <protection locked="0"/>
    </xf>
    <xf numFmtId="10" fontId="206" fillId="77" borderId="0" xfId="0" applyNumberFormat="1" applyFont="1" applyFill="1" applyBorder="1" applyAlignment="1" applyProtection="1">
      <alignment horizontal="center" vertical="center"/>
    </xf>
    <xf numFmtId="10" fontId="37" fillId="77" borderId="0" xfId="0" applyNumberFormat="1" applyFont="1" applyFill="1" applyBorder="1" applyAlignment="1" applyProtection="1">
      <alignment horizontal="center" vertical="center"/>
      <protection locked="0"/>
    </xf>
    <xf numFmtId="10" fontId="38" fillId="77" borderId="0" xfId="0" applyNumberFormat="1" applyFont="1" applyFill="1" applyBorder="1" applyAlignment="1" applyProtection="1">
      <alignment horizontal="center" vertical="center"/>
      <protection locked="0"/>
    </xf>
    <xf numFmtId="10" fontId="45" fillId="77" borderId="0" xfId="0" applyNumberFormat="1" applyFont="1" applyFill="1" applyBorder="1" applyAlignment="1" applyProtection="1">
      <alignment horizontal="center" vertical="center"/>
      <protection locked="0"/>
    </xf>
    <xf numFmtId="10" fontId="37" fillId="28" borderId="0" xfId="1" applyNumberFormat="1" applyFont="1" applyFill="1" applyBorder="1" applyAlignment="1" applyProtection="1">
      <alignment horizontal="center" vertical="center"/>
      <protection locked="0"/>
    </xf>
    <xf numFmtId="10" fontId="37" fillId="77" borderId="0" xfId="1" applyNumberFormat="1" applyFont="1" applyFill="1" applyBorder="1" applyAlignment="1" applyProtection="1">
      <alignment horizontal="center" vertical="center"/>
      <protection locked="0"/>
    </xf>
    <xf numFmtId="10" fontId="1" fillId="77" borderId="0" xfId="1" applyNumberFormat="1" applyFont="1" applyFill="1" applyBorder="1" applyAlignment="1" applyProtection="1">
      <alignment horizontal="center" vertical="center"/>
      <protection locked="0"/>
    </xf>
    <xf numFmtId="10" fontId="206" fillId="77" borderId="0" xfId="0" applyNumberFormat="1" applyFont="1" applyFill="1" applyBorder="1" applyAlignment="1" applyProtection="1">
      <alignment horizontal="center" vertical="center" wrapText="1"/>
      <protection locked="0"/>
    </xf>
    <xf numFmtId="10" fontId="1" fillId="77" borderId="0" xfId="0" applyNumberFormat="1" applyFont="1" applyFill="1" applyBorder="1" applyAlignment="1" applyProtection="1">
      <alignment vertical="center"/>
      <protection locked="0"/>
    </xf>
    <xf numFmtId="10" fontId="41" fillId="77" borderId="0" xfId="0" applyNumberFormat="1" applyFont="1" applyFill="1" applyBorder="1" applyAlignment="1" applyProtection="1">
      <alignment horizontal="center" vertical="center"/>
      <protection locked="0"/>
    </xf>
    <xf numFmtId="10" fontId="1" fillId="77" borderId="0" xfId="0" applyNumberFormat="1" applyFont="1" applyFill="1" applyBorder="1" applyAlignment="1" applyProtection="1">
      <alignment horizontal="center" vertical="center"/>
      <protection locked="0"/>
    </xf>
    <xf numFmtId="10" fontId="207" fillId="77" borderId="0" xfId="0" applyNumberFormat="1" applyFont="1" applyFill="1" applyBorder="1" applyAlignment="1" applyProtection="1">
      <alignment horizontal="center" vertical="center"/>
      <protection locked="0"/>
    </xf>
    <xf numFmtId="10" fontId="206" fillId="77" borderId="0" xfId="0" applyNumberFormat="1" applyFont="1" applyFill="1" applyBorder="1" applyAlignment="1" applyProtection="1">
      <alignment horizontal="center" vertical="center"/>
      <protection locked="0"/>
    </xf>
    <xf numFmtId="10" fontId="1" fillId="28" borderId="0" xfId="0" applyNumberFormat="1" applyFont="1" applyFill="1" applyBorder="1" applyAlignment="1" applyProtection="1">
      <alignment horizontal="center" vertical="center"/>
      <protection locked="0"/>
    </xf>
    <xf numFmtId="0" fontId="0" fillId="77" borderId="0" xfId="0" applyFill="1" applyProtection="1">
      <protection locked="0"/>
    </xf>
    <xf numFmtId="0" fontId="87" fillId="77" borderId="0" xfId="0" applyFont="1" applyFill="1" applyBorder="1" applyAlignment="1" applyProtection="1">
      <alignment vertical="top" wrapText="1"/>
      <protection locked="0"/>
    </xf>
    <xf numFmtId="0" fontId="48" fillId="78" borderId="82" xfId="0" applyNumberFormat="1" applyFont="1" applyFill="1" applyBorder="1" applyAlignment="1" applyProtection="1">
      <alignment horizontal="center" vertical="center" wrapText="1"/>
      <protection locked="0"/>
    </xf>
    <xf numFmtId="3" fontId="87" fillId="77" borderId="0" xfId="0" applyNumberFormat="1" applyFont="1" applyFill="1" applyBorder="1" applyAlignment="1" applyProtection="1">
      <alignment horizontal="center" vertical="center"/>
      <protection locked="0"/>
    </xf>
    <xf numFmtId="3" fontId="87" fillId="77" borderId="0" xfId="0" applyNumberFormat="1" applyFont="1" applyFill="1" applyBorder="1" applyAlignment="1" applyProtection="1">
      <alignment vertical="center"/>
      <protection locked="0"/>
    </xf>
    <xf numFmtId="3" fontId="7" fillId="77" borderId="20" xfId="0" applyNumberFormat="1" applyFont="1" applyFill="1" applyBorder="1" applyAlignment="1" applyProtection="1">
      <alignment horizontal="left" vertical="center"/>
      <protection locked="0"/>
    </xf>
    <xf numFmtId="3" fontId="203" fillId="77" borderId="20" xfId="0" applyNumberFormat="1" applyFont="1" applyFill="1" applyBorder="1" applyAlignment="1" applyProtection="1">
      <alignment horizontal="left" vertical="center"/>
      <protection locked="0"/>
    </xf>
    <xf numFmtId="3" fontId="38" fillId="77" borderId="20" xfId="0" applyNumberFormat="1" applyFont="1" applyFill="1" applyBorder="1" applyAlignment="1" applyProtection="1">
      <alignment horizontal="center" vertical="center"/>
      <protection locked="0"/>
    </xf>
    <xf numFmtId="0" fontId="39" fillId="77" borderId="20" xfId="0" applyFont="1" applyFill="1" applyBorder="1" applyProtection="1">
      <protection locked="0"/>
    </xf>
    <xf numFmtId="3" fontId="7" fillId="77" borderId="20" xfId="0" applyNumberFormat="1" applyFont="1" applyFill="1" applyBorder="1" applyAlignment="1" applyProtection="1">
      <alignment horizontal="center" vertical="center"/>
      <protection locked="0"/>
    </xf>
    <xf numFmtId="3" fontId="87" fillId="77" borderId="53" xfId="0" applyNumberFormat="1" applyFont="1" applyFill="1" applyBorder="1" applyAlignment="1" applyProtection="1">
      <alignment vertical="center"/>
      <protection locked="0"/>
    </xf>
    <xf numFmtId="0" fontId="10" fillId="77" borderId="0" xfId="0" applyFont="1" applyFill="1" applyProtection="1">
      <protection locked="0"/>
    </xf>
    <xf numFmtId="0" fontId="44" fillId="81" borderId="15" xfId="0" applyFont="1" applyFill="1" applyBorder="1" applyAlignment="1" applyProtection="1">
      <alignment horizontal="left" vertical="center"/>
      <protection locked="0"/>
    </xf>
    <xf numFmtId="0" fontId="44" fillId="81" borderId="53" xfId="0" applyFont="1" applyFill="1" applyBorder="1" applyAlignment="1" applyProtection="1">
      <alignment horizontal="left" vertical="center"/>
      <protection locked="0"/>
    </xf>
    <xf numFmtId="170" fontId="41" fillId="77" borderId="19" xfId="3" applyNumberFormat="1" applyFont="1" applyFill="1" applyBorder="1" applyAlignment="1" applyProtection="1">
      <alignment horizontal="center" vertical="center"/>
      <protection locked="0"/>
    </xf>
    <xf numFmtId="3" fontId="38" fillId="77" borderId="56" xfId="0" applyNumberFormat="1" applyFont="1" applyFill="1" applyBorder="1" applyAlignment="1" applyProtection="1">
      <alignment horizontal="center" vertical="center"/>
      <protection locked="0"/>
    </xf>
    <xf numFmtId="44" fontId="0" fillId="77" borderId="0" xfId="2" applyFont="1" applyFill="1" applyProtection="1">
      <protection locked="0"/>
    </xf>
    <xf numFmtId="283" fontId="41" fillId="77" borderId="19" xfId="0" applyNumberFormat="1" applyFont="1" applyFill="1" applyBorder="1" applyAlignment="1" applyProtection="1">
      <alignment horizontal="center" vertical="center"/>
      <protection locked="0"/>
    </xf>
    <xf numFmtId="0" fontId="55" fillId="77" borderId="16" xfId="0" applyFont="1" applyFill="1" applyBorder="1" applyProtection="1">
      <protection locked="0"/>
    </xf>
    <xf numFmtId="3" fontId="203" fillId="77" borderId="16" xfId="0" applyNumberFormat="1" applyFont="1" applyFill="1" applyBorder="1" applyAlignment="1" applyProtection="1">
      <alignment horizontal="left" vertical="center"/>
      <protection locked="0"/>
    </xf>
    <xf numFmtId="3" fontId="7" fillId="77" borderId="16" xfId="0" applyNumberFormat="1" applyFont="1" applyFill="1" applyBorder="1" applyAlignment="1" applyProtection="1">
      <alignment horizontal="center" vertical="center"/>
      <protection locked="0"/>
    </xf>
    <xf numFmtId="3" fontId="7" fillId="77" borderId="16" xfId="0" applyNumberFormat="1" applyFont="1" applyFill="1" applyBorder="1" applyAlignment="1" applyProtection="1">
      <alignment vertical="center"/>
      <protection locked="0"/>
    </xf>
    <xf numFmtId="169" fontId="7" fillId="77" borderId="16" xfId="0" applyNumberFormat="1" applyFont="1" applyFill="1" applyBorder="1" applyAlignment="1" applyProtection="1">
      <alignment horizontal="center" vertical="center"/>
      <protection locked="0"/>
    </xf>
    <xf numFmtId="0" fontId="37" fillId="28" borderId="9" xfId="0" applyNumberFormat="1" applyFont="1" applyFill="1" applyBorder="1" applyAlignment="1" applyProtection="1">
      <alignment horizontal="center"/>
      <protection locked="0"/>
    </xf>
    <xf numFmtId="3" fontId="44" fillId="28" borderId="9" xfId="0" applyNumberFormat="1" applyFont="1" applyFill="1" applyBorder="1" applyAlignment="1" applyProtection="1">
      <alignment horizontal="center"/>
      <protection locked="0"/>
    </xf>
    <xf numFmtId="0" fontId="37" fillId="28" borderId="9" xfId="0" applyNumberFormat="1" applyFont="1" applyFill="1" applyBorder="1" applyAlignment="1" applyProtection="1">
      <alignment horizontal="center"/>
      <protection locked="0"/>
    </xf>
    <xf numFmtId="0" fontId="215" fillId="28" borderId="0" xfId="0" applyFont="1" applyFill="1" applyAlignment="1" applyProtection="1">
      <protection locked="0"/>
    </xf>
    <xf numFmtId="0" fontId="215" fillId="28" borderId="0" xfId="0" applyFont="1" applyFill="1" applyBorder="1" applyProtection="1">
      <protection locked="0"/>
    </xf>
    <xf numFmtId="0" fontId="40" fillId="26" borderId="0" xfId="0" applyFont="1" applyFill="1" applyBorder="1" applyAlignment="1" applyProtection="1">
      <alignment horizontal="center"/>
      <protection locked="0"/>
    </xf>
    <xf numFmtId="0" fontId="2" fillId="77" borderId="0" xfId="0" applyFont="1" applyFill="1" applyProtection="1">
      <protection locked="0"/>
    </xf>
    <xf numFmtId="0" fontId="10" fillId="77" borderId="0" xfId="0" applyFont="1" applyFill="1" applyBorder="1" applyProtection="1">
      <protection locked="0"/>
    </xf>
    <xf numFmtId="0" fontId="38" fillId="77" borderId="0" xfId="0" applyFont="1" applyFill="1" applyBorder="1" applyAlignment="1" applyProtection="1">
      <alignment horizontal="left" vertical="top"/>
      <protection locked="0"/>
    </xf>
    <xf numFmtId="175" fontId="208" fillId="26" borderId="54" xfId="43" applyNumberFormat="1" applyFont="1" applyFill="1" applyBorder="1" applyAlignment="1" applyProtection="1">
      <alignment horizontal="left" vertical="center"/>
      <protection locked="0"/>
    </xf>
    <xf numFmtId="0" fontId="215" fillId="77" borderId="0" xfId="0" applyFont="1" applyFill="1" applyAlignment="1" applyProtection="1">
      <alignment wrapText="1"/>
      <protection locked="0"/>
    </xf>
    <xf numFmtId="0" fontId="37" fillId="0" borderId="9" xfId="0" applyNumberFormat="1" applyFont="1" applyBorder="1" applyAlignment="1" applyProtection="1">
      <alignment horizontal="center"/>
      <protection locked="0"/>
    </xf>
    <xf numFmtId="38" fontId="44" fillId="28" borderId="9" xfId="0" applyNumberFormat="1" applyFont="1" applyFill="1" applyBorder="1" applyAlignment="1" applyProtection="1">
      <alignment horizontal="center"/>
      <protection locked="0"/>
    </xf>
    <xf numFmtId="0" fontId="2" fillId="77" borderId="0" xfId="0" applyFont="1" applyFill="1" applyBorder="1" applyProtection="1">
      <protection locked="0"/>
    </xf>
    <xf numFmtId="0" fontId="10" fillId="28" borderId="0" xfId="0" applyFont="1" applyFill="1" applyAlignment="1" applyProtection="1">
      <alignment wrapText="1"/>
      <protection locked="0"/>
    </xf>
    <xf numFmtId="0" fontId="10" fillId="28" borderId="0" xfId="0" applyFont="1" applyFill="1" applyBorder="1" applyProtection="1">
      <protection locked="0"/>
    </xf>
    <xf numFmtId="0" fontId="10" fillId="28" borderId="0" xfId="0" applyFont="1" applyFill="1" applyProtection="1">
      <protection locked="0"/>
    </xf>
    <xf numFmtId="3" fontId="210" fillId="77" borderId="0" xfId="0" applyNumberFormat="1" applyFont="1" applyFill="1" applyBorder="1" applyAlignment="1" applyProtection="1">
      <alignment horizontal="center" vertical="center"/>
      <protection locked="0"/>
    </xf>
    <xf numFmtId="0" fontId="7" fillId="77" borderId="9" xfId="0" applyFont="1" applyFill="1" applyBorder="1" applyAlignment="1" applyProtection="1">
      <alignment horizontal="center" vertical="center" wrapText="1"/>
      <protection locked="0"/>
    </xf>
    <xf numFmtId="0" fontId="7" fillId="28" borderId="9" xfId="0" applyFont="1" applyFill="1" applyBorder="1" applyAlignment="1" applyProtection="1">
      <alignment horizontal="center" vertical="center" wrapText="1"/>
      <protection locked="0"/>
    </xf>
    <xf numFmtId="0" fontId="41" fillId="77" borderId="74" xfId="0" applyFont="1" applyFill="1" applyBorder="1" applyAlignment="1" applyProtection="1">
      <alignment horizontal="left" vertical="center" wrapText="1"/>
      <protection locked="0"/>
    </xf>
    <xf numFmtId="0" fontId="41" fillId="77" borderId="75" xfId="0" applyFont="1" applyFill="1" applyBorder="1" applyAlignment="1" applyProtection="1">
      <alignment horizontal="center" vertical="center" wrapText="1"/>
      <protection locked="0"/>
    </xf>
    <xf numFmtId="0" fontId="41" fillId="77" borderId="76" xfId="0" applyFont="1" applyFill="1" applyBorder="1" applyAlignment="1" applyProtection="1">
      <alignment horizontal="center" vertical="center" wrapText="1"/>
      <protection locked="0"/>
    </xf>
    <xf numFmtId="0" fontId="50" fillId="77" borderId="77" xfId="0" applyFont="1" applyFill="1" applyBorder="1" applyAlignment="1" applyProtection="1">
      <alignment horizontal="left" vertical="center" wrapText="1"/>
      <protection locked="0"/>
    </xf>
    <xf numFmtId="0" fontId="50" fillId="28" borderId="50" xfId="0" applyFont="1" applyFill="1" applyBorder="1" applyAlignment="1" applyProtection="1">
      <alignment horizontal="center" vertical="center" wrapText="1"/>
      <protection locked="0"/>
    </xf>
    <xf numFmtId="0" fontId="50" fillId="28" borderId="52" xfId="0" applyFont="1" applyFill="1" applyBorder="1" applyAlignment="1" applyProtection="1">
      <alignment horizontal="center" vertical="center" wrapText="1"/>
      <protection locked="0"/>
    </xf>
    <xf numFmtId="0" fontId="50" fillId="77" borderId="83" xfId="0" applyFont="1" applyFill="1" applyBorder="1" applyAlignment="1" applyProtection="1">
      <alignment horizontal="left" vertical="center" wrapText="1"/>
      <protection locked="0"/>
    </xf>
    <xf numFmtId="0" fontId="7" fillId="77" borderId="84" xfId="0" applyFont="1" applyFill="1" applyBorder="1" applyAlignment="1" applyProtection="1">
      <alignment horizontal="left" wrapText="1"/>
      <protection locked="0"/>
    </xf>
    <xf numFmtId="0" fontId="50" fillId="77" borderId="15" xfId="0" applyFont="1" applyFill="1" applyBorder="1" applyAlignment="1" applyProtection="1">
      <alignment horizontal="left" vertical="center" wrapText="1"/>
      <protection locked="0"/>
    </xf>
    <xf numFmtId="167" fontId="7" fillId="77" borderId="0" xfId="3" applyFont="1" applyFill="1" applyBorder="1" applyAlignment="1" applyProtection="1">
      <alignment vertical="center"/>
      <protection locked="0"/>
    </xf>
    <xf numFmtId="167" fontId="7" fillId="77" borderId="0" xfId="3" applyFont="1" applyFill="1" applyBorder="1" applyAlignment="1" applyProtection="1">
      <protection locked="0"/>
    </xf>
    <xf numFmtId="177" fontId="7" fillId="77" borderId="0" xfId="2" applyNumberFormat="1" applyFont="1" applyFill="1" applyBorder="1" applyAlignment="1" applyProtection="1">
      <alignment horizontal="center"/>
      <protection locked="0"/>
    </xf>
    <xf numFmtId="0" fontId="4" fillId="77" borderId="19" xfId="0" applyFont="1" applyFill="1" applyBorder="1" applyProtection="1">
      <protection locked="0"/>
    </xf>
    <xf numFmtId="167" fontId="7" fillId="77" borderId="0" xfId="3" applyFont="1" applyFill="1" applyBorder="1" applyAlignment="1" applyProtection="1">
      <alignment horizontal="center" vertical="center"/>
      <protection locked="0"/>
    </xf>
    <xf numFmtId="0" fontId="205" fillId="77" borderId="0" xfId="0" applyFont="1" applyFill="1" applyBorder="1" applyProtection="1">
      <protection locked="0"/>
    </xf>
    <xf numFmtId="0" fontId="41" fillId="77" borderId="0" xfId="0" applyFont="1" applyFill="1" applyBorder="1" applyAlignment="1" applyProtection="1">
      <alignment horizontal="center" vertical="center"/>
      <protection locked="0"/>
    </xf>
    <xf numFmtId="0" fontId="6" fillId="77" borderId="19" xfId="0" applyFont="1" applyFill="1" applyBorder="1" applyProtection="1">
      <protection locked="0"/>
    </xf>
    <xf numFmtId="0" fontId="41" fillId="77" borderId="0" xfId="0" applyFont="1" applyFill="1" applyBorder="1" applyAlignment="1" applyProtection="1">
      <alignment horizontal="center" vertical="center" wrapText="1"/>
      <protection locked="0"/>
    </xf>
    <xf numFmtId="0" fontId="50" fillId="77" borderId="0" xfId="0" applyFont="1" applyFill="1" applyBorder="1" applyAlignment="1" applyProtection="1">
      <alignment horizontal="left" vertical="center" wrapText="1"/>
      <protection locked="0"/>
    </xf>
    <xf numFmtId="0" fontId="41" fillId="77" borderId="15" xfId="0" applyFont="1" applyFill="1" applyBorder="1" applyAlignment="1" applyProtection="1">
      <alignment horizontal="left" vertical="center" wrapText="1"/>
      <protection locked="0"/>
    </xf>
    <xf numFmtId="0" fontId="5" fillId="77" borderId="19" xfId="0" applyFont="1" applyFill="1" applyBorder="1" applyProtection="1">
      <protection locked="0"/>
    </xf>
    <xf numFmtId="0" fontId="5" fillId="77" borderId="0" xfId="0" applyFont="1" applyFill="1" applyBorder="1" applyProtection="1">
      <protection locked="0"/>
    </xf>
    <xf numFmtId="177" fontId="41" fillId="77" borderId="16" xfId="2" applyNumberFormat="1" applyFont="1" applyFill="1" applyBorder="1" applyProtection="1">
      <protection locked="0"/>
    </xf>
    <xf numFmtId="0" fontId="5" fillId="77" borderId="16" xfId="0" applyFont="1" applyFill="1" applyBorder="1" applyProtection="1">
      <protection locked="0"/>
    </xf>
    <xf numFmtId="0" fontId="5" fillId="77" borderId="78" xfId="0" applyFont="1" applyFill="1" applyBorder="1" applyProtection="1">
      <protection locked="0"/>
    </xf>
    <xf numFmtId="0" fontId="215" fillId="28" borderId="0" xfId="0" applyFont="1" applyFill="1" applyAlignment="1" applyProtection="1">
      <alignment horizontal="left"/>
      <protection locked="0"/>
    </xf>
    <xf numFmtId="0" fontId="5" fillId="28" borderId="0" xfId="0" applyFont="1" applyFill="1" applyProtection="1">
      <protection locked="0"/>
    </xf>
    <xf numFmtId="1" fontId="41" fillId="77" borderId="28" xfId="0" applyNumberFormat="1" applyFont="1" applyFill="1" applyBorder="1" applyAlignment="1" applyProtection="1">
      <alignment horizontal="center"/>
      <protection locked="0"/>
    </xf>
    <xf numFmtId="1" fontId="41" fillId="77" borderId="85" xfId="0" applyNumberFormat="1" applyFont="1" applyFill="1" applyBorder="1" applyAlignment="1" applyProtection="1">
      <alignment horizontal="center"/>
      <protection locked="0"/>
    </xf>
    <xf numFmtId="1" fontId="41" fillId="77" borderId="86" xfId="0" applyNumberFormat="1" applyFont="1" applyFill="1" applyBorder="1" applyAlignment="1" applyProtection="1">
      <alignment horizontal="center"/>
      <protection locked="0"/>
    </xf>
    <xf numFmtId="9" fontId="47" fillId="82" borderId="0" xfId="0" applyNumberFormat="1" applyFont="1" applyFill="1" applyAlignment="1">
      <alignment horizontal="center"/>
    </xf>
    <xf numFmtId="3" fontId="223" fillId="77" borderId="0" xfId="0" applyNumberFormat="1" applyFont="1" applyFill="1" applyBorder="1" applyAlignment="1" applyProtection="1">
      <alignment vertical="center"/>
      <protection locked="0"/>
    </xf>
    <xf numFmtId="0" fontId="1" fillId="77" borderId="19" xfId="0" applyFont="1" applyFill="1" applyBorder="1" applyProtection="1">
      <protection locked="0"/>
    </xf>
    <xf numFmtId="0" fontId="44" fillId="28" borderId="0" xfId="0" applyFont="1" applyFill="1" applyProtection="1">
      <protection locked="0"/>
    </xf>
    <xf numFmtId="0" fontId="6" fillId="28" borderId="0" xfId="0" applyFont="1" applyFill="1" applyAlignment="1" applyProtection="1">
      <alignment horizontal="left"/>
      <protection locked="0"/>
    </xf>
    <xf numFmtId="0" fontId="231" fillId="77" borderId="0" xfId="0" applyFont="1" applyFill="1" applyAlignment="1" applyProtection="1">
      <alignment horizontal="center"/>
      <protection locked="0"/>
    </xf>
    <xf numFmtId="0" fontId="228" fillId="77" borderId="0" xfId="0" applyFont="1" applyFill="1" applyAlignment="1" applyProtection="1">
      <alignment horizontal="center"/>
      <protection locked="0"/>
    </xf>
    <xf numFmtId="0" fontId="229" fillId="77" borderId="0" xfId="0" applyFont="1" applyFill="1" applyBorder="1" applyAlignment="1" applyProtection="1">
      <alignment horizontal="center"/>
      <protection locked="0"/>
    </xf>
    <xf numFmtId="0" fontId="230" fillId="77" borderId="0" xfId="0" applyFont="1" applyFill="1" applyAlignment="1" applyProtection="1">
      <alignment horizontal="center"/>
      <protection locked="0"/>
    </xf>
    <xf numFmtId="0" fontId="228" fillId="77" borderId="0" xfId="0" applyFont="1" applyFill="1" applyBorder="1" applyAlignment="1" applyProtection="1">
      <alignment horizontal="center"/>
      <protection locked="0"/>
    </xf>
    <xf numFmtId="0" fontId="231" fillId="77" borderId="0" xfId="0" applyFont="1" applyFill="1" applyBorder="1" applyAlignment="1" applyProtection="1">
      <alignment horizontal="center"/>
      <protection locked="0"/>
    </xf>
    <xf numFmtId="3" fontId="223" fillId="77" borderId="0" xfId="0" applyNumberFormat="1" applyFont="1" applyFill="1" applyBorder="1" applyAlignment="1" applyProtection="1">
      <alignment vertical="center" wrapText="1"/>
      <protection locked="0"/>
    </xf>
    <xf numFmtId="0" fontId="0" fillId="77" borderId="0" xfId="0" applyFill="1" applyBorder="1" applyProtection="1">
      <protection locked="0"/>
    </xf>
    <xf numFmtId="0" fontId="1" fillId="77" borderId="0" xfId="0" applyFont="1" applyFill="1" applyBorder="1" applyAlignment="1" applyProtection="1">
      <alignment horizontal="center" vertical="center"/>
      <protection locked="0"/>
    </xf>
    <xf numFmtId="9" fontId="37" fillId="77" borderId="0" xfId="1" applyFont="1" applyFill="1" applyBorder="1" applyAlignment="1" applyProtection="1">
      <alignment horizontal="center" vertical="center"/>
      <protection locked="0"/>
    </xf>
    <xf numFmtId="3" fontId="227" fillId="77" borderId="15" xfId="0" applyNumberFormat="1" applyFont="1" applyFill="1" applyBorder="1" applyAlignment="1" applyProtection="1">
      <alignment vertical="center"/>
      <protection locked="0"/>
    </xf>
    <xf numFmtId="3" fontId="227" fillId="0" borderId="15" xfId="0" applyNumberFormat="1" applyFont="1" applyFill="1" applyBorder="1" applyAlignment="1" applyProtection="1">
      <alignment vertical="center" wrapText="1"/>
      <protection locked="0"/>
    </xf>
    <xf numFmtId="0" fontId="87" fillId="77" borderId="15" xfId="0" applyFont="1" applyFill="1" applyBorder="1" applyAlignment="1" applyProtection="1">
      <alignment vertical="top" wrapText="1"/>
      <protection locked="0"/>
    </xf>
    <xf numFmtId="3" fontId="87" fillId="77" borderId="28" xfId="0" applyNumberFormat="1" applyFont="1" applyFill="1" applyBorder="1" applyAlignment="1" applyProtection="1">
      <alignment horizontal="left" vertical="center"/>
      <protection locked="0"/>
    </xf>
    <xf numFmtId="0" fontId="228" fillId="77" borderId="0" xfId="0" applyFont="1" applyFill="1" applyAlignment="1" applyProtection="1">
      <alignment horizontal="center" vertical="center"/>
      <protection locked="0"/>
    </xf>
    <xf numFmtId="0" fontId="228" fillId="77" borderId="0" xfId="0" applyFont="1" applyFill="1" applyBorder="1" applyAlignment="1" applyProtection="1">
      <alignment horizontal="center" vertical="center"/>
      <protection locked="0"/>
    </xf>
    <xf numFmtId="3" fontId="227" fillId="77" borderId="0" xfId="0" applyNumberFormat="1" applyFont="1" applyFill="1" applyBorder="1" applyAlignment="1" applyProtection="1">
      <alignment vertical="center"/>
      <protection locked="0"/>
    </xf>
    <xf numFmtId="3" fontId="43" fillId="77" borderId="0" xfId="0" applyNumberFormat="1" applyFont="1" applyFill="1" applyBorder="1" applyAlignment="1" applyProtection="1">
      <alignment vertical="center"/>
      <protection locked="0"/>
    </xf>
    <xf numFmtId="0" fontId="87" fillId="77" borderId="0" xfId="0" applyNumberFormat="1" applyFont="1" applyFill="1" applyBorder="1" applyAlignment="1" applyProtection="1">
      <alignment vertical="top"/>
      <protection locked="0"/>
    </xf>
    <xf numFmtId="0" fontId="87" fillId="77" borderId="0" xfId="0" applyNumberFormat="1" applyFont="1" applyFill="1" applyBorder="1" applyAlignment="1" applyProtection="1">
      <alignment vertical="top" wrapText="1"/>
      <protection locked="0"/>
    </xf>
    <xf numFmtId="3" fontId="87" fillId="77" borderId="0" xfId="0" applyNumberFormat="1" applyFont="1" applyFill="1" applyBorder="1" applyAlignment="1" applyProtection="1">
      <alignment vertical="center" wrapText="1"/>
      <protection locked="0"/>
    </xf>
    <xf numFmtId="3" fontId="87" fillId="77" borderId="0" xfId="0" applyNumberFormat="1" applyFont="1" applyFill="1" applyBorder="1" applyAlignment="1" applyProtection="1">
      <alignment horizontal="left" vertical="center"/>
      <protection locked="0"/>
    </xf>
    <xf numFmtId="3" fontId="227" fillId="0" borderId="0" xfId="0" applyNumberFormat="1" applyFont="1" applyFill="1" applyBorder="1" applyAlignment="1" applyProtection="1">
      <alignment vertical="center" wrapText="1"/>
      <protection locked="0"/>
    </xf>
    <xf numFmtId="3" fontId="43" fillId="77" borderId="0" xfId="0" applyNumberFormat="1" applyFont="1" applyFill="1" applyBorder="1" applyAlignment="1" applyProtection="1">
      <alignment horizontal="center" vertical="center"/>
      <protection locked="0"/>
    </xf>
    <xf numFmtId="0" fontId="228" fillId="77" borderId="19" xfId="0" applyFont="1" applyFill="1" applyBorder="1" applyAlignment="1" applyProtection="1">
      <alignment horizontal="center" vertical="center"/>
      <protection locked="0"/>
    </xf>
    <xf numFmtId="0" fontId="10" fillId="26" borderId="9" xfId="0" applyFont="1" applyFill="1" applyBorder="1" applyAlignment="1" applyProtection="1">
      <alignment horizontal="center"/>
      <protection locked="0"/>
    </xf>
    <xf numFmtId="172" fontId="87" fillId="77" borderId="87" xfId="0" applyNumberFormat="1" applyFont="1" applyFill="1" applyBorder="1" applyAlignment="1">
      <alignment horizontal="center"/>
    </xf>
    <xf numFmtId="0" fontId="41" fillId="77" borderId="77" xfId="0" applyFont="1" applyFill="1" applyBorder="1" applyAlignment="1" applyProtection="1">
      <alignment horizontal="left" vertical="center" wrapText="1"/>
      <protection locked="0"/>
    </xf>
    <xf numFmtId="0" fontId="40" fillId="77" borderId="0" xfId="0" applyFont="1" applyFill="1" applyBorder="1" applyAlignment="1">
      <alignment horizontal="left" vertical="center"/>
    </xf>
    <xf numFmtId="0" fontId="87" fillId="77" borderId="0" xfId="0" applyFont="1" applyFill="1" applyBorder="1" applyAlignment="1">
      <alignment horizontal="left" wrapText="1"/>
    </xf>
    <xf numFmtId="0" fontId="40" fillId="77" borderId="0" xfId="0" applyFont="1" applyFill="1" applyBorder="1" applyAlignment="1" applyProtection="1">
      <alignment horizontal="left" vertical="top"/>
      <protection locked="0"/>
    </xf>
    <xf numFmtId="0" fontId="40" fillId="77" borderId="0" xfId="0" applyFont="1" applyFill="1" applyBorder="1" applyAlignment="1">
      <alignment horizontal="left" vertical="top"/>
    </xf>
    <xf numFmtId="0" fontId="87" fillId="77" borderId="0" xfId="0" applyFont="1" applyFill="1" applyBorder="1" applyAlignment="1" applyProtection="1">
      <alignment horizontal="left" vertical="center" wrapText="1"/>
      <protection locked="0"/>
    </xf>
    <xf numFmtId="0" fontId="87" fillId="28" borderId="88" xfId="0" applyFont="1" applyFill="1" applyBorder="1" applyAlignment="1">
      <alignment horizontal="left" vertical="center"/>
    </xf>
    <xf numFmtId="0" fontId="208" fillId="28" borderId="63" xfId="43" applyNumberFormat="1" applyFont="1" applyFill="1" applyBorder="1" applyAlignment="1">
      <alignment horizontal="left" vertical="center"/>
    </xf>
    <xf numFmtId="0" fontId="87" fillId="77" borderId="0" xfId="0" applyFont="1" applyFill="1" applyAlignment="1"/>
    <xf numFmtId="0" fontId="87" fillId="77" borderId="0" xfId="0" applyFont="1" applyFill="1" applyAlignment="1">
      <alignment wrapText="1"/>
    </xf>
    <xf numFmtId="0" fontId="87" fillId="77" borderId="0" xfId="0" applyFont="1" applyFill="1" applyAlignment="1">
      <alignment horizontal="left" wrapText="1"/>
    </xf>
    <xf numFmtId="0" fontId="87" fillId="77" borderId="0" xfId="0" applyFont="1" applyFill="1" applyAlignment="1">
      <alignment horizontal="left"/>
    </xf>
    <xf numFmtId="0" fontId="87" fillId="77" borderId="16" xfId="0" applyFont="1" applyFill="1" applyBorder="1" applyAlignment="1">
      <alignment horizontal="left" wrapText="1"/>
    </xf>
    <xf numFmtId="0" fontId="0" fillId="77" borderId="0" xfId="0" applyFont="1" applyFill="1" applyBorder="1" applyAlignment="1">
      <alignment vertical="center"/>
    </xf>
    <xf numFmtId="0" fontId="3" fillId="77" borderId="0" xfId="0" applyFont="1" applyFill="1" applyBorder="1" applyAlignment="1">
      <alignment vertical="center"/>
    </xf>
    <xf numFmtId="0" fontId="40" fillId="77" borderId="0" xfId="0" applyFont="1" applyFill="1" applyBorder="1" applyAlignment="1">
      <alignment horizontal="left"/>
    </xf>
    <xf numFmtId="0" fontId="87" fillId="77" borderId="0" xfId="43" applyNumberFormat="1" applyFont="1" applyFill="1" applyBorder="1" applyAlignment="1">
      <alignment vertical="center" wrapText="1"/>
    </xf>
    <xf numFmtId="0" fontId="7" fillId="77" borderId="9" xfId="0" applyFont="1" applyFill="1" applyBorder="1" applyAlignment="1" applyProtection="1">
      <alignment horizontal="left" vertical="center"/>
      <protection locked="0"/>
    </xf>
    <xf numFmtId="44" fontId="37" fillId="77" borderId="9" xfId="0" applyNumberFormat="1" applyFont="1" applyFill="1" applyBorder="1"/>
    <xf numFmtId="44" fontId="37" fillId="77" borderId="69" xfId="2" applyFont="1" applyFill="1" applyBorder="1"/>
    <xf numFmtId="44" fontId="37" fillId="77" borderId="9" xfId="2" applyFont="1" applyFill="1" applyBorder="1"/>
    <xf numFmtId="44" fontId="37" fillId="77" borderId="68" xfId="2" applyFont="1" applyFill="1" applyBorder="1"/>
    <xf numFmtId="44" fontId="37" fillId="77" borderId="51" xfId="2" applyFont="1" applyFill="1" applyBorder="1"/>
    <xf numFmtId="44" fontId="37" fillId="77" borderId="0" xfId="2" applyFont="1" applyFill="1"/>
    <xf numFmtId="0" fontId="43" fillId="79" borderId="28" xfId="0" applyNumberFormat="1" applyFont="1" applyFill="1" applyBorder="1" applyAlignment="1">
      <alignment horizontal="center" vertical="center" wrapText="1"/>
    </xf>
    <xf numFmtId="171" fontId="43" fillId="79" borderId="9" xfId="0" applyNumberFormat="1" applyFont="1" applyFill="1" applyBorder="1" applyAlignment="1">
      <alignment horizontal="center" vertical="center" wrapText="1"/>
    </xf>
    <xf numFmtId="0" fontId="87" fillId="77" borderId="0" xfId="0" applyFont="1" applyFill="1"/>
    <xf numFmtId="0" fontId="43" fillId="77" borderId="0" xfId="0" applyFont="1" applyFill="1"/>
    <xf numFmtId="171" fontId="43" fillId="79" borderId="28" xfId="0" applyNumberFormat="1" applyFont="1" applyFill="1" applyBorder="1" applyAlignment="1">
      <alignment horizontal="center" vertical="center" wrapText="1"/>
    </xf>
    <xf numFmtId="0" fontId="40" fillId="77" borderId="0" xfId="0" applyFont="1" applyFill="1" applyBorder="1" applyAlignment="1" applyProtection="1">
      <alignment horizontal="left" vertical="top"/>
      <protection locked="0"/>
    </xf>
    <xf numFmtId="0" fontId="0" fillId="83" borderId="0" xfId="0" applyFont="1" applyFill="1" applyBorder="1" applyAlignment="1">
      <alignment vertical="center"/>
    </xf>
    <xf numFmtId="0" fontId="0" fillId="83" borderId="0" xfId="0" applyFont="1" applyFill="1" applyBorder="1" applyAlignment="1">
      <alignment horizontal="left" vertical="center"/>
    </xf>
    <xf numFmtId="0" fontId="87" fillId="83" borderId="0" xfId="0" applyFont="1" applyFill="1" applyBorder="1" applyAlignment="1">
      <alignment horizontal="left" vertical="center"/>
    </xf>
    <xf numFmtId="175" fontId="208" fillId="83" borderId="54" xfId="43" applyNumberFormat="1" applyFont="1" applyFill="1" applyBorder="1" applyAlignment="1">
      <alignment horizontal="left" vertical="center"/>
    </xf>
    <xf numFmtId="0" fontId="44" fillId="83" borderId="0" xfId="0" applyFont="1" applyFill="1" applyBorder="1" applyAlignment="1">
      <alignment horizontal="left" vertical="center"/>
    </xf>
    <xf numFmtId="171" fontId="43" fillId="79" borderId="9" xfId="0" applyNumberFormat="1" applyFont="1" applyFill="1" applyBorder="1" applyAlignment="1">
      <alignment horizontal="left" vertical="center" wrapText="1"/>
    </xf>
    <xf numFmtId="171" fontId="43" fillId="79" borderId="28" xfId="0" applyNumberFormat="1" applyFont="1" applyFill="1" applyBorder="1" applyAlignment="1">
      <alignment horizontal="left" vertical="center" wrapText="1"/>
    </xf>
    <xf numFmtId="0" fontId="10" fillId="83" borderId="0" xfId="0" applyFont="1" applyFill="1" applyBorder="1" applyAlignment="1">
      <alignment vertical="center"/>
    </xf>
    <xf numFmtId="175" fontId="208" fillId="77" borderId="0" xfId="43" applyNumberFormat="1" applyFont="1" applyFill="1" applyBorder="1" applyAlignment="1" applyProtection="1">
      <alignment horizontal="left" vertical="center"/>
      <protection locked="0"/>
    </xf>
    <xf numFmtId="3" fontId="87" fillId="77" borderId="68" xfId="0" applyNumberFormat="1" applyFont="1" applyFill="1" applyBorder="1" applyAlignment="1">
      <alignment horizontal="center" vertical="center"/>
    </xf>
    <xf numFmtId="3" fontId="87" fillId="77" borderId="30" xfId="0" applyNumberFormat="1" applyFont="1" applyFill="1" applyBorder="1" applyAlignment="1">
      <alignment horizontal="center" vertical="center"/>
    </xf>
    <xf numFmtId="3" fontId="87" fillId="77" borderId="69" xfId="0" applyNumberFormat="1" applyFont="1" applyFill="1" applyBorder="1" applyAlignment="1">
      <alignment horizontal="center" vertical="center"/>
    </xf>
    <xf numFmtId="171" fontId="41" fillId="79" borderId="68" xfId="0" applyNumberFormat="1" applyFont="1" applyFill="1" applyBorder="1" applyAlignment="1">
      <alignment horizontal="center" vertical="center" wrapText="1"/>
    </xf>
    <xf numFmtId="171" fontId="41" fillId="79" borderId="30" xfId="0" applyNumberFormat="1" applyFont="1" applyFill="1" applyBorder="1" applyAlignment="1">
      <alignment horizontal="center" vertical="center" wrapText="1"/>
    </xf>
    <xf numFmtId="171" fontId="41" fillId="79" borderId="69" xfId="0" applyNumberFormat="1" applyFont="1" applyFill="1" applyBorder="1" applyAlignment="1">
      <alignment horizontal="center" vertical="center" wrapText="1"/>
    </xf>
    <xf numFmtId="171" fontId="87" fillId="79" borderId="68" xfId="0" applyNumberFormat="1" applyFont="1" applyFill="1" applyBorder="1" applyAlignment="1">
      <alignment horizontal="center" vertical="center" wrapText="1"/>
    </xf>
    <xf numFmtId="0" fontId="215" fillId="77" borderId="30" xfId="0" applyFont="1" applyFill="1" applyBorder="1"/>
    <xf numFmtId="171" fontId="87" fillId="79" borderId="30" xfId="0" applyNumberFormat="1" applyFont="1" applyFill="1" applyBorder="1" applyAlignment="1">
      <alignment horizontal="center" vertical="center" wrapText="1"/>
    </xf>
    <xf numFmtId="171" fontId="87" fillId="79" borderId="69" xfId="0" applyNumberFormat="1" applyFont="1" applyFill="1" applyBorder="1" applyAlignment="1">
      <alignment horizontal="center" vertical="center" wrapText="1"/>
    </xf>
    <xf numFmtId="3" fontId="41" fillId="77" borderId="68" xfId="0" applyNumberFormat="1" applyFont="1" applyFill="1" applyBorder="1" applyAlignment="1">
      <alignment horizontal="center" vertical="center"/>
    </xf>
    <xf numFmtId="3" fontId="41" fillId="77" borderId="30" xfId="0" applyNumberFormat="1" applyFont="1" applyFill="1" applyBorder="1" applyAlignment="1">
      <alignment horizontal="center" vertical="center"/>
    </xf>
    <xf numFmtId="3" fontId="41" fillId="77" borderId="69" xfId="0" applyNumberFormat="1" applyFont="1" applyFill="1" applyBorder="1" applyAlignment="1">
      <alignment horizontal="center" vertical="center"/>
    </xf>
    <xf numFmtId="0" fontId="40" fillId="77" borderId="0" xfId="0" applyFont="1" applyFill="1" applyBorder="1" applyAlignment="1" applyProtection="1">
      <alignment vertical="top"/>
      <protection locked="0"/>
    </xf>
    <xf numFmtId="0" fontId="34" fillId="77" borderId="0" xfId="73" applyFill="1"/>
    <xf numFmtId="0" fontId="34" fillId="77" borderId="0" xfId="73" applyFill="1" applyProtection="1">
      <protection locked="0"/>
    </xf>
    <xf numFmtId="0" fontId="34" fillId="77" borderId="0" xfId="73" applyFill="1" applyBorder="1" applyAlignment="1" applyProtection="1">
      <alignment horizontal="left" vertical="center"/>
      <protection locked="0"/>
    </xf>
    <xf numFmtId="0" fontId="34" fillId="0" borderId="0" xfId="73"/>
    <xf numFmtId="175" fontId="47" fillId="77" borderId="0" xfId="43" applyNumberFormat="1" applyFont="1" applyFill="1" applyBorder="1" applyAlignment="1">
      <alignment horizontal="left" vertical="center"/>
    </xf>
    <xf numFmtId="175" fontId="34" fillId="77" borderId="0" xfId="73" applyNumberFormat="1" applyFill="1" applyBorder="1" applyAlignment="1">
      <alignment horizontal="left" vertical="center"/>
    </xf>
    <xf numFmtId="0" fontId="34" fillId="77" borderId="0" xfId="73" applyFill="1" applyAlignment="1" applyProtection="1">
      <alignment wrapText="1"/>
      <protection locked="0"/>
    </xf>
    <xf numFmtId="0" fontId="34" fillId="77" borderId="0" xfId="73" applyFill="1" applyBorder="1" applyAlignment="1" applyProtection="1">
      <alignment horizontal="left" vertical="top"/>
      <protection locked="0"/>
    </xf>
    <xf numFmtId="0" fontId="34" fillId="77" borderId="0" xfId="73" applyFill="1" applyBorder="1" applyAlignment="1">
      <alignment horizontal="left" vertical="center"/>
    </xf>
    <xf numFmtId="1" fontId="6" fillId="28" borderId="0" xfId="0" applyNumberFormat="1" applyFont="1" applyFill="1" applyAlignment="1">
      <alignment vertical="center"/>
    </xf>
    <xf numFmtId="0" fontId="6" fillId="28" borderId="0" xfId="0" applyFont="1" applyFill="1"/>
    <xf numFmtId="177" fontId="6" fillId="28" borderId="0" xfId="0" applyNumberFormat="1" applyFont="1" applyFill="1"/>
    <xf numFmtId="0" fontId="0" fillId="28" borderId="0" xfId="0" applyFont="1" applyFill="1"/>
    <xf numFmtId="0" fontId="0" fillId="28" borderId="0" xfId="0" applyFont="1" applyFill="1" applyAlignment="1">
      <alignment horizontal="center"/>
    </xf>
    <xf numFmtId="0" fontId="37" fillId="77" borderId="0" xfId="0" applyFont="1" applyFill="1" applyBorder="1" applyAlignment="1">
      <alignment horizontal="center" vertical="center"/>
    </xf>
    <xf numFmtId="0" fontId="7" fillId="77" borderId="77" xfId="0" applyFont="1" applyFill="1" applyBorder="1" applyAlignment="1" applyProtection="1">
      <alignment horizontal="left" vertical="center" wrapText="1"/>
      <protection locked="0"/>
    </xf>
    <xf numFmtId="0" fontId="0" fillId="83" borderId="0" xfId="0" applyFill="1"/>
    <xf numFmtId="0" fontId="87" fillId="77" borderId="0" xfId="0" applyFont="1" applyFill="1" applyBorder="1" applyAlignment="1" applyProtection="1">
      <alignment vertical="center" wrapText="1"/>
      <protection locked="0"/>
    </xf>
    <xf numFmtId="0" fontId="0" fillId="28" borderId="9" xfId="0" applyFill="1" applyBorder="1"/>
    <xf numFmtId="0" fontId="0" fillId="77" borderId="9" xfId="0" applyFill="1" applyBorder="1" applyAlignment="1">
      <alignment horizontal="center"/>
    </xf>
    <xf numFmtId="0" fontId="40" fillId="77" borderId="0" xfId="0" applyFont="1" applyFill="1" applyAlignment="1">
      <alignment horizontal="center"/>
    </xf>
    <xf numFmtId="175" fontId="208" fillId="83" borderId="89" xfId="43" applyNumberFormat="1" applyFont="1" applyFill="1" applyBorder="1" applyAlignment="1">
      <alignment vertical="center"/>
    </xf>
    <xf numFmtId="0" fontId="44" fillId="83" borderId="0" xfId="0" applyFont="1" applyFill="1"/>
    <xf numFmtId="0" fontId="232" fillId="77" borderId="11" xfId="73" applyFont="1" applyFill="1" applyBorder="1" applyAlignment="1">
      <alignment vertical="center"/>
    </xf>
    <xf numFmtId="0" fontId="44" fillId="77" borderId="0" xfId="0" applyFont="1" applyFill="1" applyAlignment="1">
      <alignment horizontal="left" vertical="center"/>
    </xf>
    <xf numFmtId="0" fontId="208" fillId="77" borderId="0" xfId="43" applyNumberFormat="1" applyFont="1" applyFill="1" applyBorder="1" applyAlignment="1" applyProtection="1">
      <alignment vertical="center" wrapText="1"/>
      <protection locked="0"/>
    </xf>
    <xf numFmtId="0" fontId="44" fillId="83" borderId="0" xfId="0" applyFont="1" applyFill="1" applyAlignment="1"/>
    <xf numFmtId="0" fontId="34" fillId="83" borderId="0" xfId="73" applyFill="1"/>
    <xf numFmtId="0" fontId="87" fillId="77" borderId="0" xfId="0" applyFont="1" applyFill="1" applyBorder="1" applyAlignment="1">
      <alignment vertical="center" wrapText="1"/>
    </xf>
    <xf numFmtId="0" fontId="232" fillId="77" borderId="51" xfId="73" applyFont="1" applyFill="1" applyBorder="1" applyAlignment="1">
      <alignment vertical="center"/>
    </xf>
    <xf numFmtId="0" fontId="209" fillId="78" borderId="9" xfId="0" applyFont="1" applyFill="1" applyBorder="1" applyAlignment="1">
      <alignment horizontal="center"/>
    </xf>
    <xf numFmtId="0" fontId="215" fillId="77" borderId="0" xfId="0" applyFont="1" applyFill="1" applyAlignment="1" applyProtection="1">
      <protection locked="0"/>
    </xf>
    <xf numFmtId="165" fontId="87" fillId="77" borderId="50" xfId="0" applyNumberFormat="1" applyFont="1" applyFill="1" applyBorder="1" applyAlignment="1">
      <alignment horizontal="center"/>
    </xf>
    <xf numFmtId="165" fontId="232" fillId="77" borderId="86" xfId="73" applyNumberFormat="1" applyFont="1" applyFill="1" applyBorder="1" applyAlignment="1">
      <alignment horizontal="center" vertical="center"/>
    </xf>
    <xf numFmtId="172" fontId="43" fillId="77" borderId="9" xfId="0" applyNumberFormat="1" applyFont="1" applyFill="1" applyBorder="1" applyAlignment="1">
      <alignment horizontal="center"/>
    </xf>
    <xf numFmtId="172" fontId="43" fillId="77" borderId="9" xfId="0" applyNumberFormat="1" applyFont="1" applyFill="1" applyBorder="1" applyAlignment="1">
      <alignment horizontal="center"/>
    </xf>
    <xf numFmtId="165" fontId="87" fillId="77" borderId="90" xfId="0" applyNumberFormat="1" applyFont="1" applyFill="1" applyBorder="1" applyAlignment="1">
      <alignment horizontal="center"/>
    </xf>
    <xf numFmtId="3" fontId="37" fillId="77" borderId="9" xfId="0" applyNumberFormat="1" applyFont="1" applyFill="1" applyBorder="1" applyAlignment="1" applyProtection="1">
      <alignment horizontal="center"/>
      <protection locked="0"/>
    </xf>
    <xf numFmtId="0" fontId="232" fillId="0" borderId="11" xfId="73" applyFont="1" applyBorder="1" applyAlignment="1">
      <alignment vertical="center"/>
    </xf>
    <xf numFmtId="0" fontId="213" fillId="77" borderId="9" xfId="0" applyFont="1" applyFill="1" applyBorder="1" applyAlignment="1">
      <alignment horizontal="left" vertical="top" wrapText="1"/>
    </xf>
    <xf numFmtId="170" fontId="41" fillId="77" borderId="19" xfId="2" applyNumberFormat="1" applyFont="1" applyFill="1" applyBorder="1" applyAlignment="1" applyProtection="1">
      <alignment horizontal="center" vertical="center"/>
      <protection locked="0"/>
    </xf>
    <xf numFmtId="0" fontId="0" fillId="77" borderId="15" xfId="0" applyFill="1" applyBorder="1" applyProtection="1">
      <protection locked="0"/>
    </xf>
    <xf numFmtId="0" fontId="1" fillId="77" borderId="15" xfId="0" applyFont="1" applyFill="1" applyBorder="1" applyProtection="1">
      <protection locked="0"/>
    </xf>
    <xf numFmtId="9" fontId="37" fillId="28" borderId="0" xfId="1" applyFont="1" applyFill="1" applyBorder="1" applyAlignment="1" applyProtection="1">
      <alignment horizontal="center" vertical="center"/>
      <protection locked="0"/>
    </xf>
    <xf numFmtId="0" fontId="10" fillId="77" borderId="9" xfId="0" applyFont="1" applyFill="1" applyBorder="1" applyAlignment="1">
      <alignment vertical="top"/>
    </xf>
    <xf numFmtId="0" fontId="0" fillId="26" borderId="0" xfId="0" applyFill="1"/>
    <xf numFmtId="0" fontId="213" fillId="77" borderId="9" xfId="0" applyFont="1" applyFill="1" applyBorder="1" applyAlignment="1">
      <alignment vertical="top" wrapText="1"/>
    </xf>
    <xf numFmtId="175" fontId="208" fillId="26" borderId="89" xfId="43" applyNumberFormat="1" applyFont="1" applyFill="1" applyBorder="1" applyAlignment="1">
      <alignment horizontal="left" vertical="center"/>
    </xf>
    <xf numFmtId="170" fontId="87" fillId="28" borderId="57" xfId="0" applyNumberFormat="1" applyFont="1" applyFill="1" applyBorder="1" applyAlignment="1">
      <alignment horizontal="center"/>
    </xf>
    <xf numFmtId="170" fontId="87" fillId="28" borderId="9" xfId="0" applyNumberFormat="1" applyFont="1" applyFill="1" applyBorder="1" applyAlignment="1">
      <alignment horizontal="center"/>
    </xf>
    <xf numFmtId="0" fontId="0" fillId="83" borderId="0" xfId="0" applyFill="1" applyBorder="1"/>
    <xf numFmtId="0" fontId="213" fillId="77" borderId="0" xfId="0" applyFont="1" applyFill="1" applyBorder="1" applyAlignment="1">
      <alignment horizontal="left" vertical="top" wrapText="1"/>
    </xf>
    <xf numFmtId="0" fontId="10" fillId="77" borderId="0" xfId="0" applyFont="1" applyFill="1" applyBorder="1" applyAlignment="1">
      <alignment horizontal="left" vertical="top" wrapText="1"/>
    </xf>
    <xf numFmtId="0" fontId="213" fillId="77" borderId="60" xfId="0" applyFont="1" applyFill="1" applyBorder="1" applyAlignment="1">
      <alignment vertical="top" wrapText="1"/>
    </xf>
    <xf numFmtId="0" fontId="0" fillId="26" borderId="9" xfId="0" applyFill="1" applyBorder="1"/>
    <xf numFmtId="0" fontId="10" fillId="77" borderId="0" xfId="0" applyFont="1" applyFill="1" applyAlignment="1">
      <alignment horizontal="center" vertical="center"/>
    </xf>
    <xf numFmtId="0" fontId="10" fillId="77" borderId="0" xfId="0" applyFont="1" applyFill="1" applyBorder="1" applyAlignment="1">
      <alignment vertical="center"/>
    </xf>
    <xf numFmtId="172" fontId="43" fillId="77" borderId="57" xfId="0" applyNumberFormat="1" applyFont="1" applyFill="1" applyBorder="1" applyAlignment="1">
      <alignment horizontal="left" vertical="center"/>
    </xf>
    <xf numFmtId="172" fontId="87" fillId="77" borderId="64" xfId="0" quotePrefix="1" applyNumberFormat="1" applyFont="1" applyFill="1" applyBorder="1" applyAlignment="1">
      <alignment horizontal="left" vertical="center"/>
    </xf>
    <xf numFmtId="172" fontId="217" fillId="77" borderId="64" xfId="0" applyNumberFormat="1" applyFont="1" applyFill="1" applyBorder="1" applyAlignment="1">
      <alignment horizontal="left" vertical="center"/>
    </xf>
    <xf numFmtId="172" fontId="43" fillId="77" borderId="64" xfId="0" applyNumberFormat="1" applyFont="1" applyFill="1" applyBorder="1" applyAlignment="1">
      <alignment horizontal="left" vertical="center"/>
    </xf>
    <xf numFmtId="172" fontId="43" fillId="77" borderId="64" xfId="0" quotePrefix="1" applyNumberFormat="1" applyFont="1" applyFill="1" applyBorder="1" applyAlignment="1">
      <alignment horizontal="left" vertical="center"/>
    </xf>
    <xf numFmtId="172" fontId="43" fillId="77" borderId="66" xfId="0" quotePrefix="1" applyNumberFormat="1" applyFont="1" applyFill="1" applyBorder="1" applyAlignment="1">
      <alignment horizontal="left" vertical="center"/>
    </xf>
    <xf numFmtId="0" fontId="87" fillId="77" borderId="58" xfId="0" applyNumberFormat="1" applyFont="1" applyFill="1" applyBorder="1" applyAlignment="1">
      <alignment horizontal="left" vertical="center"/>
    </xf>
    <xf numFmtId="0" fontId="87" fillId="77" borderId="91" xfId="0" applyNumberFormat="1" applyFont="1" applyFill="1" applyBorder="1" applyAlignment="1">
      <alignment horizontal="left" vertical="center"/>
    </xf>
    <xf numFmtId="0" fontId="87" fillId="77" borderId="92" xfId="0" applyNumberFormat="1" applyFont="1" applyFill="1" applyBorder="1" applyAlignment="1">
      <alignment horizontal="left" vertical="center"/>
    </xf>
    <xf numFmtId="0" fontId="44" fillId="77" borderId="57" xfId="0" applyFont="1" applyFill="1" applyBorder="1" applyAlignment="1">
      <alignment horizontal="left" vertical="center"/>
    </xf>
    <xf numFmtId="0" fontId="44" fillId="77" borderId="64" xfId="0" applyFont="1" applyFill="1" applyBorder="1" applyAlignment="1">
      <alignment horizontal="left" vertical="center"/>
    </xf>
    <xf numFmtId="0" fontId="87" fillId="77" borderId="64" xfId="0" applyNumberFormat="1" applyFont="1" applyFill="1" applyBorder="1" applyAlignment="1">
      <alignment horizontal="left" vertical="center"/>
    </xf>
    <xf numFmtId="0" fontId="10" fillId="77" borderId="66" xfId="0" applyFont="1" applyFill="1" applyBorder="1" applyAlignment="1">
      <alignment vertical="center"/>
    </xf>
    <xf numFmtId="172" fontId="87" fillId="77" borderId="58" xfId="0" applyNumberFormat="1" applyFont="1" applyFill="1" applyBorder="1" applyAlignment="1">
      <alignment horizontal="left" vertical="center" wrapText="1"/>
    </xf>
    <xf numFmtId="172" fontId="87" fillId="77" borderId="91" xfId="0" applyNumberFormat="1" applyFont="1" applyFill="1" applyBorder="1" applyAlignment="1">
      <alignment horizontal="left" vertical="center" wrapText="1"/>
    </xf>
    <xf numFmtId="172" fontId="87" fillId="77" borderId="91" xfId="0" applyNumberFormat="1" applyFont="1" applyFill="1" applyBorder="1" applyAlignment="1">
      <alignment horizontal="left" vertical="center"/>
    </xf>
    <xf numFmtId="172" fontId="87" fillId="77" borderId="91" xfId="0" applyNumberFormat="1" applyFont="1" applyFill="1" applyBorder="1" applyAlignment="1">
      <alignment horizontal="center" vertical="center"/>
    </xf>
    <xf numFmtId="172" fontId="87" fillId="77" borderId="92" xfId="0" applyNumberFormat="1" applyFont="1" applyFill="1" applyBorder="1" applyAlignment="1">
      <alignment horizontal="center" vertical="center"/>
    </xf>
    <xf numFmtId="0" fontId="10" fillId="77" borderId="64" xfId="0" applyFont="1" applyFill="1" applyBorder="1" applyAlignment="1">
      <alignment vertical="center"/>
    </xf>
    <xf numFmtId="0" fontId="44" fillId="83" borderId="0" xfId="0" applyFont="1" applyFill="1" applyAlignment="1">
      <alignment vertical="center"/>
    </xf>
    <xf numFmtId="0" fontId="0" fillId="83" borderId="0" xfId="0" applyFill="1" applyAlignment="1">
      <alignment vertical="center"/>
    </xf>
    <xf numFmtId="0" fontId="0" fillId="77" borderId="0" xfId="0" applyFill="1" applyAlignment="1">
      <alignment vertical="center"/>
    </xf>
    <xf numFmtId="0" fontId="233" fillId="77" borderId="0" xfId="0" applyFont="1" applyFill="1" applyBorder="1"/>
    <xf numFmtId="0" fontId="233" fillId="77" borderId="0" xfId="0" applyFont="1" applyFill="1"/>
    <xf numFmtId="0" fontId="41" fillId="77" borderId="51" xfId="0" applyFont="1" applyFill="1" applyBorder="1" applyAlignment="1">
      <alignment vertical="center" wrapText="1"/>
    </xf>
    <xf numFmtId="0" fontId="41" fillId="77" borderId="11" xfId="0" applyFont="1" applyFill="1" applyBorder="1" applyAlignment="1">
      <alignment vertical="center" wrapText="1"/>
    </xf>
    <xf numFmtId="0" fontId="41" fillId="77" borderId="11" xfId="0" applyFont="1" applyFill="1" applyBorder="1" applyAlignment="1">
      <alignment vertical="center"/>
    </xf>
    <xf numFmtId="0" fontId="41" fillId="77" borderId="11" xfId="0" applyFont="1" applyFill="1" applyBorder="1" applyAlignment="1">
      <alignment vertical="center"/>
    </xf>
    <xf numFmtId="0" fontId="41" fillId="77" borderId="11" xfId="0" applyFont="1" applyFill="1" applyBorder="1" applyAlignment="1">
      <alignment vertical="center" wrapText="1"/>
    </xf>
    <xf numFmtId="0" fontId="232" fillId="77" borderId="26" xfId="73" applyFont="1" applyFill="1" applyBorder="1" applyAlignment="1">
      <alignment vertical="center"/>
    </xf>
    <xf numFmtId="0" fontId="41" fillId="77" borderId="26" xfId="0" applyFont="1" applyFill="1" applyBorder="1" applyAlignment="1">
      <alignment vertical="top" wrapText="1"/>
    </xf>
    <xf numFmtId="0" fontId="233" fillId="77" borderId="0" xfId="0" applyFont="1" applyFill="1" applyAlignment="1">
      <alignment horizontal="left"/>
    </xf>
    <xf numFmtId="165" fontId="87" fillId="77" borderId="55" xfId="0" applyNumberFormat="1" applyFont="1" applyFill="1" applyBorder="1" applyAlignment="1">
      <alignment horizontal="center"/>
    </xf>
    <xf numFmtId="165" fontId="87" fillId="77" borderId="56" xfId="0" applyNumberFormat="1" applyFont="1" applyFill="1" applyBorder="1" applyAlignment="1">
      <alignment horizontal="center"/>
    </xf>
    <xf numFmtId="169" fontId="41" fillId="77" borderId="51" xfId="0" applyNumberFormat="1" applyFont="1" applyFill="1" applyBorder="1" applyAlignment="1" applyProtection="1">
      <alignment horizontal="center"/>
    </xf>
    <xf numFmtId="285" fontId="37" fillId="77" borderId="20" xfId="0" applyNumberFormat="1" applyFont="1" applyFill="1" applyBorder="1" applyAlignment="1" applyProtection="1">
      <alignment horizontal="center"/>
    </xf>
    <xf numFmtId="285" fontId="41" fillId="77" borderId="51" xfId="0" applyNumberFormat="1" applyFont="1" applyFill="1" applyBorder="1" applyAlignment="1" applyProtection="1">
      <alignment horizontal="center"/>
    </xf>
    <xf numFmtId="169" fontId="41" fillId="77" borderId="93" xfId="0" applyNumberFormat="1" applyFont="1" applyFill="1" applyBorder="1" applyAlignment="1" applyProtection="1">
      <alignment horizontal="center"/>
    </xf>
    <xf numFmtId="285" fontId="37" fillId="77" borderId="87" xfId="0" applyNumberFormat="1" applyFont="1" applyFill="1" applyBorder="1" applyAlignment="1" applyProtection="1">
      <alignment horizontal="center"/>
    </xf>
    <xf numFmtId="285" fontId="41" fillId="77" borderId="93" xfId="0" applyNumberFormat="1" applyFont="1" applyFill="1" applyBorder="1" applyAlignment="1" applyProtection="1">
      <alignment horizontal="center"/>
    </xf>
    <xf numFmtId="169" fontId="41" fillId="77" borderId="66" xfId="0" applyNumberFormat="1" applyFont="1" applyFill="1" applyBorder="1" applyAlignment="1" applyProtection="1">
      <alignment horizontal="center"/>
    </xf>
    <xf numFmtId="285" fontId="37" fillId="77" borderId="92" xfId="0" applyNumberFormat="1" applyFont="1" applyFill="1" applyBorder="1" applyAlignment="1" applyProtection="1">
      <alignment horizontal="center"/>
    </xf>
    <xf numFmtId="285" fontId="41" fillId="77" borderId="66" xfId="0" applyNumberFormat="1" applyFont="1" applyFill="1" applyBorder="1" applyAlignment="1" applyProtection="1">
      <alignment horizontal="center"/>
    </xf>
    <xf numFmtId="0" fontId="53" fillId="77" borderId="0" xfId="0" applyFont="1" applyFill="1" applyBorder="1" applyAlignment="1">
      <alignment horizontal="left" vertical="top"/>
    </xf>
    <xf numFmtId="0" fontId="10" fillId="49" borderId="9" xfId="0" applyFont="1" applyFill="1" applyBorder="1" applyAlignment="1">
      <alignment horizontal="left" vertical="top" wrapText="1"/>
    </xf>
    <xf numFmtId="0" fontId="233" fillId="77" borderId="0" xfId="0" applyFont="1" applyFill="1" applyAlignment="1"/>
    <xf numFmtId="0" fontId="40" fillId="83" borderId="0" xfId="0" applyFont="1" applyFill="1"/>
    <xf numFmtId="0" fontId="0" fillId="77" borderId="0" xfId="0" applyFill="1" applyAlignment="1">
      <alignment wrapText="1"/>
    </xf>
    <xf numFmtId="0" fontId="48" fillId="78" borderId="51" xfId="0" applyFont="1" applyFill="1" applyBorder="1" applyAlignment="1">
      <alignment horizontal="center" vertical="center" wrapText="1"/>
    </xf>
    <xf numFmtId="0" fontId="40" fillId="77" borderId="28" xfId="0" applyFont="1" applyFill="1" applyBorder="1" applyAlignment="1">
      <alignment wrapText="1"/>
    </xf>
    <xf numFmtId="0" fontId="44" fillId="77" borderId="15" xfId="0" applyFont="1" applyFill="1" applyBorder="1" applyAlignment="1">
      <alignment wrapText="1"/>
    </xf>
    <xf numFmtId="0" fontId="87" fillId="77" borderId="0" xfId="0" applyFont="1" applyFill="1" applyBorder="1" applyAlignment="1"/>
    <xf numFmtId="0" fontId="0" fillId="77" borderId="0" xfId="0" applyFill="1" applyBorder="1" applyAlignment="1"/>
    <xf numFmtId="0" fontId="0" fillId="77" borderId="19" xfId="0" applyFill="1" applyBorder="1" applyAlignment="1"/>
    <xf numFmtId="0" fontId="44" fillId="77" borderId="53" xfId="0" applyFont="1" applyFill="1" applyBorder="1" applyAlignment="1">
      <alignment wrapText="1"/>
    </xf>
    <xf numFmtId="0" fontId="87" fillId="77" borderId="16" xfId="0" applyFont="1" applyFill="1" applyBorder="1" applyAlignment="1"/>
    <xf numFmtId="0" fontId="0" fillId="77" borderId="16" xfId="0" applyFill="1" applyBorder="1" applyAlignment="1"/>
    <xf numFmtId="0" fontId="0" fillId="77" borderId="78" xfId="0" applyFill="1" applyBorder="1" applyAlignment="1"/>
    <xf numFmtId="0" fontId="40" fillId="77" borderId="68" xfId="0" applyFont="1" applyFill="1" applyBorder="1" applyAlignment="1">
      <alignment wrapText="1"/>
    </xf>
    <xf numFmtId="0" fontId="0" fillId="77" borderId="28" xfId="0" applyFill="1" applyBorder="1" applyAlignment="1">
      <alignment wrapText="1"/>
    </xf>
    <xf numFmtId="0" fontId="0" fillId="77" borderId="20" xfId="0" applyFill="1" applyBorder="1" applyAlignment="1"/>
    <xf numFmtId="0" fontId="0" fillId="77" borderId="60" xfId="0" applyFill="1" applyBorder="1" applyAlignment="1"/>
    <xf numFmtId="0" fontId="40" fillId="77" borderId="15" xfId="0" applyFont="1" applyFill="1" applyBorder="1" applyAlignment="1">
      <alignment wrapText="1"/>
    </xf>
    <xf numFmtId="0" fontId="44" fillId="77" borderId="0" xfId="0" applyFont="1" applyFill="1" applyBorder="1" applyAlignment="1"/>
    <xf numFmtId="0" fontId="0" fillId="77" borderId="53" xfId="0" applyFill="1" applyBorder="1" applyAlignment="1">
      <alignment wrapText="1"/>
    </xf>
    <xf numFmtId="0" fontId="44" fillId="77" borderId="20" xfId="0" applyFont="1" applyFill="1" applyBorder="1" applyAlignment="1">
      <alignment vertical="center"/>
    </xf>
    <xf numFmtId="0" fontId="234" fillId="77" borderId="28" xfId="0" applyFont="1" applyFill="1" applyBorder="1" applyAlignment="1">
      <alignment vertical="center" wrapText="1"/>
    </xf>
    <xf numFmtId="0" fontId="0" fillId="77" borderId="15" xfId="0" applyFill="1" applyBorder="1" applyAlignment="1">
      <alignment wrapText="1"/>
    </xf>
    <xf numFmtId="0" fontId="6" fillId="77" borderId="0" xfId="0" applyFont="1" applyFill="1" applyBorder="1" applyAlignment="1"/>
    <xf numFmtId="0" fontId="234" fillId="77" borderId="53" xfId="0" applyFont="1" applyFill="1" applyBorder="1" applyAlignment="1">
      <alignment vertical="center" wrapText="1"/>
    </xf>
    <xf numFmtId="0" fontId="44" fillId="77" borderId="30" xfId="0" applyFont="1" applyFill="1" applyBorder="1" applyAlignment="1"/>
    <xf numFmtId="0" fontId="0" fillId="77" borderId="30" xfId="0" applyFill="1" applyBorder="1" applyAlignment="1"/>
    <xf numFmtId="0" fontId="0" fillId="77" borderId="69" xfId="0" applyFill="1" applyBorder="1" applyAlignment="1"/>
    <xf numFmtId="10" fontId="37" fillId="0" borderId="64" xfId="0" applyNumberFormat="1" applyFont="1" applyFill="1" applyBorder="1" applyAlignment="1" applyProtection="1">
      <alignment horizontal="center"/>
      <protection locked="0"/>
    </xf>
    <xf numFmtId="0" fontId="218" fillId="77" borderId="0" xfId="0" applyFont="1" applyFill="1" applyBorder="1" applyAlignment="1">
      <alignment horizontal="left" vertical="center"/>
    </xf>
    <xf numFmtId="44" fontId="208" fillId="77" borderId="0" xfId="2" applyFont="1" applyFill="1" applyBorder="1" applyAlignment="1">
      <alignment horizontal="left" vertical="center"/>
    </xf>
    <xf numFmtId="44" fontId="208" fillId="28" borderId="63" xfId="2" applyFont="1" applyFill="1" applyBorder="1" applyAlignment="1">
      <alignment horizontal="left" vertical="center"/>
    </xf>
    <xf numFmtId="0" fontId="10" fillId="77" borderId="0" xfId="0" applyFont="1" applyFill="1" applyBorder="1" applyAlignment="1"/>
    <xf numFmtId="0" fontId="44" fillId="77" borderId="0" xfId="0" applyFont="1" applyFill="1" applyBorder="1" applyAlignment="1">
      <alignment horizontal="center"/>
    </xf>
    <xf numFmtId="0" fontId="44" fillId="77" borderId="0" xfId="0" applyFont="1" applyFill="1" applyBorder="1" applyAlignment="1">
      <alignment horizontal="left" wrapText="1"/>
    </xf>
    <xf numFmtId="178" fontId="208" fillId="77" borderId="0" xfId="3" applyNumberFormat="1" applyFont="1" applyFill="1" applyBorder="1" applyAlignment="1">
      <alignment horizontal="left" vertical="center"/>
    </xf>
    <xf numFmtId="0" fontId="44" fillId="77" borderId="0" xfId="0" applyFont="1" applyFill="1" applyBorder="1" applyAlignment="1">
      <alignment wrapText="1"/>
    </xf>
    <xf numFmtId="0" fontId="87" fillId="77" borderId="0" xfId="0" applyFont="1" applyFill="1" applyBorder="1" applyAlignment="1">
      <alignment horizontal="left" vertical="center"/>
    </xf>
    <xf numFmtId="9" fontId="68" fillId="78" borderId="50" xfId="5151" applyNumberFormat="1" applyFont="1" applyFill="1" applyBorder="1" applyAlignment="1">
      <alignment horizontal="center" vertical="center" wrapText="1"/>
    </xf>
    <xf numFmtId="0" fontId="5" fillId="28" borderId="50" xfId="0" applyFont="1" applyFill="1" applyBorder="1" applyProtection="1">
      <protection locked="0"/>
    </xf>
    <xf numFmtId="17" fontId="5" fillId="28" borderId="50" xfId="0" applyNumberFormat="1" applyFont="1" applyFill="1" applyBorder="1"/>
    <xf numFmtId="172" fontId="236" fillId="77" borderId="0" xfId="5151" applyNumberFormat="1" applyFont="1" applyFill="1" applyBorder="1" applyAlignment="1">
      <alignment vertical="center"/>
    </xf>
    <xf numFmtId="172" fontId="237" fillId="77" borderId="0" xfId="5151" applyNumberFormat="1" applyFont="1" applyFill="1" applyBorder="1" applyAlignment="1">
      <alignment vertical="center"/>
    </xf>
    <xf numFmtId="0" fontId="10" fillId="28" borderId="0" xfId="0" applyFont="1" applyFill="1"/>
    <xf numFmtId="10" fontId="41" fillId="0" borderId="64" xfId="0" applyNumberFormat="1" applyFont="1" applyFill="1" applyBorder="1" applyAlignment="1" applyProtection="1">
      <alignment horizontal="center"/>
      <protection locked="0"/>
    </xf>
    <xf numFmtId="9" fontId="68" fillId="78" borderId="50" xfId="5151" applyNumberFormat="1" applyFont="1" applyFill="1" applyBorder="1" applyAlignment="1">
      <alignment horizontal="center" vertical="center" wrapText="1"/>
    </xf>
    <xf numFmtId="0" fontId="5" fillId="28" borderId="50" xfId="0" applyFont="1" applyFill="1" applyBorder="1" applyAlignment="1" applyProtection="1">
      <alignment horizontal="center"/>
      <protection locked="0"/>
    </xf>
    <xf numFmtId="40" fontId="239" fillId="28" borderId="50" xfId="0" quotePrefix="1" applyNumberFormat="1" applyFont="1" applyFill="1" applyBorder="1" applyAlignment="1" applyProtection="1">
      <alignment horizontal="center"/>
      <protection locked="0"/>
    </xf>
    <xf numFmtId="40" fontId="240" fillId="28" borderId="50" xfId="0" applyNumberFormat="1" applyFont="1" applyFill="1" applyBorder="1" applyAlignment="1" applyProtection="1">
      <alignment horizontal="center"/>
      <protection locked="0"/>
    </xf>
    <xf numFmtId="40" fontId="5" fillId="28" borderId="50" xfId="0" quotePrefix="1" applyNumberFormat="1" applyFont="1" applyFill="1" applyBorder="1" applyAlignment="1" applyProtection="1">
      <alignment horizontal="center"/>
      <protection locked="0"/>
    </xf>
    <xf numFmtId="17" fontId="4" fillId="28" borderId="50" xfId="0" applyNumberFormat="1" applyFont="1" applyFill="1" applyBorder="1"/>
    <xf numFmtId="0" fontId="4" fillId="28" borderId="50" xfId="0" applyFont="1" applyFill="1" applyBorder="1" applyProtection="1">
      <protection locked="0"/>
    </xf>
    <xf numFmtId="9" fontId="68" fillId="78" borderId="50" xfId="5151" applyNumberFormat="1" applyFont="1" applyFill="1" applyBorder="1" applyAlignment="1">
      <alignment horizontal="center" vertical="center" wrapText="1"/>
    </xf>
    <xf numFmtId="0" fontId="0" fillId="28" borderId="9" xfId="0" applyFill="1" applyBorder="1" applyAlignment="1">
      <alignment vertical="top"/>
    </xf>
    <xf numFmtId="3" fontId="0" fillId="28" borderId="77" xfId="0" applyNumberFormat="1" applyFill="1" applyBorder="1" applyAlignment="1">
      <alignment vertical="top"/>
    </xf>
    <xf numFmtId="3" fontId="0" fillId="28" borderId="50" xfId="0" applyNumberFormat="1" applyFill="1" applyBorder="1" applyAlignment="1">
      <alignment vertical="top"/>
    </xf>
    <xf numFmtId="3" fontId="0" fillId="28" borderId="52" xfId="0" applyNumberFormat="1" applyFill="1" applyBorder="1" applyAlignment="1">
      <alignment vertical="top"/>
    </xf>
    <xf numFmtId="3" fontId="0" fillId="28" borderId="9" xfId="0" applyNumberFormat="1" applyFill="1" applyBorder="1" applyAlignment="1">
      <alignment vertical="top"/>
    </xf>
    <xf numFmtId="3" fontId="44" fillId="28" borderId="9" xfId="0" applyNumberFormat="1" applyFont="1" applyFill="1" applyBorder="1" applyAlignment="1" applyProtection="1">
      <alignment horizontal="center"/>
      <protection locked="0"/>
    </xf>
    <xf numFmtId="0" fontId="37" fillId="28" borderId="9" xfId="0" applyFont="1" applyFill="1" applyBorder="1" applyAlignment="1" applyProtection="1">
      <alignment horizontal="center"/>
      <protection locked="0"/>
    </xf>
    <xf numFmtId="38" fontId="44" fillId="28" borderId="9" xfId="0" applyNumberFormat="1" applyFont="1" applyFill="1" applyBorder="1" applyAlignment="1" applyProtection="1">
      <alignment horizontal="center"/>
      <protection locked="0"/>
    </xf>
    <xf numFmtId="0" fontId="0" fillId="77" borderId="9" xfId="0" applyFill="1" applyBorder="1"/>
    <xf numFmtId="178" fontId="0" fillId="77" borderId="9" xfId="3" applyNumberFormat="1" applyFont="1" applyFill="1" applyBorder="1"/>
    <xf numFmtId="0" fontId="0" fillId="77" borderId="9" xfId="1" applyNumberFormat="1" applyFont="1" applyFill="1" applyBorder="1"/>
    <xf numFmtId="10" fontId="0" fillId="77" borderId="9" xfId="1" applyNumberFormat="1" applyFont="1" applyFill="1" applyBorder="1"/>
    <xf numFmtId="167" fontId="0" fillId="77" borderId="9" xfId="0" applyNumberFormat="1" applyFill="1" applyBorder="1"/>
    <xf numFmtId="3" fontId="41" fillId="77" borderId="0" xfId="0" applyNumberFormat="1" applyFont="1" applyFill="1" applyAlignment="1" applyProtection="1">
      <alignment horizontal="center" vertical="center"/>
      <protection locked="0"/>
    </xf>
    <xf numFmtId="3" fontId="210" fillId="77" borderId="0" xfId="0" applyNumberFormat="1" applyFont="1" applyFill="1" applyAlignment="1" applyProtection="1">
      <alignment horizontal="center" vertical="center"/>
      <protection locked="0"/>
    </xf>
    <xf numFmtId="3" fontId="7" fillId="77" borderId="0" xfId="0" applyNumberFormat="1" applyFont="1" applyFill="1" applyAlignment="1" applyProtection="1">
      <alignment vertical="center" wrapText="1"/>
      <protection locked="0"/>
    </xf>
    <xf numFmtId="3" fontId="41" fillId="77" borderId="0" xfId="0" applyNumberFormat="1" applyFont="1" applyFill="1" applyAlignment="1" applyProtection="1">
      <alignment vertical="center"/>
      <protection locked="0"/>
    </xf>
    <xf numFmtId="3" fontId="45" fillId="77" borderId="0" xfId="0" applyNumberFormat="1" applyFont="1" applyFill="1" applyAlignment="1" applyProtection="1">
      <alignment vertical="center"/>
      <protection locked="0"/>
    </xf>
    <xf numFmtId="3" fontId="41" fillId="77" borderId="0" xfId="0" applyNumberFormat="1" applyFont="1" applyFill="1" applyAlignment="1" applyProtection="1">
      <alignment horizontal="left" vertical="center"/>
      <protection locked="0"/>
    </xf>
    <xf numFmtId="3" fontId="45" fillId="77" borderId="0" xfId="0" applyNumberFormat="1" applyFont="1" applyFill="1" applyAlignment="1" applyProtection="1">
      <alignment horizontal="center" vertical="center"/>
      <protection locked="0"/>
    </xf>
    <xf numFmtId="3" fontId="206" fillId="77" borderId="0" xfId="0" applyNumberFormat="1" applyFont="1" applyFill="1" applyAlignment="1" applyProtection="1">
      <alignment horizontal="center" vertical="center"/>
      <protection locked="0"/>
    </xf>
    <xf numFmtId="3" fontId="7" fillId="77" borderId="0" xfId="0" applyNumberFormat="1" applyFont="1" applyFill="1" applyAlignment="1" applyProtection="1">
      <alignment horizontal="center" vertical="center"/>
      <protection locked="0"/>
    </xf>
    <xf numFmtId="10" fontId="37" fillId="28" borderId="0" xfId="0" applyNumberFormat="1" applyFont="1" applyFill="1" applyAlignment="1" applyProtection="1">
      <alignment horizontal="center" vertical="center"/>
      <protection locked="0"/>
    </xf>
    <xf numFmtId="10" fontId="206" fillId="77" borderId="0" xfId="0" applyNumberFormat="1" applyFont="1" applyFill="1" applyAlignment="1">
      <alignment horizontal="center" vertical="center"/>
    </xf>
    <xf numFmtId="10" fontId="37" fillId="77" borderId="0" xfId="0" applyNumberFormat="1" applyFont="1" applyFill="1" applyAlignment="1" applyProtection="1">
      <alignment horizontal="center" vertical="center"/>
      <protection locked="0"/>
    </xf>
    <xf numFmtId="10" fontId="38" fillId="77" borderId="0" xfId="0" applyNumberFormat="1" applyFont="1" applyFill="1" applyAlignment="1" applyProtection="1">
      <alignment horizontal="center" vertical="center"/>
      <protection locked="0"/>
    </xf>
    <xf numFmtId="10" fontId="45" fillId="77" borderId="0" xfId="0" applyNumberFormat="1" applyFont="1" applyFill="1" applyAlignment="1" applyProtection="1">
      <alignment horizontal="center" vertical="center"/>
      <protection locked="0"/>
    </xf>
    <xf numFmtId="10" fontId="37" fillId="28" borderId="0" xfId="1" applyNumberFormat="1" applyFont="1" applyFill="1" applyAlignment="1" applyProtection="1">
      <alignment horizontal="center" vertical="center"/>
      <protection locked="0"/>
    </xf>
    <xf numFmtId="10" fontId="37" fillId="77" borderId="0" xfId="1" applyNumberFormat="1" applyFont="1" applyFill="1" applyAlignment="1" applyProtection="1">
      <alignment horizontal="center" vertical="center"/>
      <protection locked="0"/>
    </xf>
    <xf numFmtId="10" fontId="1" fillId="77" borderId="0" xfId="1" applyNumberFormat="1" applyFont="1" applyFill="1" applyAlignment="1" applyProtection="1">
      <alignment horizontal="center" vertical="center"/>
      <protection locked="0"/>
    </xf>
    <xf numFmtId="10" fontId="41" fillId="77" borderId="0" xfId="1" applyNumberFormat="1" applyFont="1" applyFill="1" applyAlignment="1" applyProtection="1">
      <alignment horizontal="center" vertical="center"/>
      <protection locked="0"/>
    </xf>
    <xf numFmtId="10" fontId="41" fillId="77" borderId="0" xfId="0" applyNumberFormat="1" applyFont="1" applyFill="1" applyAlignment="1" applyProtection="1">
      <alignment horizontal="center" vertical="center" wrapText="1"/>
      <protection locked="0"/>
    </xf>
    <xf numFmtId="10" fontId="206" fillId="77" borderId="0" xfId="0" applyNumberFormat="1" applyFont="1" applyFill="1" applyAlignment="1" applyProtection="1">
      <alignment horizontal="center" vertical="center" wrapText="1"/>
      <protection locked="0"/>
    </xf>
    <xf numFmtId="10" fontId="1" fillId="77" borderId="0" xfId="0" applyNumberFormat="1" applyFont="1" applyFill="1" applyAlignment="1" applyProtection="1">
      <alignment vertical="center"/>
      <protection locked="0"/>
    </xf>
    <xf numFmtId="10" fontId="41" fillId="77" borderId="0" xfId="0" applyNumberFormat="1" applyFont="1" applyFill="1" applyAlignment="1" applyProtection="1">
      <alignment horizontal="center" vertical="center"/>
      <protection locked="0"/>
    </xf>
    <xf numFmtId="10" fontId="1" fillId="77" borderId="0" xfId="0" applyNumberFormat="1" applyFont="1" applyFill="1" applyAlignment="1" applyProtection="1">
      <alignment horizontal="center" vertical="center"/>
      <protection locked="0"/>
    </xf>
    <xf numFmtId="10" fontId="207" fillId="77" borderId="0" xfId="0" applyNumberFormat="1" applyFont="1" applyFill="1" applyAlignment="1" applyProtection="1">
      <alignment horizontal="center" vertical="center"/>
      <protection locked="0"/>
    </xf>
    <xf numFmtId="9" fontId="37" fillId="28" borderId="0" xfId="0" applyNumberFormat="1" applyFont="1" applyFill="1" applyAlignment="1" applyProtection="1">
      <alignment horizontal="center" vertical="center"/>
      <protection locked="0"/>
    </xf>
    <xf numFmtId="9" fontId="37" fillId="28" borderId="0" xfId="0" applyNumberFormat="1" applyFont="1" applyFill="1" applyAlignment="1">
      <alignment horizontal="center" vertical="center"/>
    </xf>
    <xf numFmtId="10" fontId="1" fillId="28" borderId="0" xfId="0" applyNumberFormat="1" applyFont="1" applyFill="1" applyAlignment="1" applyProtection="1">
      <alignment horizontal="center" vertical="center"/>
      <protection locked="0"/>
    </xf>
    <xf numFmtId="9" fontId="37" fillId="28" borderId="0" xfId="0" applyNumberFormat="1" applyFont="1" applyFill="1" applyAlignment="1">
      <alignment horizontal="center"/>
    </xf>
    <xf numFmtId="9" fontId="37" fillId="28" borderId="0" xfId="1" applyFont="1" applyFill="1" applyAlignment="1" applyProtection="1">
      <alignment horizontal="center" vertical="center"/>
      <protection locked="0"/>
    </xf>
    <xf numFmtId="9" fontId="41" fillId="28" borderId="0" xfId="1" applyFont="1" applyFill="1" applyAlignment="1">
      <alignment vertical="top"/>
    </xf>
    <xf numFmtId="10" fontId="206" fillId="77" borderId="0" xfId="0" applyNumberFormat="1" applyFont="1" applyFill="1" applyAlignment="1" applyProtection="1">
      <alignment horizontal="center" vertical="center"/>
      <protection locked="0"/>
    </xf>
    <xf numFmtId="0" fontId="87" fillId="84" borderId="0" xfId="0" applyFont="1" applyFill="1" applyBorder="1" applyAlignment="1" applyProtection="1">
      <alignment vertical="top" wrapText="1"/>
      <protection locked="0"/>
    </xf>
    <xf numFmtId="10" fontId="37" fillId="84" borderId="0" xfId="0" applyNumberFormat="1" applyFont="1" applyFill="1" applyAlignment="1" applyProtection="1">
      <alignment horizontal="center" vertical="center"/>
      <protection locked="0"/>
    </xf>
    <xf numFmtId="10" fontId="37" fillId="84" borderId="0" xfId="1" applyNumberFormat="1" applyFont="1" applyFill="1" applyBorder="1" applyAlignment="1" applyProtection="1">
      <alignment horizontal="center" vertical="center"/>
      <protection locked="0"/>
    </xf>
    <xf numFmtId="0" fontId="0" fillId="26" borderId="9" xfId="0" applyFill="1" applyBorder="1" applyAlignment="1">
      <alignment wrapText="1"/>
    </xf>
    <xf numFmtId="0" fontId="0" fillId="26" borderId="26" xfId="0" applyFill="1" applyBorder="1"/>
    <xf numFmtId="0" fontId="0" fillId="35" borderId="26" xfId="0" applyFill="1" applyBorder="1"/>
    <xf numFmtId="0" fontId="0" fillId="35" borderId="9" xfId="0" applyFill="1" applyBorder="1"/>
    <xf numFmtId="0" fontId="0" fillId="31" borderId="0" xfId="0" applyFill="1"/>
    <xf numFmtId="0" fontId="0" fillId="31" borderId="9" xfId="0" applyFill="1" applyBorder="1"/>
    <xf numFmtId="0" fontId="0" fillId="85" borderId="9" xfId="0" applyFill="1" applyBorder="1"/>
    <xf numFmtId="0" fontId="0" fillId="43" borderId="9" xfId="0" applyFill="1" applyBorder="1"/>
    <xf numFmtId="0" fontId="0" fillId="0" borderId="16" xfId="0" applyBorder="1"/>
    <xf numFmtId="0" fontId="0" fillId="34" borderId="0" xfId="0" applyFill="1"/>
    <xf numFmtId="0" fontId="0" fillId="34" borderId="9" xfId="0" applyFill="1" applyBorder="1"/>
    <xf numFmtId="0" fontId="87" fillId="0" borderId="0" xfId="9772"/>
    <xf numFmtId="40" fontId="5" fillId="28" borderId="50" xfId="0" applyNumberFormat="1" applyFont="1" applyFill="1" applyBorder="1" applyAlignment="1" applyProtection="1">
      <alignment horizontal="center"/>
      <protection locked="0"/>
    </xf>
    <xf numFmtId="10" fontId="5" fillId="28" borderId="50" xfId="0" applyNumberFormat="1" applyFont="1" applyFill="1" applyBorder="1" applyProtection="1">
      <protection locked="0"/>
    </xf>
    <xf numFmtId="17" fontId="0" fillId="0" borderId="0" xfId="0" applyNumberFormat="1"/>
    <xf numFmtId="167" fontId="0" fillId="77" borderId="0" xfId="3" applyNumberFormat="1" applyFont="1" applyFill="1"/>
    <xf numFmtId="167" fontId="219" fillId="77" borderId="0" xfId="3" applyNumberFormat="1" applyFont="1" applyFill="1" applyAlignment="1">
      <alignment horizontal="center" wrapText="1"/>
    </xf>
    <xf numFmtId="167" fontId="0" fillId="83" borderId="0" xfId="3" applyNumberFormat="1" applyFont="1" applyFill="1" applyAlignment="1">
      <alignment vertical="center"/>
    </xf>
    <xf numFmtId="167" fontId="237" fillId="77" borderId="0" xfId="3" applyNumberFormat="1" applyFont="1" applyFill="1" applyBorder="1" applyAlignment="1">
      <alignment vertical="center"/>
    </xf>
    <xf numFmtId="167" fontId="68" fillId="78" borderId="50" xfId="3" applyNumberFormat="1" applyFont="1" applyFill="1" applyBorder="1" applyAlignment="1">
      <alignment horizontal="center" vertical="center" wrapText="1"/>
    </xf>
    <xf numFmtId="167" fontId="5" fillId="28" borderId="50" xfId="3" applyNumberFormat="1" applyFont="1" applyFill="1" applyBorder="1" applyProtection="1">
      <protection locked="0"/>
    </xf>
    <xf numFmtId="167" fontId="4" fillId="28" borderId="50" xfId="3" quotePrefix="1" applyNumberFormat="1" applyFont="1" applyFill="1" applyBorder="1" applyProtection="1">
      <protection locked="0"/>
    </xf>
    <xf numFmtId="3" fontId="38" fillId="84" borderId="75" xfId="0" applyNumberFormat="1" applyFont="1" applyFill="1" applyBorder="1" applyAlignment="1" applyProtection="1">
      <alignment horizontal="center" vertical="center"/>
      <protection locked="0"/>
    </xf>
    <xf numFmtId="3" fontId="41" fillId="84" borderId="0" xfId="0" applyNumberFormat="1" applyFont="1" applyFill="1" applyBorder="1" applyAlignment="1" applyProtection="1">
      <alignment horizontal="center" vertical="center"/>
      <protection locked="0"/>
    </xf>
    <xf numFmtId="3" fontId="41" fillId="84" borderId="16" xfId="0" applyNumberFormat="1" applyFont="1" applyFill="1" applyBorder="1" applyAlignment="1" applyProtection="1">
      <alignment horizontal="center" vertical="center"/>
      <protection locked="0"/>
    </xf>
    <xf numFmtId="0" fontId="208" fillId="84" borderId="63" xfId="43" applyNumberFormat="1" applyFont="1" applyFill="1" applyBorder="1" applyAlignment="1">
      <alignment horizontal="left" vertical="center"/>
    </xf>
    <xf numFmtId="178" fontId="208" fillId="84" borderId="63" xfId="3" applyNumberFormat="1" applyFont="1" applyFill="1" applyBorder="1" applyAlignment="1">
      <alignment horizontal="left" vertical="center"/>
    </xf>
    <xf numFmtId="40" fontId="5" fillId="84" borderId="50" xfId="0" applyNumberFormat="1" applyFont="1" applyFill="1" applyBorder="1" applyAlignment="1" applyProtection="1">
      <alignment horizontal="center"/>
      <protection locked="0"/>
    </xf>
    <xf numFmtId="165" fontId="0" fillId="77" borderId="0" xfId="0" applyNumberFormat="1" applyFont="1" applyFill="1"/>
    <xf numFmtId="164" fontId="0" fillId="77" borderId="9" xfId="0" applyNumberFormat="1" applyFont="1" applyFill="1" applyBorder="1"/>
    <xf numFmtId="0" fontId="3" fillId="77" borderId="9" xfId="0" applyFont="1" applyFill="1" applyBorder="1"/>
    <xf numFmtId="0" fontId="213" fillId="77" borderId="9" xfId="0" applyFont="1" applyFill="1" applyBorder="1"/>
    <xf numFmtId="0" fontId="0" fillId="0" borderId="94" xfId="0" applyBorder="1" applyAlignment="1">
      <alignment vertical="center" wrapText="1"/>
    </xf>
    <xf numFmtId="0" fontId="0" fillId="0" borderId="95" xfId="0" applyBorder="1" applyAlignment="1">
      <alignment vertical="center" wrapText="1"/>
    </xf>
    <xf numFmtId="0" fontId="0" fillId="0" borderId="96" xfId="0" applyBorder="1" applyAlignment="1">
      <alignment vertical="center" wrapText="1"/>
    </xf>
    <xf numFmtId="0" fontId="3" fillId="86" borderId="97" xfId="0" applyFont="1" applyFill="1" applyBorder="1" applyAlignment="1">
      <alignment horizontal="center" vertical="center" wrapText="1"/>
    </xf>
    <xf numFmtId="0" fontId="241" fillId="86" borderId="94" xfId="0" applyFont="1" applyFill="1" applyBorder="1" applyAlignment="1">
      <alignment horizontal="center" vertical="center" wrapText="1"/>
    </xf>
    <xf numFmtId="0" fontId="0" fillId="0" borderId="98" xfId="0" applyBorder="1" applyAlignment="1">
      <alignment vertical="center" wrapText="1"/>
    </xf>
    <xf numFmtId="165" fontId="0" fillId="0" borderId="95" xfId="0" applyNumberFormat="1" applyBorder="1" applyAlignment="1">
      <alignment horizontal="right" vertical="center" wrapText="1"/>
    </xf>
    <xf numFmtId="0" fontId="1" fillId="0" borderId="99" xfId="0" applyFont="1" applyBorder="1" applyAlignment="1">
      <alignment horizontal="right" vertical="center" wrapText="1"/>
    </xf>
    <xf numFmtId="0" fontId="0" fillId="0" borderId="100" xfId="0" applyBorder="1" applyAlignment="1">
      <alignment horizontal="right" vertical="center" wrapText="1"/>
    </xf>
    <xf numFmtId="170" fontId="43" fillId="77" borderId="9" xfId="0" applyNumberFormat="1" applyFont="1" applyFill="1" applyBorder="1" applyAlignment="1">
      <alignment horizontal="center"/>
    </xf>
    <xf numFmtId="9" fontId="68" fillId="78" borderId="50" xfId="5151" applyNumberFormat="1" applyFont="1" applyFill="1" applyBorder="1" applyAlignment="1">
      <alignment horizontal="center" vertical="center" wrapText="1"/>
    </xf>
    <xf numFmtId="286" fontId="0" fillId="0" borderId="95" xfId="0" applyNumberFormat="1" applyBorder="1" applyAlignment="1">
      <alignment horizontal="right" vertical="center" wrapText="1"/>
    </xf>
    <xf numFmtId="178" fontId="0" fillId="0" borderId="95" xfId="3" applyNumberFormat="1" applyFont="1" applyBorder="1" applyAlignment="1">
      <alignment horizontal="right" vertical="center" wrapText="1"/>
    </xf>
    <xf numFmtId="178" fontId="1" fillId="0" borderId="95" xfId="3" applyNumberFormat="1" applyFont="1" applyBorder="1" applyAlignment="1">
      <alignment horizontal="right" vertical="center" wrapText="1"/>
    </xf>
    <xf numFmtId="178" fontId="154" fillId="0" borderId="95" xfId="3" applyNumberFormat="1" applyFont="1" applyBorder="1" applyAlignment="1">
      <alignment horizontal="right" vertical="center" wrapText="1"/>
    </xf>
    <xf numFmtId="176" fontId="0" fillId="77" borderId="0" xfId="3" applyNumberFormat="1" applyFont="1" applyFill="1"/>
    <xf numFmtId="178" fontId="0" fillId="77" borderId="0" xfId="3" applyNumberFormat="1" applyFont="1" applyFill="1"/>
    <xf numFmtId="176" fontId="5" fillId="28" borderId="50" xfId="3" applyNumberFormat="1" applyFont="1" applyFill="1" applyBorder="1" applyProtection="1">
      <protection locked="0"/>
    </xf>
    <xf numFmtId="178" fontId="5" fillId="28" borderId="50" xfId="3" applyNumberFormat="1" applyFont="1" applyFill="1" applyBorder="1" applyProtection="1">
      <protection locked="0"/>
    </xf>
    <xf numFmtId="178" fontId="205" fillId="28" borderId="50" xfId="3" applyNumberFormat="1" applyFont="1" applyFill="1" applyBorder="1" applyProtection="1">
      <protection locked="0"/>
    </xf>
    <xf numFmtId="176" fontId="205" fillId="28" borderId="50" xfId="3" applyNumberFormat="1" applyFont="1" applyFill="1" applyBorder="1" applyProtection="1">
      <protection locked="0"/>
    </xf>
    <xf numFmtId="287" fontId="0" fillId="28" borderId="50" xfId="0" applyNumberFormat="1" applyFill="1" applyBorder="1" applyAlignment="1">
      <alignment vertical="top"/>
    </xf>
    <xf numFmtId="3" fontId="87" fillId="77" borderId="0" xfId="0" applyNumberFormat="1" applyFont="1" applyFill="1" applyBorder="1" applyAlignment="1" applyProtection="1">
      <alignment vertical="top" wrapText="1"/>
      <protection locked="0"/>
    </xf>
    <xf numFmtId="234" fontId="37" fillId="28" borderId="0" xfId="0" applyNumberFormat="1" applyFont="1" applyFill="1" applyAlignment="1" applyProtection="1">
      <alignment horizontal="center" vertical="center"/>
      <protection locked="0"/>
    </xf>
    <xf numFmtId="3" fontId="0" fillId="77" borderId="0" xfId="0" applyNumberFormat="1" applyFill="1"/>
    <xf numFmtId="3" fontId="0" fillId="77" borderId="0" xfId="0" applyNumberFormat="1" applyFont="1" applyFill="1"/>
    <xf numFmtId="3" fontId="0" fillId="0" borderId="0" xfId="0" applyNumberFormat="1"/>
    <xf numFmtId="3" fontId="6" fillId="77" borderId="0" xfId="0" applyNumberFormat="1" applyFont="1" applyFill="1"/>
    <xf numFmtId="178" fontId="0" fillId="77" borderId="0" xfId="0" applyNumberFormat="1" applyFill="1"/>
    <xf numFmtId="0" fontId="44" fillId="77" borderId="30" xfId="0" applyFont="1" applyFill="1" applyBorder="1" applyAlignment="1">
      <alignment vertical="center" wrapText="1"/>
    </xf>
    <xf numFmtId="0" fontId="44" fillId="77" borderId="69" xfId="0" applyFont="1" applyFill="1" applyBorder="1" applyAlignment="1">
      <alignment vertical="center" wrapText="1"/>
    </xf>
    <xf numFmtId="0" fontId="226" fillId="77" borderId="0" xfId="0" applyFont="1" applyFill="1" applyAlignment="1">
      <alignment horizontal="left"/>
    </xf>
    <xf numFmtId="0" fontId="87" fillId="77" borderId="28" xfId="0" applyFont="1" applyFill="1" applyBorder="1" applyAlignment="1">
      <alignment horizontal="center" wrapText="1"/>
    </xf>
    <xf numFmtId="0" fontId="87" fillId="77" borderId="20" xfId="0" applyFont="1" applyFill="1" applyBorder="1" applyAlignment="1">
      <alignment horizontal="center" wrapText="1"/>
    </xf>
    <xf numFmtId="0" fontId="87" fillId="77" borderId="60" xfId="0" applyFont="1" applyFill="1" applyBorder="1" applyAlignment="1">
      <alignment horizontal="center" wrapText="1"/>
    </xf>
    <xf numFmtId="0" fontId="87" fillId="77" borderId="15" xfId="0" applyFont="1" applyFill="1" applyBorder="1" applyAlignment="1">
      <alignment horizontal="center" wrapText="1"/>
    </xf>
    <xf numFmtId="0" fontId="87" fillId="77" borderId="0" xfId="0" applyFont="1" applyFill="1" applyBorder="1" applyAlignment="1">
      <alignment horizontal="center" wrapText="1"/>
    </xf>
    <xf numFmtId="0" fontId="87" fillId="77" borderId="19" xfId="0" applyFont="1" applyFill="1" applyBorder="1" applyAlignment="1">
      <alignment horizontal="center" wrapText="1"/>
    </xf>
    <xf numFmtId="0" fontId="87" fillId="77" borderId="53" xfId="0" applyFont="1" applyFill="1" applyBorder="1" applyAlignment="1">
      <alignment horizontal="center" wrapText="1"/>
    </xf>
    <xf numFmtId="0" fontId="87" fillId="77" borderId="16" xfId="0" applyFont="1" applyFill="1" applyBorder="1" applyAlignment="1">
      <alignment horizontal="center" wrapText="1"/>
    </xf>
    <xf numFmtId="0" fontId="87" fillId="77" borderId="78" xfId="0" applyFont="1" applyFill="1" applyBorder="1" applyAlignment="1">
      <alignment horizontal="center" wrapText="1"/>
    </xf>
    <xf numFmtId="0" fontId="3" fillId="0" borderId="101" xfId="0" applyFont="1" applyBorder="1" applyAlignment="1">
      <alignment vertical="center" wrapText="1"/>
    </xf>
    <xf numFmtId="0" fontId="3" fillId="0" borderId="102" xfId="0" applyFont="1" applyBorder="1" applyAlignment="1">
      <alignment vertical="center" wrapText="1"/>
    </xf>
    <xf numFmtId="0" fontId="3" fillId="0" borderId="103" xfId="0" applyFont="1" applyBorder="1" applyAlignment="1">
      <alignment vertical="center" wrapText="1"/>
    </xf>
    <xf numFmtId="0" fontId="3" fillId="0" borderId="104" xfId="0" applyFont="1" applyBorder="1" applyAlignment="1">
      <alignment vertical="center" wrapText="1"/>
    </xf>
    <xf numFmtId="172" fontId="87" fillId="28" borderId="68" xfId="0" applyNumberFormat="1" applyFont="1" applyFill="1" applyBorder="1" applyAlignment="1">
      <alignment horizontal="left"/>
    </xf>
    <xf numFmtId="172" fontId="87" fillId="28" borderId="69" xfId="0" applyNumberFormat="1" applyFont="1" applyFill="1" applyBorder="1" applyAlignment="1">
      <alignment horizontal="left"/>
    </xf>
    <xf numFmtId="0" fontId="87" fillId="83" borderId="0" xfId="0" applyFont="1" applyFill="1" applyBorder="1" applyAlignment="1">
      <alignment horizontal="left" vertical="center" wrapText="1"/>
    </xf>
    <xf numFmtId="172" fontId="43" fillId="77" borderId="68" xfId="0" applyNumberFormat="1" applyFont="1" applyFill="1" applyBorder="1" applyAlignment="1">
      <alignment horizontal="left"/>
    </xf>
    <xf numFmtId="172" fontId="43" fillId="77" borderId="69" xfId="0" applyNumberFormat="1" applyFont="1" applyFill="1" applyBorder="1" applyAlignment="1">
      <alignment horizontal="left"/>
    </xf>
    <xf numFmtId="171" fontId="209" fillId="78" borderId="68" xfId="9" applyNumberFormat="1" applyFont="1" applyFill="1" applyBorder="1" applyAlignment="1">
      <alignment horizontal="center" vertical="center" wrapText="1"/>
    </xf>
    <xf numFmtId="171" fontId="209" fillId="78" borderId="69" xfId="9" applyNumberFormat="1" applyFont="1" applyFill="1" applyBorder="1" applyAlignment="1">
      <alignment horizontal="center" vertical="center" wrapText="1"/>
    </xf>
    <xf numFmtId="0" fontId="0" fillId="28" borderId="68" xfId="0" applyFill="1" applyBorder="1" applyAlignment="1">
      <alignment horizontal="left" wrapText="1"/>
    </xf>
    <xf numFmtId="0" fontId="0" fillId="28" borderId="69" xfId="0" applyFill="1" applyBorder="1" applyAlignment="1">
      <alignment horizontal="left" wrapText="1"/>
    </xf>
    <xf numFmtId="0" fontId="0" fillId="28" borderId="68" xfId="0" applyFill="1" applyBorder="1" applyAlignment="1">
      <alignment horizontal="left"/>
    </xf>
    <xf numFmtId="0" fontId="0" fillId="28" borderId="69" xfId="0" applyFill="1" applyBorder="1" applyAlignment="1">
      <alignment horizontal="left"/>
    </xf>
    <xf numFmtId="0" fontId="209" fillId="78" borderId="68" xfId="0" applyFont="1" applyFill="1" applyBorder="1" applyAlignment="1">
      <alignment horizontal="center"/>
    </xf>
    <xf numFmtId="0" fontId="209" fillId="78" borderId="69" xfId="0" applyFont="1" applyFill="1" applyBorder="1" applyAlignment="1">
      <alignment horizontal="center"/>
    </xf>
    <xf numFmtId="0" fontId="208" fillId="83" borderId="0" xfId="43" applyNumberFormat="1" applyFont="1" applyFill="1" applyBorder="1" applyAlignment="1" applyProtection="1">
      <alignment horizontal="left" vertical="center" wrapText="1"/>
      <protection locked="0"/>
    </xf>
    <xf numFmtId="0" fontId="41" fillId="77" borderId="80" xfId="0" applyFont="1" applyFill="1" applyBorder="1" applyAlignment="1" applyProtection="1">
      <alignment horizontal="center" vertical="center" wrapText="1"/>
      <protection locked="0"/>
    </xf>
    <xf numFmtId="0" fontId="41" fillId="77" borderId="106" xfId="0" applyFont="1" applyFill="1" applyBorder="1" applyAlignment="1" applyProtection="1">
      <alignment horizontal="center" vertical="center" wrapText="1"/>
      <protection locked="0"/>
    </xf>
    <xf numFmtId="0" fontId="41" fillId="77" borderId="108" xfId="0" applyFont="1" applyFill="1" applyBorder="1" applyAlignment="1" applyProtection="1">
      <alignment horizontal="center" vertical="center" wrapText="1"/>
      <protection locked="0"/>
    </xf>
    <xf numFmtId="0" fontId="87" fillId="83" borderId="0" xfId="43" applyNumberFormat="1" applyFont="1" applyFill="1" applyBorder="1" applyAlignment="1">
      <alignment horizontal="left" vertical="center" wrapText="1"/>
    </xf>
    <xf numFmtId="0" fontId="44" fillId="83" borderId="0" xfId="0" applyFont="1" applyFill="1" applyBorder="1" applyAlignment="1">
      <alignment horizontal="left" vertical="center" wrapText="1"/>
    </xf>
    <xf numFmtId="0" fontId="40" fillId="77" borderId="0" xfId="0" applyFont="1" applyFill="1" applyBorder="1" applyAlignment="1">
      <alignment horizontal="left" vertical="top"/>
    </xf>
    <xf numFmtId="0" fontId="41" fillId="77" borderId="105" xfId="0" applyFont="1" applyFill="1" applyBorder="1" applyAlignment="1" applyProtection="1">
      <alignment horizontal="center" vertical="center" wrapText="1"/>
      <protection locked="0"/>
    </xf>
    <xf numFmtId="0" fontId="41" fillId="77" borderId="107" xfId="0" applyFont="1" applyFill="1" applyBorder="1" applyAlignment="1" applyProtection="1">
      <alignment horizontal="center" vertical="center" wrapText="1"/>
      <protection locked="0"/>
    </xf>
    <xf numFmtId="175" fontId="208" fillId="83" borderId="89" xfId="43" applyNumberFormat="1" applyFont="1" applyFill="1" applyBorder="1" applyAlignment="1">
      <alignment horizontal="left" vertical="center"/>
    </xf>
    <xf numFmtId="175" fontId="208" fillId="83" borderId="109" xfId="43" applyNumberFormat="1" applyFont="1" applyFill="1" applyBorder="1" applyAlignment="1">
      <alignment horizontal="left" vertical="center"/>
    </xf>
    <xf numFmtId="0" fontId="44" fillId="83" borderId="0" xfId="0" applyFont="1" applyFill="1" applyAlignment="1">
      <alignment horizontal="left" vertical="center" wrapText="1"/>
    </xf>
    <xf numFmtId="0" fontId="40" fillId="77" borderId="0" xfId="0" applyFont="1" applyFill="1" applyBorder="1" applyAlignment="1" applyProtection="1">
      <alignment horizontal="left" vertical="top"/>
      <protection locked="0"/>
    </xf>
    <xf numFmtId="0" fontId="87" fillId="83" borderId="0" xfId="0" applyFont="1" applyFill="1" applyBorder="1" applyAlignment="1" applyProtection="1">
      <alignment horizontal="left" vertical="center" wrapText="1"/>
      <protection locked="0"/>
    </xf>
    <xf numFmtId="0" fontId="48" fillId="78" borderId="113" xfId="0" applyNumberFormat="1" applyFont="1" applyFill="1" applyBorder="1" applyAlignment="1" applyProtection="1">
      <alignment horizontal="center" vertical="center" wrapText="1"/>
      <protection locked="0"/>
    </xf>
    <xf numFmtId="0" fontId="48" fillId="78" borderId="114" xfId="0" applyNumberFormat="1" applyFont="1" applyFill="1" applyBorder="1" applyAlignment="1" applyProtection="1">
      <alignment horizontal="center" vertical="center" wrapText="1"/>
      <protection locked="0"/>
    </xf>
    <xf numFmtId="0" fontId="48" fillId="78" borderId="115" xfId="0" applyFont="1" applyFill="1" applyBorder="1" applyAlignment="1" applyProtection="1">
      <alignment horizontal="center" vertical="center" wrapText="1"/>
      <protection locked="0"/>
    </xf>
    <xf numFmtId="0" fontId="48" fillId="78" borderId="116" xfId="0" applyFont="1" applyFill="1" applyBorder="1" applyAlignment="1" applyProtection="1">
      <alignment horizontal="center" vertical="center" wrapText="1"/>
      <protection locked="0"/>
    </xf>
    <xf numFmtId="0" fontId="48" fillId="78" borderId="117" xfId="0" applyNumberFormat="1" applyFont="1" applyFill="1" applyBorder="1" applyAlignment="1" applyProtection="1">
      <alignment horizontal="center" vertical="center" wrapText="1"/>
      <protection locked="0"/>
    </xf>
    <xf numFmtId="0" fontId="48" fillId="78" borderId="118" xfId="0" applyNumberFormat="1" applyFont="1" applyFill="1" applyBorder="1" applyAlignment="1" applyProtection="1">
      <alignment horizontal="center" vertical="center" wrapText="1"/>
      <protection locked="0"/>
    </xf>
    <xf numFmtId="0" fontId="48" fillId="78" borderId="119" xfId="0" applyNumberFormat="1" applyFont="1" applyFill="1" applyBorder="1" applyAlignment="1" applyProtection="1">
      <alignment horizontal="center" vertical="center" wrapText="1"/>
      <protection locked="0"/>
    </xf>
    <xf numFmtId="0" fontId="48" fillId="78" borderId="110" xfId="0" applyNumberFormat="1" applyFont="1" applyFill="1" applyBorder="1" applyAlignment="1" applyProtection="1">
      <alignment horizontal="center" vertical="center" wrapText="1"/>
      <protection locked="0"/>
    </xf>
    <xf numFmtId="0" fontId="48" fillId="78" borderId="111" xfId="0" applyNumberFormat="1" applyFont="1" applyFill="1" applyBorder="1" applyAlignment="1" applyProtection="1">
      <alignment horizontal="center" vertical="center" wrapText="1"/>
      <protection locked="0"/>
    </xf>
    <xf numFmtId="0" fontId="48" fillId="78" borderId="112" xfId="0" applyNumberFormat="1" applyFont="1" applyFill="1" applyBorder="1" applyAlignment="1" applyProtection="1">
      <alignment horizontal="center" vertical="center" wrapText="1"/>
      <protection locked="0"/>
    </xf>
    <xf numFmtId="0" fontId="48" fillId="78" borderId="115" xfId="0" applyNumberFormat="1" applyFont="1" applyFill="1" applyBorder="1" applyAlignment="1" applyProtection="1">
      <alignment horizontal="center" vertical="center" wrapText="1"/>
      <protection locked="0"/>
    </xf>
    <xf numFmtId="0" fontId="48" fillId="78" borderId="120" xfId="0" applyNumberFormat="1" applyFont="1" applyFill="1" applyBorder="1" applyAlignment="1" applyProtection="1">
      <alignment horizontal="center" vertical="center" wrapText="1"/>
      <protection locked="0"/>
    </xf>
    <xf numFmtId="0" fontId="40" fillId="77" borderId="0" xfId="0" applyFont="1" applyFill="1" applyAlignment="1">
      <alignment horizontal="left" vertical="top" wrapText="1"/>
    </xf>
    <xf numFmtId="0" fontId="87" fillId="83" borderId="0" xfId="0" applyFont="1" applyFill="1" applyBorder="1" applyAlignment="1">
      <alignment horizontal="left" wrapText="1"/>
    </xf>
    <xf numFmtId="0" fontId="233" fillId="77" borderId="16" xfId="0" applyFont="1" applyFill="1" applyBorder="1" applyAlignment="1">
      <alignment horizontal="left"/>
    </xf>
    <xf numFmtId="9" fontId="68" fillId="78" borderId="50" xfId="5151" applyNumberFormat="1" applyFont="1" applyFill="1" applyBorder="1" applyAlignment="1">
      <alignment horizontal="center" vertical="center" wrapText="1"/>
    </xf>
    <xf numFmtId="0" fontId="87" fillId="83" borderId="0" xfId="0" applyFont="1" applyFill="1" applyAlignment="1">
      <alignment horizontal="left" vertical="center" wrapText="1"/>
    </xf>
    <xf numFmtId="17" fontId="0" fillId="0" borderId="9" xfId="0" applyNumberFormat="1" applyBorder="1" applyAlignment="1">
      <alignment horizontal="center" vertical="center"/>
    </xf>
    <xf numFmtId="0" fontId="0" fillId="0" borderId="0" xfId="0" applyAlignment="1">
      <alignment horizontal="center" wrapText="1"/>
    </xf>
    <xf numFmtId="0" fontId="0" fillId="0" borderId="121" xfId="0" applyBorder="1" applyAlignment="1">
      <alignment horizontal="center"/>
    </xf>
    <xf numFmtId="0" fontId="0" fillId="0" borderId="29" xfId="0" applyBorder="1" applyAlignment="1">
      <alignment horizontal="center"/>
    </xf>
    <xf numFmtId="0" fontId="0" fillId="0" borderId="94" xfId="0" applyBorder="1" applyAlignment="1">
      <alignment horizontal="center"/>
    </xf>
    <xf numFmtId="0" fontId="0" fillId="0" borderId="122" xfId="0" applyBorder="1" applyAlignment="1">
      <alignment horizontal="center"/>
    </xf>
    <xf numFmtId="0" fontId="0" fillId="0" borderId="123" xfId="0" applyBorder="1" applyAlignment="1">
      <alignment horizontal="center"/>
    </xf>
    <xf numFmtId="0" fontId="0" fillId="0" borderId="124" xfId="0" applyBorder="1" applyAlignment="1">
      <alignment horizontal="center"/>
    </xf>
    <xf numFmtId="17" fontId="0" fillId="0" borderId="51" xfId="0" applyNumberFormat="1" applyBorder="1" applyAlignment="1">
      <alignment horizontal="center" vertical="center"/>
    </xf>
    <xf numFmtId="17" fontId="0" fillId="0" borderId="26" xfId="0" applyNumberFormat="1" applyBorder="1" applyAlignment="1">
      <alignment horizontal="center" vertical="center"/>
    </xf>
  </cellXfs>
  <cellStyles count="9773">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4"/>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5"/>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6"/>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7"/>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8"/>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9"/>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20"/>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21"/>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22"/>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3"/>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4"/>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5"/>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6"/>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7"/>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8"/>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9"/>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30"/>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31"/>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32"/>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3"/>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4"/>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5"/>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6"/>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7"/>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8"/>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9"/>
    <cellStyle name="Calculation 2 10" xfId="9745"/>
    <cellStyle name="Calculation 2 2" xfId="67"/>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40"/>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3"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4"/>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5"/>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42"/>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6"/>
    <cellStyle name="Comma 3 2" xfId="43"/>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41"/>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2"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7"/>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4"/>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5701" builtinId="9" hidden="1"/>
    <cellStyle name="Followed Hyperlink" xfId="5702" builtinId="9" hidden="1"/>
    <cellStyle name="Followed Hyperlink" xfId="5703" builtinId="9" hidden="1"/>
    <cellStyle name="Followed Hyperlink" xfId="5704" builtinId="9" hidden="1"/>
    <cellStyle name="Followed Hyperlink" xfId="5705" builtinId="9" hidden="1"/>
    <cellStyle name="Followed Hyperlink" xfId="5706" builtinId="9" hidden="1"/>
    <cellStyle name="Followed Hyperlink" xfId="5707" builtinId="9" hidden="1"/>
    <cellStyle name="Followed Hyperlink" xfId="5708" builtinId="9" hidden="1"/>
    <cellStyle name="Followed Hyperlink" xfId="5709" builtinId="9" hidden="1"/>
    <cellStyle name="Followed Hyperlink" xfId="5710" builtinId="9" hidden="1"/>
    <cellStyle name="Followed Hyperlink" xfId="5711" builtinId="9" hidden="1"/>
    <cellStyle name="Followed Hyperlink" xfId="5712" builtinId="9" hidden="1"/>
    <cellStyle name="Followed Hyperlink" xfId="5713" builtinId="9" hidden="1"/>
    <cellStyle name="Followed Hyperlink" xfId="5714" builtinId="9" hidden="1"/>
    <cellStyle name="Followed Hyperlink" xfId="5715" builtinId="9" hidden="1"/>
    <cellStyle name="Followed Hyperlink" xfId="5716" builtinId="9" hidden="1"/>
    <cellStyle name="Followed Hyperlink" xfId="5717" builtinId="9" hidden="1"/>
    <cellStyle name="Followed Hyperlink" xfId="5718" builtinId="9" hidden="1"/>
    <cellStyle name="Followed Hyperlink" xfId="5719" builtinId="9" hidden="1"/>
    <cellStyle name="Followed Hyperlink" xfId="5720" builtinId="9" hidden="1"/>
    <cellStyle name="Followed Hyperlink" xfId="5721" builtinId="9" hidden="1"/>
    <cellStyle name="Followed Hyperlink" xfId="5722" builtinId="9" hidden="1"/>
    <cellStyle name="Followed Hyperlink" xfId="5723" builtinId="9" hidden="1"/>
    <cellStyle name="Followed Hyperlink" xfId="5724" builtinId="9" hidden="1"/>
    <cellStyle name="Followed Hyperlink" xfId="5725" builtinId="9" hidden="1"/>
    <cellStyle name="Followed Hyperlink" xfId="5726" builtinId="9" hidden="1"/>
    <cellStyle name="Followed Hyperlink" xfId="5727" builtinId="9" hidden="1"/>
    <cellStyle name="Followed Hyperlink" xfId="5728" builtinId="9" hidden="1"/>
    <cellStyle name="Followed Hyperlink" xfId="5729" builtinId="9" hidden="1"/>
    <cellStyle name="Followed Hyperlink" xfId="5730" builtinId="9" hidden="1"/>
    <cellStyle name="Followed Hyperlink" xfId="5731" builtinId="9" hidden="1"/>
    <cellStyle name="Followed Hyperlink" xfId="5732" builtinId="9" hidden="1"/>
    <cellStyle name="Followed Hyperlink" xfId="5733" builtinId="9" hidden="1"/>
    <cellStyle name="Followed Hyperlink" xfId="5734" builtinId="9" hidden="1"/>
    <cellStyle name="Followed Hyperlink" xfId="5735" builtinId="9" hidden="1"/>
    <cellStyle name="Followed Hyperlink" xfId="5736" builtinId="9" hidden="1"/>
    <cellStyle name="Followed Hyperlink" xfId="5737" builtinId="9" hidden="1"/>
    <cellStyle name="Followed Hyperlink" xfId="5738" builtinId="9" hidden="1"/>
    <cellStyle name="Followed Hyperlink" xfId="5739" builtinId="9" hidden="1"/>
    <cellStyle name="Followed Hyperlink" xfId="5740" builtinId="9" hidden="1"/>
    <cellStyle name="Followed Hyperlink" xfId="5741" builtinId="9" hidden="1"/>
    <cellStyle name="Followed Hyperlink" xfId="5742" builtinId="9" hidden="1"/>
    <cellStyle name="Followed Hyperlink" xfId="5743" builtinId="9" hidden="1"/>
    <cellStyle name="Followed Hyperlink" xfId="5744" builtinId="9" hidden="1"/>
    <cellStyle name="Followed Hyperlink" xfId="5745" builtinId="9" hidden="1"/>
    <cellStyle name="Followed Hyperlink" xfId="5746" builtinId="9" hidden="1"/>
    <cellStyle name="Followed Hyperlink" xfId="5747" builtinId="9" hidden="1"/>
    <cellStyle name="Followed Hyperlink" xfId="5748" builtinId="9" hidden="1"/>
    <cellStyle name="Followed Hyperlink" xfId="5749" builtinId="9" hidden="1"/>
    <cellStyle name="Followed Hyperlink" xfId="5750" builtinId="9" hidden="1"/>
    <cellStyle name="Followed Hyperlink" xfId="5751" builtinId="9" hidden="1"/>
    <cellStyle name="Followed Hyperlink" xfId="5752" builtinId="9" hidden="1"/>
    <cellStyle name="Followed Hyperlink" xfId="5753" builtinId="9" hidden="1"/>
    <cellStyle name="Followed Hyperlink" xfId="5754" builtinId="9" hidden="1"/>
    <cellStyle name="Followed Hyperlink" xfId="5755" builtinId="9" hidden="1"/>
    <cellStyle name="Followed Hyperlink" xfId="5756" builtinId="9" hidden="1"/>
    <cellStyle name="Followed Hyperlink" xfId="5757" builtinId="9" hidden="1"/>
    <cellStyle name="Followed Hyperlink" xfId="5758" builtinId="9" hidden="1"/>
    <cellStyle name="Followed Hyperlink" xfId="5759" builtinId="9" hidden="1"/>
    <cellStyle name="Followed Hyperlink" xfId="5760" builtinId="9" hidden="1"/>
    <cellStyle name="Followed Hyperlink" xfId="5761" builtinId="9" hidden="1"/>
    <cellStyle name="Followed Hyperlink" xfId="5762" builtinId="9" hidden="1"/>
    <cellStyle name="Followed Hyperlink" xfId="5763" builtinId="9" hidden="1"/>
    <cellStyle name="Followed Hyperlink" xfId="5764" builtinId="9" hidden="1"/>
    <cellStyle name="Followed Hyperlink" xfId="5765" builtinId="9" hidden="1"/>
    <cellStyle name="Followed Hyperlink" xfId="5766" builtinId="9" hidden="1"/>
    <cellStyle name="Followed Hyperlink" xfId="5767" builtinId="9" hidden="1"/>
    <cellStyle name="Followed Hyperlink" xfId="5768" builtinId="9" hidden="1"/>
    <cellStyle name="Followed Hyperlink" xfId="5769" builtinId="9" hidden="1"/>
    <cellStyle name="Followed Hyperlink" xfId="5770" builtinId="9" hidden="1"/>
    <cellStyle name="Followed Hyperlink" xfId="5771" builtinId="9" hidden="1"/>
    <cellStyle name="Followed Hyperlink" xfId="5772" builtinId="9" hidden="1"/>
    <cellStyle name="Followed Hyperlink" xfId="5773" builtinId="9" hidden="1"/>
    <cellStyle name="Followed Hyperlink" xfId="5774" builtinId="9" hidden="1"/>
    <cellStyle name="Followed Hyperlink" xfId="5775" builtinId="9" hidden="1"/>
    <cellStyle name="Followed Hyperlink" xfId="5776" builtinId="9" hidden="1"/>
    <cellStyle name="Followed Hyperlink" xfId="5777" builtinId="9" hidden="1"/>
    <cellStyle name="Followed Hyperlink" xfId="5778" builtinId="9" hidden="1"/>
    <cellStyle name="Followed Hyperlink" xfId="5779" builtinId="9" hidden="1"/>
    <cellStyle name="Followed Hyperlink" xfId="5780" builtinId="9" hidden="1"/>
    <cellStyle name="Followed Hyperlink" xfId="5781" builtinId="9" hidden="1"/>
    <cellStyle name="Followed Hyperlink" xfId="5782" builtinId="9" hidden="1"/>
    <cellStyle name="Followed Hyperlink" xfId="5783" builtinId="9" hidden="1"/>
    <cellStyle name="Followed Hyperlink" xfId="5784" builtinId="9" hidden="1"/>
    <cellStyle name="Followed Hyperlink" xfId="5785" builtinId="9" hidden="1"/>
    <cellStyle name="Followed Hyperlink" xfId="5786" builtinId="9" hidden="1"/>
    <cellStyle name="Followed Hyperlink" xfId="5787" builtinId="9" hidden="1"/>
    <cellStyle name="Followed Hyperlink" xfId="5788" builtinId="9" hidden="1"/>
    <cellStyle name="Followed Hyperlink" xfId="5789" builtinId="9" hidden="1"/>
    <cellStyle name="Followed Hyperlink" xfId="5790" builtinId="9" hidden="1"/>
    <cellStyle name="Followed Hyperlink" xfId="5791" builtinId="9" hidden="1"/>
    <cellStyle name="Followed Hyperlink" xfId="5792" builtinId="9" hidden="1"/>
    <cellStyle name="Followed Hyperlink" xfId="5793" builtinId="9" hidden="1"/>
    <cellStyle name="Followed Hyperlink" xfId="5794" builtinId="9" hidden="1"/>
    <cellStyle name="Followed Hyperlink" xfId="5795" builtinId="9" hidden="1"/>
    <cellStyle name="Followed Hyperlink" xfId="5796" builtinId="9" hidden="1"/>
    <cellStyle name="Followed Hyperlink" xfId="5797" builtinId="9" hidden="1"/>
    <cellStyle name="Followed Hyperlink" xfId="5798" builtinId="9" hidden="1"/>
    <cellStyle name="Followed Hyperlink" xfId="5799" builtinId="9" hidden="1"/>
    <cellStyle name="Followed Hyperlink" xfId="5800" builtinId="9" hidden="1"/>
    <cellStyle name="Followed Hyperlink" xfId="5801" builtinId="9" hidden="1"/>
    <cellStyle name="Followed Hyperlink" xfId="5802" builtinId="9" hidden="1"/>
    <cellStyle name="Followed Hyperlink" xfId="5803" builtinId="9" hidden="1"/>
    <cellStyle name="Followed Hyperlink" xfId="5804" builtinId="9" hidden="1"/>
    <cellStyle name="Followed Hyperlink" xfId="5805" builtinId="9" hidden="1"/>
    <cellStyle name="Followed Hyperlink" xfId="5806" builtinId="9" hidden="1"/>
    <cellStyle name="Followed Hyperlink" xfId="5807" builtinId="9" hidden="1"/>
    <cellStyle name="Followed Hyperlink" xfId="5808" builtinId="9" hidden="1"/>
    <cellStyle name="Followed Hyperlink" xfId="5809" builtinId="9" hidden="1"/>
    <cellStyle name="Followed Hyperlink" xfId="5810" builtinId="9" hidden="1"/>
    <cellStyle name="Followed Hyperlink" xfId="5811" builtinId="9" hidden="1"/>
    <cellStyle name="Followed Hyperlink" xfId="5812" builtinId="9" hidden="1"/>
    <cellStyle name="Followed Hyperlink" xfId="5813" builtinId="9" hidden="1"/>
    <cellStyle name="Followed Hyperlink" xfId="5814" builtinId="9" hidden="1"/>
    <cellStyle name="Followed Hyperlink" xfId="5815" builtinId="9" hidden="1"/>
    <cellStyle name="Followed Hyperlink" xfId="5816" builtinId="9" hidden="1"/>
    <cellStyle name="Followed Hyperlink" xfId="5817" builtinId="9" hidden="1"/>
    <cellStyle name="Followed Hyperlink" xfId="5818" builtinId="9" hidden="1"/>
    <cellStyle name="Followed Hyperlink" xfId="5819" builtinId="9" hidden="1"/>
    <cellStyle name="Followed Hyperlink" xfId="5820" builtinId="9" hidden="1"/>
    <cellStyle name="Followed Hyperlink" xfId="5821" builtinId="9" hidden="1"/>
    <cellStyle name="Followed Hyperlink" xfId="5822" builtinId="9" hidden="1"/>
    <cellStyle name="Followed Hyperlink" xfId="5823" builtinId="9" hidden="1"/>
    <cellStyle name="Followed Hyperlink" xfId="5824" builtinId="9" hidden="1"/>
    <cellStyle name="Followed Hyperlink" xfId="5825" builtinId="9" hidden="1"/>
    <cellStyle name="Followed Hyperlink" xfId="5826" builtinId="9" hidden="1"/>
    <cellStyle name="Followed Hyperlink" xfId="5827" builtinId="9" hidden="1"/>
    <cellStyle name="Followed Hyperlink" xfId="5828" builtinId="9" hidden="1"/>
    <cellStyle name="Followed Hyperlink" xfId="5829" builtinId="9" hidden="1"/>
    <cellStyle name="Followed Hyperlink" xfId="5830" builtinId="9" hidden="1"/>
    <cellStyle name="Followed Hyperlink" xfId="5831" builtinId="9" hidden="1"/>
    <cellStyle name="Followed Hyperlink" xfId="5832" builtinId="9" hidden="1"/>
    <cellStyle name="Followed Hyperlink" xfId="5833" builtinId="9" hidden="1"/>
    <cellStyle name="Followed Hyperlink" xfId="5834" builtinId="9" hidden="1"/>
    <cellStyle name="Followed Hyperlink" xfId="5835" builtinId="9" hidden="1"/>
    <cellStyle name="Followed Hyperlink" xfId="5836" builtinId="9" hidden="1"/>
    <cellStyle name="Followed Hyperlink" xfId="5837" builtinId="9" hidden="1"/>
    <cellStyle name="Followed Hyperlink" xfId="5838" builtinId="9" hidden="1"/>
    <cellStyle name="Followed Hyperlink" xfId="5839" builtinId="9" hidden="1"/>
    <cellStyle name="Followed Hyperlink" xfId="5840" builtinId="9" hidden="1"/>
    <cellStyle name="Followed Hyperlink" xfId="5841" builtinId="9" hidden="1"/>
    <cellStyle name="Followed Hyperlink" xfId="5842" builtinId="9" hidden="1"/>
    <cellStyle name="Followed Hyperlink" xfId="5843" builtinId="9" hidden="1"/>
    <cellStyle name="Followed Hyperlink" xfId="5844" builtinId="9" hidden="1"/>
    <cellStyle name="Followed Hyperlink" xfId="5845" builtinId="9" hidden="1"/>
    <cellStyle name="Followed Hyperlink" xfId="5846" builtinId="9" hidden="1"/>
    <cellStyle name="Followed Hyperlink" xfId="5847" builtinId="9" hidden="1"/>
    <cellStyle name="Followed Hyperlink" xfId="5848" builtinId="9" hidden="1"/>
    <cellStyle name="Followed Hyperlink" xfId="5849" builtinId="9" hidden="1"/>
    <cellStyle name="Followed Hyperlink" xfId="5850" builtinId="9" hidden="1"/>
    <cellStyle name="Followed Hyperlink" xfId="5851" builtinId="9" hidden="1"/>
    <cellStyle name="Followed Hyperlink" xfId="5852" builtinId="9" hidden="1"/>
    <cellStyle name="Followed Hyperlink" xfId="5853" builtinId="9" hidden="1"/>
    <cellStyle name="Followed Hyperlink" xfId="5854" builtinId="9" hidden="1"/>
    <cellStyle name="Followed Hyperlink" xfId="5855" builtinId="9" hidden="1"/>
    <cellStyle name="Followed Hyperlink" xfId="5856" builtinId="9" hidden="1"/>
    <cellStyle name="Followed Hyperlink" xfId="5857" builtinId="9" hidden="1"/>
    <cellStyle name="Followed Hyperlink" xfId="5858" builtinId="9" hidden="1"/>
    <cellStyle name="Followed Hyperlink" xfId="5859" builtinId="9" hidden="1"/>
    <cellStyle name="Followed Hyperlink" xfId="5860" builtinId="9" hidden="1"/>
    <cellStyle name="Followed Hyperlink" xfId="5861" builtinId="9" hidden="1"/>
    <cellStyle name="Followed Hyperlink" xfId="5862" builtinId="9" hidden="1"/>
    <cellStyle name="Followed Hyperlink" xfId="5863" builtinId="9" hidden="1"/>
    <cellStyle name="Followed Hyperlink" xfId="5864" builtinId="9" hidden="1"/>
    <cellStyle name="Followed Hyperlink" xfId="5865" builtinId="9" hidden="1"/>
    <cellStyle name="Followed Hyperlink" xfId="5866" builtinId="9" hidden="1"/>
    <cellStyle name="Followed Hyperlink" xfId="5867" builtinId="9" hidden="1"/>
    <cellStyle name="Followed Hyperlink" xfId="5868" builtinId="9" hidden="1"/>
    <cellStyle name="Followed Hyperlink" xfId="5869" builtinId="9" hidden="1"/>
    <cellStyle name="Followed Hyperlink" xfId="5870" builtinId="9" hidden="1"/>
    <cellStyle name="Followed Hyperlink" xfId="5871" builtinId="9" hidden="1"/>
    <cellStyle name="Followed Hyperlink" xfId="5872" builtinId="9" hidden="1"/>
    <cellStyle name="Followed Hyperlink" xfId="5873" builtinId="9" hidden="1"/>
    <cellStyle name="Followed Hyperlink" xfId="5874" builtinId="9" hidden="1"/>
    <cellStyle name="Followed Hyperlink" xfId="5875" builtinId="9" hidden="1"/>
    <cellStyle name="Followed Hyperlink" xfId="5876" builtinId="9" hidden="1"/>
    <cellStyle name="Followed Hyperlink" xfId="5877" builtinId="9" hidden="1"/>
    <cellStyle name="Followed Hyperlink" xfId="5878" builtinId="9" hidden="1"/>
    <cellStyle name="Followed Hyperlink" xfId="5879" builtinId="9" hidden="1"/>
    <cellStyle name="Followed Hyperlink" xfId="5880" builtinId="9" hidden="1"/>
    <cellStyle name="Followed Hyperlink" xfId="5881" builtinId="9" hidden="1"/>
    <cellStyle name="Followed Hyperlink" xfId="5882" builtinId="9" hidden="1"/>
    <cellStyle name="Followed Hyperlink" xfId="5883" builtinId="9" hidden="1"/>
    <cellStyle name="Followed Hyperlink" xfId="5884" builtinId="9" hidden="1"/>
    <cellStyle name="Followed Hyperlink" xfId="5885" builtinId="9" hidden="1"/>
    <cellStyle name="Followed Hyperlink" xfId="5886" builtinId="9" hidden="1"/>
    <cellStyle name="Followed Hyperlink" xfId="5887" builtinId="9" hidden="1"/>
    <cellStyle name="Followed Hyperlink" xfId="5888" builtinId="9" hidden="1"/>
    <cellStyle name="Followed Hyperlink" xfId="5889" builtinId="9" hidden="1"/>
    <cellStyle name="Followed Hyperlink" xfId="5890" builtinId="9" hidden="1"/>
    <cellStyle name="Followed Hyperlink" xfId="5891" builtinId="9" hidden="1"/>
    <cellStyle name="Followed Hyperlink" xfId="5892" builtinId="9" hidden="1"/>
    <cellStyle name="Followed Hyperlink" xfId="5893" builtinId="9" hidden="1"/>
    <cellStyle name="Followed Hyperlink" xfId="5894" builtinId="9" hidden="1"/>
    <cellStyle name="Followed Hyperlink" xfId="5895" builtinId="9" hidden="1"/>
    <cellStyle name="Followed Hyperlink" xfId="5896" builtinId="9" hidden="1"/>
    <cellStyle name="Followed Hyperlink" xfId="5897" builtinId="9" hidden="1"/>
    <cellStyle name="Followed Hyperlink" xfId="5898" builtinId="9" hidden="1"/>
    <cellStyle name="Followed Hyperlink" xfId="5899" builtinId="9" hidden="1"/>
    <cellStyle name="Followed Hyperlink" xfId="5900" builtinId="9" hidden="1"/>
    <cellStyle name="Followed Hyperlink" xfId="5901" builtinId="9" hidden="1"/>
    <cellStyle name="Followed Hyperlink" xfId="5902" builtinId="9" hidden="1"/>
    <cellStyle name="Followed Hyperlink" xfId="5903" builtinId="9" hidden="1"/>
    <cellStyle name="Followed Hyperlink" xfId="5904" builtinId="9" hidden="1"/>
    <cellStyle name="Followed Hyperlink" xfId="5905" builtinId="9" hidden="1"/>
    <cellStyle name="Followed Hyperlink" xfId="5906" builtinId="9" hidden="1"/>
    <cellStyle name="Followed Hyperlink" xfId="5907" builtinId="9" hidden="1"/>
    <cellStyle name="Followed Hyperlink" xfId="5908" builtinId="9" hidden="1"/>
    <cellStyle name="Followed Hyperlink" xfId="5909" builtinId="9" hidden="1"/>
    <cellStyle name="Followed Hyperlink" xfId="5910" builtinId="9" hidden="1"/>
    <cellStyle name="Followed Hyperlink" xfId="5911" builtinId="9" hidden="1"/>
    <cellStyle name="Followed Hyperlink" xfId="5912" builtinId="9" hidden="1"/>
    <cellStyle name="Followed Hyperlink" xfId="5913" builtinId="9" hidden="1"/>
    <cellStyle name="Followed Hyperlink" xfId="5914" builtinId="9" hidden="1"/>
    <cellStyle name="Followed Hyperlink" xfId="5915" builtinId="9" hidden="1"/>
    <cellStyle name="Followed Hyperlink" xfId="5916" builtinId="9" hidden="1"/>
    <cellStyle name="Followed Hyperlink" xfId="5917" builtinId="9" hidden="1"/>
    <cellStyle name="Followed Hyperlink" xfId="5918" builtinId="9" hidden="1"/>
    <cellStyle name="Followed Hyperlink" xfId="5919" builtinId="9" hidden="1"/>
    <cellStyle name="Followed Hyperlink" xfId="5920" builtinId="9" hidden="1"/>
    <cellStyle name="Followed Hyperlink" xfId="5921" builtinId="9" hidden="1"/>
    <cellStyle name="Followed Hyperlink" xfId="5922" builtinId="9" hidden="1"/>
    <cellStyle name="Followed Hyperlink" xfId="5923" builtinId="9" hidden="1"/>
    <cellStyle name="Followed Hyperlink" xfId="5924" builtinId="9" hidden="1"/>
    <cellStyle name="Followed Hyperlink" xfId="5925" builtinId="9" hidden="1"/>
    <cellStyle name="Followed Hyperlink" xfId="5926" builtinId="9" hidden="1"/>
    <cellStyle name="Followed Hyperlink" xfId="5927" builtinId="9" hidden="1"/>
    <cellStyle name="Followed Hyperlink" xfId="5928" builtinId="9" hidden="1"/>
    <cellStyle name="Followed Hyperlink" xfId="5929" builtinId="9" hidden="1"/>
    <cellStyle name="Followed Hyperlink" xfId="5930" builtinId="9" hidden="1"/>
    <cellStyle name="Followed Hyperlink" xfId="5931" builtinId="9" hidden="1"/>
    <cellStyle name="Followed Hyperlink" xfId="5932" builtinId="9" hidden="1"/>
    <cellStyle name="Followed Hyperlink" xfId="5933" builtinId="9" hidden="1"/>
    <cellStyle name="Followed Hyperlink" xfId="5934" builtinId="9" hidden="1"/>
    <cellStyle name="Followed Hyperlink" xfId="5935" builtinId="9" hidden="1"/>
    <cellStyle name="Followed Hyperlink" xfId="5936" builtinId="9" hidden="1"/>
    <cellStyle name="Followed Hyperlink" xfId="5937" builtinId="9" hidden="1"/>
    <cellStyle name="Followed Hyperlink" xfId="5938" builtinId="9" hidden="1"/>
    <cellStyle name="Followed Hyperlink" xfId="5939" builtinId="9" hidden="1"/>
    <cellStyle name="Followed Hyperlink" xfId="5940" builtinId="9" hidden="1"/>
    <cellStyle name="Followed Hyperlink" xfId="5941" builtinId="9" hidden="1"/>
    <cellStyle name="Followed Hyperlink" xfId="5942" builtinId="9" hidden="1"/>
    <cellStyle name="Followed Hyperlink" xfId="5943" builtinId="9" hidden="1"/>
    <cellStyle name="Followed Hyperlink" xfId="5944" builtinId="9" hidden="1"/>
    <cellStyle name="Followed Hyperlink" xfId="5945" builtinId="9" hidden="1"/>
    <cellStyle name="Followed Hyperlink" xfId="5946" builtinId="9" hidden="1"/>
    <cellStyle name="Followed Hyperlink" xfId="5947" builtinId="9" hidden="1"/>
    <cellStyle name="Followed Hyperlink" xfId="5948" builtinId="9" hidden="1"/>
    <cellStyle name="Followed Hyperlink" xfId="5949" builtinId="9" hidden="1"/>
    <cellStyle name="Followed Hyperlink" xfId="5950" builtinId="9" hidden="1"/>
    <cellStyle name="Followed Hyperlink" xfId="5951" builtinId="9" hidden="1"/>
    <cellStyle name="Followed Hyperlink" xfId="5952" builtinId="9" hidden="1"/>
    <cellStyle name="Followed Hyperlink" xfId="5953" builtinId="9" hidden="1"/>
    <cellStyle name="Followed Hyperlink" xfId="5954" builtinId="9" hidden="1"/>
    <cellStyle name="Followed Hyperlink" xfId="5955" builtinId="9" hidden="1"/>
    <cellStyle name="Followed Hyperlink" xfId="5956" builtinId="9" hidden="1"/>
    <cellStyle name="Followed Hyperlink" xfId="5957" builtinId="9" hidden="1"/>
    <cellStyle name="Followed Hyperlink" xfId="5958" builtinId="9" hidden="1"/>
    <cellStyle name="Followed Hyperlink" xfId="5959" builtinId="9" hidden="1"/>
    <cellStyle name="Followed Hyperlink" xfId="5960" builtinId="9" hidden="1"/>
    <cellStyle name="Followed Hyperlink" xfId="5961" builtinId="9" hidden="1"/>
    <cellStyle name="Followed Hyperlink" xfId="5962" builtinId="9" hidden="1"/>
    <cellStyle name="Followed Hyperlink" xfId="5963" builtinId="9" hidden="1"/>
    <cellStyle name="Followed Hyperlink" xfId="5964" builtinId="9" hidden="1"/>
    <cellStyle name="Followed Hyperlink" xfId="5965" builtinId="9" hidden="1"/>
    <cellStyle name="Followed Hyperlink" xfId="5966" builtinId="9" hidden="1"/>
    <cellStyle name="Followed Hyperlink" xfId="5967" builtinId="9" hidden="1"/>
    <cellStyle name="Followed Hyperlink" xfId="5968" builtinId="9" hidden="1"/>
    <cellStyle name="Followed Hyperlink" xfId="5969" builtinId="9" hidden="1"/>
    <cellStyle name="Followed Hyperlink" xfId="5970" builtinId="9" hidden="1"/>
    <cellStyle name="Followed Hyperlink" xfId="5971" builtinId="9" hidden="1"/>
    <cellStyle name="Followed Hyperlink" xfId="5972" builtinId="9" hidden="1"/>
    <cellStyle name="Followed Hyperlink" xfId="5973" builtinId="9" hidden="1"/>
    <cellStyle name="Followed Hyperlink" xfId="5974" builtinId="9" hidden="1"/>
    <cellStyle name="Followed Hyperlink" xfId="5975" builtinId="9" hidden="1"/>
    <cellStyle name="Followed Hyperlink" xfId="5976" builtinId="9" hidden="1"/>
    <cellStyle name="Followed Hyperlink" xfId="5977" builtinId="9" hidden="1"/>
    <cellStyle name="Followed Hyperlink" xfId="5978" builtinId="9" hidden="1"/>
    <cellStyle name="Followed Hyperlink" xfId="5979" builtinId="9" hidden="1"/>
    <cellStyle name="Followed Hyperlink" xfId="5980" builtinId="9" hidden="1"/>
    <cellStyle name="Followed Hyperlink" xfId="5981" builtinId="9" hidden="1"/>
    <cellStyle name="Followed Hyperlink" xfId="5982" builtinId="9" hidden="1"/>
    <cellStyle name="Followed Hyperlink" xfId="5983" builtinId="9" hidden="1"/>
    <cellStyle name="Followed Hyperlink" xfId="5984" builtinId="9" hidden="1"/>
    <cellStyle name="Followed Hyperlink" xfId="5985" builtinId="9" hidden="1"/>
    <cellStyle name="Followed Hyperlink" xfId="5986" builtinId="9" hidden="1"/>
    <cellStyle name="Followed Hyperlink" xfId="5987" builtinId="9" hidden="1"/>
    <cellStyle name="Followed Hyperlink" xfId="5988" builtinId="9" hidden="1"/>
    <cellStyle name="Followed Hyperlink" xfId="5989" builtinId="9" hidden="1"/>
    <cellStyle name="Followed Hyperlink" xfId="5990" builtinId="9" hidden="1"/>
    <cellStyle name="Followed Hyperlink" xfId="5991" builtinId="9" hidden="1"/>
    <cellStyle name="Followed Hyperlink" xfId="5992" builtinId="9" hidden="1"/>
    <cellStyle name="Followed Hyperlink" xfId="5993" builtinId="9" hidden="1"/>
    <cellStyle name="Followed Hyperlink" xfId="5994" builtinId="9" hidden="1"/>
    <cellStyle name="Followed Hyperlink" xfId="5995" builtinId="9" hidden="1"/>
    <cellStyle name="Followed Hyperlink" xfId="5996" builtinId="9" hidden="1"/>
    <cellStyle name="Followed Hyperlink" xfId="5997" builtinId="9" hidden="1"/>
    <cellStyle name="Followed Hyperlink" xfId="5998" builtinId="9" hidden="1"/>
    <cellStyle name="Followed Hyperlink" xfId="5999" builtinId="9" hidden="1"/>
    <cellStyle name="Followed Hyperlink" xfId="6000" builtinId="9" hidden="1"/>
    <cellStyle name="Followed Hyperlink" xfId="6001" builtinId="9" hidden="1"/>
    <cellStyle name="Followed Hyperlink" xfId="6002" builtinId="9" hidden="1"/>
    <cellStyle name="Followed Hyperlink" xfId="6003" builtinId="9" hidden="1"/>
    <cellStyle name="Followed Hyperlink" xfId="6004" builtinId="9" hidden="1"/>
    <cellStyle name="Followed Hyperlink" xfId="6005" builtinId="9" hidden="1"/>
    <cellStyle name="Followed Hyperlink" xfId="6006" builtinId="9" hidden="1"/>
    <cellStyle name="Followed Hyperlink" xfId="6007" builtinId="9" hidden="1"/>
    <cellStyle name="Followed Hyperlink" xfId="6008" builtinId="9" hidden="1"/>
    <cellStyle name="Followed Hyperlink" xfId="6009" builtinId="9" hidden="1"/>
    <cellStyle name="Followed Hyperlink" xfId="6010" builtinId="9" hidden="1"/>
    <cellStyle name="Followed Hyperlink" xfId="6011" builtinId="9" hidden="1"/>
    <cellStyle name="Followed Hyperlink" xfId="6012" builtinId="9" hidden="1"/>
    <cellStyle name="Followed Hyperlink" xfId="6013" builtinId="9" hidden="1"/>
    <cellStyle name="Followed Hyperlink" xfId="6014" builtinId="9" hidden="1"/>
    <cellStyle name="Followed Hyperlink" xfId="6015" builtinId="9" hidden="1"/>
    <cellStyle name="Followed Hyperlink" xfId="6016" builtinId="9" hidden="1"/>
    <cellStyle name="Followed Hyperlink" xfId="6017" builtinId="9" hidden="1"/>
    <cellStyle name="Followed Hyperlink" xfId="6018" builtinId="9" hidden="1"/>
    <cellStyle name="Followed Hyperlink" xfId="6019" builtinId="9" hidden="1"/>
    <cellStyle name="Followed Hyperlink" xfId="6020" builtinId="9" hidden="1"/>
    <cellStyle name="Followed Hyperlink" xfId="6021" builtinId="9" hidden="1"/>
    <cellStyle name="Followed Hyperlink" xfId="6022" builtinId="9" hidden="1"/>
    <cellStyle name="Followed Hyperlink" xfId="6023" builtinId="9" hidden="1"/>
    <cellStyle name="Followed Hyperlink" xfId="6024" builtinId="9" hidden="1"/>
    <cellStyle name="Followed Hyperlink" xfId="6025" builtinId="9" hidden="1"/>
    <cellStyle name="Followed Hyperlink" xfId="6026" builtinId="9" hidden="1"/>
    <cellStyle name="Followed Hyperlink" xfId="6027" builtinId="9" hidden="1"/>
    <cellStyle name="Followed Hyperlink" xfId="6028" builtinId="9" hidden="1"/>
    <cellStyle name="Followed Hyperlink" xfId="6029" builtinId="9" hidden="1"/>
    <cellStyle name="Followed Hyperlink" xfId="6030" builtinId="9" hidden="1"/>
    <cellStyle name="Followed Hyperlink" xfId="6031" builtinId="9" hidden="1"/>
    <cellStyle name="Followed Hyperlink" xfId="6032" builtinId="9" hidden="1"/>
    <cellStyle name="Followed Hyperlink" xfId="6033" builtinId="9" hidden="1"/>
    <cellStyle name="Followed Hyperlink" xfId="6034" builtinId="9" hidden="1"/>
    <cellStyle name="Followed Hyperlink" xfId="6035" builtinId="9" hidden="1"/>
    <cellStyle name="Followed Hyperlink" xfId="6036" builtinId="9" hidden="1"/>
    <cellStyle name="Followed Hyperlink" xfId="6037" builtinId="9" hidden="1"/>
    <cellStyle name="Followed Hyperlink" xfId="6038" builtinId="9" hidden="1"/>
    <cellStyle name="Followed Hyperlink" xfId="6039" builtinId="9" hidden="1"/>
    <cellStyle name="Followed Hyperlink" xfId="6040" builtinId="9" hidden="1"/>
    <cellStyle name="Followed Hyperlink" xfId="6041" builtinId="9" hidden="1"/>
    <cellStyle name="Followed Hyperlink" xfId="6042" builtinId="9" hidden="1"/>
    <cellStyle name="Followed Hyperlink" xfId="6043" builtinId="9" hidden="1"/>
    <cellStyle name="Followed Hyperlink" xfId="6044" builtinId="9" hidden="1"/>
    <cellStyle name="Followed Hyperlink" xfId="6045" builtinId="9" hidden="1"/>
    <cellStyle name="Followed Hyperlink" xfId="6046" builtinId="9" hidden="1"/>
    <cellStyle name="Followed Hyperlink" xfId="6047" builtinId="9" hidden="1"/>
    <cellStyle name="Followed Hyperlink" xfId="6048" builtinId="9" hidden="1"/>
    <cellStyle name="Followed Hyperlink" xfId="6049" builtinId="9" hidden="1"/>
    <cellStyle name="Followed Hyperlink" xfId="6050" builtinId="9" hidden="1"/>
    <cellStyle name="Followed Hyperlink" xfId="6051" builtinId="9" hidden="1"/>
    <cellStyle name="Followed Hyperlink" xfId="6052" builtinId="9" hidden="1"/>
    <cellStyle name="Followed Hyperlink" xfId="6053" builtinId="9" hidden="1"/>
    <cellStyle name="Followed Hyperlink" xfId="6054" builtinId="9" hidden="1"/>
    <cellStyle name="Followed Hyperlink" xfId="6055" builtinId="9" hidden="1"/>
    <cellStyle name="Followed Hyperlink" xfId="6056" builtinId="9" hidden="1"/>
    <cellStyle name="Followed Hyperlink" xfId="6057" builtinId="9" hidden="1"/>
    <cellStyle name="Followed Hyperlink" xfId="6058" builtinId="9" hidden="1"/>
    <cellStyle name="Followed Hyperlink" xfId="6059" builtinId="9" hidden="1"/>
    <cellStyle name="Followed Hyperlink" xfId="6060" builtinId="9" hidden="1"/>
    <cellStyle name="Followed Hyperlink" xfId="6061" builtinId="9" hidden="1"/>
    <cellStyle name="Followed Hyperlink" xfId="6062" builtinId="9" hidden="1"/>
    <cellStyle name="Followed Hyperlink" xfId="6063" builtinId="9" hidden="1"/>
    <cellStyle name="Followed Hyperlink" xfId="6064" builtinId="9" hidden="1"/>
    <cellStyle name="Followed Hyperlink" xfId="6065" builtinId="9" hidden="1"/>
    <cellStyle name="Followed Hyperlink" xfId="6066" builtinId="9" hidden="1"/>
    <cellStyle name="Followed Hyperlink" xfId="6067" builtinId="9" hidden="1"/>
    <cellStyle name="Followed Hyperlink" xfId="6068" builtinId="9" hidden="1"/>
    <cellStyle name="Followed Hyperlink" xfId="6069" builtinId="9" hidden="1"/>
    <cellStyle name="Followed Hyperlink" xfId="6070" builtinId="9" hidden="1"/>
    <cellStyle name="Followed Hyperlink" xfId="6071" builtinId="9" hidden="1"/>
    <cellStyle name="Followed Hyperlink" xfId="6072" builtinId="9" hidden="1"/>
    <cellStyle name="Followed Hyperlink" xfId="6073" builtinId="9" hidden="1"/>
    <cellStyle name="Followed Hyperlink" xfId="6074" builtinId="9" hidden="1"/>
    <cellStyle name="Followed Hyperlink" xfId="6075" builtinId="9" hidden="1"/>
    <cellStyle name="Followed Hyperlink" xfId="6076" builtinId="9" hidden="1"/>
    <cellStyle name="Followed Hyperlink" xfId="6077" builtinId="9" hidden="1"/>
    <cellStyle name="Followed Hyperlink" xfId="6078" builtinId="9" hidden="1"/>
    <cellStyle name="Followed Hyperlink" xfId="6079" builtinId="9" hidden="1"/>
    <cellStyle name="Followed Hyperlink" xfId="6080" builtinId="9" hidden="1"/>
    <cellStyle name="Followed Hyperlink" xfId="6081" builtinId="9" hidden="1"/>
    <cellStyle name="Followed Hyperlink" xfId="6082" builtinId="9" hidden="1"/>
    <cellStyle name="Followed Hyperlink" xfId="6083" builtinId="9" hidden="1"/>
    <cellStyle name="Followed Hyperlink" xfId="6084" builtinId="9" hidden="1"/>
    <cellStyle name="Followed Hyperlink" xfId="6085" builtinId="9" hidden="1"/>
    <cellStyle name="Followed Hyperlink" xfId="6086" builtinId="9" hidden="1"/>
    <cellStyle name="Followed Hyperlink" xfId="6087" builtinId="9" hidden="1"/>
    <cellStyle name="Followed Hyperlink" xfId="6088" builtinId="9" hidden="1"/>
    <cellStyle name="Followed Hyperlink" xfId="6089" builtinId="9" hidden="1"/>
    <cellStyle name="Followed Hyperlink" xfId="6090" builtinId="9" hidden="1"/>
    <cellStyle name="Followed Hyperlink" xfId="6091" builtinId="9" hidden="1"/>
    <cellStyle name="Followed Hyperlink" xfId="6092" builtinId="9" hidden="1"/>
    <cellStyle name="Followed Hyperlink" xfId="6093" builtinId="9" hidden="1"/>
    <cellStyle name="Followed Hyperlink" xfId="6094" builtinId="9" hidden="1"/>
    <cellStyle name="Followed Hyperlink" xfId="6095" builtinId="9" hidden="1"/>
    <cellStyle name="Followed Hyperlink" xfId="6096" builtinId="9" hidden="1"/>
    <cellStyle name="Followed Hyperlink" xfId="6097" builtinId="9" hidden="1"/>
    <cellStyle name="Followed Hyperlink" xfId="6098" builtinId="9" hidden="1"/>
    <cellStyle name="Followed Hyperlink" xfId="6099" builtinId="9" hidden="1"/>
    <cellStyle name="Followed Hyperlink" xfId="6100" builtinId="9" hidden="1"/>
    <cellStyle name="Followed Hyperlink" xfId="6101" builtinId="9" hidden="1"/>
    <cellStyle name="Followed Hyperlink" xfId="6102" builtinId="9" hidden="1"/>
    <cellStyle name="Followed Hyperlink" xfId="6103" builtinId="9" hidden="1"/>
    <cellStyle name="Followed Hyperlink" xfId="6104" builtinId="9" hidden="1"/>
    <cellStyle name="Followed Hyperlink" xfId="6105" builtinId="9" hidden="1"/>
    <cellStyle name="Followed Hyperlink" xfId="6106" builtinId="9" hidden="1"/>
    <cellStyle name="Followed Hyperlink" xfId="6107" builtinId="9" hidden="1"/>
    <cellStyle name="Followed Hyperlink" xfId="6108" builtinId="9" hidden="1"/>
    <cellStyle name="Followed Hyperlink" xfId="6109" builtinId="9" hidden="1"/>
    <cellStyle name="Followed Hyperlink" xfId="6110" builtinId="9" hidden="1"/>
    <cellStyle name="Followed Hyperlink" xfId="6111" builtinId="9" hidden="1"/>
    <cellStyle name="Followed Hyperlink" xfId="6112" builtinId="9" hidden="1"/>
    <cellStyle name="Followed Hyperlink" xfId="6113" builtinId="9" hidden="1"/>
    <cellStyle name="Followed Hyperlink" xfId="6114" builtinId="9" hidden="1"/>
    <cellStyle name="Followed Hyperlink" xfId="6115" builtinId="9" hidden="1"/>
    <cellStyle name="Followed Hyperlink" xfId="6116" builtinId="9" hidden="1"/>
    <cellStyle name="Followed Hyperlink" xfId="6117" builtinId="9" hidden="1"/>
    <cellStyle name="Followed Hyperlink" xfId="6118" builtinId="9" hidden="1"/>
    <cellStyle name="Followed Hyperlink" xfId="6119" builtinId="9" hidden="1"/>
    <cellStyle name="Followed Hyperlink" xfId="6120" builtinId="9" hidden="1"/>
    <cellStyle name="Followed Hyperlink" xfId="6121" builtinId="9" hidden="1"/>
    <cellStyle name="Followed Hyperlink" xfId="6122" builtinId="9" hidden="1"/>
    <cellStyle name="Followed Hyperlink" xfId="6123" builtinId="9" hidden="1"/>
    <cellStyle name="Followed Hyperlink" xfId="6124" builtinId="9" hidden="1"/>
    <cellStyle name="Followed Hyperlink" xfId="6125" builtinId="9" hidden="1"/>
    <cellStyle name="Followed Hyperlink" xfId="6126" builtinId="9" hidden="1"/>
    <cellStyle name="Followed Hyperlink" xfId="6127" builtinId="9" hidden="1"/>
    <cellStyle name="Followed Hyperlink" xfId="6128" builtinId="9" hidden="1"/>
    <cellStyle name="Followed Hyperlink" xfId="6129" builtinId="9" hidden="1"/>
    <cellStyle name="Followed Hyperlink" xfId="6130" builtinId="9" hidden="1"/>
    <cellStyle name="Followed Hyperlink" xfId="6131" builtinId="9" hidden="1"/>
    <cellStyle name="Followed Hyperlink" xfId="6132" builtinId="9" hidden="1"/>
    <cellStyle name="Followed Hyperlink" xfId="6133" builtinId="9" hidden="1"/>
    <cellStyle name="Followed Hyperlink" xfId="6134" builtinId="9" hidden="1"/>
    <cellStyle name="Followed Hyperlink" xfId="6135" builtinId="9" hidden="1"/>
    <cellStyle name="Followed Hyperlink" xfId="6136" builtinId="9" hidden="1"/>
    <cellStyle name="Followed Hyperlink" xfId="6137" builtinId="9" hidden="1"/>
    <cellStyle name="Followed Hyperlink" xfId="6138" builtinId="9" hidden="1"/>
    <cellStyle name="Followed Hyperlink" xfId="6139" builtinId="9" hidden="1"/>
    <cellStyle name="Followed Hyperlink" xfId="6140" builtinId="9" hidden="1"/>
    <cellStyle name="Followed Hyperlink" xfId="6141" builtinId="9" hidden="1"/>
    <cellStyle name="Followed Hyperlink" xfId="6142" builtinId="9" hidden="1"/>
    <cellStyle name="Followed Hyperlink" xfId="6143" builtinId="9" hidden="1"/>
    <cellStyle name="Followed Hyperlink" xfId="6144" builtinId="9" hidden="1"/>
    <cellStyle name="Followed Hyperlink" xfId="6145" builtinId="9" hidden="1"/>
    <cellStyle name="Followed Hyperlink" xfId="6146" builtinId="9" hidden="1"/>
    <cellStyle name="Followed Hyperlink" xfId="6147" builtinId="9" hidden="1"/>
    <cellStyle name="Followed Hyperlink" xfId="6148" builtinId="9" hidden="1"/>
    <cellStyle name="Followed Hyperlink" xfId="6149" builtinId="9" hidden="1"/>
    <cellStyle name="Followed Hyperlink" xfId="6150" builtinId="9" hidden="1"/>
    <cellStyle name="Followed Hyperlink" xfId="6151" builtinId="9" hidden="1"/>
    <cellStyle name="Followed Hyperlink" xfId="6152" builtinId="9" hidden="1"/>
    <cellStyle name="Followed Hyperlink" xfId="6153" builtinId="9" hidden="1"/>
    <cellStyle name="Followed Hyperlink" xfId="6154" builtinId="9" hidden="1"/>
    <cellStyle name="Followed Hyperlink" xfId="6155" builtinId="9" hidden="1"/>
    <cellStyle name="Followed Hyperlink" xfId="6156" builtinId="9" hidden="1"/>
    <cellStyle name="Followed Hyperlink" xfId="6157" builtinId="9" hidden="1"/>
    <cellStyle name="Followed Hyperlink" xfId="6158" builtinId="9" hidden="1"/>
    <cellStyle name="Followed Hyperlink" xfId="6159" builtinId="9" hidden="1"/>
    <cellStyle name="Followed Hyperlink" xfId="6160" builtinId="9" hidden="1"/>
    <cellStyle name="Followed Hyperlink" xfId="6161" builtinId="9" hidden="1"/>
    <cellStyle name="Followed Hyperlink" xfId="6162" builtinId="9" hidden="1"/>
    <cellStyle name="Followed Hyperlink" xfId="6163" builtinId="9" hidden="1"/>
    <cellStyle name="Followed Hyperlink" xfId="6164" builtinId="9" hidden="1"/>
    <cellStyle name="Followed Hyperlink" xfId="6165" builtinId="9" hidden="1"/>
    <cellStyle name="Followed Hyperlink" xfId="6166" builtinId="9" hidden="1"/>
    <cellStyle name="Followed Hyperlink" xfId="6167" builtinId="9" hidden="1"/>
    <cellStyle name="Followed Hyperlink" xfId="6168" builtinId="9" hidden="1"/>
    <cellStyle name="Followed Hyperlink" xfId="6169" builtinId="9" hidden="1"/>
    <cellStyle name="Followed Hyperlink" xfId="6170" builtinId="9" hidden="1"/>
    <cellStyle name="Followed Hyperlink" xfId="6171" builtinId="9" hidden="1"/>
    <cellStyle name="Followed Hyperlink" xfId="6172" builtinId="9" hidden="1"/>
    <cellStyle name="Followed Hyperlink" xfId="6173" builtinId="9" hidden="1"/>
    <cellStyle name="Followed Hyperlink" xfId="6174" builtinId="9" hidden="1"/>
    <cellStyle name="Followed Hyperlink" xfId="6175" builtinId="9" hidden="1"/>
    <cellStyle name="Followed Hyperlink" xfId="6176" builtinId="9" hidden="1"/>
    <cellStyle name="Followed Hyperlink" xfId="6177" builtinId="9" hidden="1"/>
    <cellStyle name="Followed Hyperlink" xfId="6178" builtinId="9" hidden="1"/>
    <cellStyle name="Followed Hyperlink" xfId="6179" builtinId="9" hidden="1"/>
    <cellStyle name="Followed Hyperlink" xfId="6180" builtinId="9" hidden="1"/>
    <cellStyle name="Followed Hyperlink" xfId="6181" builtinId="9" hidden="1"/>
    <cellStyle name="Followed Hyperlink" xfId="6182" builtinId="9" hidden="1"/>
    <cellStyle name="Followed Hyperlink" xfId="6183" builtinId="9" hidden="1"/>
    <cellStyle name="Followed Hyperlink" xfId="6184" builtinId="9" hidden="1"/>
    <cellStyle name="Followed Hyperlink" xfId="6185" builtinId="9" hidden="1"/>
    <cellStyle name="Followed Hyperlink" xfId="6186" builtinId="9" hidden="1"/>
    <cellStyle name="Followed Hyperlink" xfId="6187" builtinId="9" hidden="1"/>
    <cellStyle name="Followed Hyperlink" xfId="6188" builtinId="9" hidden="1"/>
    <cellStyle name="Followed Hyperlink" xfId="6189" builtinId="9" hidden="1"/>
    <cellStyle name="Followed Hyperlink" xfId="6190" builtinId="9" hidden="1"/>
    <cellStyle name="Followed Hyperlink" xfId="6191" builtinId="9" hidden="1"/>
    <cellStyle name="Followed Hyperlink" xfId="6192" builtinId="9" hidden="1"/>
    <cellStyle name="Followed Hyperlink" xfId="6193" builtinId="9" hidden="1"/>
    <cellStyle name="Followed Hyperlink" xfId="6194" builtinId="9" hidden="1"/>
    <cellStyle name="Followed Hyperlink" xfId="6195" builtinId="9" hidden="1"/>
    <cellStyle name="Followed Hyperlink" xfId="6196" builtinId="9" hidden="1"/>
    <cellStyle name="Followed Hyperlink" xfId="6197" builtinId="9" hidden="1"/>
    <cellStyle name="Followed Hyperlink" xfId="6198" builtinId="9" hidden="1"/>
    <cellStyle name="Followed Hyperlink" xfId="6199" builtinId="9" hidden="1"/>
    <cellStyle name="Followed Hyperlink" xfId="6200" builtinId="9" hidden="1"/>
    <cellStyle name="Followed Hyperlink" xfId="6201" builtinId="9" hidden="1"/>
    <cellStyle name="Followed Hyperlink" xfId="6202" builtinId="9" hidden="1"/>
    <cellStyle name="Followed Hyperlink" xfId="6203" builtinId="9" hidden="1"/>
    <cellStyle name="Followed Hyperlink" xfId="6204" builtinId="9" hidden="1"/>
    <cellStyle name="Followed Hyperlink" xfId="6205" builtinId="9" hidden="1"/>
    <cellStyle name="Followed Hyperlink" xfId="6206" builtinId="9" hidden="1"/>
    <cellStyle name="Followed Hyperlink" xfId="6207" builtinId="9" hidden="1"/>
    <cellStyle name="Followed Hyperlink" xfId="6208"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12" builtinId="9" hidden="1"/>
    <cellStyle name="Followed Hyperlink" xfId="6313" builtinId="9" hidden="1"/>
    <cellStyle name="Followed Hyperlink" xfId="6314" builtinId="9" hidden="1"/>
    <cellStyle name="Followed Hyperlink" xfId="6315" builtinId="9" hidden="1"/>
    <cellStyle name="Followed Hyperlink" xfId="6316" builtinId="9" hidden="1"/>
    <cellStyle name="Followed Hyperlink" xfId="6317" builtinId="9" hidden="1"/>
    <cellStyle name="Followed Hyperlink" xfId="6318" builtinId="9" hidden="1"/>
    <cellStyle name="Followed Hyperlink" xfId="6319" builtinId="9" hidden="1"/>
    <cellStyle name="Followed Hyperlink" xfId="6320" builtinId="9" hidden="1"/>
    <cellStyle name="Followed Hyperlink" xfId="6321" builtinId="9" hidden="1"/>
    <cellStyle name="Followed Hyperlink" xfId="6322" builtinId="9" hidden="1"/>
    <cellStyle name="Followed Hyperlink" xfId="6323" builtinId="9" hidden="1"/>
    <cellStyle name="Followed Hyperlink" xfId="6324" builtinId="9" hidden="1"/>
    <cellStyle name="Followed Hyperlink" xfId="6325" builtinId="9" hidden="1"/>
    <cellStyle name="Followed Hyperlink" xfId="6326" builtinId="9" hidden="1"/>
    <cellStyle name="Followed Hyperlink" xfId="6327" builtinId="9" hidden="1"/>
    <cellStyle name="Followed Hyperlink" xfId="6328" builtinId="9" hidden="1"/>
    <cellStyle name="Followed Hyperlink" xfId="6329" builtinId="9" hidden="1"/>
    <cellStyle name="Followed Hyperlink" xfId="6330" builtinId="9" hidden="1"/>
    <cellStyle name="Followed Hyperlink" xfId="6331" builtinId="9" hidden="1"/>
    <cellStyle name="Followed Hyperlink" xfId="6332"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6864" builtinId="9" hidden="1"/>
    <cellStyle name="Followed Hyperlink" xfId="6865" builtinId="9" hidden="1"/>
    <cellStyle name="Followed Hyperlink" xfId="6866" builtinId="9" hidden="1"/>
    <cellStyle name="Followed Hyperlink" xfId="6867" builtinId="9" hidden="1"/>
    <cellStyle name="Followed Hyperlink" xfId="6868" builtinId="9" hidden="1"/>
    <cellStyle name="Followed Hyperlink" xfId="6869" builtinId="9" hidden="1"/>
    <cellStyle name="Followed Hyperlink" xfId="6870" builtinId="9" hidden="1"/>
    <cellStyle name="Followed Hyperlink" xfId="6871" builtinId="9" hidden="1"/>
    <cellStyle name="Followed Hyperlink" xfId="6872" builtinId="9" hidden="1"/>
    <cellStyle name="Followed Hyperlink" xfId="6873" builtinId="9" hidden="1"/>
    <cellStyle name="Followed Hyperlink" xfId="6874" builtinId="9" hidden="1"/>
    <cellStyle name="Followed Hyperlink" xfId="6875" builtinId="9" hidden="1"/>
    <cellStyle name="Followed Hyperlink" xfId="6876" builtinId="9" hidden="1"/>
    <cellStyle name="Followed Hyperlink" xfId="6877" builtinId="9" hidden="1"/>
    <cellStyle name="Followed Hyperlink" xfId="6878" builtinId="9" hidden="1"/>
    <cellStyle name="Followed Hyperlink" xfId="6879" builtinId="9" hidden="1"/>
    <cellStyle name="Followed Hyperlink" xfId="6880" builtinId="9" hidden="1"/>
    <cellStyle name="Followed Hyperlink" xfId="6881" builtinId="9" hidden="1"/>
    <cellStyle name="Followed Hyperlink" xfId="6882" builtinId="9" hidden="1"/>
    <cellStyle name="Followed Hyperlink" xfId="6883" builtinId="9" hidden="1"/>
    <cellStyle name="Followed Hyperlink" xfId="6884" builtinId="9" hidden="1"/>
    <cellStyle name="Followed Hyperlink" xfId="6885" builtinId="9" hidden="1"/>
    <cellStyle name="Followed Hyperlink" xfId="6886" builtinId="9" hidden="1"/>
    <cellStyle name="Followed Hyperlink" xfId="6887" builtinId="9" hidden="1"/>
    <cellStyle name="Followed Hyperlink" xfId="6888" builtinId="9" hidden="1"/>
    <cellStyle name="Followed Hyperlink" xfId="6889" builtinId="9" hidden="1"/>
    <cellStyle name="Followed Hyperlink" xfId="6890" builtinId="9" hidden="1"/>
    <cellStyle name="Followed Hyperlink" xfId="6891" builtinId="9" hidden="1"/>
    <cellStyle name="Followed Hyperlink" xfId="6892" builtinId="9" hidden="1"/>
    <cellStyle name="Followed Hyperlink" xfId="6893" builtinId="9" hidden="1"/>
    <cellStyle name="Followed Hyperlink" xfId="6894" builtinId="9" hidden="1"/>
    <cellStyle name="Followed Hyperlink" xfId="6895" builtinId="9" hidden="1"/>
    <cellStyle name="Followed Hyperlink" xfId="6896" builtinId="9" hidden="1"/>
    <cellStyle name="Followed Hyperlink" xfId="6897" builtinId="9" hidden="1"/>
    <cellStyle name="Followed Hyperlink" xfId="6898" builtinId="9" hidden="1"/>
    <cellStyle name="Followed Hyperlink" xfId="6899" builtinId="9" hidden="1"/>
    <cellStyle name="Followed Hyperlink" xfId="6900" builtinId="9" hidden="1"/>
    <cellStyle name="Followed Hyperlink" xfId="6901" builtinId="9" hidden="1"/>
    <cellStyle name="Followed Hyperlink" xfId="6902" builtinId="9" hidden="1"/>
    <cellStyle name="Followed Hyperlink" xfId="6903" builtinId="9" hidden="1"/>
    <cellStyle name="Followed Hyperlink" xfId="6904" builtinId="9" hidden="1"/>
    <cellStyle name="Followed Hyperlink" xfId="6905" builtinId="9" hidden="1"/>
    <cellStyle name="Followed Hyperlink" xfId="6906" builtinId="9" hidden="1"/>
    <cellStyle name="Followed Hyperlink" xfId="6907" builtinId="9" hidden="1"/>
    <cellStyle name="Followed Hyperlink" xfId="6908" builtinId="9" hidden="1"/>
    <cellStyle name="Followed Hyperlink" xfId="6909" builtinId="9" hidden="1"/>
    <cellStyle name="Followed Hyperlink" xfId="6910" builtinId="9" hidden="1"/>
    <cellStyle name="Followed Hyperlink" xfId="6911" builtinId="9" hidden="1"/>
    <cellStyle name="Followed Hyperlink" xfId="6912" builtinId="9" hidden="1"/>
    <cellStyle name="Followed Hyperlink" xfId="6913" builtinId="9" hidden="1"/>
    <cellStyle name="Followed Hyperlink" xfId="6914" builtinId="9" hidden="1"/>
    <cellStyle name="Followed Hyperlink" xfId="6915" builtinId="9" hidden="1"/>
    <cellStyle name="Followed Hyperlink" xfId="6916" builtinId="9" hidden="1"/>
    <cellStyle name="Followed Hyperlink" xfId="6917" builtinId="9" hidden="1"/>
    <cellStyle name="Followed Hyperlink" xfId="6918" builtinId="9" hidden="1"/>
    <cellStyle name="Followed Hyperlink" xfId="6919" builtinId="9" hidden="1"/>
    <cellStyle name="Followed Hyperlink" xfId="6920" builtinId="9" hidden="1"/>
    <cellStyle name="Followed Hyperlink" xfId="6921" builtinId="9" hidden="1"/>
    <cellStyle name="Followed Hyperlink" xfId="6922" builtinId="9" hidden="1"/>
    <cellStyle name="Followed Hyperlink" xfId="6923" builtinId="9" hidden="1"/>
    <cellStyle name="Followed Hyperlink" xfId="6924" builtinId="9" hidden="1"/>
    <cellStyle name="Followed Hyperlink" xfId="6925" builtinId="9" hidden="1"/>
    <cellStyle name="Followed Hyperlink" xfId="6926" builtinId="9" hidden="1"/>
    <cellStyle name="Followed Hyperlink" xfId="6927" builtinId="9" hidden="1"/>
    <cellStyle name="Followed Hyperlink" xfId="6928" builtinId="9" hidden="1"/>
    <cellStyle name="Followed Hyperlink" xfId="6929" builtinId="9" hidden="1"/>
    <cellStyle name="Followed Hyperlink" xfId="6930" builtinId="9" hidden="1"/>
    <cellStyle name="Followed Hyperlink" xfId="6931" builtinId="9" hidden="1"/>
    <cellStyle name="Followed Hyperlink" xfId="6932" builtinId="9" hidden="1"/>
    <cellStyle name="Followed Hyperlink" xfId="6933" builtinId="9" hidden="1"/>
    <cellStyle name="Followed Hyperlink" xfId="6934" builtinId="9" hidden="1"/>
    <cellStyle name="Followed Hyperlink" xfId="6935" builtinId="9" hidden="1"/>
    <cellStyle name="Followed Hyperlink" xfId="6936" builtinId="9" hidden="1"/>
    <cellStyle name="Followed Hyperlink" xfId="6937" builtinId="9" hidden="1"/>
    <cellStyle name="Followed Hyperlink" xfId="6938" builtinId="9" hidden="1"/>
    <cellStyle name="Followed Hyperlink" xfId="6939" builtinId="9" hidden="1"/>
    <cellStyle name="Followed Hyperlink" xfId="6940" builtinId="9" hidden="1"/>
    <cellStyle name="Followed Hyperlink" xfId="6941" builtinId="9" hidden="1"/>
    <cellStyle name="Followed Hyperlink" xfId="6942" builtinId="9" hidden="1"/>
    <cellStyle name="Followed Hyperlink" xfId="6943" builtinId="9" hidden="1"/>
    <cellStyle name="Followed Hyperlink" xfId="6944" builtinId="9" hidden="1"/>
    <cellStyle name="Followed Hyperlink" xfId="6945" builtinId="9" hidden="1"/>
    <cellStyle name="Followed Hyperlink" xfId="6946" builtinId="9" hidden="1"/>
    <cellStyle name="Followed Hyperlink" xfId="6947" builtinId="9" hidden="1"/>
    <cellStyle name="Followed Hyperlink" xfId="6948" builtinId="9" hidden="1"/>
    <cellStyle name="Followed Hyperlink" xfId="6949" builtinId="9" hidden="1"/>
    <cellStyle name="Followed Hyperlink" xfId="6950" builtinId="9" hidden="1"/>
    <cellStyle name="Followed Hyperlink" xfId="6951" builtinId="9" hidden="1"/>
    <cellStyle name="Followed Hyperlink" xfId="6952" builtinId="9" hidden="1"/>
    <cellStyle name="Followed Hyperlink" xfId="6953" builtinId="9" hidden="1"/>
    <cellStyle name="Followed Hyperlink" xfId="6954" builtinId="9" hidden="1"/>
    <cellStyle name="Followed Hyperlink" xfId="6955" builtinId="9" hidden="1"/>
    <cellStyle name="Followed Hyperlink" xfId="6956" builtinId="9" hidden="1"/>
    <cellStyle name="Followed Hyperlink" xfId="6957" builtinId="9" hidden="1"/>
    <cellStyle name="Followed Hyperlink" xfId="6958" builtinId="9" hidden="1"/>
    <cellStyle name="Followed Hyperlink" xfId="6959" builtinId="9" hidden="1"/>
    <cellStyle name="Followed Hyperlink" xfId="6960" builtinId="9" hidden="1"/>
    <cellStyle name="Followed Hyperlink" xfId="6961" builtinId="9" hidden="1"/>
    <cellStyle name="Followed Hyperlink" xfId="6962" builtinId="9" hidden="1"/>
    <cellStyle name="Followed Hyperlink" xfId="6963" builtinId="9" hidden="1"/>
    <cellStyle name="Followed Hyperlink" xfId="6964" builtinId="9" hidden="1"/>
    <cellStyle name="Followed Hyperlink" xfId="6965" builtinId="9" hidden="1"/>
    <cellStyle name="Followed Hyperlink" xfId="6966" builtinId="9" hidden="1"/>
    <cellStyle name="Followed Hyperlink" xfId="6967" builtinId="9" hidden="1"/>
    <cellStyle name="Followed Hyperlink" xfId="6968" builtinId="9" hidden="1"/>
    <cellStyle name="Followed Hyperlink" xfId="6969" builtinId="9" hidden="1"/>
    <cellStyle name="Followed Hyperlink" xfId="6970" builtinId="9" hidden="1"/>
    <cellStyle name="Followed Hyperlink" xfId="6971" builtinId="9" hidden="1"/>
    <cellStyle name="Followed Hyperlink" xfId="6972" builtinId="9" hidden="1"/>
    <cellStyle name="Followed Hyperlink" xfId="6973" builtinId="9" hidden="1"/>
    <cellStyle name="Followed Hyperlink" xfId="6974" builtinId="9" hidden="1"/>
    <cellStyle name="Followed Hyperlink" xfId="6975" builtinId="9" hidden="1"/>
    <cellStyle name="Followed Hyperlink" xfId="6976" builtinId="9" hidden="1"/>
    <cellStyle name="Followed Hyperlink" xfId="6977" builtinId="9" hidden="1"/>
    <cellStyle name="Followed Hyperlink" xfId="6978" builtinId="9" hidden="1"/>
    <cellStyle name="Followed Hyperlink" xfId="6979" builtinId="9" hidden="1"/>
    <cellStyle name="Followed Hyperlink" xfId="6980" builtinId="9" hidden="1"/>
    <cellStyle name="Followed Hyperlink" xfId="6981" builtinId="9" hidden="1"/>
    <cellStyle name="Followed Hyperlink" xfId="6982" builtinId="9" hidden="1"/>
    <cellStyle name="Followed Hyperlink" xfId="6983" builtinId="9" hidden="1"/>
    <cellStyle name="Followed Hyperlink" xfId="6984" builtinId="9" hidden="1"/>
    <cellStyle name="Followed Hyperlink" xfId="6985" builtinId="9" hidden="1"/>
    <cellStyle name="Followed Hyperlink" xfId="6986" builtinId="9" hidden="1"/>
    <cellStyle name="Followed Hyperlink" xfId="6987" builtinId="9" hidden="1"/>
    <cellStyle name="Followed Hyperlink" xfId="6988" builtinId="9" hidden="1"/>
    <cellStyle name="Followed Hyperlink" xfId="6989" builtinId="9" hidden="1"/>
    <cellStyle name="Followed Hyperlink" xfId="6990" builtinId="9" hidden="1"/>
    <cellStyle name="Followed Hyperlink" xfId="6991" builtinId="9" hidden="1"/>
    <cellStyle name="Followed Hyperlink" xfId="6992" builtinId="9" hidden="1"/>
    <cellStyle name="Followed Hyperlink" xfId="6993" builtinId="9" hidden="1"/>
    <cellStyle name="Followed Hyperlink" xfId="6994" builtinId="9" hidden="1"/>
    <cellStyle name="Followed Hyperlink" xfId="6995" builtinId="9" hidden="1"/>
    <cellStyle name="Followed Hyperlink" xfId="6996" builtinId="9" hidden="1"/>
    <cellStyle name="Followed Hyperlink" xfId="6997" builtinId="9" hidden="1"/>
    <cellStyle name="Followed Hyperlink" xfId="6998" builtinId="9" hidden="1"/>
    <cellStyle name="Followed Hyperlink" xfId="6999" builtinId="9" hidden="1"/>
    <cellStyle name="Followed Hyperlink" xfId="7000" builtinId="9" hidden="1"/>
    <cellStyle name="Followed Hyperlink" xfId="7001" builtinId="9" hidden="1"/>
    <cellStyle name="Followed Hyperlink" xfId="7002" builtinId="9" hidden="1"/>
    <cellStyle name="Followed Hyperlink" xfId="7003" builtinId="9" hidden="1"/>
    <cellStyle name="Followed Hyperlink" xfId="7004" builtinId="9" hidden="1"/>
    <cellStyle name="Followed Hyperlink" xfId="7005" builtinId="9" hidden="1"/>
    <cellStyle name="Followed Hyperlink" xfId="7006" builtinId="9" hidden="1"/>
    <cellStyle name="Followed Hyperlink" xfId="7007" builtinId="9" hidden="1"/>
    <cellStyle name="Followed Hyperlink" xfId="7008" builtinId="9" hidden="1"/>
    <cellStyle name="Followed Hyperlink" xfId="7009" builtinId="9" hidden="1"/>
    <cellStyle name="Followed Hyperlink" xfId="7010" builtinId="9" hidden="1"/>
    <cellStyle name="Followed Hyperlink" xfId="7011" builtinId="9" hidden="1"/>
    <cellStyle name="Followed Hyperlink" xfId="7012" builtinId="9" hidden="1"/>
    <cellStyle name="Followed Hyperlink" xfId="7013" builtinId="9" hidden="1"/>
    <cellStyle name="Followed Hyperlink" xfId="7014" builtinId="9" hidden="1"/>
    <cellStyle name="Followed Hyperlink" xfId="7015" builtinId="9" hidden="1"/>
    <cellStyle name="Followed Hyperlink" xfId="7016" builtinId="9" hidden="1"/>
    <cellStyle name="Followed Hyperlink" xfId="7017" builtinId="9" hidden="1"/>
    <cellStyle name="Followed Hyperlink" xfId="7018" builtinId="9" hidden="1"/>
    <cellStyle name="Followed Hyperlink" xfId="7019" builtinId="9" hidden="1"/>
    <cellStyle name="Followed Hyperlink" xfId="7020" builtinId="9" hidden="1"/>
    <cellStyle name="Followed Hyperlink" xfId="7021" builtinId="9" hidden="1"/>
    <cellStyle name="Followed Hyperlink" xfId="7022" builtinId="9" hidden="1"/>
    <cellStyle name="Followed Hyperlink" xfId="7023" builtinId="9" hidden="1"/>
    <cellStyle name="Followed Hyperlink" xfId="7024" builtinId="9" hidden="1"/>
    <cellStyle name="Followed Hyperlink" xfId="7025" builtinId="9" hidden="1"/>
    <cellStyle name="Followed Hyperlink" xfId="7026" builtinId="9" hidden="1"/>
    <cellStyle name="Followed Hyperlink" xfId="7027" builtinId="9" hidden="1"/>
    <cellStyle name="Followed Hyperlink" xfId="7028" builtinId="9" hidden="1"/>
    <cellStyle name="Followed Hyperlink" xfId="7029" builtinId="9" hidden="1"/>
    <cellStyle name="Followed Hyperlink" xfId="7030" builtinId="9" hidden="1"/>
    <cellStyle name="Followed Hyperlink" xfId="7031" builtinId="9" hidden="1"/>
    <cellStyle name="Followed Hyperlink" xfId="7032" builtinId="9" hidden="1"/>
    <cellStyle name="Followed Hyperlink" xfId="7033" builtinId="9" hidden="1"/>
    <cellStyle name="Followed Hyperlink" xfId="7034" builtinId="9" hidden="1"/>
    <cellStyle name="Followed Hyperlink" xfId="7035" builtinId="9" hidden="1"/>
    <cellStyle name="Followed Hyperlink" xfId="7036" builtinId="9" hidden="1"/>
    <cellStyle name="Followed Hyperlink" xfId="7037" builtinId="9" hidden="1"/>
    <cellStyle name="Followed Hyperlink" xfId="7038" builtinId="9" hidden="1"/>
    <cellStyle name="Followed Hyperlink" xfId="7039" builtinId="9" hidden="1"/>
    <cellStyle name="Followed Hyperlink" xfId="7040" builtinId="9" hidden="1"/>
    <cellStyle name="Followed Hyperlink" xfId="7041" builtinId="9" hidden="1"/>
    <cellStyle name="Followed Hyperlink" xfId="7042" builtinId="9" hidden="1"/>
    <cellStyle name="Followed Hyperlink" xfId="7043" builtinId="9" hidden="1"/>
    <cellStyle name="Followed Hyperlink" xfId="7044" builtinId="9" hidden="1"/>
    <cellStyle name="Followed Hyperlink" xfId="7045" builtinId="9" hidden="1"/>
    <cellStyle name="Followed Hyperlink" xfId="7046" builtinId="9" hidden="1"/>
    <cellStyle name="Followed Hyperlink" xfId="7047" builtinId="9" hidden="1"/>
    <cellStyle name="Followed Hyperlink" xfId="7048" builtinId="9" hidden="1"/>
    <cellStyle name="Followed Hyperlink" xfId="7049" builtinId="9" hidden="1"/>
    <cellStyle name="Followed Hyperlink" xfId="7050" builtinId="9" hidden="1"/>
    <cellStyle name="Followed Hyperlink" xfId="7051" builtinId="9" hidden="1"/>
    <cellStyle name="Followed Hyperlink" xfId="7052" builtinId="9" hidden="1"/>
    <cellStyle name="Followed Hyperlink" xfId="7053" builtinId="9" hidden="1"/>
    <cellStyle name="Followed Hyperlink" xfId="7054" builtinId="9" hidden="1"/>
    <cellStyle name="Followed Hyperlink" xfId="7055" builtinId="9" hidden="1"/>
    <cellStyle name="Followed Hyperlink" xfId="7056" builtinId="9" hidden="1"/>
    <cellStyle name="Followed Hyperlink" xfId="7057" builtinId="9" hidden="1"/>
    <cellStyle name="Followed Hyperlink" xfId="7058" builtinId="9" hidden="1"/>
    <cellStyle name="Followed Hyperlink" xfId="7059" builtinId="9" hidden="1"/>
    <cellStyle name="Followed Hyperlink" xfId="7060" builtinId="9" hidden="1"/>
    <cellStyle name="Followed Hyperlink" xfId="7061" builtinId="9" hidden="1"/>
    <cellStyle name="Followed Hyperlink" xfId="7062" builtinId="9" hidden="1"/>
    <cellStyle name="Followed Hyperlink" xfId="7063" builtinId="9" hidden="1"/>
    <cellStyle name="Followed Hyperlink" xfId="7064" builtinId="9" hidden="1"/>
    <cellStyle name="Followed Hyperlink" xfId="7065" builtinId="9" hidden="1"/>
    <cellStyle name="Followed Hyperlink" xfId="7066" builtinId="9" hidden="1"/>
    <cellStyle name="Followed Hyperlink" xfId="7067" builtinId="9" hidden="1"/>
    <cellStyle name="Followed Hyperlink" xfId="7068" builtinId="9" hidden="1"/>
    <cellStyle name="Followed Hyperlink" xfId="7069" builtinId="9" hidden="1"/>
    <cellStyle name="Followed Hyperlink" xfId="7070" builtinId="9" hidden="1"/>
    <cellStyle name="Followed Hyperlink" xfId="7071" builtinId="9" hidden="1"/>
    <cellStyle name="Followed Hyperlink" xfId="7072" builtinId="9" hidden="1"/>
    <cellStyle name="Followed Hyperlink" xfId="7073" builtinId="9" hidden="1"/>
    <cellStyle name="Followed Hyperlink" xfId="7074" builtinId="9" hidden="1"/>
    <cellStyle name="Followed Hyperlink" xfId="7075" builtinId="9" hidden="1"/>
    <cellStyle name="Followed Hyperlink" xfId="7076" builtinId="9" hidden="1"/>
    <cellStyle name="Followed Hyperlink" xfId="7077" builtinId="9" hidden="1"/>
    <cellStyle name="Followed Hyperlink" xfId="7078" builtinId="9" hidden="1"/>
    <cellStyle name="Followed Hyperlink" xfId="7079" builtinId="9" hidden="1"/>
    <cellStyle name="Followed Hyperlink" xfId="7080" builtinId="9" hidden="1"/>
    <cellStyle name="Followed Hyperlink" xfId="7081" builtinId="9" hidden="1"/>
    <cellStyle name="Followed Hyperlink" xfId="7082" builtinId="9" hidden="1"/>
    <cellStyle name="Followed Hyperlink" xfId="7083" builtinId="9" hidden="1"/>
    <cellStyle name="Followed Hyperlink" xfId="7084" builtinId="9" hidden="1"/>
    <cellStyle name="Followed Hyperlink" xfId="7085" builtinId="9" hidden="1"/>
    <cellStyle name="Followed Hyperlink" xfId="7086" builtinId="9" hidden="1"/>
    <cellStyle name="Followed Hyperlink" xfId="7087" builtinId="9" hidden="1"/>
    <cellStyle name="Followed Hyperlink" xfId="7088" builtinId="9" hidden="1"/>
    <cellStyle name="Followed Hyperlink" xfId="7089" builtinId="9" hidden="1"/>
    <cellStyle name="Followed Hyperlink" xfId="7090" builtinId="9" hidden="1"/>
    <cellStyle name="Followed Hyperlink" xfId="7091" builtinId="9" hidden="1"/>
    <cellStyle name="Followed Hyperlink" xfId="7092" builtinId="9" hidden="1"/>
    <cellStyle name="Followed Hyperlink" xfId="7093" builtinId="9" hidden="1"/>
    <cellStyle name="Followed Hyperlink" xfId="7094" builtinId="9" hidden="1"/>
    <cellStyle name="Followed Hyperlink" xfId="7095" builtinId="9" hidden="1"/>
    <cellStyle name="Followed Hyperlink" xfId="7096" builtinId="9" hidden="1"/>
    <cellStyle name="Followed Hyperlink" xfId="7097" builtinId="9" hidden="1"/>
    <cellStyle name="Followed Hyperlink" xfId="7098" builtinId="9" hidden="1"/>
    <cellStyle name="Followed Hyperlink" xfId="7099" builtinId="9" hidden="1"/>
    <cellStyle name="Followed Hyperlink" xfId="7100" builtinId="9" hidden="1"/>
    <cellStyle name="Followed Hyperlink" xfId="7101" builtinId="9" hidden="1"/>
    <cellStyle name="Followed Hyperlink" xfId="7102" builtinId="9" hidden="1"/>
    <cellStyle name="Followed Hyperlink" xfId="7103" builtinId="9" hidden="1"/>
    <cellStyle name="Followed Hyperlink" xfId="7104" builtinId="9" hidden="1"/>
    <cellStyle name="Followed Hyperlink" xfId="7105" builtinId="9" hidden="1"/>
    <cellStyle name="Followed Hyperlink" xfId="7106" builtinId="9" hidden="1"/>
    <cellStyle name="Followed Hyperlink" xfId="7107" builtinId="9" hidden="1"/>
    <cellStyle name="Followed Hyperlink" xfId="7108" builtinId="9" hidden="1"/>
    <cellStyle name="Followed Hyperlink" xfId="7109" builtinId="9" hidden="1"/>
    <cellStyle name="Followed Hyperlink" xfId="7110" builtinId="9" hidden="1"/>
    <cellStyle name="Followed Hyperlink" xfId="7111" builtinId="9" hidden="1"/>
    <cellStyle name="Followed Hyperlink" xfId="7112" builtinId="9" hidden="1"/>
    <cellStyle name="Followed Hyperlink" xfId="7113" builtinId="9" hidden="1"/>
    <cellStyle name="Followed Hyperlink" xfId="7114" builtinId="9" hidden="1"/>
    <cellStyle name="Followed Hyperlink" xfId="7115" builtinId="9" hidden="1"/>
    <cellStyle name="Followed Hyperlink" xfId="7116" builtinId="9" hidden="1"/>
    <cellStyle name="Followed Hyperlink" xfId="7117" builtinId="9" hidden="1"/>
    <cellStyle name="Followed Hyperlink" xfId="7118" builtinId="9" hidden="1"/>
    <cellStyle name="Followed Hyperlink" xfId="7119" builtinId="9" hidden="1"/>
    <cellStyle name="Followed Hyperlink" xfId="7120" builtinId="9" hidden="1"/>
    <cellStyle name="Followed Hyperlink" xfId="7121" builtinId="9" hidden="1"/>
    <cellStyle name="Followed Hyperlink" xfId="7122" builtinId="9" hidden="1"/>
    <cellStyle name="Followed Hyperlink" xfId="7123" builtinId="9" hidden="1"/>
    <cellStyle name="Followed Hyperlink" xfId="7124" builtinId="9" hidden="1"/>
    <cellStyle name="Followed Hyperlink" xfId="7125" builtinId="9" hidden="1"/>
    <cellStyle name="Followed Hyperlink" xfId="7126" builtinId="9" hidden="1"/>
    <cellStyle name="Followed Hyperlink" xfId="7127" builtinId="9" hidden="1"/>
    <cellStyle name="Followed Hyperlink" xfId="7128" builtinId="9" hidden="1"/>
    <cellStyle name="Followed Hyperlink" xfId="7129" builtinId="9" hidden="1"/>
    <cellStyle name="Followed Hyperlink" xfId="7130" builtinId="9" hidden="1"/>
    <cellStyle name="Followed Hyperlink" xfId="7131" builtinId="9" hidden="1"/>
    <cellStyle name="Followed Hyperlink" xfId="7132" builtinId="9" hidden="1"/>
    <cellStyle name="Followed Hyperlink" xfId="7133" builtinId="9" hidden="1"/>
    <cellStyle name="Followed Hyperlink" xfId="7134" builtinId="9" hidden="1"/>
    <cellStyle name="Followed Hyperlink" xfId="7135" builtinId="9" hidden="1"/>
    <cellStyle name="Followed Hyperlink" xfId="7136" builtinId="9" hidden="1"/>
    <cellStyle name="Followed Hyperlink" xfId="7137" builtinId="9" hidden="1"/>
    <cellStyle name="Followed Hyperlink" xfId="7138" builtinId="9" hidden="1"/>
    <cellStyle name="Followed Hyperlink" xfId="7139" builtinId="9" hidden="1"/>
    <cellStyle name="Followed Hyperlink" xfId="7140" builtinId="9" hidden="1"/>
    <cellStyle name="Followed Hyperlink" xfId="7141" builtinId="9" hidden="1"/>
    <cellStyle name="Followed Hyperlink" xfId="7142" builtinId="9" hidden="1"/>
    <cellStyle name="Followed Hyperlink" xfId="7143" builtinId="9" hidden="1"/>
    <cellStyle name="Followed Hyperlink" xfId="7144" builtinId="9" hidden="1"/>
    <cellStyle name="Followed Hyperlink" xfId="7145" builtinId="9" hidden="1"/>
    <cellStyle name="Followed Hyperlink" xfId="7146" builtinId="9" hidden="1"/>
    <cellStyle name="Followed Hyperlink" xfId="7147" builtinId="9" hidden="1"/>
    <cellStyle name="Followed Hyperlink" xfId="7148" builtinId="9" hidden="1"/>
    <cellStyle name="Followed Hyperlink" xfId="7149" builtinId="9" hidden="1"/>
    <cellStyle name="Followed Hyperlink" xfId="7150" builtinId="9" hidden="1"/>
    <cellStyle name="Followed Hyperlink" xfId="7151" builtinId="9" hidden="1"/>
    <cellStyle name="Followed Hyperlink" xfId="7152" builtinId="9" hidden="1"/>
    <cellStyle name="Followed Hyperlink" xfId="7153" builtinId="9" hidden="1"/>
    <cellStyle name="Followed Hyperlink" xfId="7154" builtinId="9" hidden="1"/>
    <cellStyle name="Followed Hyperlink" xfId="7155" builtinId="9" hidden="1"/>
    <cellStyle name="Followed Hyperlink" xfId="7156" builtinId="9" hidden="1"/>
    <cellStyle name="Followed Hyperlink" xfId="7157" builtinId="9" hidden="1"/>
    <cellStyle name="Followed Hyperlink" xfId="7158" builtinId="9" hidden="1"/>
    <cellStyle name="Followed Hyperlink" xfId="7159" builtinId="9" hidden="1"/>
    <cellStyle name="Followed Hyperlink" xfId="7160" builtinId="9" hidden="1"/>
    <cellStyle name="Followed Hyperlink" xfId="7161" builtinId="9" hidden="1"/>
    <cellStyle name="Followed Hyperlink" xfId="7162" builtinId="9" hidden="1"/>
    <cellStyle name="Followed Hyperlink" xfId="7163" builtinId="9" hidden="1"/>
    <cellStyle name="Followed Hyperlink" xfId="7164" builtinId="9" hidden="1"/>
    <cellStyle name="Followed Hyperlink" xfId="7165" builtinId="9" hidden="1"/>
    <cellStyle name="Followed Hyperlink" xfId="7166" builtinId="9" hidden="1"/>
    <cellStyle name="Followed Hyperlink" xfId="7167" builtinId="9" hidden="1"/>
    <cellStyle name="Followed Hyperlink" xfId="7168" builtinId="9" hidden="1"/>
    <cellStyle name="Followed Hyperlink" xfId="7169" builtinId="9" hidden="1"/>
    <cellStyle name="Followed Hyperlink" xfId="7170" builtinId="9" hidden="1"/>
    <cellStyle name="Followed Hyperlink" xfId="7171" builtinId="9" hidden="1"/>
    <cellStyle name="Followed Hyperlink" xfId="7172" builtinId="9" hidden="1"/>
    <cellStyle name="Followed Hyperlink" xfId="7173" builtinId="9" hidden="1"/>
    <cellStyle name="Followed Hyperlink" xfId="7174" builtinId="9" hidden="1"/>
    <cellStyle name="Followed Hyperlink" xfId="7175" builtinId="9" hidden="1"/>
    <cellStyle name="Followed Hyperlink" xfId="7176" builtinId="9" hidden="1"/>
    <cellStyle name="Followed Hyperlink" xfId="7177" builtinId="9" hidden="1"/>
    <cellStyle name="Followed Hyperlink" xfId="7178" builtinId="9" hidden="1"/>
    <cellStyle name="Followed Hyperlink" xfId="7179" builtinId="9" hidden="1"/>
    <cellStyle name="Followed Hyperlink" xfId="7180" builtinId="9" hidden="1"/>
    <cellStyle name="Followed Hyperlink" xfId="7181" builtinId="9" hidden="1"/>
    <cellStyle name="Followed Hyperlink" xfId="7182" builtinId="9" hidden="1"/>
    <cellStyle name="Followed Hyperlink" xfId="7183" builtinId="9" hidden="1"/>
    <cellStyle name="Followed Hyperlink" xfId="7184" builtinId="9" hidden="1"/>
    <cellStyle name="Followed Hyperlink" xfId="7185" builtinId="9" hidden="1"/>
    <cellStyle name="Followed Hyperlink" xfId="7186" builtinId="9" hidden="1"/>
    <cellStyle name="Followed Hyperlink" xfId="7187" builtinId="9" hidden="1"/>
    <cellStyle name="Followed Hyperlink" xfId="7188" builtinId="9" hidden="1"/>
    <cellStyle name="Followed Hyperlink" xfId="7189" builtinId="9" hidden="1"/>
    <cellStyle name="Followed Hyperlink" xfId="7190" builtinId="9" hidden="1"/>
    <cellStyle name="Followed Hyperlink" xfId="7191" builtinId="9" hidden="1"/>
    <cellStyle name="Followed Hyperlink" xfId="7192" builtinId="9" hidden="1"/>
    <cellStyle name="Followed Hyperlink" xfId="7193" builtinId="9" hidden="1"/>
    <cellStyle name="Followed Hyperlink" xfId="7194" builtinId="9" hidden="1"/>
    <cellStyle name="Followed Hyperlink" xfId="7195" builtinId="9" hidden="1"/>
    <cellStyle name="Followed Hyperlink" xfId="7196" builtinId="9" hidden="1"/>
    <cellStyle name="Followed Hyperlink" xfId="7197" builtinId="9" hidden="1"/>
    <cellStyle name="Followed Hyperlink" xfId="7198" builtinId="9" hidden="1"/>
    <cellStyle name="Followed Hyperlink" xfId="7199" builtinId="9" hidden="1"/>
    <cellStyle name="Followed Hyperlink" xfId="7200" builtinId="9" hidden="1"/>
    <cellStyle name="Followed Hyperlink" xfId="7201" builtinId="9" hidden="1"/>
    <cellStyle name="Followed Hyperlink" xfId="7202" builtinId="9" hidden="1"/>
    <cellStyle name="Followed Hyperlink" xfId="7203" builtinId="9" hidden="1"/>
    <cellStyle name="Followed Hyperlink" xfId="7204" builtinId="9" hidden="1"/>
    <cellStyle name="Followed Hyperlink" xfId="7205" builtinId="9" hidden="1"/>
    <cellStyle name="Followed Hyperlink" xfId="7206" builtinId="9" hidden="1"/>
    <cellStyle name="Followed Hyperlink" xfId="7207" builtinId="9" hidden="1"/>
    <cellStyle name="Followed Hyperlink" xfId="7208" builtinId="9" hidden="1"/>
    <cellStyle name="Followed Hyperlink" xfId="7209" builtinId="9" hidden="1"/>
    <cellStyle name="Followed Hyperlink" xfId="7210" builtinId="9" hidden="1"/>
    <cellStyle name="Followed Hyperlink" xfId="7211" builtinId="9" hidden="1"/>
    <cellStyle name="Followed Hyperlink" xfId="7212" builtinId="9" hidden="1"/>
    <cellStyle name="Followed Hyperlink" xfId="7213" builtinId="9" hidden="1"/>
    <cellStyle name="Followed Hyperlink" xfId="7214" builtinId="9" hidden="1"/>
    <cellStyle name="Followed Hyperlink" xfId="7215" builtinId="9" hidden="1"/>
    <cellStyle name="Followed Hyperlink" xfId="7216" builtinId="9" hidden="1"/>
    <cellStyle name="Followed Hyperlink" xfId="7217" builtinId="9" hidden="1"/>
    <cellStyle name="Followed Hyperlink" xfId="7218" builtinId="9" hidden="1"/>
    <cellStyle name="Followed Hyperlink" xfId="7219" builtinId="9" hidden="1"/>
    <cellStyle name="Followed Hyperlink" xfId="7220" builtinId="9" hidden="1"/>
    <cellStyle name="Followed Hyperlink" xfId="7221" builtinId="9" hidden="1"/>
    <cellStyle name="Followed Hyperlink" xfId="7222" builtinId="9" hidden="1"/>
    <cellStyle name="Followed Hyperlink" xfId="7223" builtinId="9" hidden="1"/>
    <cellStyle name="Followed Hyperlink" xfId="7224" builtinId="9" hidden="1"/>
    <cellStyle name="Followed Hyperlink" xfId="7225" builtinId="9" hidden="1"/>
    <cellStyle name="Followed Hyperlink" xfId="7226" builtinId="9" hidden="1"/>
    <cellStyle name="Followed Hyperlink" xfId="7227" builtinId="9" hidden="1"/>
    <cellStyle name="Followed Hyperlink" xfId="7228" builtinId="9" hidden="1"/>
    <cellStyle name="Followed Hyperlink" xfId="7229" builtinId="9" hidden="1"/>
    <cellStyle name="Followed Hyperlink" xfId="7230" builtinId="9" hidden="1"/>
    <cellStyle name="Followed Hyperlink" xfId="7231" builtinId="9" hidden="1"/>
    <cellStyle name="Followed Hyperlink" xfId="7232" builtinId="9" hidden="1"/>
    <cellStyle name="Followed Hyperlink" xfId="7233" builtinId="9" hidden="1"/>
    <cellStyle name="Followed Hyperlink" xfId="7234" builtinId="9" hidden="1"/>
    <cellStyle name="Followed Hyperlink" xfId="7235" builtinId="9" hidden="1"/>
    <cellStyle name="Followed Hyperlink" xfId="7236" builtinId="9" hidden="1"/>
    <cellStyle name="Followed Hyperlink" xfId="7237" builtinId="9" hidden="1"/>
    <cellStyle name="Followed Hyperlink" xfId="7238" builtinId="9" hidden="1"/>
    <cellStyle name="Followed Hyperlink" xfId="7239" builtinId="9" hidden="1"/>
    <cellStyle name="Followed Hyperlink" xfId="7240" builtinId="9" hidden="1"/>
    <cellStyle name="Followed Hyperlink" xfId="7241" builtinId="9" hidden="1"/>
    <cellStyle name="Followed Hyperlink" xfId="7242" builtinId="9" hidden="1"/>
    <cellStyle name="Followed Hyperlink" xfId="7243" builtinId="9" hidden="1"/>
    <cellStyle name="Followed Hyperlink" xfId="7244" builtinId="9" hidden="1"/>
    <cellStyle name="Followed Hyperlink" xfId="7245" builtinId="9" hidden="1"/>
    <cellStyle name="Followed Hyperlink" xfId="7246" builtinId="9" hidden="1"/>
    <cellStyle name="Followed Hyperlink" xfId="7247" builtinId="9" hidden="1"/>
    <cellStyle name="Followed Hyperlink" xfId="7248" builtinId="9" hidden="1"/>
    <cellStyle name="Followed Hyperlink" xfId="7249" builtinId="9" hidden="1"/>
    <cellStyle name="Followed Hyperlink" xfId="7250" builtinId="9" hidden="1"/>
    <cellStyle name="Followed Hyperlink" xfId="7251" builtinId="9" hidden="1"/>
    <cellStyle name="Followed Hyperlink" xfId="7252" builtinId="9" hidden="1"/>
    <cellStyle name="Followed Hyperlink" xfId="7253" builtinId="9" hidden="1"/>
    <cellStyle name="Followed Hyperlink" xfId="7254" builtinId="9" hidden="1"/>
    <cellStyle name="Followed Hyperlink" xfId="7255" builtinId="9" hidden="1"/>
    <cellStyle name="Followed Hyperlink" xfId="7256" builtinId="9" hidden="1"/>
    <cellStyle name="Followed Hyperlink" xfId="7257" builtinId="9" hidden="1"/>
    <cellStyle name="Followed Hyperlink" xfId="7258" builtinId="9" hidden="1"/>
    <cellStyle name="Followed Hyperlink" xfId="7259" builtinId="9" hidden="1"/>
    <cellStyle name="Followed Hyperlink" xfId="7260" builtinId="9" hidden="1"/>
    <cellStyle name="Followed Hyperlink" xfId="7261" builtinId="9" hidden="1"/>
    <cellStyle name="Followed Hyperlink" xfId="7262" builtinId="9" hidden="1"/>
    <cellStyle name="Followed Hyperlink" xfId="7263" builtinId="9" hidden="1"/>
    <cellStyle name="Followed Hyperlink" xfId="7264" builtinId="9" hidden="1"/>
    <cellStyle name="Followed Hyperlink" xfId="7265" builtinId="9" hidden="1"/>
    <cellStyle name="Followed Hyperlink" xfId="7266" builtinId="9" hidden="1"/>
    <cellStyle name="Followed Hyperlink" xfId="7267" builtinId="9" hidden="1"/>
    <cellStyle name="Followed Hyperlink" xfId="7268" builtinId="9" hidden="1"/>
    <cellStyle name="Followed Hyperlink" xfId="7269" builtinId="9" hidden="1"/>
    <cellStyle name="Followed Hyperlink" xfId="7270" builtinId="9" hidden="1"/>
    <cellStyle name="Followed Hyperlink" xfId="7271" builtinId="9" hidden="1"/>
    <cellStyle name="Followed Hyperlink" xfId="7272" builtinId="9" hidden="1"/>
    <cellStyle name="Followed Hyperlink" xfId="7273" builtinId="9" hidden="1"/>
    <cellStyle name="Followed Hyperlink" xfId="7274" builtinId="9" hidden="1"/>
    <cellStyle name="Followed Hyperlink" xfId="7275" builtinId="9" hidden="1"/>
    <cellStyle name="Followed Hyperlink" xfId="7276" builtinId="9" hidden="1"/>
    <cellStyle name="Followed Hyperlink" xfId="7277" builtinId="9" hidden="1"/>
    <cellStyle name="Followed Hyperlink" xfId="7278" builtinId="9" hidden="1"/>
    <cellStyle name="Followed Hyperlink" xfId="7279" builtinId="9" hidden="1"/>
    <cellStyle name="Followed Hyperlink" xfId="7280" builtinId="9" hidden="1"/>
    <cellStyle name="Followed Hyperlink" xfId="7281" builtinId="9" hidden="1"/>
    <cellStyle name="Followed Hyperlink" xfId="7282" builtinId="9" hidden="1"/>
    <cellStyle name="Followed Hyperlink" xfId="7283" builtinId="9" hidden="1"/>
    <cellStyle name="Followed Hyperlink" xfId="7284" builtinId="9" hidden="1"/>
    <cellStyle name="Followed Hyperlink" xfId="7285" builtinId="9" hidden="1"/>
    <cellStyle name="Followed Hyperlink" xfId="7286" builtinId="9" hidden="1"/>
    <cellStyle name="Followed Hyperlink" xfId="7287" builtinId="9" hidden="1"/>
    <cellStyle name="Followed Hyperlink" xfId="7288" builtinId="9" hidden="1"/>
    <cellStyle name="Followed Hyperlink" xfId="7289" builtinId="9" hidden="1"/>
    <cellStyle name="Followed Hyperlink" xfId="7290" builtinId="9" hidden="1"/>
    <cellStyle name="Followed Hyperlink" xfId="7291" builtinId="9" hidden="1"/>
    <cellStyle name="Followed Hyperlink" xfId="7292" builtinId="9" hidden="1"/>
    <cellStyle name="Followed Hyperlink" xfId="7293" builtinId="9" hidden="1"/>
    <cellStyle name="Followed Hyperlink" xfId="7294" builtinId="9" hidden="1"/>
    <cellStyle name="Followed Hyperlink" xfId="7295" builtinId="9" hidden="1"/>
    <cellStyle name="Followed Hyperlink" xfId="7296" builtinId="9" hidden="1"/>
    <cellStyle name="Followed Hyperlink" xfId="7297" builtinId="9" hidden="1"/>
    <cellStyle name="Followed Hyperlink" xfId="7298" builtinId="9" hidden="1"/>
    <cellStyle name="Followed Hyperlink" xfId="7299" builtinId="9" hidden="1"/>
    <cellStyle name="Followed Hyperlink" xfId="7300" builtinId="9" hidden="1"/>
    <cellStyle name="Followed Hyperlink" xfId="7301" builtinId="9" hidden="1"/>
    <cellStyle name="Followed Hyperlink" xfId="7302" builtinId="9" hidden="1"/>
    <cellStyle name="Followed Hyperlink" xfId="7303" builtinId="9" hidden="1"/>
    <cellStyle name="Followed Hyperlink" xfId="7304" builtinId="9" hidden="1"/>
    <cellStyle name="Followed Hyperlink" xfId="7305" builtinId="9" hidden="1"/>
    <cellStyle name="Followed Hyperlink" xfId="7306" builtinId="9" hidden="1"/>
    <cellStyle name="Followed Hyperlink" xfId="7307" builtinId="9" hidden="1"/>
    <cellStyle name="Followed Hyperlink" xfId="7308" builtinId="9" hidden="1"/>
    <cellStyle name="Followed Hyperlink" xfId="7309" builtinId="9" hidden="1"/>
    <cellStyle name="Followed Hyperlink" xfId="7310" builtinId="9" hidden="1"/>
    <cellStyle name="Followed Hyperlink" xfId="7311" builtinId="9" hidden="1"/>
    <cellStyle name="Followed Hyperlink" xfId="7312" builtinId="9" hidden="1"/>
    <cellStyle name="Followed Hyperlink" xfId="7313" builtinId="9" hidden="1"/>
    <cellStyle name="Followed Hyperlink" xfId="7314" builtinId="9" hidden="1"/>
    <cellStyle name="Followed Hyperlink" xfId="7315" builtinId="9" hidden="1"/>
    <cellStyle name="Followed Hyperlink" xfId="7316" builtinId="9" hidden="1"/>
    <cellStyle name="Followed Hyperlink" xfId="7317" builtinId="9" hidden="1"/>
    <cellStyle name="Followed Hyperlink" xfId="7318" builtinId="9" hidden="1"/>
    <cellStyle name="Followed Hyperlink" xfId="7319" builtinId="9" hidden="1"/>
    <cellStyle name="Followed Hyperlink" xfId="7320" builtinId="9" hidden="1"/>
    <cellStyle name="Followed Hyperlink" xfId="7321" builtinId="9" hidden="1"/>
    <cellStyle name="Followed Hyperlink" xfId="7322" builtinId="9" hidden="1"/>
    <cellStyle name="Followed Hyperlink" xfId="7323" builtinId="9" hidden="1"/>
    <cellStyle name="Followed Hyperlink" xfId="7324" builtinId="9" hidden="1"/>
    <cellStyle name="Followed Hyperlink" xfId="7325" builtinId="9" hidden="1"/>
    <cellStyle name="Followed Hyperlink" xfId="7326" builtinId="9" hidden="1"/>
    <cellStyle name="Followed Hyperlink" xfId="7327" builtinId="9" hidden="1"/>
    <cellStyle name="Followed Hyperlink" xfId="7328" builtinId="9" hidden="1"/>
    <cellStyle name="Followed Hyperlink" xfId="7329" builtinId="9" hidden="1"/>
    <cellStyle name="Followed Hyperlink" xfId="7330" builtinId="9" hidden="1"/>
    <cellStyle name="Followed Hyperlink" xfId="7331" builtinId="9" hidden="1"/>
    <cellStyle name="Followed Hyperlink" xfId="7332" builtinId="9" hidden="1"/>
    <cellStyle name="Followed Hyperlink" xfId="7333" builtinId="9" hidden="1"/>
    <cellStyle name="Followed Hyperlink" xfId="7334" builtinId="9" hidden="1"/>
    <cellStyle name="Followed Hyperlink" xfId="7335" builtinId="9" hidden="1"/>
    <cellStyle name="Followed Hyperlink" xfId="7336" builtinId="9" hidden="1"/>
    <cellStyle name="Followed Hyperlink" xfId="7337" builtinId="9" hidden="1"/>
    <cellStyle name="Followed Hyperlink" xfId="7338" builtinId="9" hidden="1"/>
    <cellStyle name="Followed Hyperlink" xfId="7339" builtinId="9" hidden="1"/>
    <cellStyle name="Followed Hyperlink" xfId="7340" builtinId="9" hidden="1"/>
    <cellStyle name="Followed Hyperlink" xfId="7341" builtinId="9" hidden="1"/>
    <cellStyle name="Followed Hyperlink" xfId="7342" builtinId="9" hidden="1"/>
    <cellStyle name="Followed Hyperlink" xfId="7343" builtinId="9" hidden="1"/>
    <cellStyle name="Followed Hyperlink" xfId="7344" builtinId="9" hidden="1"/>
    <cellStyle name="Followed Hyperlink" xfId="7345" builtinId="9" hidden="1"/>
    <cellStyle name="Followed Hyperlink" xfId="7346" builtinId="9" hidden="1"/>
    <cellStyle name="Followed Hyperlink" xfId="7347" builtinId="9" hidden="1"/>
    <cellStyle name="Followed Hyperlink" xfId="7348" builtinId="9" hidden="1"/>
    <cellStyle name="Followed Hyperlink" xfId="7349" builtinId="9" hidden="1"/>
    <cellStyle name="Followed Hyperlink" xfId="7350" builtinId="9" hidden="1"/>
    <cellStyle name="Followed Hyperlink" xfId="7351" builtinId="9" hidden="1"/>
    <cellStyle name="Followed Hyperlink" xfId="7352" builtinId="9" hidden="1"/>
    <cellStyle name="Followed Hyperlink" xfId="7353" builtinId="9" hidden="1"/>
    <cellStyle name="Followed Hyperlink" xfId="7354" builtinId="9" hidden="1"/>
    <cellStyle name="Followed Hyperlink" xfId="7355" builtinId="9" hidden="1"/>
    <cellStyle name="Followed Hyperlink" xfId="7356" builtinId="9" hidden="1"/>
    <cellStyle name="Followed Hyperlink" xfId="7357" builtinId="9" hidden="1"/>
    <cellStyle name="Followed Hyperlink" xfId="7358" builtinId="9" hidden="1"/>
    <cellStyle name="Followed Hyperlink" xfId="7359" builtinId="9" hidden="1"/>
    <cellStyle name="Followed Hyperlink" xfId="7360" builtinId="9" hidden="1"/>
    <cellStyle name="Followed Hyperlink" xfId="7361" builtinId="9" hidden="1"/>
    <cellStyle name="Followed Hyperlink" xfId="7362" builtinId="9" hidden="1"/>
    <cellStyle name="Followed Hyperlink" xfId="7363" builtinId="9" hidden="1"/>
    <cellStyle name="Followed Hyperlink" xfId="7364" builtinId="9" hidden="1"/>
    <cellStyle name="Followed Hyperlink" xfId="7365" builtinId="9" hidden="1"/>
    <cellStyle name="Followed Hyperlink" xfId="7366" builtinId="9" hidden="1"/>
    <cellStyle name="Followed Hyperlink" xfId="7367" builtinId="9" hidden="1"/>
    <cellStyle name="Followed Hyperlink" xfId="7368" builtinId="9" hidden="1"/>
    <cellStyle name="Followed Hyperlink" xfId="7369" builtinId="9" hidden="1"/>
    <cellStyle name="Followed Hyperlink" xfId="7370" builtinId="9" hidden="1"/>
    <cellStyle name="Followed Hyperlink" xfId="7371" builtinId="9" hidden="1"/>
    <cellStyle name="Followed Hyperlink" xfId="7372" builtinId="9" hidden="1"/>
    <cellStyle name="Followed Hyperlink" xfId="7373" builtinId="9" hidden="1"/>
    <cellStyle name="Followed Hyperlink" xfId="7374" builtinId="9" hidden="1"/>
    <cellStyle name="Followed Hyperlink" xfId="7375" builtinId="9" hidden="1"/>
    <cellStyle name="Followed Hyperlink" xfId="7376" builtinId="9" hidden="1"/>
    <cellStyle name="Followed Hyperlink" xfId="7377" builtinId="9" hidden="1"/>
    <cellStyle name="Followed Hyperlink" xfId="7378" builtinId="9" hidden="1"/>
    <cellStyle name="Followed Hyperlink" xfId="7379" builtinId="9" hidden="1"/>
    <cellStyle name="Followed Hyperlink" xfId="7380" builtinId="9" hidden="1"/>
    <cellStyle name="Followed Hyperlink" xfId="7381" builtinId="9" hidden="1"/>
    <cellStyle name="Followed Hyperlink" xfId="7382" builtinId="9" hidden="1"/>
    <cellStyle name="Followed Hyperlink" xfId="7383" builtinId="9" hidden="1"/>
    <cellStyle name="Followed Hyperlink" xfId="7384" builtinId="9" hidden="1"/>
    <cellStyle name="Followed Hyperlink" xfId="7385" builtinId="9" hidden="1"/>
    <cellStyle name="Followed Hyperlink" xfId="7386" builtinId="9" hidden="1"/>
    <cellStyle name="Followed Hyperlink" xfId="7387" builtinId="9" hidden="1"/>
    <cellStyle name="Followed Hyperlink" xfId="7388"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7964" builtinId="9" hidden="1"/>
    <cellStyle name="Followed Hyperlink" xfId="7965" builtinId="9" hidden="1"/>
    <cellStyle name="Followed Hyperlink" xfId="7966" builtinId="9" hidden="1"/>
    <cellStyle name="Followed Hyperlink" xfId="7967" builtinId="9" hidden="1"/>
    <cellStyle name="Followed Hyperlink" xfId="7968" builtinId="9" hidden="1"/>
    <cellStyle name="Followed Hyperlink" xfId="7969" builtinId="9" hidden="1"/>
    <cellStyle name="Followed Hyperlink" xfId="7970" builtinId="9" hidden="1"/>
    <cellStyle name="Followed Hyperlink" xfId="7971" builtinId="9" hidden="1"/>
    <cellStyle name="Followed Hyperlink" xfId="7972" builtinId="9" hidden="1"/>
    <cellStyle name="Followed Hyperlink" xfId="7973" builtinId="9" hidden="1"/>
    <cellStyle name="Followed Hyperlink" xfId="7974" builtinId="9" hidden="1"/>
    <cellStyle name="Followed Hyperlink" xfId="7975" builtinId="9" hidden="1"/>
    <cellStyle name="Followed Hyperlink" xfId="7976" builtinId="9" hidden="1"/>
    <cellStyle name="Followed Hyperlink" xfId="7977" builtinId="9" hidden="1"/>
    <cellStyle name="Followed Hyperlink" xfId="7978" builtinId="9" hidden="1"/>
    <cellStyle name="Followed Hyperlink" xfId="7979" builtinId="9" hidden="1"/>
    <cellStyle name="Followed Hyperlink" xfId="7980" builtinId="9" hidden="1"/>
    <cellStyle name="Followed Hyperlink" xfId="7981" builtinId="9" hidden="1"/>
    <cellStyle name="Followed Hyperlink" xfId="7982" builtinId="9" hidden="1"/>
    <cellStyle name="Followed Hyperlink" xfId="7983" builtinId="9" hidden="1"/>
    <cellStyle name="Followed Hyperlink" xfId="7984" builtinId="9" hidden="1"/>
    <cellStyle name="Followed Hyperlink" xfId="7985" builtinId="9" hidden="1"/>
    <cellStyle name="Followed Hyperlink" xfId="7986" builtinId="9" hidden="1"/>
    <cellStyle name="Followed Hyperlink" xfId="7987" builtinId="9" hidden="1"/>
    <cellStyle name="Followed Hyperlink" xfId="7988" builtinId="9" hidden="1"/>
    <cellStyle name="Followed Hyperlink" xfId="7989" builtinId="9" hidden="1"/>
    <cellStyle name="Followed Hyperlink" xfId="7990" builtinId="9" hidden="1"/>
    <cellStyle name="Followed Hyperlink" xfId="7991" builtinId="9" hidden="1"/>
    <cellStyle name="Followed Hyperlink" xfId="7992" builtinId="9" hidden="1"/>
    <cellStyle name="Followed Hyperlink" xfId="7993" builtinId="9" hidden="1"/>
    <cellStyle name="Followed Hyperlink" xfId="7994" builtinId="9" hidden="1"/>
    <cellStyle name="Followed Hyperlink" xfId="7995" builtinId="9" hidden="1"/>
    <cellStyle name="Followed Hyperlink" xfId="7996" builtinId="9" hidden="1"/>
    <cellStyle name="Followed Hyperlink" xfId="7997" builtinId="9" hidden="1"/>
    <cellStyle name="Followed Hyperlink" xfId="7998" builtinId="9" hidden="1"/>
    <cellStyle name="Followed Hyperlink" xfId="7999" builtinId="9" hidden="1"/>
    <cellStyle name="Followed Hyperlink" xfId="8000" builtinId="9" hidden="1"/>
    <cellStyle name="Followed Hyperlink" xfId="8001" builtinId="9" hidden="1"/>
    <cellStyle name="Followed Hyperlink" xfId="8002" builtinId="9" hidden="1"/>
    <cellStyle name="Followed Hyperlink" xfId="8003" builtinId="9" hidden="1"/>
    <cellStyle name="Followed Hyperlink" xfId="8004" builtinId="9" hidden="1"/>
    <cellStyle name="Followed Hyperlink" xfId="8005" builtinId="9" hidden="1"/>
    <cellStyle name="Followed Hyperlink" xfId="8006" builtinId="9" hidden="1"/>
    <cellStyle name="Followed Hyperlink" xfId="8007" builtinId="9" hidden="1"/>
    <cellStyle name="Followed Hyperlink" xfId="8008" builtinId="9" hidden="1"/>
    <cellStyle name="Followed Hyperlink" xfId="8009" builtinId="9" hidden="1"/>
    <cellStyle name="Followed Hyperlink" xfId="8010" builtinId="9" hidden="1"/>
    <cellStyle name="Followed Hyperlink" xfId="8011" builtinId="9" hidden="1"/>
    <cellStyle name="Followed Hyperlink" xfId="8012" builtinId="9" hidden="1"/>
    <cellStyle name="Followed Hyperlink" xfId="8013" builtinId="9" hidden="1"/>
    <cellStyle name="Followed Hyperlink" xfId="8014" builtinId="9" hidden="1"/>
    <cellStyle name="Followed Hyperlink" xfId="8015" builtinId="9" hidden="1"/>
    <cellStyle name="Followed Hyperlink" xfId="8016" builtinId="9" hidden="1"/>
    <cellStyle name="Followed Hyperlink" xfId="8017" builtinId="9" hidden="1"/>
    <cellStyle name="Followed Hyperlink" xfId="8018" builtinId="9" hidden="1"/>
    <cellStyle name="Followed Hyperlink" xfId="8019" builtinId="9" hidden="1"/>
    <cellStyle name="Followed Hyperlink" xfId="8020" builtinId="9" hidden="1"/>
    <cellStyle name="Followed Hyperlink" xfId="8021" builtinId="9" hidden="1"/>
    <cellStyle name="Followed Hyperlink" xfId="8022" builtinId="9" hidden="1"/>
    <cellStyle name="Followed Hyperlink" xfId="8023" builtinId="9" hidden="1"/>
    <cellStyle name="Followed Hyperlink" xfId="8024" builtinId="9" hidden="1"/>
    <cellStyle name="Followed Hyperlink" xfId="8025" builtinId="9" hidden="1"/>
    <cellStyle name="Followed Hyperlink" xfId="8026" builtinId="9" hidden="1"/>
    <cellStyle name="Followed Hyperlink" xfId="8027" builtinId="9" hidden="1"/>
    <cellStyle name="Followed Hyperlink" xfId="8028" builtinId="9" hidden="1"/>
    <cellStyle name="Followed Hyperlink" xfId="8029" builtinId="9" hidden="1"/>
    <cellStyle name="Followed Hyperlink" xfId="8030" builtinId="9" hidden="1"/>
    <cellStyle name="Followed Hyperlink" xfId="8031" builtinId="9" hidden="1"/>
    <cellStyle name="Followed Hyperlink" xfId="8032" builtinId="9" hidden="1"/>
    <cellStyle name="Followed Hyperlink" xfId="8033" builtinId="9" hidden="1"/>
    <cellStyle name="Followed Hyperlink" xfId="8034" builtinId="9" hidden="1"/>
    <cellStyle name="Followed Hyperlink" xfId="8035" builtinId="9" hidden="1"/>
    <cellStyle name="Followed Hyperlink" xfId="8036" builtinId="9" hidden="1"/>
    <cellStyle name="Followed Hyperlink" xfId="8037" builtinId="9" hidden="1"/>
    <cellStyle name="Followed Hyperlink" xfId="8038" builtinId="9" hidden="1"/>
    <cellStyle name="Followed Hyperlink" xfId="8039" builtinId="9" hidden="1"/>
    <cellStyle name="Followed Hyperlink" xfId="8040" builtinId="9" hidden="1"/>
    <cellStyle name="Followed Hyperlink" xfId="8041" builtinId="9" hidden="1"/>
    <cellStyle name="Followed Hyperlink" xfId="8042" builtinId="9" hidden="1"/>
    <cellStyle name="Followed Hyperlink" xfId="8043" builtinId="9" hidden="1"/>
    <cellStyle name="Followed Hyperlink" xfId="8044" builtinId="9" hidden="1"/>
    <cellStyle name="Followed Hyperlink" xfId="8045" builtinId="9" hidden="1"/>
    <cellStyle name="Followed Hyperlink" xfId="8046" builtinId="9" hidden="1"/>
    <cellStyle name="Followed Hyperlink" xfId="8047" builtinId="9" hidden="1"/>
    <cellStyle name="Followed Hyperlink" xfId="8048" builtinId="9" hidden="1"/>
    <cellStyle name="Followed Hyperlink" xfId="8049" builtinId="9" hidden="1"/>
    <cellStyle name="Followed Hyperlink" xfId="8050" builtinId="9" hidden="1"/>
    <cellStyle name="Followed Hyperlink" xfId="8051" builtinId="9" hidden="1"/>
    <cellStyle name="Followed Hyperlink" xfId="8052" builtinId="9" hidden="1"/>
    <cellStyle name="Followed Hyperlink" xfId="8053" builtinId="9" hidden="1"/>
    <cellStyle name="Followed Hyperlink" xfId="8054" builtinId="9" hidden="1"/>
    <cellStyle name="Followed Hyperlink" xfId="8055" builtinId="9" hidden="1"/>
    <cellStyle name="Followed Hyperlink" xfId="8056" builtinId="9" hidden="1"/>
    <cellStyle name="Followed Hyperlink" xfId="8057" builtinId="9" hidden="1"/>
    <cellStyle name="Followed Hyperlink" xfId="8058" builtinId="9" hidden="1"/>
    <cellStyle name="Followed Hyperlink" xfId="8059" builtinId="9" hidden="1"/>
    <cellStyle name="Followed Hyperlink" xfId="8060" builtinId="9" hidden="1"/>
    <cellStyle name="Followed Hyperlink" xfId="8061" builtinId="9" hidden="1"/>
    <cellStyle name="Followed Hyperlink" xfId="8062" builtinId="9" hidden="1"/>
    <cellStyle name="Followed Hyperlink" xfId="8063" builtinId="9" hidden="1"/>
    <cellStyle name="Followed Hyperlink" xfId="8064" builtinId="9" hidden="1"/>
    <cellStyle name="Followed Hyperlink" xfId="8065" builtinId="9" hidden="1"/>
    <cellStyle name="Followed Hyperlink" xfId="8066" builtinId="9" hidden="1"/>
    <cellStyle name="Followed Hyperlink" xfId="8067" builtinId="9" hidden="1"/>
    <cellStyle name="Followed Hyperlink" xfId="8068" builtinId="9" hidden="1"/>
    <cellStyle name="Followed Hyperlink" xfId="8069" builtinId="9" hidden="1"/>
    <cellStyle name="Followed Hyperlink" xfId="8070" builtinId="9" hidden="1"/>
    <cellStyle name="Followed Hyperlink" xfId="8071" builtinId="9" hidden="1"/>
    <cellStyle name="Followed Hyperlink" xfId="8072" builtinId="9" hidden="1"/>
    <cellStyle name="Followed Hyperlink" xfId="8073" builtinId="9" hidden="1"/>
    <cellStyle name="Followed Hyperlink" xfId="8074" builtinId="9" hidden="1"/>
    <cellStyle name="Followed Hyperlink" xfId="8075" builtinId="9" hidden="1"/>
    <cellStyle name="Followed Hyperlink" xfId="8076" builtinId="9" hidden="1"/>
    <cellStyle name="Followed Hyperlink" xfId="8077" builtinId="9" hidden="1"/>
    <cellStyle name="Followed Hyperlink" xfId="8078" builtinId="9" hidden="1"/>
    <cellStyle name="Followed Hyperlink" xfId="8079" builtinId="9" hidden="1"/>
    <cellStyle name="Followed Hyperlink" xfId="8080" builtinId="9" hidden="1"/>
    <cellStyle name="Followed Hyperlink" xfId="8081" builtinId="9" hidden="1"/>
    <cellStyle name="Followed Hyperlink" xfId="8082" builtinId="9" hidden="1"/>
    <cellStyle name="Followed Hyperlink" xfId="8083" builtinId="9" hidden="1"/>
    <cellStyle name="Followed Hyperlink" xfId="8084" builtinId="9" hidden="1"/>
    <cellStyle name="Followed Hyperlink" xfId="8085" builtinId="9" hidden="1"/>
    <cellStyle name="Followed Hyperlink" xfId="8086" builtinId="9" hidden="1"/>
    <cellStyle name="Followed Hyperlink" xfId="8087" builtinId="9" hidden="1"/>
    <cellStyle name="Followed Hyperlink" xfId="8088" builtinId="9" hidden="1"/>
    <cellStyle name="Followed Hyperlink" xfId="8089" builtinId="9" hidden="1"/>
    <cellStyle name="Followed Hyperlink" xfId="8090" builtinId="9" hidden="1"/>
    <cellStyle name="Followed Hyperlink" xfId="8091" builtinId="9" hidden="1"/>
    <cellStyle name="Followed Hyperlink" xfId="8092" builtinId="9" hidden="1"/>
    <cellStyle name="Followed Hyperlink" xfId="8093" builtinId="9" hidden="1"/>
    <cellStyle name="Followed Hyperlink" xfId="8094" builtinId="9" hidden="1"/>
    <cellStyle name="Followed Hyperlink" xfId="8095" builtinId="9" hidden="1"/>
    <cellStyle name="Followed Hyperlink" xfId="8096" builtinId="9" hidden="1"/>
    <cellStyle name="Followed Hyperlink" xfId="8097" builtinId="9" hidden="1"/>
    <cellStyle name="Followed Hyperlink" xfId="8098" builtinId="9" hidden="1"/>
    <cellStyle name="Followed Hyperlink" xfId="8099" builtinId="9" hidden="1"/>
    <cellStyle name="Followed Hyperlink" xfId="8100" builtinId="9" hidden="1"/>
    <cellStyle name="Followed Hyperlink" xfId="8101" builtinId="9" hidden="1"/>
    <cellStyle name="Followed Hyperlink" xfId="8102" builtinId="9" hidden="1"/>
    <cellStyle name="Followed Hyperlink" xfId="8103" builtinId="9" hidden="1"/>
    <cellStyle name="Followed Hyperlink" xfId="8104" builtinId="9" hidden="1"/>
    <cellStyle name="Followed Hyperlink" xfId="8105" builtinId="9" hidden="1"/>
    <cellStyle name="Followed Hyperlink" xfId="8106" builtinId="9" hidden="1"/>
    <cellStyle name="Followed Hyperlink" xfId="8107" builtinId="9" hidden="1"/>
    <cellStyle name="Followed Hyperlink" xfId="8108" builtinId="9" hidden="1"/>
    <cellStyle name="Followed Hyperlink" xfId="8109" builtinId="9" hidden="1"/>
    <cellStyle name="Followed Hyperlink" xfId="8110" builtinId="9" hidden="1"/>
    <cellStyle name="Followed Hyperlink" xfId="8111" builtinId="9" hidden="1"/>
    <cellStyle name="Followed Hyperlink" xfId="8112" builtinId="9" hidden="1"/>
    <cellStyle name="Followed Hyperlink" xfId="8113" builtinId="9" hidden="1"/>
    <cellStyle name="Followed Hyperlink" xfId="8114" builtinId="9" hidden="1"/>
    <cellStyle name="Followed Hyperlink" xfId="8115" builtinId="9" hidden="1"/>
    <cellStyle name="Followed Hyperlink" xfId="8116" builtinId="9" hidden="1"/>
    <cellStyle name="Followed Hyperlink" xfId="8117" builtinId="9" hidden="1"/>
    <cellStyle name="Followed Hyperlink" xfId="8118" builtinId="9" hidden="1"/>
    <cellStyle name="Followed Hyperlink" xfId="8119" builtinId="9" hidden="1"/>
    <cellStyle name="Followed Hyperlink" xfId="8120" builtinId="9" hidden="1"/>
    <cellStyle name="Followed Hyperlink" xfId="8121" builtinId="9" hidden="1"/>
    <cellStyle name="Followed Hyperlink" xfId="8122" builtinId="9" hidden="1"/>
    <cellStyle name="Followed Hyperlink" xfId="8123" builtinId="9" hidden="1"/>
    <cellStyle name="Followed Hyperlink" xfId="8124" builtinId="9" hidden="1"/>
    <cellStyle name="Followed Hyperlink" xfId="8125" builtinId="9" hidden="1"/>
    <cellStyle name="Followed Hyperlink" xfId="8126" builtinId="9" hidden="1"/>
    <cellStyle name="Followed Hyperlink" xfId="8127" builtinId="9" hidden="1"/>
    <cellStyle name="Followed Hyperlink" xfId="8128" builtinId="9" hidden="1"/>
    <cellStyle name="Followed Hyperlink" xfId="8129" builtinId="9" hidden="1"/>
    <cellStyle name="Followed Hyperlink" xfId="8130" builtinId="9" hidden="1"/>
    <cellStyle name="Followed Hyperlink" xfId="8131" builtinId="9" hidden="1"/>
    <cellStyle name="Followed Hyperlink" xfId="8132" builtinId="9" hidden="1"/>
    <cellStyle name="Followed Hyperlink" xfId="8133" builtinId="9" hidden="1"/>
    <cellStyle name="Followed Hyperlink" xfId="8134" builtinId="9" hidden="1"/>
    <cellStyle name="Followed Hyperlink" xfId="8135" builtinId="9" hidden="1"/>
    <cellStyle name="Followed Hyperlink" xfId="8136" builtinId="9" hidden="1"/>
    <cellStyle name="Followed Hyperlink" xfId="8137" builtinId="9" hidden="1"/>
    <cellStyle name="Followed Hyperlink" xfId="8138" builtinId="9" hidden="1"/>
    <cellStyle name="Followed Hyperlink" xfId="8139" builtinId="9" hidden="1"/>
    <cellStyle name="Followed Hyperlink" xfId="8140" builtinId="9" hidden="1"/>
    <cellStyle name="Followed Hyperlink" xfId="8141" builtinId="9" hidden="1"/>
    <cellStyle name="Followed Hyperlink" xfId="8142" builtinId="9" hidden="1"/>
    <cellStyle name="Followed Hyperlink" xfId="8143" builtinId="9" hidden="1"/>
    <cellStyle name="Followed Hyperlink" xfId="8144" builtinId="9" hidden="1"/>
    <cellStyle name="Followed Hyperlink" xfId="8145" builtinId="9" hidden="1"/>
    <cellStyle name="Followed Hyperlink" xfId="8146" builtinId="9" hidden="1"/>
    <cellStyle name="Followed Hyperlink" xfId="8147" builtinId="9" hidden="1"/>
    <cellStyle name="Followed Hyperlink" xfId="8148" builtinId="9" hidden="1"/>
    <cellStyle name="Followed Hyperlink" xfId="8149" builtinId="9" hidden="1"/>
    <cellStyle name="Followed Hyperlink" xfId="8150" builtinId="9" hidden="1"/>
    <cellStyle name="Followed Hyperlink" xfId="8151" builtinId="9" hidden="1"/>
    <cellStyle name="Followed Hyperlink" xfId="8152" builtinId="9" hidden="1"/>
    <cellStyle name="Followed Hyperlink" xfId="8153" builtinId="9" hidden="1"/>
    <cellStyle name="Followed Hyperlink" xfId="8154" builtinId="9" hidden="1"/>
    <cellStyle name="Followed Hyperlink" xfId="8155" builtinId="9" hidden="1"/>
    <cellStyle name="Followed Hyperlink" xfId="8156" builtinId="9" hidden="1"/>
    <cellStyle name="Followed Hyperlink" xfId="8157" builtinId="9" hidden="1"/>
    <cellStyle name="Followed Hyperlink" xfId="8158" builtinId="9" hidden="1"/>
    <cellStyle name="Followed Hyperlink" xfId="8159" builtinId="9" hidden="1"/>
    <cellStyle name="Followed Hyperlink" xfId="8160" builtinId="9" hidden="1"/>
    <cellStyle name="Followed Hyperlink" xfId="8161" builtinId="9" hidden="1"/>
    <cellStyle name="Followed Hyperlink" xfId="8162" builtinId="9" hidden="1"/>
    <cellStyle name="Followed Hyperlink" xfId="8163" builtinId="9" hidden="1"/>
    <cellStyle name="Followed Hyperlink" xfId="8164" builtinId="9" hidden="1"/>
    <cellStyle name="Followed Hyperlink" xfId="8165" builtinId="9" hidden="1"/>
    <cellStyle name="Followed Hyperlink" xfId="8166" builtinId="9" hidden="1"/>
    <cellStyle name="Followed Hyperlink" xfId="8167" builtinId="9" hidden="1"/>
    <cellStyle name="Followed Hyperlink" xfId="8168" builtinId="9" hidden="1"/>
    <cellStyle name="Followed Hyperlink" xfId="8169" builtinId="9" hidden="1"/>
    <cellStyle name="Followed Hyperlink" xfId="8170" builtinId="9" hidden="1"/>
    <cellStyle name="Followed Hyperlink" xfId="8171" builtinId="9" hidden="1"/>
    <cellStyle name="Followed Hyperlink" xfId="8172" builtinId="9" hidden="1"/>
    <cellStyle name="Followed Hyperlink" xfId="8173" builtinId="9" hidden="1"/>
    <cellStyle name="Followed Hyperlink" xfId="8174" builtinId="9" hidden="1"/>
    <cellStyle name="Followed Hyperlink" xfId="8175" builtinId="9" hidden="1"/>
    <cellStyle name="Followed Hyperlink" xfId="8176" builtinId="9" hidden="1"/>
    <cellStyle name="Followed Hyperlink" xfId="8177" builtinId="9" hidden="1"/>
    <cellStyle name="Followed Hyperlink" xfId="8178" builtinId="9" hidden="1"/>
    <cellStyle name="Followed Hyperlink" xfId="8179" builtinId="9" hidden="1"/>
    <cellStyle name="Followed Hyperlink" xfId="8180" builtinId="9" hidden="1"/>
    <cellStyle name="Followed Hyperlink" xfId="8181" builtinId="9" hidden="1"/>
    <cellStyle name="Followed Hyperlink" xfId="8182" builtinId="9" hidden="1"/>
    <cellStyle name="Followed Hyperlink" xfId="8183" builtinId="9" hidden="1"/>
    <cellStyle name="Followed Hyperlink" xfId="8184" builtinId="9" hidden="1"/>
    <cellStyle name="Followed Hyperlink" xfId="8185" builtinId="9" hidden="1"/>
    <cellStyle name="Followed Hyperlink" xfId="8186" builtinId="9" hidden="1"/>
    <cellStyle name="Followed Hyperlink" xfId="8187" builtinId="9" hidden="1"/>
    <cellStyle name="Followed Hyperlink" xfId="8188" builtinId="9" hidden="1"/>
    <cellStyle name="Followed Hyperlink" xfId="8189" builtinId="9" hidden="1"/>
    <cellStyle name="Followed Hyperlink" xfId="8190" builtinId="9" hidden="1"/>
    <cellStyle name="Followed Hyperlink" xfId="8191" builtinId="9" hidden="1"/>
    <cellStyle name="Followed Hyperlink" xfId="8192" builtinId="9" hidden="1"/>
    <cellStyle name="Followed Hyperlink" xfId="8193" builtinId="9" hidden="1"/>
    <cellStyle name="Followed Hyperlink" xfId="8194" builtinId="9" hidden="1"/>
    <cellStyle name="Followed Hyperlink" xfId="8195" builtinId="9" hidden="1"/>
    <cellStyle name="Followed Hyperlink" xfId="8196" builtinId="9" hidden="1"/>
    <cellStyle name="Followed Hyperlink" xfId="8197" builtinId="9" hidden="1"/>
    <cellStyle name="Followed Hyperlink" xfId="8198" builtinId="9" hidden="1"/>
    <cellStyle name="Followed Hyperlink" xfId="8199" builtinId="9" hidden="1"/>
    <cellStyle name="Followed Hyperlink" xfId="8200" builtinId="9" hidden="1"/>
    <cellStyle name="Followed Hyperlink" xfId="8201" builtinId="9" hidden="1"/>
    <cellStyle name="Followed Hyperlink" xfId="8202" builtinId="9" hidden="1"/>
    <cellStyle name="Followed Hyperlink" xfId="8203" builtinId="9" hidden="1"/>
    <cellStyle name="Followed Hyperlink" xfId="8204" builtinId="9" hidden="1"/>
    <cellStyle name="Followed Hyperlink" xfId="8205" builtinId="9" hidden="1"/>
    <cellStyle name="Followed Hyperlink" xfId="8206" builtinId="9" hidden="1"/>
    <cellStyle name="Followed Hyperlink" xfId="8207" builtinId="9" hidden="1"/>
    <cellStyle name="Followed Hyperlink" xfId="8208" builtinId="9" hidden="1"/>
    <cellStyle name="Followed Hyperlink" xfId="8209" builtinId="9" hidden="1"/>
    <cellStyle name="Followed Hyperlink" xfId="8210" builtinId="9" hidden="1"/>
    <cellStyle name="Followed Hyperlink" xfId="8211" builtinId="9" hidden="1"/>
    <cellStyle name="Followed Hyperlink" xfId="8212" builtinId="9" hidden="1"/>
    <cellStyle name="Followed Hyperlink" xfId="8213" builtinId="9" hidden="1"/>
    <cellStyle name="Followed Hyperlink" xfId="8214" builtinId="9" hidden="1"/>
    <cellStyle name="Followed Hyperlink" xfId="8215" builtinId="9" hidden="1"/>
    <cellStyle name="Followed Hyperlink" xfId="8216" builtinId="9" hidden="1"/>
    <cellStyle name="Followed Hyperlink" xfId="8217" builtinId="9" hidden="1"/>
    <cellStyle name="Followed Hyperlink" xfId="8218" builtinId="9" hidden="1"/>
    <cellStyle name="Followed Hyperlink" xfId="8219" builtinId="9" hidden="1"/>
    <cellStyle name="Followed Hyperlink" xfId="8220" builtinId="9" hidden="1"/>
    <cellStyle name="Followed Hyperlink" xfId="8221" builtinId="9" hidden="1"/>
    <cellStyle name="Followed Hyperlink" xfId="8222" builtinId="9" hidden="1"/>
    <cellStyle name="Followed Hyperlink" xfId="8223" builtinId="9" hidden="1"/>
    <cellStyle name="Followed Hyperlink" xfId="8224" builtinId="9" hidden="1"/>
    <cellStyle name="Followed Hyperlink" xfId="8225" builtinId="9" hidden="1"/>
    <cellStyle name="Followed Hyperlink" xfId="8226" builtinId="9" hidden="1"/>
    <cellStyle name="Followed Hyperlink" xfId="8227" builtinId="9" hidden="1"/>
    <cellStyle name="Followed Hyperlink" xfId="8228" builtinId="9" hidden="1"/>
    <cellStyle name="Followed Hyperlink" xfId="8229" builtinId="9" hidden="1"/>
    <cellStyle name="Followed Hyperlink" xfId="8230" builtinId="9" hidden="1"/>
    <cellStyle name="Followed Hyperlink" xfId="8231" builtinId="9" hidden="1"/>
    <cellStyle name="Followed Hyperlink" xfId="8232" builtinId="9" hidden="1"/>
    <cellStyle name="Followed Hyperlink" xfId="8233" builtinId="9" hidden="1"/>
    <cellStyle name="Followed Hyperlink" xfId="8234" builtinId="9" hidden="1"/>
    <cellStyle name="Followed Hyperlink" xfId="8235" builtinId="9" hidden="1"/>
    <cellStyle name="Followed Hyperlink" xfId="8236" builtinId="9" hidden="1"/>
    <cellStyle name="Followed Hyperlink" xfId="8237" builtinId="9" hidden="1"/>
    <cellStyle name="Followed Hyperlink" xfId="8238" builtinId="9" hidden="1"/>
    <cellStyle name="Followed Hyperlink" xfId="8239" builtinId="9" hidden="1"/>
    <cellStyle name="Followed Hyperlink" xfId="8240" builtinId="9" hidden="1"/>
    <cellStyle name="Followed Hyperlink" xfId="8241" builtinId="9" hidden="1"/>
    <cellStyle name="Followed Hyperlink" xfId="8242" builtinId="9" hidden="1"/>
    <cellStyle name="Followed Hyperlink" xfId="8243" builtinId="9" hidden="1"/>
    <cellStyle name="Followed Hyperlink" xfId="8244" builtinId="9" hidden="1"/>
    <cellStyle name="Followed Hyperlink" xfId="8245" builtinId="9" hidden="1"/>
    <cellStyle name="Followed Hyperlink" xfId="8246" builtinId="9" hidden="1"/>
    <cellStyle name="Followed Hyperlink" xfId="8247" builtinId="9" hidden="1"/>
    <cellStyle name="Followed Hyperlink" xfId="8248" builtinId="9" hidden="1"/>
    <cellStyle name="Followed Hyperlink" xfId="8249" builtinId="9" hidden="1"/>
    <cellStyle name="Followed Hyperlink" xfId="8250" builtinId="9" hidden="1"/>
    <cellStyle name="Followed Hyperlink" xfId="8251" builtinId="9" hidden="1"/>
    <cellStyle name="Followed Hyperlink" xfId="8252" builtinId="9" hidden="1"/>
    <cellStyle name="Followed Hyperlink" xfId="8253" builtinId="9" hidden="1"/>
    <cellStyle name="Followed Hyperlink" xfId="8254" builtinId="9" hidden="1"/>
    <cellStyle name="Followed Hyperlink" xfId="8255" builtinId="9" hidden="1"/>
    <cellStyle name="Followed Hyperlink" xfId="8256" builtinId="9" hidden="1"/>
    <cellStyle name="Followed Hyperlink" xfId="8257" builtinId="9" hidden="1"/>
    <cellStyle name="Followed Hyperlink" xfId="8258" builtinId="9" hidden="1"/>
    <cellStyle name="Followed Hyperlink" xfId="8259" builtinId="9" hidden="1"/>
    <cellStyle name="Followed Hyperlink" xfId="8260" builtinId="9" hidden="1"/>
    <cellStyle name="Followed Hyperlink" xfId="8261" builtinId="9" hidden="1"/>
    <cellStyle name="Followed Hyperlink" xfId="8262" builtinId="9" hidden="1"/>
    <cellStyle name="Followed Hyperlink" xfId="8263" builtinId="9" hidden="1"/>
    <cellStyle name="Followed Hyperlink" xfId="8264" builtinId="9" hidden="1"/>
    <cellStyle name="Followed Hyperlink" xfId="8265" builtinId="9" hidden="1"/>
    <cellStyle name="Followed Hyperlink" xfId="8266" builtinId="9" hidden="1"/>
    <cellStyle name="Followed Hyperlink" xfId="8267" builtinId="9" hidden="1"/>
    <cellStyle name="Followed Hyperlink" xfId="8268" builtinId="9" hidden="1"/>
    <cellStyle name="Followed Hyperlink" xfId="8269" builtinId="9" hidden="1"/>
    <cellStyle name="Followed Hyperlink" xfId="8270" builtinId="9" hidden="1"/>
    <cellStyle name="Followed Hyperlink" xfId="8271" builtinId="9" hidden="1"/>
    <cellStyle name="Followed Hyperlink" xfId="8272" builtinId="9" hidden="1"/>
    <cellStyle name="Followed Hyperlink" xfId="8273" builtinId="9" hidden="1"/>
    <cellStyle name="Followed Hyperlink" xfId="8274" builtinId="9" hidden="1"/>
    <cellStyle name="Followed Hyperlink" xfId="8275" builtinId="9" hidden="1"/>
    <cellStyle name="Followed Hyperlink" xfId="8276" builtinId="9" hidden="1"/>
    <cellStyle name="Followed Hyperlink" xfId="8277" builtinId="9" hidden="1"/>
    <cellStyle name="Followed Hyperlink" xfId="8278" builtinId="9" hidden="1"/>
    <cellStyle name="Followed Hyperlink" xfId="8279" builtinId="9" hidden="1"/>
    <cellStyle name="Followed Hyperlink" xfId="8280" builtinId="9" hidden="1"/>
    <cellStyle name="Followed Hyperlink" xfId="8281" builtinId="9" hidden="1"/>
    <cellStyle name="Followed Hyperlink" xfId="8282" builtinId="9" hidden="1"/>
    <cellStyle name="Followed Hyperlink" xfId="8283" builtinId="9" hidden="1"/>
    <cellStyle name="Followed Hyperlink" xfId="8284" builtinId="9" hidden="1"/>
    <cellStyle name="Followed Hyperlink" xfId="8285" builtinId="9" hidden="1"/>
    <cellStyle name="Followed Hyperlink" xfId="8286" builtinId="9" hidden="1"/>
    <cellStyle name="Followed Hyperlink" xfId="8287" builtinId="9" hidden="1"/>
    <cellStyle name="Followed Hyperlink" xfId="8288" builtinId="9" hidden="1"/>
    <cellStyle name="Followed Hyperlink" xfId="8289" builtinId="9" hidden="1"/>
    <cellStyle name="Followed Hyperlink" xfId="8290" builtinId="9" hidden="1"/>
    <cellStyle name="Followed Hyperlink" xfId="8291" builtinId="9" hidden="1"/>
    <cellStyle name="Followed Hyperlink" xfId="8292" builtinId="9" hidden="1"/>
    <cellStyle name="Followed Hyperlink" xfId="8293" builtinId="9" hidden="1"/>
    <cellStyle name="Followed Hyperlink" xfId="8294" builtinId="9" hidden="1"/>
    <cellStyle name="Followed Hyperlink" xfId="8295" builtinId="9" hidden="1"/>
    <cellStyle name="Followed Hyperlink" xfId="8296" builtinId="9" hidden="1"/>
    <cellStyle name="Followed Hyperlink" xfId="8297" builtinId="9" hidden="1"/>
    <cellStyle name="Followed Hyperlink" xfId="8298" builtinId="9" hidden="1"/>
    <cellStyle name="Followed Hyperlink" xfId="8299" builtinId="9" hidden="1"/>
    <cellStyle name="Followed Hyperlink" xfId="8300" builtinId="9" hidden="1"/>
    <cellStyle name="Followed Hyperlink" xfId="8301" builtinId="9" hidden="1"/>
    <cellStyle name="Followed Hyperlink" xfId="8302" builtinId="9" hidden="1"/>
    <cellStyle name="Followed Hyperlink" xfId="8303" builtinId="9" hidden="1"/>
    <cellStyle name="Followed Hyperlink" xfId="8304" builtinId="9" hidden="1"/>
    <cellStyle name="Followed Hyperlink" xfId="8305" builtinId="9" hidden="1"/>
    <cellStyle name="Followed Hyperlink" xfId="8306" builtinId="9" hidden="1"/>
    <cellStyle name="Followed Hyperlink" xfId="8307" builtinId="9" hidden="1"/>
    <cellStyle name="Followed Hyperlink" xfId="8308" builtinId="9" hidden="1"/>
    <cellStyle name="Followed Hyperlink" xfId="8309" builtinId="9" hidden="1"/>
    <cellStyle name="Followed Hyperlink" xfId="8310" builtinId="9" hidden="1"/>
    <cellStyle name="Followed Hyperlink" xfId="8311" builtinId="9" hidden="1"/>
    <cellStyle name="Followed Hyperlink" xfId="8312" builtinId="9" hidden="1"/>
    <cellStyle name="Followed Hyperlink" xfId="8313" builtinId="9" hidden="1"/>
    <cellStyle name="Followed Hyperlink" xfId="8314" builtinId="9" hidden="1"/>
    <cellStyle name="Followed Hyperlink" xfId="8315" builtinId="9" hidden="1"/>
    <cellStyle name="Followed Hyperlink" xfId="8316" builtinId="9" hidden="1"/>
    <cellStyle name="Followed Hyperlink" xfId="8317" builtinId="9" hidden="1"/>
    <cellStyle name="Followed Hyperlink" xfId="8318" builtinId="9" hidden="1"/>
    <cellStyle name="Followed Hyperlink" xfId="8319" builtinId="9" hidden="1"/>
    <cellStyle name="Followed Hyperlink" xfId="8320" builtinId="9" hidden="1"/>
    <cellStyle name="Followed Hyperlink" xfId="8321" builtinId="9" hidden="1"/>
    <cellStyle name="Followed Hyperlink" xfId="8322" builtinId="9" hidden="1"/>
    <cellStyle name="Followed Hyperlink" xfId="8323" builtinId="9" hidden="1"/>
    <cellStyle name="Followed Hyperlink" xfId="8324" builtinId="9" hidden="1"/>
    <cellStyle name="Followed Hyperlink" xfId="8325" builtinId="9" hidden="1"/>
    <cellStyle name="Followed Hyperlink" xfId="8326" builtinId="9" hidden="1"/>
    <cellStyle name="Followed Hyperlink" xfId="8327" builtinId="9" hidden="1"/>
    <cellStyle name="Followed Hyperlink" xfId="8328" builtinId="9" hidden="1"/>
    <cellStyle name="Followed Hyperlink" xfId="8329" builtinId="9" hidden="1"/>
    <cellStyle name="Followed Hyperlink" xfId="8330" builtinId="9" hidden="1"/>
    <cellStyle name="Followed Hyperlink" xfId="8331" builtinId="9" hidden="1"/>
    <cellStyle name="Followed Hyperlink" xfId="8332" builtinId="9" hidden="1"/>
    <cellStyle name="Followed Hyperlink" xfId="8333" builtinId="9" hidden="1"/>
    <cellStyle name="Followed Hyperlink" xfId="8334" builtinId="9" hidden="1"/>
    <cellStyle name="Followed Hyperlink" xfId="8335" builtinId="9" hidden="1"/>
    <cellStyle name="Followed Hyperlink" xfId="8336" builtinId="9" hidden="1"/>
    <cellStyle name="Followed Hyperlink" xfId="8337" builtinId="9" hidden="1"/>
    <cellStyle name="Followed Hyperlink" xfId="8338" builtinId="9" hidden="1"/>
    <cellStyle name="Followed Hyperlink" xfId="8339" builtinId="9" hidden="1"/>
    <cellStyle name="Followed Hyperlink" xfId="8340" builtinId="9" hidden="1"/>
    <cellStyle name="Followed Hyperlink" xfId="8341" builtinId="9" hidden="1"/>
    <cellStyle name="Followed Hyperlink" xfId="8342" builtinId="9" hidden="1"/>
    <cellStyle name="Followed Hyperlink" xfId="8343" builtinId="9" hidden="1"/>
    <cellStyle name="Followed Hyperlink" xfId="8344" builtinId="9" hidden="1"/>
    <cellStyle name="Followed Hyperlink" xfId="8345" builtinId="9" hidden="1"/>
    <cellStyle name="Followed Hyperlink" xfId="8346" builtinId="9" hidden="1"/>
    <cellStyle name="Followed Hyperlink" xfId="8347" builtinId="9" hidden="1"/>
    <cellStyle name="Followed Hyperlink" xfId="8348" builtinId="9" hidden="1"/>
    <cellStyle name="Followed Hyperlink" xfId="8349" builtinId="9" hidden="1"/>
    <cellStyle name="Followed Hyperlink" xfId="8350" builtinId="9" hidden="1"/>
    <cellStyle name="Followed Hyperlink" xfId="8351" builtinId="9" hidden="1"/>
    <cellStyle name="Followed Hyperlink" xfId="8352" builtinId="9" hidden="1"/>
    <cellStyle name="Followed Hyperlink" xfId="8353" builtinId="9" hidden="1"/>
    <cellStyle name="Followed Hyperlink" xfId="8354" builtinId="9" hidden="1"/>
    <cellStyle name="Followed Hyperlink" xfId="8355" builtinId="9" hidden="1"/>
    <cellStyle name="Followed Hyperlink" xfId="8356" builtinId="9" hidden="1"/>
    <cellStyle name="Followed Hyperlink" xfId="8357" builtinId="9" hidden="1"/>
    <cellStyle name="Followed Hyperlink" xfId="8358" builtinId="9" hidden="1"/>
    <cellStyle name="Followed Hyperlink" xfId="8359" builtinId="9" hidden="1"/>
    <cellStyle name="Followed Hyperlink" xfId="8360" builtinId="9" hidden="1"/>
    <cellStyle name="Followed Hyperlink" xfId="8361" builtinId="9" hidden="1"/>
    <cellStyle name="Followed Hyperlink" xfId="8362" builtinId="9" hidden="1"/>
    <cellStyle name="Followed Hyperlink" xfId="8363" builtinId="9" hidden="1"/>
    <cellStyle name="Followed Hyperlink" xfId="8364" builtinId="9" hidden="1"/>
    <cellStyle name="Followed Hyperlink" xfId="8365" builtinId="9" hidden="1"/>
    <cellStyle name="Followed Hyperlink" xfId="8366" builtinId="9" hidden="1"/>
    <cellStyle name="Followed Hyperlink" xfId="8367" builtinId="9" hidden="1"/>
    <cellStyle name="Followed Hyperlink" xfId="8368" builtinId="9" hidden="1"/>
    <cellStyle name="Followed Hyperlink" xfId="8369" builtinId="9" hidden="1"/>
    <cellStyle name="Followed Hyperlink" xfId="8370" builtinId="9" hidden="1"/>
    <cellStyle name="Followed Hyperlink" xfId="8371" builtinId="9" hidden="1"/>
    <cellStyle name="Followed Hyperlink" xfId="8372" builtinId="9" hidden="1"/>
    <cellStyle name="Followed Hyperlink" xfId="8373" builtinId="9" hidden="1"/>
    <cellStyle name="Followed Hyperlink" xfId="8374" builtinId="9" hidden="1"/>
    <cellStyle name="Followed Hyperlink" xfId="8375" builtinId="9" hidden="1"/>
    <cellStyle name="Followed Hyperlink" xfId="8376" builtinId="9" hidden="1"/>
    <cellStyle name="Followed Hyperlink" xfId="8377" builtinId="9" hidden="1"/>
    <cellStyle name="Followed Hyperlink" xfId="8378" builtinId="9" hidden="1"/>
    <cellStyle name="Followed Hyperlink" xfId="8379" builtinId="9" hidden="1"/>
    <cellStyle name="Followed Hyperlink" xfId="8380" builtinId="9" hidden="1"/>
    <cellStyle name="Followed Hyperlink" xfId="8381" builtinId="9" hidden="1"/>
    <cellStyle name="Followed Hyperlink" xfId="8382" builtinId="9" hidden="1"/>
    <cellStyle name="Followed Hyperlink" xfId="8383" builtinId="9" hidden="1"/>
    <cellStyle name="Followed Hyperlink" xfId="8384" builtinId="9" hidden="1"/>
    <cellStyle name="Followed Hyperlink" xfId="8385" builtinId="9" hidden="1"/>
    <cellStyle name="Followed Hyperlink" xfId="8386" builtinId="9" hidden="1"/>
    <cellStyle name="Followed Hyperlink" xfId="8387" builtinId="9" hidden="1"/>
    <cellStyle name="Followed Hyperlink" xfId="8388" builtinId="9" hidden="1"/>
    <cellStyle name="Followed Hyperlink" xfId="8389" builtinId="9" hidden="1"/>
    <cellStyle name="Followed Hyperlink" xfId="8390" builtinId="9" hidden="1"/>
    <cellStyle name="Followed Hyperlink" xfId="8391" builtinId="9" hidden="1"/>
    <cellStyle name="Followed Hyperlink" xfId="8392" builtinId="9" hidden="1"/>
    <cellStyle name="Followed Hyperlink" xfId="8393" builtinId="9" hidden="1"/>
    <cellStyle name="Followed Hyperlink" xfId="8394" builtinId="9" hidden="1"/>
    <cellStyle name="Followed Hyperlink" xfId="8395" builtinId="9" hidden="1"/>
    <cellStyle name="Followed Hyperlink" xfId="8396" builtinId="9" hidden="1"/>
    <cellStyle name="Followed Hyperlink" xfId="8397" builtinId="9" hidden="1"/>
    <cellStyle name="Followed Hyperlink" xfId="8398" builtinId="9" hidden="1"/>
    <cellStyle name="Followed Hyperlink" xfId="8399" builtinId="9" hidden="1"/>
    <cellStyle name="Followed Hyperlink" xfId="8400" builtinId="9" hidden="1"/>
    <cellStyle name="Followed Hyperlink" xfId="8401" builtinId="9" hidden="1"/>
    <cellStyle name="Followed Hyperlink" xfId="8402" builtinId="9" hidden="1"/>
    <cellStyle name="Followed Hyperlink" xfId="8403" builtinId="9" hidden="1"/>
    <cellStyle name="Followed Hyperlink" xfId="8404" builtinId="9" hidden="1"/>
    <cellStyle name="Followed Hyperlink" xfId="8405" builtinId="9" hidden="1"/>
    <cellStyle name="Followed Hyperlink" xfId="8406" builtinId="9" hidden="1"/>
    <cellStyle name="Followed Hyperlink" xfId="8407" builtinId="9" hidden="1"/>
    <cellStyle name="Followed Hyperlink" xfId="8408" builtinId="9" hidden="1"/>
    <cellStyle name="Followed Hyperlink" xfId="8409" builtinId="9" hidden="1"/>
    <cellStyle name="Followed Hyperlink" xfId="8410" builtinId="9" hidden="1"/>
    <cellStyle name="Followed Hyperlink" xfId="8411" builtinId="9" hidden="1"/>
    <cellStyle name="Followed Hyperlink" xfId="8412" builtinId="9" hidden="1"/>
    <cellStyle name="Followed Hyperlink" xfId="8413" builtinId="9" hidden="1"/>
    <cellStyle name="Followed Hyperlink" xfId="8414" builtinId="9" hidden="1"/>
    <cellStyle name="Followed Hyperlink" xfId="8415" builtinId="9" hidden="1"/>
    <cellStyle name="Followed Hyperlink" xfId="8416" builtinId="9" hidden="1"/>
    <cellStyle name="Followed Hyperlink" xfId="8417" builtinId="9" hidden="1"/>
    <cellStyle name="Followed Hyperlink" xfId="8418" builtinId="9" hidden="1"/>
    <cellStyle name="Followed Hyperlink" xfId="8419" builtinId="9" hidden="1"/>
    <cellStyle name="Followed Hyperlink" xfId="8420" builtinId="9" hidden="1"/>
    <cellStyle name="Followed Hyperlink" xfId="8421" builtinId="9" hidden="1"/>
    <cellStyle name="Followed Hyperlink" xfId="8422" builtinId="9" hidden="1"/>
    <cellStyle name="Followed Hyperlink" xfId="8423" builtinId="9" hidden="1"/>
    <cellStyle name="Followed Hyperlink" xfId="8424" builtinId="9" hidden="1"/>
    <cellStyle name="Followed Hyperlink" xfId="8425" builtinId="9" hidden="1"/>
    <cellStyle name="Followed Hyperlink" xfId="8426" builtinId="9" hidden="1"/>
    <cellStyle name="Followed Hyperlink" xfId="8427" builtinId="9" hidden="1"/>
    <cellStyle name="Followed Hyperlink" xfId="8428" builtinId="9" hidden="1"/>
    <cellStyle name="Followed Hyperlink" xfId="8429" builtinId="9" hidden="1"/>
    <cellStyle name="Followed Hyperlink" xfId="8430" builtinId="9" hidden="1"/>
    <cellStyle name="Followed Hyperlink" xfId="8431" builtinId="9" hidden="1"/>
    <cellStyle name="Followed Hyperlink" xfId="8432" builtinId="9" hidden="1"/>
    <cellStyle name="Followed Hyperlink" xfId="8433" builtinId="9" hidden="1"/>
    <cellStyle name="Followed Hyperlink" xfId="8434" builtinId="9" hidden="1"/>
    <cellStyle name="Followed Hyperlink" xfId="8435" builtinId="9" hidden="1"/>
    <cellStyle name="Followed Hyperlink" xfId="8436" builtinId="9" hidden="1"/>
    <cellStyle name="Followed Hyperlink" xfId="8437" builtinId="9" hidden="1"/>
    <cellStyle name="Followed Hyperlink" xfId="8438" builtinId="9" hidden="1"/>
    <cellStyle name="Followed Hyperlink" xfId="8439" builtinId="9" hidden="1"/>
    <cellStyle name="Followed Hyperlink" xfId="8440" builtinId="9" hidden="1"/>
    <cellStyle name="Followed Hyperlink" xfId="8441" builtinId="9" hidden="1"/>
    <cellStyle name="Followed Hyperlink" xfId="8442" builtinId="9" hidden="1"/>
    <cellStyle name="Followed Hyperlink" xfId="8443" builtinId="9" hidden="1"/>
    <cellStyle name="Followed Hyperlink" xfId="8444" builtinId="9" hidden="1"/>
    <cellStyle name="Followed Hyperlink" xfId="8445" builtinId="9" hidden="1"/>
    <cellStyle name="Followed Hyperlink" xfId="8446" builtinId="9" hidden="1"/>
    <cellStyle name="Followed Hyperlink" xfId="8447" builtinId="9" hidden="1"/>
    <cellStyle name="Followed Hyperlink" xfId="8448" builtinId="9" hidden="1"/>
    <cellStyle name="Followed Hyperlink" xfId="8449" builtinId="9" hidden="1"/>
    <cellStyle name="Followed Hyperlink" xfId="8450" builtinId="9" hidden="1"/>
    <cellStyle name="Followed Hyperlink" xfId="8451" builtinId="9" hidden="1"/>
    <cellStyle name="Followed Hyperlink" xfId="8452" builtinId="9" hidden="1"/>
    <cellStyle name="Followed Hyperlink" xfId="8453" builtinId="9" hidden="1"/>
    <cellStyle name="Followed Hyperlink" xfId="8454" builtinId="9" hidden="1"/>
    <cellStyle name="Followed Hyperlink" xfId="8455" builtinId="9" hidden="1"/>
    <cellStyle name="Followed Hyperlink" xfId="8456" builtinId="9" hidden="1"/>
    <cellStyle name="Followed Hyperlink" xfId="8457" builtinId="9" hidden="1"/>
    <cellStyle name="Followed Hyperlink" xfId="8458" builtinId="9" hidden="1"/>
    <cellStyle name="Followed Hyperlink" xfId="8459" builtinId="9" hidden="1"/>
    <cellStyle name="Followed Hyperlink" xfId="8460" builtinId="9" hidden="1"/>
    <cellStyle name="Followed Hyperlink" xfId="8461" builtinId="9" hidden="1"/>
    <cellStyle name="Followed Hyperlink" xfId="8462" builtinId="9" hidden="1"/>
    <cellStyle name="Followed Hyperlink" xfId="8463" builtinId="9" hidden="1"/>
    <cellStyle name="Followed Hyperlink" xfId="8464" builtinId="9" hidden="1"/>
    <cellStyle name="Followed Hyperlink" xfId="8465" builtinId="9" hidden="1"/>
    <cellStyle name="Followed Hyperlink" xfId="8466" builtinId="9" hidden="1"/>
    <cellStyle name="Followed Hyperlink" xfId="8467" builtinId="9" hidden="1"/>
    <cellStyle name="Followed Hyperlink" xfId="8468" builtinId="9" hidden="1"/>
    <cellStyle name="Followed Hyperlink" xfId="8469" builtinId="9" hidden="1"/>
    <cellStyle name="Followed Hyperlink" xfId="8470" builtinId="9" hidden="1"/>
    <cellStyle name="Followed Hyperlink" xfId="8471"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143" builtinId="9" hidden="1"/>
    <cellStyle name="Followed Hyperlink" xfId="9144" builtinId="9" hidden="1"/>
    <cellStyle name="Followed Hyperlink" xfId="9145" builtinId="9" hidden="1"/>
    <cellStyle name="Followed Hyperlink" xfId="9146" builtinId="9" hidden="1"/>
    <cellStyle name="Followed Hyperlink" xfId="9147" builtinId="9" hidden="1"/>
    <cellStyle name="Followed Hyperlink" xfId="9148" builtinId="9" hidden="1"/>
    <cellStyle name="Followed Hyperlink" xfId="9149" builtinId="9" hidden="1"/>
    <cellStyle name="Followed Hyperlink" xfId="9150" builtinId="9" hidden="1"/>
    <cellStyle name="Followed Hyperlink" xfId="9151" builtinId="9" hidden="1"/>
    <cellStyle name="Followed Hyperlink" xfId="9152" builtinId="9" hidden="1"/>
    <cellStyle name="Followed Hyperlink" xfId="9153" builtinId="9" hidden="1"/>
    <cellStyle name="Followed Hyperlink" xfId="9154" builtinId="9" hidden="1"/>
    <cellStyle name="Followed Hyperlink" xfId="9155" builtinId="9" hidden="1"/>
    <cellStyle name="Followed Hyperlink" xfId="9156" builtinId="9" hidden="1"/>
    <cellStyle name="Followed Hyperlink" xfId="9157" builtinId="9" hidden="1"/>
    <cellStyle name="Followed Hyperlink" xfId="9158" builtinId="9" hidden="1"/>
    <cellStyle name="Followed Hyperlink" xfId="9159" builtinId="9" hidden="1"/>
    <cellStyle name="Followed Hyperlink" xfId="9160" builtinId="9" hidden="1"/>
    <cellStyle name="Followed Hyperlink" xfId="9161" builtinId="9" hidden="1"/>
    <cellStyle name="Followed Hyperlink" xfId="9162" builtinId="9" hidden="1"/>
    <cellStyle name="Followed Hyperlink" xfId="9163" builtinId="9" hidden="1"/>
    <cellStyle name="Followed Hyperlink" xfId="9164" builtinId="9" hidden="1"/>
    <cellStyle name="Followed Hyperlink" xfId="9165" builtinId="9" hidden="1"/>
    <cellStyle name="Followed Hyperlink" xfId="9166" builtinId="9" hidden="1"/>
    <cellStyle name="Followed Hyperlink" xfId="9167" builtinId="9" hidden="1"/>
    <cellStyle name="Followed Hyperlink" xfId="9168" builtinId="9" hidden="1"/>
    <cellStyle name="Followed Hyperlink" xfId="9169" builtinId="9" hidden="1"/>
    <cellStyle name="Followed Hyperlink" xfId="9170" builtinId="9" hidden="1"/>
    <cellStyle name="Followed Hyperlink" xfId="9171" builtinId="9" hidden="1"/>
    <cellStyle name="Followed Hyperlink" xfId="9172" builtinId="9" hidden="1"/>
    <cellStyle name="Followed Hyperlink" xfId="9173" builtinId="9" hidden="1"/>
    <cellStyle name="Followed Hyperlink" xfId="9174" builtinId="9" hidden="1"/>
    <cellStyle name="Followed Hyperlink" xfId="9175" builtinId="9" hidden="1"/>
    <cellStyle name="Followed Hyperlink" xfId="9176" builtinId="9" hidden="1"/>
    <cellStyle name="Followed Hyperlink" xfId="9177" builtinId="9" hidden="1"/>
    <cellStyle name="Followed Hyperlink" xfId="9178" builtinId="9" hidden="1"/>
    <cellStyle name="Followed Hyperlink" xfId="9179" builtinId="9" hidden="1"/>
    <cellStyle name="Followed Hyperlink" xfId="9180" builtinId="9" hidden="1"/>
    <cellStyle name="Followed Hyperlink" xfId="9181" builtinId="9" hidden="1"/>
    <cellStyle name="Followed Hyperlink" xfId="9182" builtinId="9" hidden="1"/>
    <cellStyle name="Followed Hyperlink" xfId="9183" builtinId="9" hidden="1"/>
    <cellStyle name="Followed Hyperlink" xfId="9184" builtinId="9" hidden="1"/>
    <cellStyle name="Followed Hyperlink" xfId="9185" builtinId="9" hidden="1"/>
    <cellStyle name="Followed Hyperlink" xfId="9186" builtinId="9" hidden="1"/>
    <cellStyle name="Followed Hyperlink" xfId="9187" builtinId="9" hidden="1"/>
    <cellStyle name="Followed Hyperlink" xfId="9188" builtinId="9" hidden="1"/>
    <cellStyle name="Followed Hyperlink" xfId="9189" builtinId="9" hidden="1"/>
    <cellStyle name="Followed Hyperlink" xfId="9190" builtinId="9" hidden="1"/>
    <cellStyle name="Followed Hyperlink" xfId="9191" builtinId="9" hidden="1"/>
    <cellStyle name="Followed Hyperlink" xfId="9192" builtinId="9" hidden="1"/>
    <cellStyle name="Followed Hyperlink" xfId="9193" builtinId="9" hidden="1"/>
    <cellStyle name="Followed Hyperlink" xfId="9194" builtinId="9" hidden="1"/>
    <cellStyle name="Followed Hyperlink" xfId="9195" builtinId="9" hidden="1"/>
    <cellStyle name="Followed Hyperlink" xfId="9196" builtinId="9" hidden="1"/>
    <cellStyle name="Followed Hyperlink" xfId="9197" builtinId="9" hidden="1"/>
    <cellStyle name="Followed Hyperlink" xfId="9198" builtinId="9" hidden="1"/>
    <cellStyle name="Followed Hyperlink" xfId="9199" builtinId="9" hidden="1"/>
    <cellStyle name="Followed Hyperlink" xfId="9200" builtinId="9" hidden="1"/>
    <cellStyle name="Followed Hyperlink" xfId="9201" builtinId="9" hidden="1"/>
    <cellStyle name="Followed Hyperlink" xfId="9202" builtinId="9" hidden="1"/>
    <cellStyle name="Followed Hyperlink" xfId="9203" builtinId="9" hidden="1"/>
    <cellStyle name="Followed Hyperlink" xfId="9204" builtinId="9" hidden="1"/>
    <cellStyle name="Followed Hyperlink" xfId="9205" builtinId="9" hidden="1"/>
    <cellStyle name="Followed Hyperlink" xfId="9206" builtinId="9" hidden="1"/>
    <cellStyle name="Followed Hyperlink" xfId="9207" builtinId="9" hidden="1"/>
    <cellStyle name="Followed Hyperlink" xfId="9208" builtinId="9" hidden="1"/>
    <cellStyle name="Followed Hyperlink" xfId="9209" builtinId="9" hidden="1"/>
    <cellStyle name="Followed Hyperlink" xfId="9210" builtinId="9" hidden="1"/>
    <cellStyle name="Followed Hyperlink" xfId="9211" builtinId="9" hidden="1"/>
    <cellStyle name="Followed Hyperlink" xfId="9212" builtinId="9" hidden="1"/>
    <cellStyle name="Followed Hyperlink" xfId="9213" builtinId="9" hidden="1"/>
    <cellStyle name="Followed Hyperlink" xfId="9214" builtinId="9" hidden="1"/>
    <cellStyle name="Followed Hyperlink" xfId="9215" builtinId="9" hidden="1"/>
    <cellStyle name="Followed Hyperlink" xfId="9216" builtinId="9" hidden="1"/>
    <cellStyle name="Followed Hyperlink" xfId="9217" builtinId="9" hidden="1"/>
    <cellStyle name="Followed Hyperlink" xfId="9218" builtinId="9" hidden="1"/>
    <cellStyle name="Followed Hyperlink" xfId="9219" builtinId="9" hidden="1"/>
    <cellStyle name="Followed Hyperlink" xfId="9220" builtinId="9" hidden="1"/>
    <cellStyle name="Followed Hyperlink" xfId="9221" builtinId="9" hidden="1"/>
    <cellStyle name="Followed Hyperlink" xfId="9222" builtinId="9" hidden="1"/>
    <cellStyle name="Followed Hyperlink" xfId="9223" builtinId="9" hidden="1"/>
    <cellStyle name="Followed Hyperlink" xfId="9224" builtinId="9" hidden="1"/>
    <cellStyle name="Followed Hyperlink" xfId="9225" builtinId="9" hidden="1"/>
    <cellStyle name="Followed Hyperlink" xfId="9226" builtinId="9" hidden="1"/>
    <cellStyle name="Followed Hyperlink" xfId="9227" builtinId="9" hidden="1"/>
    <cellStyle name="Followed Hyperlink" xfId="9228" builtinId="9" hidden="1"/>
    <cellStyle name="Followed Hyperlink" xfId="9229" builtinId="9" hidden="1"/>
    <cellStyle name="Followed Hyperlink" xfId="9230" builtinId="9" hidden="1"/>
    <cellStyle name="Followed Hyperlink" xfId="9231" builtinId="9" hidden="1"/>
    <cellStyle name="Followed Hyperlink" xfId="9232" builtinId="9" hidden="1"/>
    <cellStyle name="Followed Hyperlink" xfId="9233" builtinId="9" hidden="1"/>
    <cellStyle name="Followed Hyperlink" xfId="9234" builtinId="9" hidden="1"/>
    <cellStyle name="Followed Hyperlink" xfId="9235" builtinId="9" hidden="1"/>
    <cellStyle name="Followed Hyperlink" xfId="9236" builtinId="9" hidden="1"/>
    <cellStyle name="Followed Hyperlink" xfId="9237" builtinId="9" hidden="1"/>
    <cellStyle name="Followed Hyperlink" xfId="9238" builtinId="9" hidden="1"/>
    <cellStyle name="Followed Hyperlink" xfId="9239" builtinId="9" hidden="1"/>
    <cellStyle name="Followed Hyperlink" xfId="9240" builtinId="9" hidden="1"/>
    <cellStyle name="Followed Hyperlink" xfId="9241" builtinId="9" hidden="1"/>
    <cellStyle name="Followed Hyperlink" xfId="9242" builtinId="9" hidden="1"/>
    <cellStyle name="Followed Hyperlink" xfId="9243" builtinId="9" hidden="1"/>
    <cellStyle name="Followed Hyperlink" xfId="9244" builtinId="9" hidden="1"/>
    <cellStyle name="Followed Hyperlink" xfId="9245" builtinId="9" hidden="1"/>
    <cellStyle name="Followed Hyperlink" xfId="9246" builtinId="9" hidden="1"/>
    <cellStyle name="Followed Hyperlink" xfId="9247" builtinId="9" hidden="1"/>
    <cellStyle name="Followed Hyperlink" xfId="9248" builtinId="9" hidden="1"/>
    <cellStyle name="Followed Hyperlink" xfId="9249" builtinId="9" hidden="1"/>
    <cellStyle name="Followed Hyperlink" xfId="9250" builtinId="9" hidden="1"/>
    <cellStyle name="Followed Hyperlink" xfId="9251" builtinId="9" hidden="1"/>
    <cellStyle name="Followed Hyperlink" xfId="9252" builtinId="9" hidden="1"/>
    <cellStyle name="Followed Hyperlink" xfId="9253" builtinId="9" hidden="1"/>
    <cellStyle name="Followed Hyperlink" xfId="9254" builtinId="9" hidden="1"/>
    <cellStyle name="Followed Hyperlink" xfId="9255" builtinId="9" hidden="1"/>
    <cellStyle name="Followed Hyperlink" xfId="9256" builtinId="9" hidden="1"/>
    <cellStyle name="Followed Hyperlink" xfId="9257" builtinId="9" hidden="1"/>
    <cellStyle name="Followed Hyperlink" xfId="9258" builtinId="9" hidden="1"/>
    <cellStyle name="Followed Hyperlink" xfId="9259" builtinId="9" hidden="1"/>
    <cellStyle name="Followed Hyperlink" xfId="9260" builtinId="9" hidden="1"/>
    <cellStyle name="Followed Hyperlink" xfId="9261" builtinId="9" hidden="1"/>
    <cellStyle name="Followed Hyperlink" xfId="9262" builtinId="9" hidden="1"/>
    <cellStyle name="Followed Hyperlink" xfId="9263" builtinId="9" hidden="1"/>
    <cellStyle name="Followed Hyperlink" xfId="9264" builtinId="9" hidden="1"/>
    <cellStyle name="Followed Hyperlink" xfId="9265" builtinId="9" hidden="1"/>
    <cellStyle name="Followed Hyperlink" xfId="9266" builtinId="9" hidden="1"/>
    <cellStyle name="Followed Hyperlink" xfId="9267" builtinId="9" hidden="1"/>
    <cellStyle name="Followed Hyperlink" xfId="9268" builtinId="9" hidden="1"/>
    <cellStyle name="Followed Hyperlink" xfId="9269" builtinId="9" hidden="1"/>
    <cellStyle name="Followed Hyperlink" xfId="9270" builtinId="9" hidden="1"/>
    <cellStyle name="Followed Hyperlink" xfId="9271" builtinId="9" hidden="1"/>
    <cellStyle name="Followed Hyperlink" xfId="9272" builtinId="9" hidden="1"/>
    <cellStyle name="Followed Hyperlink" xfId="9273" builtinId="9" hidden="1"/>
    <cellStyle name="Followed Hyperlink" xfId="9274" builtinId="9" hidden="1"/>
    <cellStyle name="Followed Hyperlink" xfId="9275" builtinId="9" hidden="1"/>
    <cellStyle name="Followed Hyperlink" xfId="9276" builtinId="9" hidden="1"/>
    <cellStyle name="Followed Hyperlink" xfId="9277" builtinId="9" hidden="1"/>
    <cellStyle name="Followed Hyperlink" xfId="9278" builtinId="9" hidden="1"/>
    <cellStyle name="Followed Hyperlink" xfId="9279" builtinId="9" hidden="1"/>
    <cellStyle name="Followed Hyperlink" xfId="9280" builtinId="9" hidden="1"/>
    <cellStyle name="Followed Hyperlink" xfId="9281" builtinId="9" hidden="1"/>
    <cellStyle name="Followed Hyperlink" xfId="9282" builtinId="9" hidden="1"/>
    <cellStyle name="Followed Hyperlink" xfId="9283" builtinId="9" hidden="1"/>
    <cellStyle name="Followed Hyperlink" xfId="9284" builtinId="9" hidden="1"/>
    <cellStyle name="Followed Hyperlink" xfId="9285" builtinId="9" hidden="1"/>
    <cellStyle name="Followed Hyperlink" xfId="9286" builtinId="9" hidden="1"/>
    <cellStyle name="Followed Hyperlink" xfId="9287" builtinId="9" hidden="1"/>
    <cellStyle name="Followed Hyperlink" xfId="9288" builtinId="9" hidden="1"/>
    <cellStyle name="Followed Hyperlink" xfId="9289" builtinId="9" hidden="1"/>
    <cellStyle name="Followed Hyperlink" xfId="9290" builtinId="9" hidden="1"/>
    <cellStyle name="Followed Hyperlink" xfId="9291" builtinId="9" hidden="1"/>
    <cellStyle name="Followed Hyperlink" xfId="9292" builtinId="9" hidden="1"/>
    <cellStyle name="Followed Hyperlink" xfId="9293" builtinId="9" hidden="1"/>
    <cellStyle name="Followed Hyperlink" xfId="9294" builtinId="9" hidden="1"/>
    <cellStyle name="Followed Hyperlink" xfId="9295" builtinId="9" hidden="1"/>
    <cellStyle name="Followed Hyperlink" xfId="9296" builtinId="9" hidden="1"/>
    <cellStyle name="Followed Hyperlink" xfId="9297" builtinId="9" hidden="1"/>
    <cellStyle name="Followed Hyperlink" xfId="9298" builtinId="9" hidden="1"/>
    <cellStyle name="Followed Hyperlink" xfId="9299" builtinId="9" hidden="1"/>
    <cellStyle name="Followed Hyperlink" xfId="9300" builtinId="9" hidden="1"/>
    <cellStyle name="Followed Hyperlink" xfId="9301" builtinId="9" hidden="1"/>
    <cellStyle name="Followed Hyperlink" xfId="9302" builtinId="9" hidden="1"/>
    <cellStyle name="Followed Hyperlink" xfId="9303" builtinId="9" hidden="1"/>
    <cellStyle name="Followed Hyperlink" xfId="9304" builtinId="9" hidden="1"/>
    <cellStyle name="Followed Hyperlink" xfId="9305" builtinId="9" hidden="1"/>
    <cellStyle name="Followed Hyperlink" xfId="9306" builtinId="9" hidden="1"/>
    <cellStyle name="Followed Hyperlink" xfId="9307" builtinId="9" hidden="1"/>
    <cellStyle name="Followed Hyperlink" xfId="9308" builtinId="9" hidden="1"/>
    <cellStyle name="Followed Hyperlink" xfId="9309" builtinId="9" hidden="1"/>
    <cellStyle name="Followed Hyperlink" xfId="9310" builtinId="9" hidden="1"/>
    <cellStyle name="Followed Hyperlink" xfId="9311" builtinId="9" hidden="1"/>
    <cellStyle name="Followed Hyperlink" xfId="9312" builtinId="9" hidden="1"/>
    <cellStyle name="Followed Hyperlink" xfId="9313" builtinId="9" hidden="1"/>
    <cellStyle name="Followed Hyperlink" xfId="9314" builtinId="9" hidden="1"/>
    <cellStyle name="Followed Hyperlink" xfId="9315" builtinId="9" hidden="1"/>
    <cellStyle name="Followed Hyperlink" xfId="9316" builtinId="9" hidden="1"/>
    <cellStyle name="Followed Hyperlink" xfId="9317" builtinId="9" hidden="1"/>
    <cellStyle name="Followed Hyperlink" xfId="9318" builtinId="9" hidden="1"/>
    <cellStyle name="Followed Hyperlink" xfId="9319" builtinId="9" hidden="1"/>
    <cellStyle name="Followed Hyperlink" xfId="9320" builtinId="9" hidden="1"/>
    <cellStyle name="Followed Hyperlink" xfId="9321" builtinId="9" hidden="1"/>
    <cellStyle name="Followed Hyperlink" xfId="9322" builtinId="9" hidden="1"/>
    <cellStyle name="Followed Hyperlink" xfId="9323" builtinId="9" hidden="1"/>
    <cellStyle name="Followed Hyperlink" xfId="9324" builtinId="9" hidden="1"/>
    <cellStyle name="Followed Hyperlink" xfId="9325" builtinId="9" hidden="1"/>
    <cellStyle name="Followed Hyperlink" xfId="9326" builtinId="9" hidden="1"/>
    <cellStyle name="Followed Hyperlink" xfId="9327" builtinId="9" hidden="1"/>
    <cellStyle name="Followed Hyperlink" xfId="9328" builtinId="9" hidden="1"/>
    <cellStyle name="Followed Hyperlink" xfId="9329" builtinId="9" hidden="1"/>
    <cellStyle name="Followed Hyperlink" xfId="9330" builtinId="9" hidden="1"/>
    <cellStyle name="Followed Hyperlink" xfId="9331" builtinId="9" hidden="1"/>
    <cellStyle name="Followed Hyperlink" xfId="9332" builtinId="9" hidden="1"/>
    <cellStyle name="Followed Hyperlink" xfId="9333" builtinId="9" hidden="1"/>
    <cellStyle name="Followed Hyperlink" xfId="9334" builtinId="9" hidden="1"/>
    <cellStyle name="Followed Hyperlink" xfId="9335" builtinId="9" hidden="1"/>
    <cellStyle name="Followed Hyperlink" xfId="9336" builtinId="9" hidden="1"/>
    <cellStyle name="Followed Hyperlink" xfId="9337" builtinId="9" hidden="1"/>
    <cellStyle name="Followed Hyperlink" xfId="9338" builtinId="9" hidden="1"/>
    <cellStyle name="Followed Hyperlink" xfId="9339" builtinId="9" hidden="1"/>
    <cellStyle name="Followed Hyperlink" xfId="9340" builtinId="9" hidden="1"/>
    <cellStyle name="Followed Hyperlink" xfId="9341" builtinId="9" hidden="1"/>
    <cellStyle name="Followed Hyperlink" xfId="9342" builtinId="9" hidden="1"/>
    <cellStyle name="Followed Hyperlink" xfId="9343" builtinId="9" hidden="1"/>
    <cellStyle name="Followed Hyperlink" xfId="9344" builtinId="9" hidden="1"/>
    <cellStyle name="Followed Hyperlink" xfId="9345" builtinId="9" hidden="1"/>
    <cellStyle name="Followed Hyperlink" xfId="9346" builtinId="9" hidden="1"/>
    <cellStyle name="Followed Hyperlink" xfId="9347" builtinId="9" hidden="1"/>
    <cellStyle name="Followed Hyperlink" xfId="9348" builtinId="9" hidden="1"/>
    <cellStyle name="Followed Hyperlink" xfId="9349" builtinId="9" hidden="1"/>
    <cellStyle name="Followed Hyperlink" xfId="9350" builtinId="9" hidden="1"/>
    <cellStyle name="Followed Hyperlink" xfId="9351" builtinId="9" hidden="1"/>
    <cellStyle name="Followed Hyperlink" xfId="9352" builtinId="9" hidden="1"/>
    <cellStyle name="Followed Hyperlink" xfId="9353" builtinId="9" hidden="1"/>
    <cellStyle name="Followed Hyperlink" xfId="9354" builtinId="9" hidden="1"/>
    <cellStyle name="Followed Hyperlink" xfId="9355" builtinId="9" hidden="1"/>
    <cellStyle name="Followed Hyperlink" xfId="9356" builtinId="9" hidden="1"/>
    <cellStyle name="Followed Hyperlink" xfId="9357" builtinId="9" hidden="1"/>
    <cellStyle name="Followed Hyperlink" xfId="9358" builtinId="9" hidden="1"/>
    <cellStyle name="Followed Hyperlink" xfId="9359" builtinId="9" hidden="1"/>
    <cellStyle name="Followed Hyperlink" xfId="9360" builtinId="9" hidden="1"/>
    <cellStyle name="Followed Hyperlink" xfId="9361" builtinId="9" hidden="1"/>
    <cellStyle name="Followed Hyperlink" xfId="9362" builtinId="9" hidden="1"/>
    <cellStyle name="Followed Hyperlink" xfId="9363" builtinId="9" hidden="1"/>
    <cellStyle name="Followed Hyperlink" xfId="9364" builtinId="9" hidden="1"/>
    <cellStyle name="Followed Hyperlink" xfId="9365" builtinId="9" hidden="1"/>
    <cellStyle name="Followed Hyperlink" xfId="9366" builtinId="9" hidden="1"/>
    <cellStyle name="Followed Hyperlink" xfId="9367" builtinId="9" hidden="1"/>
    <cellStyle name="Followed Hyperlink" xfId="9368" builtinId="9" hidden="1"/>
    <cellStyle name="Followed Hyperlink" xfId="9369" builtinId="9" hidden="1"/>
    <cellStyle name="Followed Hyperlink" xfId="9370" builtinId="9" hidden="1"/>
    <cellStyle name="Followed Hyperlink" xfId="9371" builtinId="9" hidden="1"/>
    <cellStyle name="Followed Hyperlink" xfId="9372" builtinId="9" hidden="1"/>
    <cellStyle name="Followed Hyperlink" xfId="9373" builtinId="9" hidden="1"/>
    <cellStyle name="Followed Hyperlink" xfId="9374" builtinId="9" hidden="1"/>
    <cellStyle name="Followed Hyperlink" xfId="9375" builtinId="9" hidden="1"/>
    <cellStyle name="Followed Hyperlink" xfId="9376" builtinId="9" hidden="1"/>
    <cellStyle name="Followed Hyperlink" xfId="9377" builtinId="9" hidden="1"/>
    <cellStyle name="Followed Hyperlink" xfId="9378" builtinId="9" hidden="1"/>
    <cellStyle name="Followed Hyperlink" xfId="9379" builtinId="9" hidden="1"/>
    <cellStyle name="Followed Hyperlink" xfId="9380" builtinId="9" hidden="1"/>
    <cellStyle name="Followed Hyperlink" xfId="9381" builtinId="9" hidden="1"/>
    <cellStyle name="Followed Hyperlink" xfId="9382" builtinId="9" hidden="1"/>
    <cellStyle name="Followed Hyperlink" xfId="9383" builtinId="9" hidden="1"/>
    <cellStyle name="Followed Hyperlink" xfId="9384" builtinId="9" hidden="1"/>
    <cellStyle name="Followed Hyperlink" xfId="9385" builtinId="9" hidden="1"/>
    <cellStyle name="Followed Hyperlink" xfId="9386" builtinId="9" hidden="1"/>
    <cellStyle name="Followed Hyperlink" xfId="9387" builtinId="9" hidden="1"/>
    <cellStyle name="Followed Hyperlink" xfId="9388" builtinId="9" hidden="1"/>
    <cellStyle name="Followed Hyperlink" xfId="9389" builtinId="9" hidden="1"/>
    <cellStyle name="Followed Hyperlink" xfId="9390" builtinId="9" hidden="1"/>
    <cellStyle name="Followed Hyperlink" xfId="9391" builtinId="9" hidden="1"/>
    <cellStyle name="Followed Hyperlink" xfId="9392" builtinId="9" hidden="1"/>
    <cellStyle name="Followed Hyperlink" xfId="9393" builtinId="9" hidden="1"/>
    <cellStyle name="Followed Hyperlink" xfId="9394" builtinId="9" hidden="1"/>
    <cellStyle name="Followed Hyperlink" xfId="9395" builtinId="9" hidden="1"/>
    <cellStyle name="Followed Hyperlink" xfId="9396" builtinId="9" hidden="1"/>
    <cellStyle name="Followed Hyperlink" xfId="9397" builtinId="9" hidden="1"/>
    <cellStyle name="Followed Hyperlink" xfId="9398" builtinId="9" hidden="1"/>
    <cellStyle name="Followed Hyperlink" xfId="9399" builtinId="9" hidden="1"/>
    <cellStyle name="Followed Hyperlink" xfId="9400" builtinId="9" hidden="1"/>
    <cellStyle name="Followed Hyperlink" xfId="9401" builtinId="9" hidden="1"/>
    <cellStyle name="Followed Hyperlink" xfId="9402" builtinId="9" hidden="1"/>
    <cellStyle name="Followed Hyperlink" xfId="9403" builtinId="9" hidden="1"/>
    <cellStyle name="Followed Hyperlink" xfId="9404" builtinId="9" hidden="1"/>
    <cellStyle name="Followed Hyperlink" xfId="9405" builtinId="9" hidden="1"/>
    <cellStyle name="Followed Hyperlink" xfId="9406" builtinId="9" hidden="1"/>
    <cellStyle name="Followed Hyperlink" xfId="9407" builtinId="9" hidden="1"/>
    <cellStyle name="Followed Hyperlink" xfId="9408" builtinId="9" hidden="1"/>
    <cellStyle name="Followed Hyperlink" xfId="9409" builtinId="9" hidden="1"/>
    <cellStyle name="Followed Hyperlink" xfId="9410" builtinId="9" hidden="1"/>
    <cellStyle name="Followed Hyperlink" xfId="9411" builtinId="9" hidden="1"/>
    <cellStyle name="Followed Hyperlink" xfId="9412" builtinId="9" hidden="1"/>
    <cellStyle name="Followed Hyperlink" xfId="9413" builtinId="9" hidden="1"/>
    <cellStyle name="Followed Hyperlink" xfId="9414" builtinId="9" hidden="1"/>
    <cellStyle name="Followed Hyperlink" xfId="9415" builtinId="9" hidden="1"/>
    <cellStyle name="Followed Hyperlink" xfId="9416" builtinId="9" hidden="1"/>
    <cellStyle name="Followed Hyperlink" xfId="9417" builtinId="9" hidden="1"/>
    <cellStyle name="Followed Hyperlink" xfId="9418" builtinId="9" hidden="1"/>
    <cellStyle name="Followed Hyperlink" xfId="9419" builtinId="9" hidden="1"/>
    <cellStyle name="Followed Hyperlink" xfId="9420" builtinId="9" hidden="1"/>
    <cellStyle name="Followed Hyperlink" xfId="9421" builtinId="9" hidden="1"/>
    <cellStyle name="Followed Hyperlink" xfId="9422" builtinId="9" hidden="1"/>
    <cellStyle name="Followed Hyperlink" xfId="9423" builtinId="9" hidden="1"/>
    <cellStyle name="Followed Hyperlink" xfId="9424" builtinId="9" hidden="1"/>
    <cellStyle name="Followed Hyperlink" xfId="9425" builtinId="9" hidden="1"/>
    <cellStyle name="Followed Hyperlink" xfId="9426" builtinId="9" hidden="1"/>
    <cellStyle name="Followed Hyperlink" xfId="9427" builtinId="9" hidden="1"/>
    <cellStyle name="Followed Hyperlink" xfId="9428" builtinId="9" hidden="1"/>
    <cellStyle name="Followed Hyperlink" xfId="9429" builtinId="9" hidden="1"/>
    <cellStyle name="Followed Hyperlink" xfId="9430" builtinId="9" hidden="1"/>
    <cellStyle name="Followed Hyperlink" xfId="9431" builtinId="9" hidden="1"/>
    <cellStyle name="Followed Hyperlink" xfId="9432" builtinId="9" hidden="1"/>
    <cellStyle name="Followed Hyperlink" xfId="9433" builtinId="9" hidden="1"/>
    <cellStyle name="Followed Hyperlink" xfId="9434" builtinId="9" hidden="1"/>
    <cellStyle name="Followed Hyperlink" xfId="9435" builtinId="9" hidden="1"/>
    <cellStyle name="Followed Hyperlink" xfId="9436" builtinId="9" hidden="1"/>
    <cellStyle name="Followed Hyperlink" xfId="9437" builtinId="9" hidden="1"/>
    <cellStyle name="Followed Hyperlink" xfId="9438" builtinId="9" hidden="1"/>
    <cellStyle name="Followed Hyperlink" xfId="9439" builtinId="9" hidden="1"/>
    <cellStyle name="Followed Hyperlink" xfId="9440" builtinId="9" hidden="1"/>
    <cellStyle name="Followed Hyperlink" xfId="9441" builtinId="9" hidden="1"/>
    <cellStyle name="Followed Hyperlink" xfId="9442" builtinId="9" hidden="1"/>
    <cellStyle name="Followed Hyperlink" xfId="9443" builtinId="9" hidden="1"/>
    <cellStyle name="Followed Hyperlink" xfId="9444" builtinId="9" hidden="1"/>
    <cellStyle name="Followed Hyperlink" xfId="9445" builtinId="9" hidden="1"/>
    <cellStyle name="Followed Hyperlink" xfId="9446" builtinId="9" hidden="1"/>
    <cellStyle name="Followed Hyperlink" xfId="9447" builtinId="9" hidden="1"/>
    <cellStyle name="Followed Hyperlink" xfId="9448" builtinId="9" hidden="1"/>
    <cellStyle name="Followed Hyperlink" xfId="9449" builtinId="9" hidden="1"/>
    <cellStyle name="Followed Hyperlink" xfId="9450" builtinId="9" hidden="1"/>
    <cellStyle name="Followed Hyperlink" xfId="9451" builtinId="9" hidden="1"/>
    <cellStyle name="Followed Hyperlink" xfId="9452" builtinId="9" hidden="1"/>
    <cellStyle name="Followed Hyperlink" xfId="9453" builtinId="9" hidden="1"/>
    <cellStyle name="Followed Hyperlink" xfId="9454" builtinId="9" hidden="1"/>
    <cellStyle name="Followed Hyperlink" xfId="9455" builtinId="9" hidden="1"/>
    <cellStyle name="Followed Hyperlink" xfId="9456" builtinId="9" hidden="1"/>
    <cellStyle name="Followed Hyperlink" xfId="9457" builtinId="9" hidden="1"/>
    <cellStyle name="Followed Hyperlink" xfId="9458" builtinId="9" hidden="1"/>
    <cellStyle name="Followed Hyperlink" xfId="9459" builtinId="9" hidden="1"/>
    <cellStyle name="Followed Hyperlink" xfId="9460" builtinId="9" hidden="1"/>
    <cellStyle name="Followed Hyperlink" xfId="9461" builtinId="9" hidden="1"/>
    <cellStyle name="Followed Hyperlink" xfId="9462" builtinId="9" hidden="1"/>
    <cellStyle name="Followed Hyperlink" xfId="9463" builtinId="9" hidden="1"/>
    <cellStyle name="Followed Hyperlink" xfId="9464" builtinId="9" hidden="1"/>
    <cellStyle name="Followed Hyperlink" xfId="9465" builtinId="9" hidden="1"/>
    <cellStyle name="Followed Hyperlink" xfId="9466" builtinId="9" hidden="1"/>
    <cellStyle name="Followed Hyperlink" xfId="9467" builtinId="9" hidden="1"/>
    <cellStyle name="Followed Hyperlink" xfId="9468" builtinId="9" hidden="1"/>
    <cellStyle name="Followed Hyperlink" xfId="9469" builtinId="9" hidden="1"/>
    <cellStyle name="Followed Hyperlink" xfId="9470" builtinId="9" hidden="1"/>
    <cellStyle name="Followed Hyperlink" xfId="9471" builtinId="9" hidden="1"/>
    <cellStyle name="Followed Hyperlink" xfId="9472" builtinId="9" hidden="1"/>
    <cellStyle name="Followed Hyperlink" xfId="9473" builtinId="9" hidden="1"/>
    <cellStyle name="Followed Hyperlink" xfId="9474" builtinId="9" hidden="1"/>
    <cellStyle name="Followed Hyperlink" xfId="9475" builtinId="9" hidden="1"/>
    <cellStyle name="Followed Hyperlink" xfId="9476" builtinId="9" hidden="1"/>
    <cellStyle name="Followed Hyperlink" xfId="9477" builtinId="9" hidden="1"/>
    <cellStyle name="Followed Hyperlink" xfId="9478" builtinId="9" hidden="1"/>
    <cellStyle name="Followed Hyperlink" xfId="9479" builtinId="9" hidden="1"/>
    <cellStyle name="Followed Hyperlink" xfId="9480" builtinId="9" hidden="1"/>
    <cellStyle name="Followed Hyperlink" xfId="9481" builtinId="9" hidden="1"/>
    <cellStyle name="Followed Hyperlink" xfId="9482" builtinId="9" hidden="1"/>
    <cellStyle name="Followed Hyperlink" xfId="9483" builtinId="9" hidden="1"/>
    <cellStyle name="Followed Hyperlink" xfId="9484" builtinId="9" hidden="1"/>
    <cellStyle name="Followed Hyperlink" xfId="9485" builtinId="9" hidden="1"/>
    <cellStyle name="Followed Hyperlink" xfId="9486" builtinId="9" hidden="1"/>
    <cellStyle name="Followed Hyperlink" xfId="9487" builtinId="9" hidden="1"/>
    <cellStyle name="Followed Hyperlink" xfId="9488" builtinId="9" hidden="1"/>
    <cellStyle name="Followed Hyperlink" xfId="9489" builtinId="9" hidden="1"/>
    <cellStyle name="Followed Hyperlink" xfId="9490" builtinId="9" hidden="1"/>
    <cellStyle name="Followed Hyperlink" xfId="9491" builtinId="9" hidden="1"/>
    <cellStyle name="Followed Hyperlink" xfId="9492" builtinId="9" hidden="1"/>
    <cellStyle name="Followed Hyperlink" xfId="9493" builtinId="9" hidden="1"/>
    <cellStyle name="Followed Hyperlink" xfId="9494" builtinId="9" hidden="1"/>
    <cellStyle name="Followed Hyperlink" xfId="9495" builtinId="9" hidden="1"/>
    <cellStyle name="Followed Hyperlink" xfId="9496" builtinId="9" hidden="1"/>
    <cellStyle name="Followed Hyperlink" xfId="9497" builtinId="9" hidden="1"/>
    <cellStyle name="Followed Hyperlink" xfId="9498" builtinId="9" hidden="1"/>
    <cellStyle name="Followed Hyperlink" xfId="9499" builtinId="9" hidden="1"/>
    <cellStyle name="Followed Hyperlink" xfId="9500" builtinId="9" hidden="1"/>
    <cellStyle name="Followed Hyperlink" xfId="9501" builtinId="9" hidden="1"/>
    <cellStyle name="Followed Hyperlink" xfId="9502" builtinId="9" hidden="1"/>
    <cellStyle name="Followed Hyperlink" xfId="9503" builtinId="9" hidden="1"/>
    <cellStyle name="Followed Hyperlink" xfId="9504" builtinId="9" hidden="1"/>
    <cellStyle name="Followed Hyperlink" xfId="9505" builtinId="9" hidden="1"/>
    <cellStyle name="Followed Hyperlink" xfId="9506" builtinId="9" hidden="1"/>
    <cellStyle name="Followed Hyperlink" xfId="9507" builtinId="9" hidden="1"/>
    <cellStyle name="Followed Hyperlink" xfId="9508" builtinId="9" hidden="1"/>
    <cellStyle name="Followed Hyperlink" xfId="9509" builtinId="9" hidden="1"/>
    <cellStyle name="Followed Hyperlink" xfId="9510" builtinId="9" hidden="1"/>
    <cellStyle name="Followed Hyperlink" xfId="9511" builtinId="9" hidden="1"/>
    <cellStyle name="Followed Hyperlink" xfId="9512" builtinId="9" hidden="1"/>
    <cellStyle name="Followed Hyperlink" xfId="9513" builtinId="9" hidden="1"/>
    <cellStyle name="Followed Hyperlink" xfId="9514" builtinId="9" hidden="1"/>
    <cellStyle name="Followed Hyperlink" xfId="9515" builtinId="9" hidden="1"/>
    <cellStyle name="Followed Hyperlink" xfId="9516" builtinId="9" hidden="1"/>
    <cellStyle name="Followed Hyperlink" xfId="9517" builtinId="9" hidden="1"/>
    <cellStyle name="Followed Hyperlink" xfId="9518" builtinId="9" hidden="1"/>
    <cellStyle name="Followed Hyperlink" xfId="9519" builtinId="9" hidden="1"/>
    <cellStyle name="Followed Hyperlink" xfId="9520" builtinId="9" hidden="1"/>
    <cellStyle name="Followed Hyperlink" xfId="9521" builtinId="9" hidden="1"/>
    <cellStyle name="Followed Hyperlink" xfId="9522" builtinId="9" hidden="1"/>
    <cellStyle name="Followed Hyperlink" xfId="9523" builtinId="9" hidden="1"/>
    <cellStyle name="Followed Hyperlink" xfId="9524" builtinId="9" hidden="1"/>
    <cellStyle name="Followed Hyperlink" xfId="9525" builtinId="9" hidden="1"/>
    <cellStyle name="Followed Hyperlink" xfId="9526" builtinId="9" hidden="1"/>
    <cellStyle name="Followed Hyperlink" xfId="9527" builtinId="9" hidden="1"/>
    <cellStyle name="Followed Hyperlink" xfId="9528" builtinId="9" hidden="1"/>
    <cellStyle name="Followed Hyperlink" xfId="9529" builtinId="9" hidden="1"/>
    <cellStyle name="Followed Hyperlink" xfId="9530" builtinId="9" hidden="1"/>
    <cellStyle name="Followed Hyperlink" xfId="9531" builtinId="9" hidden="1"/>
    <cellStyle name="Followed Hyperlink" xfId="9532" builtinId="9" hidden="1"/>
    <cellStyle name="Followed Hyperlink" xfId="9533" builtinId="9" hidden="1"/>
    <cellStyle name="Followed Hyperlink" xfId="9534" builtinId="9" hidden="1"/>
    <cellStyle name="Followed Hyperlink" xfId="9535" builtinId="9" hidden="1"/>
    <cellStyle name="Followed Hyperlink" xfId="9536" builtinId="9" hidden="1"/>
    <cellStyle name="Followed Hyperlink" xfId="9537" builtinId="9" hidden="1"/>
    <cellStyle name="Followed Hyperlink" xfId="9538" builtinId="9" hidden="1"/>
    <cellStyle name="Followed Hyperlink" xfId="9539" builtinId="9" hidden="1"/>
    <cellStyle name="Followed Hyperlink" xfId="9540" builtinId="9" hidden="1"/>
    <cellStyle name="Followed Hyperlink" xfId="9541" builtinId="9" hidden="1"/>
    <cellStyle name="Followed Hyperlink" xfId="9542" builtinId="9" hidden="1"/>
    <cellStyle name="Followed Hyperlink" xfId="9543" builtinId="9" hidden="1"/>
    <cellStyle name="Followed Hyperlink" xfId="9544" builtinId="9" hidden="1"/>
    <cellStyle name="Followed Hyperlink" xfId="9545" builtinId="9" hidden="1"/>
    <cellStyle name="Followed Hyperlink" xfId="9546" builtinId="9" hidden="1"/>
    <cellStyle name="Followed Hyperlink" xfId="9547" builtinId="9" hidden="1"/>
    <cellStyle name="Followed Hyperlink" xfId="9548" builtinId="9" hidden="1"/>
    <cellStyle name="Followed Hyperlink" xfId="9549" builtinId="9" hidden="1"/>
    <cellStyle name="Followed Hyperlink" xfId="9550" builtinId="9" hidden="1"/>
    <cellStyle name="Followed Hyperlink" xfId="9551" builtinId="9" hidden="1"/>
    <cellStyle name="Followed Hyperlink" xfId="9552" builtinId="9" hidden="1"/>
    <cellStyle name="Followed Hyperlink" xfId="9553" builtinId="9" hidden="1"/>
    <cellStyle name="Followed Hyperlink" xfId="9554" builtinId="9" hidden="1"/>
    <cellStyle name="Followed Hyperlink" xfId="9555" builtinId="9" hidden="1"/>
    <cellStyle name="Followed Hyperlink" xfId="9556" builtinId="9" hidden="1"/>
    <cellStyle name="Followed Hyperlink" xfId="9557" builtinId="9" hidden="1"/>
    <cellStyle name="Followed Hyperlink" xfId="9558" builtinId="9" hidden="1"/>
    <cellStyle name="Followed Hyperlink" xfId="9559" builtinId="9" hidden="1"/>
    <cellStyle name="Followed Hyperlink" xfId="9560" builtinId="9" hidden="1"/>
    <cellStyle name="Followed Hyperlink" xfId="9561" builtinId="9" hidden="1"/>
    <cellStyle name="Followed Hyperlink" xfId="9562" builtinId="9" hidden="1"/>
    <cellStyle name="Followed Hyperlink" xfId="9563" builtinId="9" hidden="1"/>
    <cellStyle name="Followed Hyperlink" xfId="9564" builtinId="9" hidden="1"/>
    <cellStyle name="Followed Hyperlink" xfId="9565" builtinId="9" hidden="1"/>
    <cellStyle name="Followed Hyperlink" xfId="9566" builtinId="9" hidden="1"/>
    <cellStyle name="Followed Hyperlink" xfId="9567" builtinId="9" hidden="1"/>
    <cellStyle name="Followed Hyperlink" xfId="9568" builtinId="9" hidden="1"/>
    <cellStyle name="Followed Hyperlink" xfId="9569" builtinId="9" hidden="1"/>
    <cellStyle name="Followed Hyperlink" xfId="9570" builtinId="9" hidden="1"/>
    <cellStyle name="Followed Hyperlink" xfId="9571" builtinId="9" hidden="1"/>
    <cellStyle name="Followed Hyperlink" xfId="9572" builtinId="9" hidden="1"/>
    <cellStyle name="Followed Hyperlink" xfId="9573" builtinId="9" hidden="1"/>
    <cellStyle name="Followed Hyperlink" xfId="9574" builtinId="9" hidden="1"/>
    <cellStyle name="Followed Hyperlink" xfId="9575" builtinId="9" hidden="1"/>
    <cellStyle name="Followed Hyperlink" xfId="9576" builtinId="9" hidden="1"/>
    <cellStyle name="Followed Hyperlink" xfId="9577" builtinId="9" hidden="1"/>
    <cellStyle name="Followed Hyperlink" xfId="9578" builtinId="9" hidden="1"/>
    <cellStyle name="Followed Hyperlink" xfId="9579" builtinId="9" hidden="1"/>
    <cellStyle name="Followed Hyperlink" xfId="9580" builtinId="9" hidden="1"/>
    <cellStyle name="Followed Hyperlink" xfId="9581" builtinId="9" hidden="1"/>
    <cellStyle name="Followed Hyperlink" xfId="9582" builtinId="9" hidden="1"/>
    <cellStyle name="Followed Hyperlink" xfId="9583" builtinId="9" hidden="1"/>
    <cellStyle name="Followed Hyperlink" xfId="9584" builtinId="9" hidden="1"/>
    <cellStyle name="Followed Hyperlink" xfId="9585" builtinId="9" hidden="1"/>
    <cellStyle name="Followed Hyperlink" xfId="9586" builtinId="9" hidden="1"/>
    <cellStyle name="Followed Hyperlink" xfId="9587" builtinId="9" hidden="1"/>
    <cellStyle name="Followed Hyperlink" xfId="9588" builtinId="9" hidden="1"/>
    <cellStyle name="Followed Hyperlink" xfId="9589" builtinId="9" hidden="1"/>
    <cellStyle name="Followed Hyperlink" xfId="9590" builtinId="9" hidden="1"/>
    <cellStyle name="Followed Hyperlink" xfId="9591" builtinId="9" hidden="1"/>
    <cellStyle name="Followed Hyperlink" xfId="9592" builtinId="9" hidden="1"/>
    <cellStyle name="Followed Hyperlink" xfId="9593" builtinId="9" hidden="1"/>
    <cellStyle name="Followed Hyperlink" xfId="9594" builtinId="9" hidden="1"/>
    <cellStyle name="Followed Hyperlink" xfId="9595" builtinId="9" hidden="1"/>
    <cellStyle name="Followed Hyperlink" xfId="9596" builtinId="9" hidden="1"/>
    <cellStyle name="Followed Hyperlink" xfId="9597" builtinId="9" hidden="1"/>
    <cellStyle name="Followed Hyperlink" xfId="9598" builtinId="9" hidden="1"/>
    <cellStyle name="Followed Hyperlink" xfId="9599" builtinId="9" hidden="1"/>
    <cellStyle name="Followed Hyperlink" xfId="9600" builtinId="9" hidden="1"/>
    <cellStyle name="Followed Hyperlink" xfId="9601" builtinId="9" hidden="1"/>
    <cellStyle name="Followed Hyperlink" xfId="9602" builtinId="9" hidden="1"/>
    <cellStyle name="Followed Hyperlink" xfId="9603" builtinId="9" hidden="1"/>
    <cellStyle name="Followed Hyperlink" xfId="9604" builtinId="9" hidden="1"/>
    <cellStyle name="Followed Hyperlink" xfId="9605" builtinId="9" hidden="1"/>
    <cellStyle name="Followed Hyperlink" xfId="9606" builtinId="9" hidden="1"/>
    <cellStyle name="Followed Hyperlink" xfId="9607" builtinId="9" hidden="1"/>
    <cellStyle name="Followed Hyperlink" xfId="9608" builtinId="9" hidden="1"/>
    <cellStyle name="Followed Hyperlink" xfId="9609" builtinId="9" hidden="1"/>
    <cellStyle name="Followed Hyperlink" xfId="9610" builtinId="9" hidden="1"/>
    <cellStyle name="Followed Hyperlink" xfId="9611" builtinId="9" hidden="1"/>
    <cellStyle name="Followed Hyperlink" xfId="9612" builtinId="9" hidden="1"/>
    <cellStyle name="Followed Hyperlink" xfId="9613" builtinId="9" hidden="1"/>
    <cellStyle name="Followed Hyperlink" xfId="9614" builtinId="9" hidden="1"/>
    <cellStyle name="Followed Hyperlink" xfId="9615" builtinId="9" hidden="1"/>
    <cellStyle name="Followed Hyperlink" xfId="9616" builtinId="9" hidden="1"/>
    <cellStyle name="Followed Hyperlink" xfId="9617" builtinId="9" hidden="1"/>
    <cellStyle name="Followed Hyperlink" xfId="9618" builtinId="9" hidden="1"/>
    <cellStyle name="Followed Hyperlink" xfId="9619" builtinId="9" hidden="1"/>
    <cellStyle name="Followed Hyperlink" xfId="9620" builtinId="9" hidden="1"/>
    <cellStyle name="Followed Hyperlink" xfId="9621" builtinId="9" hidden="1"/>
    <cellStyle name="Followed Hyperlink" xfId="9622" builtinId="9" hidden="1"/>
    <cellStyle name="Followed Hyperlink" xfId="9623" builtinId="9" hidden="1"/>
    <cellStyle name="Followed Hyperlink" xfId="9624" builtinId="9" hidden="1"/>
    <cellStyle name="Followed Hyperlink" xfId="9625" builtinId="9" hidden="1"/>
    <cellStyle name="Followed Hyperlink" xfId="9626" builtinId="9" hidden="1"/>
    <cellStyle name="Followed Hyperlink" xfId="9627" builtinId="9" hidden="1"/>
    <cellStyle name="Followed Hyperlink" xfId="9628" builtinId="9" hidden="1"/>
    <cellStyle name="Followed Hyperlink" xfId="9629" builtinId="9" hidden="1"/>
    <cellStyle name="Followed Hyperlink" xfId="9630" builtinId="9" hidden="1"/>
    <cellStyle name="Followed Hyperlink" xfId="9631" builtinId="9" hidden="1"/>
    <cellStyle name="Followed Hyperlink" xfId="9632" builtinId="9" hidden="1"/>
    <cellStyle name="Followed Hyperlink" xfId="9633" builtinId="9" hidden="1"/>
    <cellStyle name="Followed Hyperlink" xfId="9634" builtinId="9" hidden="1"/>
    <cellStyle name="Followed Hyperlink" xfId="9635" builtinId="9" hidden="1"/>
    <cellStyle name="Followed Hyperlink" xfId="9636" builtinId="9" hidden="1"/>
    <cellStyle name="Followed Hyperlink" xfId="9637" builtinId="9" hidden="1"/>
    <cellStyle name="Followed Hyperlink" xfId="9638" builtinId="9" hidden="1"/>
    <cellStyle name="Followed Hyperlink" xfId="9639" builtinId="9" hidden="1"/>
    <cellStyle name="Followed Hyperlink" xfId="9640" builtinId="9" hidden="1"/>
    <cellStyle name="Followed Hyperlink" xfId="9641" builtinId="9" hidden="1"/>
    <cellStyle name="Followed Hyperlink" xfId="9642" builtinId="9" hidden="1"/>
    <cellStyle name="Followed Hyperlink" xfId="9643" builtinId="9" hidden="1"/>
    <cellStyle name="Followed Hyperlink" xfId="9644" builtinId="9" hidden="1"/>
    <cellStyle name="Followed Hyperlink" xfId="9645" builtinId="9" hidden="1"/>
    <cellStyle name="Followed Hyperlink" xfId="9646" builtinId="9" hidden="1"/>
    <cellStyle name="Followed Hyperlink" xfId="9647" builtinId="9" hidden="1"/>
    <cellStyle name="Followed Hyperlink" xfId="9648" builtinId="9" hidden="1"/>
    <cellStyle name="Followed Hyperlink" xfId="9649" builtinId="9" hidden="1"/>
    <cellStyle name="Followed Hyperlink" xfId="9650"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5"/>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6"/>
    <cellStyle name="Heading 1 2 2" xfId="2249"/>
    <cellStyle name="Heading 1 2 3" xfId="2250"/>
    <cellStyle name="Heading 1 2 4" xfId="2251"/>
    <cellStyle name="Heading 1 2 5" xfId="2252"/>
    <cellStyle name="Heading 1 2 6" xfId="2253"/>
    <cellStyle name="Heading 1 3" xfId="2254"/>
    <cellStyle name="Heading 2 2" xfId="47"/>
    <cellStyle name="Heading 2 2 2" xfId="2255"/>
    <cellStyle name="Heading 2 2 3" xfId="2256"/>
    <cellStyle name="Heading 2 2 4" xfId="2257"/>
    <cellStyle name="Heading 2 2 5" xfId="2258"/>
    <cellStyle name="Heading 2 2 6" xfId="2259"/>
    <cellStyle name="Heading 2 3" xfId="2260"/>
    <cellStyle name="Heading 3 2" xfId="48"/>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9"/>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50"/>
    <cellStyle name="Input 2 10" xfId="9747"/>
    <cellStyle name="Input 2 2" xfId="68"/>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51"/>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52"/>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8"/>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9"/>
    <cellStyle name="Normal 2 2 2" xfId="54"/>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3"/>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49" xfId="9772"/>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10"/>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5"/>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6"/>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7"/>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9"/>
    <cellStyle name="Note 2 10" xfId="4553"/>
    <cellStyle name="Note 2 11" xfId="4554"/>
    <cellStyle name="Note 2 12" xfId="9749"/>
    <cellStyle name="Note 2 2" xfId="70"/>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8"/>
    <cellStyle name="Note 3 2" xfId="69"/>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60"/>
    <cellStyle name="Output 2 10" xfId="9750"/>
    <cellStyle name="Output 2 2" xfId="71"/>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1"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11"/>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12"/>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3"/>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61"/>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62"/>
    <cellStyle name="Style 23 2" xfId="63"/>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4"/>
    <cellStyle name="Title 2 2" xfId="5062"/>
    <cellStyle name="Title 3" xfId="5063"/>
    <cellStyle name="title1" xfId="5065"/>
    <cellStyle name="title2" xfId="5066"/>
    <cellStyle name="Title-2" xfId="5064"/>
    <cellStyle name="Titles" xfId="5067"/>
    <cellStyle name="titre_col" xfId="5068"/>
    <cellStyle name="TOC" xfId="5069"/>
    <cellStyle name="Total 2" xfId="65"/>
    <cellStyle name="Total 2 10" xfId="5070"/>
    <cellStyle name="Total 2 11" xfId="9751"/>
    <cellStyle name="Total 2 2" xfId="72"/>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6"/>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31">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
      <font>
        <color theme="0" tint="-0.3499557481612597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90500" y="7715250"/>
          <a:ext cx="10172700" cy="1352550"/>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endParaRPr lang="en-CA" sz="1000" b="1" i="1" u="non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defRPr sz="1000"/>
          </a:pPr>
          <a:r>
            <a:rPr lang="en-CA" sz="1000" b="1" i="1" baseline="0">
              <a:solidFill>
                <a:srgbClr val="000000"/>
              </a:solidFill>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a:grpSpLocks/>
        </xdr:cNvGrpSpPr>
      </xdr:nvGrpSpPr>
      <xdr:grpSpPr>
        <a:xfrm>
          <a:off x="9525" y="0"/>
          <a:ext cx="10934700" cy="2362200"/>
          <a:chOff x="10997237" y="5479676"/>
          <a:chExt cx="8857420" cy="2022148"/>
        </a:xfrm>
      </xdr:grpSpPr>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fLocksText="0">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53500" y="1724025"/>
          <a:ext cx="163830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a:grpSpLocks/>
        </xdr:cNvGrpSpPr>
      </xdr:nvGrpSpPr>
      <xdr:grpSpPr>
        <a:xfrm>
          <a:off x="304800" y="133350"/>
          <a:ext cx="19497675" cy="1990725"/>
          <a:chOff x="10997237" y="5479676"/>
          <a:chExt cx="8857420" cy="1900278"/>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fLocksText="0">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7335500" y="1600200"/>
          <a:ext cx="2009775" cy="3905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581025" y="476250"/>
          <a:ext cx="552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fLocksText="0">
      <xdr:nvSpPr>
        <xdr:cNvPr id="9" name="Rectangle 8"/>
        <xdr:cNvSpPr/>
      </xdr:nvSpPr>
      <xdr:spPr>
        <a:xfrm>
          <a:off x="1352550" y="447675"/>
          <a:ext cx="2171700" cy="4000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a:grpSpLocks/>
        </xdr:cNvGrpSpPr>
      </xdr:nvGrpSpPr>
      <xdr:grpSpPr>
        <a:xfrm>
          <a:off x="0" y="0"/>
          <a:ext cx="19450050" cy="1981200"/>
          <a:chOff x="10997237" y="5479676"/>
          <a:chExt cx="8857420" cy="1900278"/>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fLocksText="0">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306925" y="1400175"/>
          <a:ext cx="1571625" cy="2857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a:grpSpLocks/>
        </xdr:cNvGrpSpPr>
      </xdr:nvGrpSpPr>
      <xdr:grpSpPr>
        <a:xfrm>
          <a:off x="95250" y="152400"/>
          <a:ext cx="28060650" cy="1790700"/>
          <a:chOff x="10997237" y="5479676"/>
          <a:chExt cx="8857420" cy="1900278"/>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fLocksText="0">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469850" y="1438275"/>
          <a:ext cx="2276475" cy="22860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21</xdr:col>
      <xdr:colOff>561975</xdr:colOff>
      <xdr:row>10</xdr:row>
      <xdr:rowOff>170391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80975"/>
          <a:ext cx="9144000" cy="1800225"/>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0</xdr:colOff>
      <xdr:row>10</xdr:row>
      <xdr:rowOff>158148</xdr:rowOff>
    </xdr:to>
    <xdr:sp macro="" textlink="" fLocksText="0">
      <xdr:nvSpPr>
        <xdr:cNvPr id="3" name="Rectangle 2"/>
        <xdr:cNvSpPr/>
      </xdr:nvSpPr>
      <xdr:spPr>
        <a:xfrm>
          <a:off x="809625" y="752475"/>
          <a:ext cx="8039100" cy="12192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685800" y="495300"/>
          <a:ext cx="6953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fLocksText="0">
      <xdr:nvSpPr>
        <xdr:cNvPr id="5" name="Rectangle 4"/>
        <xdr:cNvSpPr/>
      </xdr:nvSpPr>
      <xdr:spPr>
        <a:xfrm>
          <a:off x="1466850" y="561975"/>
          <a:ext cx="4572000" cy="3619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21</xdr:col>
      <xdr:colOff>249767</xdr:colOff>
      <xdr:row>9</xdr:row>
      <xdr:rowOff>104775</xdr:rowOff>
    </xdr:to>
    <xdr:sp macro="" textlink="">
      <xdr:nvSpPr>
        <xdr:cNvPr id="6" name="TextBox 5"/>
        <xdr:cNvSpPr txBox="1"/>
      </xdr:nvSpPr>
      <xdr:spPr>
        <a:xfrm>
          <a:off x="7010400" y="1495425"/>
          <a:ext cx="2085975"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a:grpSpLocks/>
        </xdr:cNvGrpSpPr>
      </xdr:nvGrpSpPr>
      <xdr:grpSpPr>
        <a:xfrm>
          <a:off x="295275" y="276225"/>
          <a:ext cx="15678150" cy="2181225"/>
          <a:chOff x="11012846" y="5479676"/>
          <a:chExt cx="8857420" cy="1900278"/>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fLocksText="0">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3725525" y="1914525"/>
          <a:ext cx="1762125"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a:grpSpLocks/>
        </xdr:cNvGrpSpPr>
      </xdr:nvGrpSpPr>
      <xdr:grpSpPr>
        <a:xfrm>
          <a:off x="123825" y="76200"/>
          <a:ext cx="18345150"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fLocksText="0">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001875" y="1504950"/>
          <a:ext cx="3067050" cy="4095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a:grpSpLocks/>
        </xdr:cNvGrpSpPr>
      </xdr:nvGrpSpPr>
      <xdr:grpSpPr>
        <a:xfrm>
          <a:off x="135155" y="47006"/>
          <a:ext cx="17408774"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fLocksText="0">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CA"/>
            </a:p>
          </xdr:txBody>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049750" y="1733550"/>
          <a:ext cx="0"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70</xdr:row>
          <xdr:rowOff>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73</xdr:row>
          <xdr:rowOff>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CA"/>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175260</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en-CA"/>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a:grpSpLocks/>
        </xdr:cNvGrpSpPr>
      </xdr:nvGrpSpPr>
      <xdr:grpSpPr>
        <a:xfrm>
          <a:off x="238125" y="38100"/>
          <a:ext cx="16144875" cy="2085975"/>
          <a:chOff x="10964411" y="5491703"/>
          <a:chExt cx="8857420" cy="1913598"/>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fLocksText="0">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44650" y="1562100"/>
          <a:ext cx="1676400" cy="25717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a:grpSpLocks/>
        </xdr:cNvGrpSpPr>
      </xdr:nvGrpSpPr>
      <xdr:grpSpPr>
        <a:xfrm>
          <a:off x="104775" y="0"/>
          <a:ext cx="19392900" cy="2181225"/>
          <a:chOff x="10997237" y="5479676"/>
          <a:chExt cx="8857420" cy="1900278"/>
        </a:xfrm>
      </xdr:grpSpPr>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fLocksText="0">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0225" y="1571625"/>
          <a:ext cx="1800225" cy="3238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025" y="0"/>
          <a:ext cx="18326100" cy="1895475"/>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a:grpSpLocks/>
        </xdr:cNvGrpSpPr>
      </xdr:nvGrpSpPr>
      <xdr:grpSpPr>
        <a:xfrm>
          <a:off x="485775" y="285750"/>
          <a:ext cx="15440025" cy="1562100"/>
          <a:chOff x="11207347" y="5630816"/>
          <a:chExt cx="8999966" cy="1385141"/>
        </a:xfrm>
      </xdr:grpSpPr>
      <xdr:sp macro="" textlink="" fLocksText="0">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5925800" y="1314450"/>
          <a:ext cx="2333625" cy="2476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0" y="295275"/>
          <a:ext cx="15659100" cy="1800225"/>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fLocksText="0">
      <xdr:nvSpPr>
        <xdr:cNvPr id="3" name="Rectangle 2"/>
        <xdr:cNvSpPr/>
      </xdr:nvSpPr>
      <xdr:spPr>
        <a:xfrm>
          <a:off x="819150" y="838200"/>
          <a:ext cx="14268450" cy="120967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685800" y="495300"/>
          <a:ext cx="6286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fLocksText="0">
      <xdr:nvSpPr>
        <xdr:cNvPr id="5" name="Rectangle 4"/>
        <xdr:cNvSpPr/>
      </xdr:nvSpPr>
      <xdr:spPr>
        <a:xfrm>
          <a:off x="1400175" y="561975"/>
          <a:ext cx="5905500" cy="3619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3315950" y="1638300"/>
          <a:ext cx="2276475" cy="238125"/>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66675"/>
          <a:ext cx="19307175" cy="2181225"/>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a:grpSpLocks/>
        </xdr:cNvGrpSpPr>
      </xdr:nvGrpSpPr>
      <xdr:grpSpPr>
        <a:xfrm>
          <a:off x="409575" y="219075"/>
          <a:ext cx="17821275" cy="2247900"/>
          <a:chOff x="11176383" y="5659979"/>
          <a:chExt cx="6311801" cy="1821373"/>
        </a:xfrm>
      </xdr:grpSpPr>
      <xdr:sp macro="" textlink="" fLocksText="0">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6" t="-1606" r="-2436" b="-1606"/>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fLocksText="0">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649700" y="1676400"/>
          <a:ext cx="2286000" cy="40005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gn="r"/>
          <a:r>
            <a:rPr lang="en-CA" sz="1400" b="1" i="0"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Algoma Power Inc.</v>
          </cell>
          <cell r="B3">
            <v>1</v>
          </cell>
          <cell r="C3">
            <v>1.28</v>
          </cell>
          <cell r="D3">
            <v>7.37</v>
          </cell>
        </row>
        <row r="4">
          <cell r="A4" t="str">
            <v>Atikokan Hydro Inc.</v>
          </cell>
          <cell r="B4">
            <v>2</v>
          </cell>
          <cell r="C4">
            <v>0.2</v>
          </cell>
          <cell r="D4">
            <v>1.1599999999999999</v>
          </cell>
        </row>
        <row r="5">
          <cell r="A5" t="str">
            <v>Attawapiskat Power Corporation</v>
          </cell>
          <cell r="B5">
            <v>3</v>
          </cell>
          <cell r="C5">
            <v>7.0000000000000007E-2</v>
          </cell>
          <cell r="D5">
            <v>0.28999999999999998</v>
          </cell>
        </row>
        <row r="6">
          <cell r="A6" t="str">
            <v>Bluewater Power Distribution Corporation</v>
          </cell>
          <cell r="B6">
            <v>4</v>
          </cell>
          <cell r="C6">
            <v>10.65</v>
          </cell>
          <cell r="D6">
            <v>53.73</v>
          </cell>
        </row>
        <row r="7">
          <cell r="A7" t="str">
            <v>Brant County Power Inc.</v>
          </cell>
          <cell r="B7">
            <v>5</v>
          </cell>
          <cell r="C7">
            <v>3.3</v>
          </cell>
          <cell r="D7">
            <v>9.85</v>
          </cell>
        </row>
        <row r="8">
          <cell r="A8" t="str">
            <v>Brantford Power Inc.</v>
          </cell>
          <cell r="B8">
            <v>6</v>
          </cell>
          <cell r="C8">
            <v>11.38</v>
          </cell>
          <cell r="D8">
            <v>48.92</v>
          </cell>
        </row>
        <row r="9">
          <cell r="A9" t="str">
            <v>Burlington Hydro Inc.</v>
          </cell>
          <cell r="B9">
            <v>7</v>
          </cell>
          <cell r="C9">
            <v>21.95</v>
          </cell>
          <cell r="D9">
            <v>82.37</v>
          </cell>
        </row>
        <row r="10">
          <cell r="A10" t="str">
            <v>COLLUS Power Corporation</v>
          </cell>
          <cell r="B10">
            <v>8</v>
          </cell>
          <cell r="C10">
            <v>3.14</v>
          </cell>
          <cell r="D10">
            <v>14.97</v>
          </cell>
        </row>
        <row r="11">
          <cell r="A11" t="str">
            <v>Cambridge and North Dumfries Hydro Inc.</v>
          </cell>
          <cell r="B11">
            <v>9</v>
          </cell>
          <cell r="C11">
            <v>17.68</v>
          </cell>
          <cell r="D11">
            <v>73.66</v>
          </cell>
        </row>
        <row r="12">
          <cell r="A12" t="str">
            <v>Canadian Niagara Power Inc.</v>
          </cell>
          <cell r="B12">
            <v>10</v>
          </cell>
          <cell r="C12">
            <v>4.07</v>
          </cell>
          <cell r="D12">
            <v>15.81</v>
          </cell>
        </row>
        <row r="13">
          <cell r="A13" t="str">
            <v>Centre Wellington Hydro Ltd.</v>
          </cell>
          <cell r="B13">
            <v>11</v>
          </cell>
          <cell r="C13">
            <v>1.64</v>
          </cell>
          <cell r="D13">
            <v>7.81</v>
          </cell>
        </row>
        <row r="14">
          <cell r="A14" t="str">
            <v>Chapleau Public Utilities Corporation</v>
          </cell>
          <cell r="B14">
            <v>12</v>
          </cell>
          <cell r="C14">
            <v>0.17</v>
          </cell>
          <cell r="D14">
            <v>1.21</v>
          </cell>
        </row>
        <row r="15">
          <cell r="A15" t="str">
            <v>Chatham-Kent Hydro Inc.</v>
          </cell>
          <cell r="B15">
            <v>13</v>
          </cell>
          <cell r="C15">
            <v>9.67</v>
          </cell>
          <cell r="D15">
            <v>37.28</v>
          </cell>
        </row>
        <row r="16">
          <cell r="A16" t="str">
            <v>Clinton Power Corporation</v>
          </cell>
          <cell r="B16">
            <v>14</v>
          </cell>
          <cell r="C16">
            <v>0.32</v>
          </cell>
          <cell r="D16">
            <v>1.38</v>
          </cell>
        </row>
        <row r="17">
          <cell r="A17" t="str">
            <v>Cooperative Hydro Embrun Inc.</v>
          </cell>
          <cell r="B17">
            <v>15</v>
          </cell>
          <cell r="C17">
            <v>0.34</v>
          </cell>
          <cell r="D17">
            <v>1.1200000000000001</v>
          </cell>
        </row>
        <row r="18">
          <cell r="A18" t="str">
            <v>E.L.K. Energy Inc.</v>
          </cell>
          <cell r="B18">
            <v>16</v>
          </cell>
          <cell r="C18">
            <v>2.69</v>
          </cell>
          <cell r="D18">
            <v>8.25</v>
          </cell>
        </row>
        <row r="19">
          <cell r="A19" t="str">
            <v>ENWIN Utilities Ltd.</v>
          </cell>
          <cell r="B19">
            <v>17</v>
          </cell>
          <cell r="C19">
            <v>26.81</v>
          </cell>
          <cell r="D19">
            <v>117.89</v>
          </cell>
        </row>
        <row r="20">
          <cell r="A20" t="str">
            <v>Enersource Hydro Mississauga Inc.</v>
          </cell>
          <cell r="B20">
            <v>18</v>
          </cell>
          <cell r="C20">
            <v>92.98</v>
          </cell>
          <cell r="D20">
            <v>417.22</v>
          </cell>
        </row>
        <row r="21">
          <cell r="A21" t="str">
            <v>Erie Thames Powerlines Corporation</v>
          </cell>
          <cell r="B21">
            <v>19</v>
          </cell>
          <cell r="C21">
            <v>4.28</v>
          </cell>
          <cell r="D21">
            <v>18.600000000000001</v>
          </cell>
        </row>
        <row r="22">
          <cell r="A22" t="str">
            <v>Espanola Regional Hydro Distribution Corporation</v>
          </cell>
          <cell r="B22">
            <v>20</v>
          </cell>
          <cell r="C22">
            <v>0.52</v>
          </cell>
          <cell r="D22">
            <v>2.76</v>
          </cell>
        </row>
        <row r="23">
          <cell r="A23" t="str">
            <v>Essex Powerlines Corporation</v>
          </cell>
          <cell r="B23">
            <v>21</v>
          </cell>
          <cell r="C23">
            <v>7.19</v>
          </cell>
          <cell r="D23">
            <v>21.54</v>
          </cell>
        </row>
        <row r="24">
          <cell r="A24" t="str">
            <v>Festival Hydro Inc.</v>
          </cell>
          <cell r="B24">
            <v>22</v>
          </cell>
          <cell r="C24">
            <v>6.23</v>
          </cell>
          <cell r="D24">
            <v>29.25</v>
          </cell>
        </row>
        <row r="25">
          <cell r="A25" t="str">
            <v>Fort Albany Power Corporation</v>
          </cell>
          <cell r="B25">
            <v>23</v>
          </cell>
          <cell r="C25">
            <v>0.05</v>
          </cell>
          <cell r="D25">
            <v>0.24</v>
          </cell>
        </row>
        <row r="26">
          <cell r="A26" t="str">
            <v>Fort Frances Power Corporation</v>
          </cell>
          <cell r="B26">
            <v>24</v>
          </cell>
          <cell r="C26">
            <v>0.61</v>
          </cell>
          <cell r="D26">
            <v>3.64</v>
          </cell>
        </row>
        <row r="27">
          <cell r="A27" t="str">
            <v>Greater Sudbury Hydro Inc.</v>
          </cell>
          <cell r="B27">
            <v>25</v>
          </cell>
          <cell r="C27">
            <v>8.2200000000000006</v>
          </cell>
          <cell r="D27">
            <v>43.71</v>
          </cell>
        </row>
        <row r="28">
          <cell r="A28" t="str">
            <v>Grimsby Power Inc.</v>
          </cell>
          <cell r="B28">
            <v>26</v>
          </cell>
          <cell r="C28">
            <v>2.06</v>
          </cell>
          <cell r="D28">
            <v>7.76</v>
          </cell>
        </row>
        <row r="29">
          <cell r="A29" t="str">
            <v>Guelph Hydro Electric Systems Inc.</v>
          </cell>
          <cell r="B29">
            <v>27</v>
          </cell>
          <cell r="C29">
            <v>16.71</v>
          </cell>
          <cell r="D29">
            <v>79.53</v>
          </cell>
        </row>
        <row r="30">
          <cell r="A30" t="str">
            <v>Haldimand County Hydro Inc.</v>
          </cell>
          <cell r="B30">
            <v>28</v>
          </cell>
          <cell r="C30">
            <v>2.85</v>
          </cell>
          <cell r="D30">
            <v>13.3</v>
          </cell>
        </row>
        <row r="31">
          <cell r="A31" t="str">
            <v>Halton Hills Hydro Inc.</v>
          </cell>
          <cell r="B31">
            <v>29</v>
          </cell>
          <cell r="C31">
            <v>6.15</v>
          </cell>
          <cell r="D31">
            <v>22.48</v>
          </cell>
        </row>
        <row r="32">
          <cell r="A32" t="str">
            <v>Hearst Power Distribution Company Limited</v>
          </cell>
          <cell r="B32">
            <v>30</v>
          </cell>
          <cell r="C32">
            <v>0.68</v>
          </cell>
          <cell r="D32">
            <v>3.91</v>
          </cell>
        </row>
        <row r="33">
          <cell r="A33" t="str">
            <v>Horizon Utilities Corporation</v>
          </cell>
          <cell r="B33">
            <v>31</v>
          </cell>
          <cell r="C33">
            <v>60.36</v>
          </cell>
          <cell r="D33">
            <v>281.42</v>
          </cell>
        </row>
        <row r="34">
          <cell r="A34" t="str">
            <v>Hydro 2000 Inc.</v>
          </cell>
          <cell r="B34">
            <v>32</v>
          </cell>
          <cell r="C34">
            <v>0.19</v>
          </cell>
          <cell r="D34">
            <v>1.04</v>
          </cell>
        </row>
        <row r="35">
          <cell r="A35" t="str">
            <v>Hydro Hawkesbury Inc.</v>
          </cell>
          <cell r="B35">
            <v>33</v>
          </cell>
          <cell r="C35">
            <v>1.82</v>
          </cell>
          <cell r="D35">
            <v>9.2799999999999994</v>
          </cell>
        </row>
        <row r="36">
          <cell r="A36" t="str">
            <v>Hydro One Brampton Networks Inc.</v>
          </cell>
          <cell r="B36">
            <v>34</v>
          </cell>
          <cell r="C36">
            <v>45.61</v>
          </cell>
          <cell r="D36">
            <v>189.54</v>
          </cell>
        </row>
        <row r="37">
          <cell r="A37" t="str">
            <v>Hydro One Networks Inc.</v>
          </cell>
          <cell r="B37">
            <v>35</v>
          </cell>
          <cell r="C37">
            <v>213.66</v>
          </cell>
          <cell r="D37">
            <v>1130.21</v>
          </cell>
        </row>
        <row r="38">
          <cell r="A38" t="str">
            <v>Hydro Ottawa Limited</v>
          </cell>
          <cell r="B38">
            <v>36</v>
          </cell>
          <cell r="C38">
            <v>85.26</v>
          </cell>
          <cell r="D38">
            <v>374.73</v>
          </cell>
        </row>
        <row r="39">
          <cell r="A39" t="str">
            <v>Innisfil Hydro Distribution Systems Limited</v>
          </cell>
          <cell r="B39">
            <v>37</v>
          </cell>
          <cell r="C39">
            <v>2.5</v>
          </cell>
          <cell r="D39">
            <v>9.1999999999999993</v>
          </cell>
        </row>
        <row r="40">
          <cell r="A40" t="str">
            <v>Kashechewan Power Corporation</v>
          </cell>
          <cell r="B40">
            <v>38</v>
          </cell>
          <cell r="C40">
            <v>7.0000000000000007E-2</v>
          </cell>
          <cell r="D40">
            <v>0.33</v>
          </cell>
        </row>
        <row r="41">
          <cell r="A41" t="str">
            <v>Kenora Hydro Electric Corporation Ltd.</v>
          </cell>
          <cell r="B41">
            <v>39</v>
          </cell>
          <cell r="C41">
            <v>0.86</v>
          </cell>
          <cell r="D41">
            <v>5.22</v>
          </cell>
        </row>
        <row r="42">
          <cell r="A42" t="str">
            <v>Kingston Hydro Corporation</v>
          </cell>
          <cell r="B42">
            <v>40</v>
          </cell>
          <cell r="C42">
            <v>6.63</v>
          </cell>
          <cell r="D42">
            <v>37.159999999999997</v>
          </cell>
        </row>
        <row r="43">
          <cell r="A43" t="str">
            <v>Kitchener-Wilmot Hydro Inc.</v>
          </cell>
          <cell r="B43">
            <v>41</v>
          </cell>
          <cell r="C43">
            <v>21.56</v>
          </cell>
          <cell r="D43">
            <v>90.29</v>
          </cell>
        </row>
        <row r="44">
          <cell r="A44" t="str">
            <v>Lakefront Utilities Inc.</v>
          </cell>
          <cell r="B44">
            <v>42</v>
          </cell>
          <cell r="C44">
            <v>2.77</v>
          </cell>
          <cell r="D44">
            <v>13.59</v>
          </cell>
        </row>
        <row r="45">
          <cell r="A45" t="str">
            <v>Lakeland Power Distribution Ltd.</v>
          </cell>
          <cell r="B45">
            <v>43</v>
          </cell>
          <cell r="C45">
            <v>2.3199999999999998</v>
          </cell>
          <cell r="D45">
            <v>10.18</v>
          </cell>
        </row>
        <row r="46">
          <cell r="A46" t="str">
            <v>London Hydro Inc.</v>
          </cell>
          <cell r="B46">
            <v>44</v>
          </cell>
          <cell r="C46">
            <v>41.44</v>
          </cell>
          <cell r="D46">
            <v>156.63999999999999</v>
          </cell>
        </row>
        <row r="47">
          <cell r="A47" t="str">
            <v>Middlesex Power Distribution Corporation</v>
          </cell>
          <cell r="B47">
            <v>45</v>
          </cell>
          <cell r="C47">
            <v>2.4500000000000002</v>
          </cell>
          <cell r="D47">
            <v>9.25</v>
          </cell>
        </row>
        <row r="48">
          <cell r="A48" t="str">
            <v>Midland Power Utility Corporation</v>
          </cell>
          <cell r="B48">
            <v>46</v>
          </cell>
          <cell r="C48">
            <v>2.39</v>
          </cell>
          <cell r="D48">
            <v>10.82</v>
          </cell>
        </row>
        <row r="49">
          <cell r="A49" t="str">
            <v>Milton Hydro Distribution Inc.</v>
          </cell>
          <cell r="B49">
            <v>47</v>
          </cell>
          <cell r="C49">
            <v>8.0500000000000007</v>
          </cell>
          <cell r="D49">
            <v>33.5</v>
          </cell>
        </row>
        <row r="50">
          <cell r="A50" t="str">
            <v>Newmarket - Tay Power Distribution Ltd.</v>
          </cell>
          <cell r="B50">
            <v>48</v>
          </cell>
          <cell r="C50">
            <v>8.76</v>
          </cell>
          <cell r="D50">
            <v>33.049999999999997</v>
          </cell>
        </row>
        <row r="51">
          <cell r="A51" t="str">
            <v>Niagara Peninsula Energy Inc.</v>
          </cell>
          <cell r="B51">
            <v>49</v>
          </cell>
          <cell r="C51">
            <v>15.49</v>
          </cell>
          <cell r="D51">
            <v>58.04</v>
          </cell>
        </row>
        <row r="52">
          <cell r="A52" t="str">
            <v>Niagara-on-the-Lake Hydro Inc.</v>
          </cell>
          <cell r="B52">
            <v>50</v>
          </cell>
          <cell r="C52">
            <v>2.42</v>
          </cell>
          <cell r="D52">
            <v>8.27</v>
          </cell>
        </row>
        <row r="53">
          <cell r="A53" t="str">
            <v>Norfolk Power Distribution Inc.</v>
          </cell>
          <cell r="B53">
            <v>51</v>
          </cell>
          <cell r="C53">
            <v>4.25</v>
          </cell>
          <cell r="D53">
            <v>15.68</v>
          </cell>
        </row>
        <row r="54">
          <cell r="A54" t="str">
            <v>North Bay Hydro Distribution Limited</v>
          </cell>
          <cell r="B54">
            <v>52</v>
          </cell>
          <cell r="C54">
            <v>5.05</v>
          </cell>
          <cell r="D54">
            <v>26.1</v>
          </cell>
        </row>
        <row r="55">
          <cell r="A55" t="str">
            <v>Northern Ontario Wires Inc.</v>
          </cell>
          <cell r="B55">
            <v>53</v>
          </cell>
          <cell r="C55">
            <v>1.06</v>
          </cell>
          <cell r="D55">
            <v>5.88</v>
          </cell>
        </row>
        <row r="56">
          <cell r="A56" t="str">
            <v>Oakville Hydro Electricity Distribution Inc.</v>
          </cell>
          <cell r="B56">
            <v>54</v>
          </cell>
          <cell r="C56">
            <v>20.7</v>
          </cell>
          <cell r="D56">
            <v>74.06</v>
          </cell>
        </row>
        <row r="57">
          <cell r="A57" t="str">
            <v>Orangeville Hydro Limited</v>
          </cell>
          <cell r="B57">
            <v>55</v>
          </cell>
          <cell r="C57">
            <v>2.78</v>
          </cell>
          <cell r="D57">
            <v>11.82</v>
          </cell>
        </row>
        <row r="58">
          <cell r="A58" t="str">
            <v>Orillia Power Distribution Corporation</v>
          </cell>
          <cell r="B58">
            <v>56</v>
          </cell>
          <cell r="C58">
            <v>3.07</v>
          </cell>
          <cell r="D58">
            <v>15.05</v>
          </cell>
        </row>
        <row r="59">
          <cell r="A59" t="str">
            <v>Oshawa PUC Networks Inc.</v>
          </cell>
          <cell r="B59">
            <v>57</v>
          </cell>
          <cell r="C59">
            <v>12.52</v>
          </cell>
          <cell r="D59">
            <v>52.24</v>
          </cell>
        </row>
        <row r="60">
          <cell r="A60" t="str">
            <v>Ottawa River Power Corporation</v>
          </cell>
          <cell r="B60">
            <v>58</v>
          </cell>
          <cell r="C60">
            <v>1.61</v>
          </cell>
          <cell r="D60">
            <v>8.9700000000000006</v>
          </cell>
        </row>
        <row r="61">
          <cell r="A61" t="str">
            <v>PUC Distribution Inc.</v>
          </cell>
          <cell r="B61">
            <v>59</v>
          </cell>
          <cell r="C61">
            <v>5.58</v>
          </cell>
          <cell r="D61">
            <v>30.83</v>
          </cell>
        </row>
        <row r="62">
          <cell r="A62" t="str">
            <v>Parry Sound Power Corporation</v>
          </cell>
          <cell r="B62">
            <v>60</v>
          </cell>
          <cell r="C62">
            <v>0.74</v>
          </cell>
          <cell r="D62">
            <v>4.16</v>
          </cell>
        </row>
        <row r="63">
          <cell r="A63" t="str">
            <v>Peterborough Distribution Incorporated</v>
          </cell>
          <cell r="B63">
            <v>61</v>
          </cell>
          <cell r="C63">
            <v>8.7200000000000006</v>
          </cell>
          <cell r="D63">
            <v>38.450000000000003</v>
          </cell>
        </row>
        <row r="64">
          <cell r="A64" t="str">
            <v>Port Colborne Hydro Inc.</v>
          </cell>
          <cell r="B64">
            <v>62</v>
          </cell>
          <cell r="C64">
            <v>2.33</v>
          </cell>
          <cell r="D64">
            <v>9.27</v>
          </cell>
        </row>
        <row r="65">
          <cell r="A65" t="str">
            <v>PowerStream Inc.</v>
          </cell>
          <cell r="B65">
            <v>63</v>
          </cell>
          <cell r="C65">
            <v>95.57</v>
          </cell>
          <cell r="D65">
            <v>407.34</v>
          </cell>
        </row>
        <row r="66">
          <cell r="A66" t="str">
            <v>Renfrew Hydro Inc.</v>
          </cell>
          <cell r="B66">
            <v>64</v>
          </cell>
          <cell r="C66">
            <v>1.05</v>
          </cell>
          <cell r="D66">
            <v>4.8600000000000003</v>
          </cell>
        </row>
        <row r="67">
          <cell r="A67" t="str">
            <v>Rideau St. Lawrence Distribution Inc.</v>
          </cell>
          <cell r="B67">
            <v>65</v>
          </cell>
          <cell r="C67">
            <v>1.22</v>
          </cell>
          <cell r="D67">
            <v>5.0999999999999996</v>
          </cell>
        </row>
        <row r="68">
          <cell r="A68" t="str">
            <v>Sioux Lookout Hydro Inc.</v>
          </cell>
          <cell r="B68">
            <v>66</v>
          </cell>
          <cell r="C68">
            <v>0.51</v>
          </cell>
          <cell r="D68">
            <v>3.32</v>
          </cell>
        </row>
        <row r="69">
          <cell r="A69" t="str">
            <v>St. Thomas Energy Inc.</v>
          </cell>
          <cell r="B69">
            <v>67</v>
          </cell>
          <cell r="C69">
            <v>3.94</v>
          </cell>
          <cell r="D69">
            <v>14.92</v>
          </cell>
        </row>
        <row r="70">
          <cell r="A70" t="str">
            <v>Thunder Bay Hydro Electricity Distribution Inc.</v>
          </cell>
          <cell r="B70">
            <v>68</v>
          </cell>
          <cell r="C70">
            <v>8.48</v>
          </cell>
          <cell r="D70">
            <v>47.38</v>
          </cell>
        </row>
        <row r="71">
          <cell r="A71" t="str">
            <v>Tillsonburg Hydro Inc.</v>
          </cell>
          <cell r="B71">
            <v>69</v>
          </cell>
          <cell r="C71">
            <v>2.29</v>
          </cell>
          <cell r="D71">
            <v>10.25</v>
          </cell>
        </row>
        <row r="72">
          <cell r="A72" t="str">
            <v>Toronto Hydro-Electric System Limited</v>
          </cell>
          <cell r="B72">
            <v>70</v>
          </cell>
          <cell r="C72">
            <v>286.27</v>
          </cell>
          <cell r="D72">
            <v>1303.99</v>
          </cell>
        </row>
        <row r="73">
          <cell r="A73" t="str">
            <v>Veridian Connections Inc.</v>
          </cell>
          <cell r="B73">
            <v>71</v>
          </cell>
          <cell r="C73">
            <v>29.05</v>
          </cell>
          <cell r="D73">
            <v>115.74</v>
          </cell>
        </row>
        <row r="74">
          <cell r="A74" t="str">
            <v>Wasaga Distribution Inc.</v>
          </cell>
          <cell r="B74">
            <v>72</v>
          </cell>
          <cell r="C74">
            <v>1.34</v>
          </cell>
          <cell r="D74">
            <v>4.01</v>
          </cell>
        </row>
        <row r="75">
          <cell r="A75" t="str">
            <v>Waterloo North Hydro Inc.</v>
          </cell>
          <cell r="B75">
            <v>73</v>
          </cell>
          <cell r="C75">
            <v>15.79</v>
          </cell>
          <cell r="D75">
            <v>66.489999999999995</v>
          </cell>
        </row>
        <row r="76">
          <cell r="A76" t="str">
            <v>Welland Hydro-Electric System Corp.</v>
          </cell>
          <cell r="B76">
            <v>74</v>
          </cell>
          <cell r="C76">
            <v>5.56</v>
          </cell>
          <cell r="D76">
            <v>20.6</v>
          </cell>
        </row>
        <row r="77">
          <cell r="A77" t="str">
            <v>Wellington North Power Inc.</v>
          </cell>
          <cell r="B77">
            <v>75</v>
          </cell>
          <cell r="C77">
            <v>0.93</v>
          </cell>
          <cell r="D77">
            <v>4.5199999999999996</v>
          </cell>
        </row>
        <row r="78">
          <cell r="A78" t="str">
            <v>West Coast Huron Energy Inc.</v>
          </cell>
          <cell r="B78">
            <v>76</v>
          </cell>
          <cell r="C78">
            <v>0.88</v>
          </cell>
          <cell r="D78">
            <v>8.2799999999999994</v>
          </cell>
        </row>
        <row r="79">
          <cell r="A79" t="str">
            <v>West Perth Power Inc.</v>
          </cell>
          <cell r="B79">
            <v>77</v>
          </cell>
          <cell r="C79">
            <v>0.62</v>
          </cell>
          <cell r="D79">
            <v>2.99</v>
          </cell>
        </row>
        <row r="80">
          <cell r="A80" t="str">
            <v>Westario Power Inc.</v>
          </cell>
          <cell r="B80">
            <v>78</v>
          </cell>
          <cell r="C80">
            <v>4.24</v>
          </cell>
          <cell r="D80">
            <v>20.95</v>
          </cell>
        </row>
        <row r="81">
          <cell r="A81" t="str">
            <v>Whitby Hydro Electric Corporation</v>
          </cell>
          <cell r="B81">
            <v>79</v>
          </cell>
          <cell r="C81">
            <v>10.9</v>
          </cell>
          <cell r="D81">
            <v>39.07</v>
          </cell>
        </row>
        <row r="82">
          <cell r="A82" t="str">
            <v>Woodstock Hydro Services Inc.</v>
          </cell>
          <cell r="B82">
            <v>80</v>
          </cell>
          <cell r="C82">
            <v>4.49</v>
          </cell>
          <cell r="D82">
            <v>18.88</v>
          </cell>
        </row>
        <row r="83">
          <cell r="B83" t="str">
            <v>Total</v>
          </cell>
          <cell r="C83">
            <v>1330.04</v>
          </cell>
          <cell r="D83">
            <v>5999.97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157"/>
  <sheetViews>
    <sheetView topLeftCell="A138" zoomScale="90" zoomScaleNormal="90" workbookViewId="0">
      <selection activeCell="F177" sqref="F177"/>
    </sheetView>
  </sheetViews>
  <sheetFormatPr defaultColWidth="9" defaultRowHeight="14.4"/>
  <cols>
    <col min="1" max="1" width="9" style="22"/>
    <col min="2" max="2" width="32" style="40" customWidth="1"/>
    <col min="3" max="3" width="114.44140625" style="22" customWidth="1"/>
    <col min="4" max="4" width="8" style="22" customWidth="1"/>
    <col min="5" max="16384" width="9" style="22"/>
  </cols>
  <sheetData>
    <row r="1" spans="1:3" ht="174" customHeight="1"/>
    <row r="3" spans="1:3" ht="20.399999999999999">
      <c r="B3" s="13" t="s">
        <v>174</v>
      </c>
      <c r="C3" s="13"/>
    </row>
    <row r="4" spans="1:3" ht="11.25" customHeight="1"/>
    <row r="5" spans="1:3" s="43" customFormat="1" ht="25.5" customHeight="1">
      <c r="B5" s="73" t="s">
        <v>419</v>
      </c>
      <c r="C5" s="73" t="s">
        <v>173</v>
      </c>
    </row>
    <row r="6" spans="1:3" s="189" customFormat="1" ht="48" customHeight="1">
      <c r="A6" s="254"/>
      <c r="B6" s="624" t="s">
        <v>170</v>
      </c>
      <c r="C6" s="676" t="s">
        <v>598</v>
      </c>
    </row>
    <row r="7" spans="1:3" s="189" customFormat="1" ht="21" customHeight="1">
      <c r="A7" s="254"/>
      <c r="B7" s="618" t="s">
        <v>551</v>
      </c>
      <c r="C7" s="677" t="s">
        <v>611</v>
      </c>
    </row>
    <row r="8" spans="1:3" s="189" customFormat="1" ht="32.25" customHeight="1">
      <c r="B8" s="618" t="s">
        <v>367</v>
      </c>
      <c r="C8" s="678" t="s">
        <v>599</v>
      </c>
    </row>
    <row r="9" spans="1:3" s="189" customFormat="1" ht="27.75" customHeight="1">
      <c r="B9" s="618" t="s">
        <v>169</v>
      </c>
      <c r="C9" s="678" t="s">
        <v>600</v>
      </c>
    </row>
    <row r="10" spans="1:3" s="189" customFormat="1" ht="33" customHeight="1">
      <c r="B10" s="618" t="s">
        <v>596</v>
      </c>
      <c r="C10" s="677" t="s">
        <v>604</v>
      </c>
    </row>
    <row r="11" spans="1:3" s="189" customFormat="1" ht="26.25" customHeight="1">
      <c r="B11" s="633" t="s">
        <v>368</v>
      </c>
      <c r="C11" s="680" t="s">
        <v>601</v>
      </c>
    </row>
    <row r="12" spans="1:3" s="189" customFormat="1" ht="39.75" customHeight="1">
      <c r="B12" s="618" t="s">
        <v>369</v>
      </c>
      <c r="C12" s="678" t="s">
        <v>602</v>
      </c>
    </row>
    <row r="13" spans="1:3" s="189" customFormat="1" ht="18" customHeight="1">
      <c r="B13" s="618" t="s">
        <v>370</v>
      </c>
      <c r="C13" s="678" t="s">
        <v>603</v>
      </c>
    </row>
    <row r="14" spans="1:3" s="189" customFormat="1" ht="13.5" customHeight="1">
      <c r="B14" s="618"/>
      <c r="C14" s="679"/>
    </row>
    <row r="15" spans="1:3" s="189" customFormat="1" ht="18" customHeight="1">
      <c r="B15" s="618" t="s">
        <v>667</v>
      </c>
      <c r="C15" s="677" t="s">
        <v>665</v>
      </c>
    </row>
    <row r="16" spans="1:3" s="189" customFormat="1" ht="8.25" customHeight="1">
      <c r="B16" s="618"/>
      <c r="C16" s="679"/>
    </row>
    <row r="17" spans="2:3" s="189" customFormat="1" ht="33" customHeight="1">
      <c r="B17" s="681" t="s">
        <v>597</v>
      </c>
      <c r="C17" s="682" t="s">
        <v>666</v>
      </c>
    </row>
    <row r="18" spans="2:3" s="116" customFormat="1" ht="15.6">
      <c r="B18" s="189"/>
    </row>
    <row r="19" spans="2:3" s="45" customFormat="1">
      <c r="B19" s="55"/>
    </row>
    <row r="157" spans="4:4">
      <c r="D157" s="854"/>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505" right="0.70866141732283505" top="0.74803149606299202" bottom="0.74803149606299202" header="0.31496062992126" footer="0.31496062992126"/>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A150" zoomScale="90" zoomScaleNormal="90" zoomScaleSheetLayoutView="80" zoomScalePageLayoutView="85" workbookViewId="0">
      <selection activeCell="O173" sqref="O173"/>
    </sheetView>
  </sheetViews>
  <sheetFormatPr defaultColWidth="9" defaultRowHeight="13.8" outlineLevelRow="1" outlineLevelCol="1"/>
  <cols>
    <col min="1" max="1" width="4.5546875" style="516" customWidth="1"/>
    <col min="2" max="2" width="43.5546875" style="267" customWidth="1"/>
    <col min="3" max="3" width="14" style="267" customWidth="1"/>
    <col min="4" max="4" width="18" style="266" customWidth="1"/>
    <col min="5" max="8" width="10.44140625" style="266" customWidth="1" outlineLevel="1"/>
    <col min="9" max="13" width="10.109375" style="266" bestFit="1" customWidth="1" outlineLevel="1"/>
    <col min="14" max="14" width="12.44140625" style="266" customWidth="1" outlineLevel="1"/>
    <col min="15" max="15" width="17.5546875" style="266" customWidth="1"/>
    <col min="16" max="24" width="9.44140625" style="266" customWidth="1" outlineLevel="1"/>
    <col min="25" max="25" width="14" style="268" customWidth="1"/>
    <col min="26" max="26" width="14.5546875" style="268" customWidth="1"/>
    <col min="27" max="27" width="17" style="268" customWidth="1"/>
    <col min="28" max="28" width="17.5546875" style="268" customWidth="1"/>
    <col min="29" max="35" width="14.5546875" style="268" customWidth="1"/>
    <col min="36" max="38" width="15" style="268" customWidth="1"/>
    <col min="39" max="39" width="14.44140625" style="269" customWidth="1"/>
    <col min="40" max="40" width="14.5546875" style="266" customWidth="1"/>
    <col min="41" max="41" width="15" style="266" customWidth="1"/>
    <col min="42" max="42" width="14" style="266" customWidth="1"/>
    <col min="43" max="43" width="9.5546875" style="266" customWidth="1"/>
    <col min="44" max="44" width="11" style="266" customWidth="1"/>
    <col min="45" max="45" width="12" style="266" customWidth="1"/>
    <col min="46" max="46" width="6.44140625" style="266" bestFit="1" customWidth="1"/>
    <col min="47" max="51" width="9" style="266"/>
    <col min="52" max="52" width="6.44140625" style="266" bestFit="1" customWidth="1"/>
    <col min="53" max="16384" width="9" style="266"/>
  </cols>
  <sheetData>
    <row r="1" spans="1:39" ht="164.25" customHeight="1"/>
    <row r="2" spans="1:39" ht="23.25" customHeight="1" thickBot="1"/>
    <row r="3" spans="1:39" ht="25.5" customHeight="1" thickBot="1">
      <c r="B3" s="899" t="s">
        <v>171</v>
      </c>
      <c r="C3" s="270" t="s">
        <v>175</v>
      </c>
      <c r="D3" s="514"/>
      <c r="E3" s="271"/>
      <c r="F3" s="272"/>
      <c r="G3" s="272"/>
      <c r="H3" s="272"/>
      <c r="I3" s="272"/>
      <c r="J3" s="272"/>
      <c r="K3" s="272"/>
      <c r="L3" s="272"/>
      <c r="M3" s="272"/>
      <c r="N3" s="272"/>
      <c r="O3" s="272"/>
      <c r="P3" s="272"/>
      <c r="Q3" s="272"/>
      <c r="R3" s="272"/>
      <c r="S3" s="272"/>
      <c r="T3" s="272"/>
      <c r="U3" s="272"/>
      <c r="V3" s="272"/>
      <c r="W3" s="272"/>
      <c r="X3" s="272"/>
      <c r="Y3" s="272"/>
      <c r="Z3" s="272"/>
      <c r="AA3" s="272"/>
      <c r="AB3" s="272"/>
      <c r="AC3" s="272"/>
      <c r="AD3" s="272"/>
      <c r="AE3" s="272"/>
      <c r="AF3" s="272"/>
      <c r="AG3" s="272"/>
      <c r="AH3" s="272"/>
      <c r="AI3" s="272"/>
      <c r="AJ3" s="272"/>
      <c r="AK3" s="272"/>
      <c r="AL3" s="272"/>
      <c r="AM3" s="273"/>
    </row>
    <row r="4" spans="1:39" ht="24" customHeight="1" thickBot="1">
      <c r="B4" s="899"/>
      <c r="C4" s="274" t="s">
        <v>172</v>
      </c>
      <c r="D4" s="275"/>
      <c r="E4" s="276"/>
      <c r="F4" s="272"/>
      <c r="G4" s="272"/>
      <c r="H4" s="272"/>
      <c r="I4" s="272"/>
      <c r="J4" s="272"/>
      <c r="K4" s="272"/>
      <c r="L4" s="272"/>
      <c r="M4" s="272"/>
      <c r="N4" s="272"/>
      <c r="O4" s="272"/>
      <c r="P4" s="272"/>
      <c r="Q4" s="272"/>
      <c r="R4" s="272"/>
      <c r="S4" s="272"/>
      <c r="T4" s="272"/>
      <c r="U4" s="272"/>
      <c r="V4" s="272"/>
      <c r="W4" s="272"/>
      <c r="X4" s="272"/>
      <c r="Y4" s="272"/>
      <c r="Z4" s="272"/>
      <c r="AA4" s="272"/>
      <c r="AB4" s="272"/>
      <c r="AC4" s="272"/>
      <c r="AD4" s="272"/>
      <c r="AE4" s="272"/>
      <c r="AF4" s="272"/>
      <c r="AG4" s="272"/>
      <c r="AH4" s="272"/>
      <c r="AI4" s="272"/>
      <c r="AJ4" s="272"/>
      <c r="AK4" s="272"/>
      <c r="AL4" s="272"/>
      <c r="AM4" s="273"/>
    </row>
    <row r="5" spans="1:39" ht="29.25" customHeight="1" thickBot="1">
      <c r="B5" s="571"/>
      <c r="C5" s="896" t="s">
        <v>550</v>
      </c>
      <c r="D5" s="897"/>
      <c r="E5" s="276"/>
      <c r="F5" s="272"/>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2"/>
      <c r="AK5" s="272"/>
      <c r="AL5" s="272"/>
      <c r="AM5" s="273"/>
    </row>
    <row r="6" spans="1:39" ht="20.25" customHeight="1">
      <c r="B6" s="277"/>
      <c r="C6" s="278"/>
      <c r="D6" s="279"/>
      <c r="E6" s="279"/>
      <c r="F6" s="279"/>
      <c r="G6" s="279"/>
      <c r="H6" s="279"/>
      <c r="I6" s="279"/>
      <c r="J6" s="279"/>
      <c r="K6" s="279"/>
      <c r="L6" s="279"/>
      <c r="M6" s="279"/>
      <c r="N6" s="279"/>
      <c r="O6" s="279"/>
      <c r="P6" s="279"/>
      <c r="Q6" s="279"/>
      <c r="R6" s="279"/>
      <c r="S6" s="279"/>
      <c r="T6" s="279"/>
      <c r="U6" s="279"/>
      <c r="V6" s="279"/>
      <c r="W6" s="279"/>
      <c r="X6" s="279"/>
      <c r="Y6" s="280"/>
      <c r="Z6" s="280"/>
      <c r="AA6" s="280"/>
      <c r="AB6" s="280"/>
      <c r="AC6" s="280"/>
      <c r="AD6" s="280"/>
      <c r="AE6" s="280"/>
      <c r="AF6" s="281"/>
      <c r="AG6" s="281"/>
      <c r="AH6" s="281"/>
      <c r="AI6" s="281"/>
      <c r="AJ6" s="281"/>
      <c r="AK6" s="281"/>
      <c r="AL6" s="281"/>
      <c r="AM6" s="282"/>
    </row>
    <row r="7" spans="1:39" ht="70.5" customHeight="1">
      <c r="B7" s="899" t="s">
        <v>504</v>
      </c>
      <c r="C7" s="900" t="s">
        <v>630</v>
      </c>
      <c r="D7" s="900"/>
      <c r="E7" s="900"/>
      <c r="F7" s="900"/>
      <c r="G7" s="900"/>
      <c r="H7" s="900"/>
      <c r="I7" s="900"/>
      <c r="J7" s="900"/>
      <c r="K7" s="900"/>
      <c r="L7" s="900"/>
      <c r="M7" s="900"/>
      <c r="N7" s="900"/>
      <c r="O7" s="900"/>
      <c r="P7" s="900"/>
      <c r="Q7" s="900"/>
      <c r="R7" s="900"/>
      <c r="S7" s="900"/>
      <c r="T7" s="900"/>
      <c r="U7" s="900"/>
      <c r="V7" s="900"/>
      <c r="W7" s="900"/>
      <c r="X7" s="900"/>
      <c r="Y7" s="612"/>
      <c r="Z7" s="612"/>
      <c r="AA7" s="612"/>
      <c r="AB7" s="612"/>
      <c r="AC7" s="612"/>
      <c r="AD7" s="612"/>
      <c r="AE7" s="283"/>
      <c r="AF7" s="283"/>
      <c r="AG7" s="283"/>
      <c r="AH7" s="283"/>
      <c r="AI7" s="283"/>
      <c r="AJ7" s="283"/>
      <c r="AK7" s="283"/>
      <c r="AL7" s="283"/>
    </row>
    <row r="8" spans="1:39" s="284" customFormat="1" ht="58.5" customHeight="1">
      <c r="A8" s="516"/>
      <c r="B8" s="899"/>
      <c r="C8" s="900" t="s">
        <v>568</v>
      </c>
      <c r="D8" s="900"/>
      <c r="E8" s="900"/>
      <c r="F8" s="900"/>
      <c r="G8" s="900"/>
      <c r="H8" s="900"/>
      <c r="I8" s="900"/>
      <c r="J8" s="900"/>
      <c r="K8" s="900"/>
      <c r="L8" s="900"/>
      <c r="M8" s="900"/>
      <c r="N8" s="900"/>
      <c r="O8" s="900"/>
      <c r="P8" s="900"/>
      <c r="Q8" s="900"/>
      <c r="R8" s="900"/>
      <c r="S8" s="900"/>
      <c r="T8" s="900"/>
      <c r="U8" s="900"/>
      <c r="V8" s="900"/>
      <c r="W8" s="900"/>
      <c r="X8" s="900"/>
      <c r="Y8" s="612"/>
      <c r="Z8" s="612"/>
      <c r="AA8" s="612"/>
      <c r="AB8" s="612"/>
      <c r="AC8" s="612"/>
      <c r="AD8" s="612"/>
      <c r="AE8" s="285"/>
      <c r="AF8" s="268"/>
      <c r="AG8" s="268"/>
      <c r="AH8" s="268"/>
      <c r="AI8" s="268"/>
      <c r="AJ8" s="268"/>
      <c r="AK8" s="268"/>
      <c r="AL8" s="268"/>
      <c r="AM8" s="269"/>
    </row>
    <row r="9" spans="1:39" s="284" customFormat="1" ht="57.75" customHeight="1">
      <c r="A9" s="516"/>
      <c r="B9" s="286"/>
      <c r="C9" s="900" t="s">
        <v>567</v>
      </c>
      <c r="D9" s="900"/>
      <c r="E9" s="900"/>
      <c r="F9" s="900"/>
      <c r="G9" s="900"/>
      <c r="H9" s="900"/>
      <c r="I9" s="900"/>
      <c r="J9" s="900"/>
      <c r="K9" s="900"/>
      <c r="L9" s="900"/>
      <c r="M9" s="900"/>
      <c r="N9" s="900"/>
      <c r="O9" s="900"/>
      <c r="P9" s="900"/>
      <c r="Q9" s="900"/>
      <c r="R9" s="900"/>
      <c r="S9" s="900"/>
      <c r="T9" s="900"/>
      <c r="U9" s="900"/>
      <c r="V9" s="900"/>
      <c r="W9" s="900"/>
      <c r="X9" s="900"/>
      <c r="Y9" s="612"/>
      <c r="Z9" s="612"/>
      <c r="AA9" s="612"/>
      <c r="AB9" s="612"/>
      <c r="AC9" s="612"/>
      <c r="AD9" s="612"/>
      <c r="AE9" s="285"/>
      <c r="AF9" s="268"/>
      <c r="AG9" s="268"/>
      <c r="AH9" s="268"/>
      <c r="AI9" s="268"/>
      <c r="AJ9" s="268"/>
      <c r="AK9" s="268"/>
      <c r="AL9" s="268"/>
      <c r="AM9" s="269"/>
    </row>
    <row r="10" spans="1:39" ht="41.25" customHeight="1">
      <c r="B10" s="288"/>
      <c r="C10" s="900" t="s">
        <v>633</v>
      </c>
      <c r="D10" s="900"/>
      <c r="E10" s="900"/>
      <c r="F10" s="900"/>
      <c r="G10" s="900"/>
      <c r="H10" s="900"/>
      <c r="I10" s="900"/>
      <c r="J10" s="900"/>
      <c r="K10" s="900"/>
      <c r="L10" s="900"/>
      <c r="M10" s="900"/>
      <c r="N10" s="900"/>
      <c r="O10" s="900"/>
      <c r="P10" s="900"/>
      <c r="Q10" s="900"/>
      <c r="R10" s="900"/>
      <c r="S10" s="900"/>
      <c r="T10" s="900"/>
      <c r="U10" s="900"/>
      <c r="V10" s="900"/>
      <c r="W10" s="900"/>
      <c r="X10" s="900"/>
      <c r="Y10" s="612"/>
      <c r="Z10" s="612"/>
      <c r="AA10" s="612"/>
      <c r="AB10" s="612"/>
      <c r="AC10" s="612"/>
      <c r="AD10" s="612"/>
      <c r="AE10" s="285"/>
      <c r="AF10" s="289"/>
      <c r="AG10" s="289"/>
      <c r="AH10" s="289"/>
      <c r="AI10" s="289"/>
      <c r="AJ10" s="289"/>
      <c r="AK10" s="289"/>
      <c r="AL10" s="289"/>
    </row>
    <row r="11" spans="1:39" ht="53.25" customHeight="1">
      <c r="C11" s="900" t="s">
        <v>618</v>
      </c>
      <c r="D11" s="900"/>
      <c r="E11" s="900"/>
      <c r="F11" s="900"/>
      <c r="G11" s="900"/>
      <c r="H11" s="900"/>
      <c r="I11" s="900"/>
      <c r="J11" s="900"/>
      <c r="K11" s="900"/>
      <c r="L11" s="900"/>
      <c r="M11" s="900"/>
      <c r="N11" s="900"/>
      <c r="O11" s="900"/>
      <c r="P11" s="900"/>
      <c r="Q11" s="900"/>
      <c r="R11" s="900"/>
      <c r="S11" s="900"/>
      <c r="T11" s="900"/>
      <c r="U11" s="900"/>
      <c r="V11" s="900"/>
      <c r="W11" s="900"/>
      <c r="X11" s="900"/>
      <c r="Y11" s="612"/>
      <c r="Z11" s="612"/>
      <c r="AA11" s="612"/>
      <c r="AB11" s="612"/>
      <c r="AC11" s="612"/>
      <c r="AD11" s="612"/>
      <c r="AE11" s="285"/>
      <c r="AF11" s="289"/>
      <c r="AG11" s="289"/>
      <c r="AH11" s="289"/>
      <c r="AI11" s="289"/>
      <c r="AJ11" s="289"/>
      <c r="AK11" s="289"/>
      <c r="AL11" s="289"/>
      <c r="AM11" s="266"/>
    </row>
    <row r="12" spans="1:39" ht="20.25" customHeight="1">
      <c r="C12" s="287"/>
      <c r="D12" s="287"/>
      <c r="E12" s="287"/>
      <c r="F12" s="287"/>
      <c r="G12" s="287"/>
      <c r="H12" s="287"/>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5"/>
      <c r="AF12" s="289"/>
      <c r="AG12" s="289"/>
      <c r="AH12" s="289"/>
      <c r="AI12" s="289"/>
      <c r="AJ12" s="289"/>
      <c r="AK12" s="289"/>
      <c r="AL12" s="289"/>
      <c r="AM12" s="266"/>
    </row>
    <row r="13" spans="1:39" ht="20.25" customHeight="1">
      <c r="B13" s="899" t="s">
        <v>526</v>
      </c>
      <c r="C13" s="597" t="s">
        <v>521</v>
      </c>
      <c r="D13" s="547"/>
      <c r="E13" s="547"/>
      <c r="F13" s="547"/>
      <c r="G13" s="547"/>
      <c r="H13" s="547"/>
      <c r="I13" s="547"/>
      <c r="J13" s="547"/>
      <c r="K13" s="547"/>
      <c r="L13" s="547"/>
      <c r="M13" s="547"/>
      <c r="N13" s="547"/>
      <c r="O13" s="547"/>
      <c r="P13" s="547"/>
      <c r="Q13" s="547"/>
      <c r="R13" s="547"/>
      <c r="S13" s="547"/>
      <c r="T13" s="547"/>
      <c r="U13" s="547"/>
      <c r="V13" s="547"/>
      <c r="W13" s="547"/>
      <c r="X13" s="547"/>
      <c r="Y13" s="547"/>
      <c r="Z13" s="547"/>
      <c r="AA13" s="547"/>
      <c r="AB13" s="547"/>
      <c r="AC13" s="547"/>
      <c r="AD13" s="547"/>
      <c r="AE13" s="285"/>
      <c r="AF13" s="289"/>
      <c r="AG13" s="289"/>
      <c r="AH13" s="289"/>
      <c r="AI13" s="289"/>
      <c r="AJ13" s="289"/>
      <c r="AK13" s="289"/>
      <c r="AL13" s="289"/>
      <c r="AM13" s="266"/>
    </row>
    <row r="14" spans="1:39" ht="20.25" customHeight="1">
      <c r="B14" s="899"/>
      <c r="C14" s="597" t="s">
        <v>522</v>
      </c>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c r="AB14" s="547"/>
      <c r="AC14" s="547"/>
      <c r="AD14" s="547"/>
      <c r="AE14" s="285"/>
      <c r="AF14" s="289"/>
      <c r="AG14" s="289"/>
      <c r="AH14" s="289"/>
      <c r="AI14" s="289"/>
      <c r="AJ14" s="289"/>
      <c r="AK14" s="289"/>
      <c r="AL14" s="289"/>
      <c r="AM14" s="266"/>
    </row>
    <row r="15" spans="1:39" ht="20.25" customHeight="1">
      <c r="C15" s="597" t="s">
        <v>523</v>
      </c>
      <c r="D15" s="547"/>
      <c r="E15" s="547"/>
      <c r="F15" s="547"/>
      <c r="G15" s="547"/>
      <c r="H15" s="547"/>
      <c r="I15" s="547"/>
      <c r="J15" s="547"/>
      <c r="K15" s="547"/>
      <c r="L15" s="547"/>
      <c r="M15" s="547"/>
      <c r="N15" s="547"/>
      <c r="O15" s="547"/>
      <c r="P15" s="547"/>
      <c r="Q15" s="547"/>
      <c r="R15" s="547"/>
      <c r="S15" s="547"/>
      <c r="T15" s="547"/>
      <c r="U15" s="547"/>
      <c r="V15" s="547"/>
      <c r="W15" s="547"/>
      <c r="X15" s="547"/>
      <c r="Y15" s="547"/>
      <c r="Z15" s="547"/>
      <c r="AA15" s="547"/>
      <c r="AB15" s="547"/>
      <c r="AC15" s="547"/>
      <c r="AD15" s="547"/>
      <c r="AE15" s="285"/>
      <c r="AF15" s="289"/>
      <c r="AG15" s="289"/>
      <c r="AH15" s="289"/>
      <c r="AI15" s="289"/>
      <c r="AJ15" s="289"/>
      <c r="AK15" s="289"/>
      <c r="AL15" s="289"/>
      <c r="AM15" s="266"/>
    </row>
    <row r="16" spans="1:39" ht="20.25" customHeight="1">
      <c r="C16" s="597" t="s">
        <v>524</v>
      </c>
      <c r="D16" s="547"/>
      <c r="E16" s="547"/>
      <c r="F16" s="547"/>
      <c r="G16" s="547"/>
      <c r="H16" s="547"/>
      <c r="I16" s="547"/>
      <c r="J16" s="547"/>
      <c r="K16" s="547"/>
      <c r="L16" s="547"/>
      <c r="M16" s="547"/>
      <c r="N16" s="547"/>
      <c r="O16" s="547"/>
      <c r="P16" s="547"/>
      <c r="Q16" s="547"/>
      <c r="R16" s="547"/>
      <c r="S16" s="547"/>
      <c r="T16" s="547"/>
      <c r="U16" s="547"/>
      <c r="V16" s="547"/>
      <c r="W16" s="547"/>
      <c r="X16" s="547"/>
      <c r="Y16" s="547"/>
      <c r="Z16" s="547"/>
      <c r="AA16" s="547"/>
      <c r="AB16" s="547"/>
      <c r="AC16" s="547"/>
      <c r="AD16" s="547"/>
      <c r="AE16" s="285"/>
      <c r="AF16" s="289"/>
      <c r="AG16" s="289"/>
      <c r="AH16" s="289"/>
      <c r="AI16" s="289"/>
      <c r="AJ16" s="289"/>
      <c r="AK16" s="289"/>
      <c r="AL16" s="289"/>
      <c r="AM16" s="266"/>
    </row>
    <row r="17" spans="1:39" ht="23.25" customHeight="1">
      <c r="B17" s="290"/>
      <c r="C17" s="291"/>
      <c r="D17" s="292"/>
      <c r="E17" s="292"/>
      <c r="F17" s="292"/>
      <c r="G17" s="292"/>
      <c r="H17" s="292"/>
      <c r="I17" s="292"/>
      <c r="J17" s="292"/>
      <c r="K17" s="292"/>
      <c r="L17" s="292"/>
      <c r="M17" s="292"/>
      <c r="N17" s="292"/>
      <c r="P17" s="292"/>
      <c r="Q17" s="292"/>
      <c r="R17" s="292"/>
      <c r="S17" s="292"/>
      <c r="T17" s="292"/>
      <c r="U17" s="292"/>
      <c r="V17" s="292"/>
      <c r="W17" s="292"/>
      <c r="X17" s="292"/>
      <c r="Y17" s="283"/>
    </row>
    <row r="18" spans="1:39" ht="15.6">
      <c r="B18" s="293" t="s">
        <v>241</v>
      </c>
      <c r="C18" s="294"/>
      <c r="E18" s="596"/>
      <c r="O18" s="294"/>
      <c r="Y18" s="283"/>
      <c r="Z18" s="280"/>
      <c r="AA18" s="280"/>
      <c r="AB18" s="280"/>
      <c r="AC18" s="280"/>
      <c r="AD18" s="280"/>
      <c r="AE18" s="280"/>
      <c r="AF18" s="280"/>
      <c r="AG18" s="280"/>
      <c r="AH18" s="280"/>
      <c r="AI18" s="280"/>
      <c r="AJ18" s="280"/>
      <c r="AK18" s="280"/>
      <c r="AL18" s="280"/>
      <c r="AM18" s="295"/>
    </row>
    <row r="19" spans="1:39" s="296" customFormat="1" ht="36" customHeight="1">
      <c r="A19" s="516"/>
      <c r="B19" s="901" t="s">
        <v>211</v>
      </c>
      <c r="C19" s="903" t="s">
        <v>33</v>
      </c>
      <c r="D19" s="297" t="s">
        <v>421</v>
      </c>
      <c r="E19" s="905" t="s">
        <v>209</v>
      </c>
      <c r="F19" s="906"/>
      <c r="G19" s="906"/>
      <c r="H19" s="906"/>
      <c r="I19" s="906"/>
      <c r="J19" s="906"/>
      <c r="K19" s="906"/>
      <c r="L19" s="906"/>
      <c r="M19" s="907"/>
      <c r="N19" s="911" t="s">
        <v>213</v>
      </c>
      <c r="O19" s="297" t="s">
        <v>422</v>
      </c>
      <c r="P19" s="905" t="s">
        <v>212</v>
      </c>
      <c r="Q19" s="906"/>
      <c r="R19" s="906"/>
      <c r="S19" s="906"/>
      <c r="T19" s="906"/>
      <c r="U19" s="906"/>
      <c r="V19" s="906"/>
      <c r="W19" s="906"/>
      <c r="X19" s="907"/>
      <c r="Y19" s="908" t="s">
        <v>243</v>
      </c>
      <c r="Z19" s="909"/>
      <c r="AA19" s="909"/>
      <c r="AB19" s="909"/>
      <c r="AC19" s="909"/>
      <c r="AD19" s="909"/>
      <c r="AE19" s="909"/>
      <c r="AF19" s="909"/>
      <c r="AG19" s="909"/>
      <c r="AH19" s="909"/>
      <c r="AI19" s="909"/>
      <c r="AJ19" s="909"/>
      <c r="AK19" s="909"/>
      <c r="AL19" s="909"/>
      <c r="AM19" s="910"/>
    </row>
    <row r="20" spans="1:39" s="296" customFormat="1" ht="59.25" customHeight="1">
      <c r="A20" s="516"/>
      <c r="B20" s="902"/>
      <c r="C20" s="904"/>
      <c r="D20" s="298">
        <v>2011</v>
      </c>
      <c r="E20" s="298">
        <v>2012</v>
      </c>
      <c r="F20" s="298">
        <v>2013</v>
      </c>
      <c r="G20" s="298">
        <v>2014</v>
      </c>
      <c r="H20" s="298">
        <v>2015</v>
      </c>
      <c r="I20" s="298">
        <v>2016</v>
      </c>
      <c r="J20" s="298">
        <v>2017</v>
      </c>
      <c r="K20" s="298">
        <v>2018</v>
      </c>
      <c r="L20" s="298">
        <v>2019</v>
      </c>
      <c r="M20" s="298">
        <v>2020</v>
      </c>
      <c r="N20" s="912"/>
      <c r="O20" s="298">
        <v>2011</v>
      </c>
      <c r="P20" s="298">
        <v>2012</v>
      </c>
      <c r="Q20" s="298">
        <v>2013</v>
      </c>
      <c r="R20" s="298">
        <v>2014</v>
      </c>
      <c r="S20" s="298">
        <v>2015</v>
      </c>
      <c r="T20" s="298">
        <v>2016</v>
      </c>
      <c r="U20" s="298">
        <v>2017</v>
      </c>
      <c r="V20" s="298">
        <v>2018</v>
      </c>
      <c r="W20" s="298">
        <v>2019</v>
      </c>
      <c r="X20" s="298">
        <v>2020</v>
      </c>
      <c r="Y20" s="298" t="str">
        <f>'1.  LRAMVA Summary'!D52</f>
        <v>Residential</v>
      </c>
      <c r="Z20" s="299" t="str">
        <f>'1.  LRAMVA Summary'!E52</f>
        <v>GS&lt;50 kW</v>
      </c>
      <c r="AA20" s="299" t="str">
        <f>'1.  LRAMVA Summary'!F52</f>
        <v>GS 50 - 999 kW</v>
      </c>
      <c r="AB20" s="299" t="str">
        <f>'1.  LRAMVA Summary'!G52</f>
        <v>GS 1,000 - 4,999 kW</v>
      </c>
      <c r="AC20" s="299" t="str">
        <f>'1.  LRAMVA Summary'!H52</f>
        <v>USL</v>
      </c>
      <c r="AD20" s="299" t="str">
        <f>'1.  LRAMVA Summary'!I52</f>
        <v>Sentinel Lighting</v>
      </c>
      <c r="AE20" s="299" t="str">
        <f>'1.  LRAMVA Summary'!J52</f>
        <v>Street Lighting</v>
      </c>
      <c r="AF20" s="299" t="str">
        <f>'1.  LRAMVA Summary'!K52</f>
        <v/>
      </c>
      <c r="AG20" s="299" t="str">
        <f>'1.  LRAMVA Summary'!L52</f>
        <v/>
      </c>
      <c r="AH20" s="299" t="str">
        <f>'1.  LRAMVA Summary'!M52</f>
        <v/>
      </c>
      <c r="AI20" s="299" t="str">
        <f>'1.  LRAMVA Summary'!N52</f>
        <v/>
      </c>
      <c r="AJ20" s="299" t="str">
        <f>'1.  LRAMVA Summary'!O52</f>
        <v/>
      </c>
      <c r="AK20" s="299" t="str">
        <f>'1.  LRAMVA Summary'!P52</f>
        <v/>
      </c>
      <c r="AL20" s="299" t="str">
        <f>'1.  LRAMVA Summary'!Q52</f>
        <v/>
      </c>
      <c r="AM20" s="300" t="str">
        <f>'1.  LRAMVA Summary'!R52</f>
        <v>Total</v>
      </c>
    </row>
    <row r="21" spans="1:39" s="306" customFormat="1" ht="15.75" customHeight="1">
      <c r="A21" s="517"/>
      <c r="B21" s="301" t="s">
        <v>0</v>
      </c>
      <c r="C21" s="302"/>
      <c r="D21" s="302"/>
      <c r="E21" s="302"/>
      <c r="F21" s="302"/>
      <c r="G21" s="302"/>
      <c r="H21" s="302"/>
      <c r="I21" s="302"/>
      <c r="J21" s="302"/>
      <c r="K21" s="302"/>
      <c r="L21" s="302"/>
      <c r="M21" s="302"/>
      <c r="N21" s="303"/>
      <c r="O21" s="302"/>
      <c r="P21" s="302"/>
      <c r="Q21" s="302"/>
      <c r="R21" s="302"/>
      <c r="S21" s="302"/>
      <c r="T21" s="302"/>
      <c r="U21" s="302"/>
      <c r="V21" s="302"/>
      <c r="W21" s="302"/>
      <c r="X21" s="302"/>
      <c r="Y21" s="304" t="str">
        <f>'1.  LRAMVA Summary'!D53</f>
        <v>kWh</v>
      </c>
      <c r="Z21" s="304" t="str">
        <f>'1.  LRAMVA Summary'!E53</f>
        <v>kWh</v>
      </c>
      <c r="AA21" s="304" t="str">
        <f>'1.  LRAMVA Summary'!F53</f>
        <v>kW</v>
      </c>
      <c r="AB21" s="304" t="str">
        <f>'1.  LRAMVA Summary'!G53</f>
        <v>kW</v>
      </c>
      <c r="AC21" s="304" t="str">
        <f>'1.  LRAMVA Summary'!H53</f>
        <v>kWh</v>
      </c>
      <c r="AD21" s="304" t="str">
        <f>'1.  LRAMVA Summary'!I53</f>
        <v>kW</v>
      </c>
      <c r="AE21" s="304" t="str">
        <f>'1.  LRAMVA Summary'!J53</f>
        <v>kW</v>
      </c>
      <c r="AF21" s="304">
        <f>'1.  LRAMVA Summary'!K53</f>
        <v>0</v>
      </c>
      <c r="AG21" s="304">
        <f>'1.  LRAMVA Summary'!L53</f>
        <v>0</v>
      </c>
      <c r="AH21" s="304">
        <f>'1.  LRAMVA Summary'!M53</f>
        <v>0</v>
      </c>
      <c r="AI21" s="304">
        <f>'1.  LRAMVA Summary'!N53</f>
        <v>0</v>
      </c>
      <c r="AJ21" s="304">
        <f>'1.  LRAMVA Summary'!O53</f>
        <v>0</v>
      </c>
      <c r="AK21" s="304">
        <f>'1.  LRAMVA Summary'!P53</f>
        <v>0</v>
      </c>
      <c r="AL21" s="304">
        <f>'1.  LRAMVA Summary'!Q53</f>
        <v>0</v>
      </c>
      <c r="AM21" s="305"/>
    </row>
    <row r="22" spans="1:39" s="296" customFormat="1" ht="15" customHeight="1" outlineLevel="1">
      <c r="A22" s="516">
        <v>1</v>
      </c>
      <c r="B22" s="307" t="s">
        <v>1</v>
      </c>
      <c r="C22" s="304" t="s">
        <v>25</v>
      </c>
      <c r="D22" s="308">
        <f>'7.  Persistence Report'!AQ28</f>
        <v>94293.954810742347</v>
      </c>
      <c r="E22" s="308">
        <f>'7.  Persistence Report'!AR28</f>
        <v>94293.954810742347</v>
      </c>
      <c r="F22" s="308">
        <f>'7.  Persistence Report'!AS28</f>
        <v>94293.954810742347</v>
      </c>
      <c r="G22" s="308">
        <f>'7.  Persistence Report'!AT28</f>
        <v>93889.332050187164</v>
      </c>
      <c r="H22" s="308">
        <f>'7.  Persistence Report'!AU28</f>
        <v>65662.06723699157</v>
      </c>
      <c r="I22" s="308">
        <f>'7.  Persistence Report'!AV28</f>
        <v>0</v>
      </c>
      <c r="J22" s="308">
        <f>'7.  Persistence Report'!AW28</f>
        <v>0</v>
      </c>
      <c r="K22" s="308">
        <f>'7.  Persistence Report'!AX28</f>
        <v>0</v>
      </c>
      <c r="L22" s="308">
        <f>'7.  Persistence Report'!AY28</f>
        <v>0</v>
      </c>
      <c r="M22" s="308">
        <f>'7.  Persistence Report'!AZ28</f>
        <v>0</v>
      </c>
      <c r="N22" s="763"/>
      <c r="O22" s="308">
        <f>'7.  Persistence Report'!L28</f>
        <v>13.143572862414077</v>
      </c>
      <c r="P22" s="308">
        <f>'7.  Persistence Report'!M28</f>
        <v>13.143572862414077</v>
      </c>
      <c r="Q22" s="308">
        <f>'7.  Persistence Report'!N28</f>
        <v>13.143572862414077</v>
      </c>
      <c r="R22" s="308">
        <f>'7.  Persistence Report'!O28</f>
        <v>12.691103462922259</v>
      </c>
      <c r="S22" s="308">
        <f>'7.  Persistence Report'!P28</f>
        <v>8.6332304347704252</v>
      </c>
      <c r="T22" s="308">
        <f>'7.  Persistence Report'!Q28</f>
        <v>0</v>
      </c>
      <c r="U22" s="308">
        <f>'7.  Persistence Report'!R28</f>
        <v>0</v>
      </c>
      <c r="V22" s="308">
        <f>'7.  Persistence Report'!S28</f>
        <v>0</v>
      </c>
      <c r="W22" s="308">
        <f>'7.  Persistence Report'!T28</f>
        <v>0</v>
      </c>
      <c r="X22" s="308">
        <f>'7.  Persistence Report'!U28</f>
        <v>0</v>
      </c>
      <c r="Y22" s="772">
        <v>1</v>
      </c>
      <c r="Z22" s="772"/>
      <c r="AA22" s="772"/>
      <c r="AB22" s="772"/>
      <c r="AC22" s="772"/>
      <c r="AD22" s="772"/>
      <c r="AE22" s="772"/>
      <c r="AF22" s="422"/>
      <c r="AG22" s="422"/>
      <c r="AH22" s="422"/>
      <c r="AI22" s="422"/>
      <c r="AJ22" s="422"/>
      <c r="AK22" s="422"/>
      <c r="AL22" s="422"/>
      <c r="AM22" s="309">
        <f>SUM(Y22:AL22)</f>
        <v>1</v>
      </c>
    </row>
    <row r="23" spans="1:39" s="296" customFormat="1" ht="15" outlineLevel="1">
      <c r="A23" s="516"/>
      <c r="B23" s="307" t="s">
        <v>214</v>
      </c>
      <c r="C23" s="304" t="s">
        <v>163</v>
      </c>
      <c r="D23" s="308"/>
      <c r="E23" s="308"/>
      <c r="F23" s="308"/>
      <c r="G23" s="308"/>
      <c r="H23" s="308"/>
      <c r="I23" s="308"/>
      <c r="J23" s="308"/>
      <c r="K23" s="308"/>
      <c r="L23" s="308"/>
      <c r="M23" s="308"/>
      <c r="N23" s="764"/>
      <c r="O23" s="308"/>
      <c r="P23" s="308"/>
      <c r="Q23" s="308"/>
      <c r="R23" s="308"/>
      <c r="S23" s="308"/>
      <c r="T23" s="308"/>
      <c r="U23" s="308"/>
      <c r="V23" s="308"/>
      <c r="W23" s="308"/>
      <c r="X23" s="308"/>
      <c r="Y23" s="773">
        <f>Y22</f>
        <v>1</v>
      </c>
      <c r="Z23" s="773">
        <f>Z22</f>
        <v>0</v>
      </c>
      <c r="AA23" s="773">
        <f t="shared" ref="AA23:AE23" si="0">AA22</f>
        <v>0</v>
      </c>
      <c r="AB23" s="773">
        <f t="shared" si="0"/>
        <v>0</v>
      </c>
      <c r="AC23" s="773">
        <f t="shared" si="0"/>
        <v>0</v>
      </c>
      <c r="AD23" s="773">
        <f t="shared" si="0"/>
        <v>0</v>
      </c>
      <c r="AE23" s="773">
        <f t="shared" si="0"/>
        <v>0</v>
      </c>
      <c r="AF23" s="423">
        <f t="shared" ref="AF23:AL23" si="1">AF22</f>
        <v>0</v>
      </c>
      <c r="AG23" s="423">
        <f t="shared" si="1"/>
        <v>0</v>
      </c>
      <c r="AH23" s="423">
        <f t="shared" si="1"/>
        <v>0</v>
      </c>
      <c r="AI23" s="423">
        <f t="shared" si="1"/>
        <v>0</v>
      </c>
      <c r="AJ23" s="423">
        <f t="shared" si="1"/>
        <v>0</v>
      </c>
      <c r="AK23" s="423">
        <f t="shared" si="1"/>
        <v>0</v>
      </c>
      <c r="AL23" s="423">
        <f t="shared" si="1"/>
        <v>0</v>
      </c>
      <c r="AM23" s="310"/>
    </row>
    <row r="24" spans="1:39" s="316" customFormat="1" ht="15.6" outlineLevel="1">
      <c r="A24" s="518"/>
      <c r="B24" s="311"/>
      <c r="C24" s="312"/>
      <c r="D24" s="765"/>
      <c r="E24" s="765"/>
      <c r="F24" s="765"/>
      <c r="G24" s="765"/>
      <c r="H24" s="765"/>
      <c r="I24" s="765"/>
      <c r="J24" s="765"/>
      <c r="K24" s="765"/>
      <c r="L24" s="765"/>
      <c r="M24" s="765"/>
      <c r="O24" s="765"/>
      <c r="P24" s="765"/>
      <c r="Q24" s="765"/>
      <c r="R24" s="765"/>
      <c r="S24" s="765"/>
      <c r="T24" s="765"/>
      <c r="U24" s="765"/>
      <c r="V24" s="765"/>
      <c r="W24" s="765"/>
      <c r="X24" s="765"/>
      <c r="Y24" s="774"/>
      <c r="Z24" s="775"/>
      <c r="AA24" s="775"/>
      <c r="AB24" s="775"/>
      <c r="AC24" s="775"/>
      <c r="AD24" s="775"/>
      <c r="AE24" s="775"/>
      <c r="AF24" s="425"/>
      <c r="AG24" s="425"/>
      <c r="AH24" s="425"/>
      <c r="AI24" s="425"/>
      <c r="AJ24" s="425"/>
      <c r="AK24" s="425"/>
      <c r="AL24" s="425"/>
      <c r="AM24" s="315"/>
    </row>
    <row r="25" spans="1:39" s="296" customFormat="1" ht="15" outlineLevel="1">
      <c r="A25" s="516">
        <v>2</v>
      </c>
      <c r="B25" s="307" t="s">
        <v>2</v>
      </c>
      <c r="C25" s="304" t="s">
        <v>25</v>
      </c>
      <c r="D25" s="308">
        <f>'7.  Persistence Report'!AQ27</f>
        <v>1191.8256694305676</v>
      </c>
      <c r="E25" s="308">
        <f>'7.  Persistence Report'!AR27</f>
        <v>1191.8256694305676</v>
      </c>
      <c r="F25" s="308">
        <f>'7.  Persistence Report'!AS27</f>
        <v>1191.8256694305676</v>
      </c>
      <c r="G25" s="308">
        <f>'7.  Persistence Report'!AT27</f>
        <v>311.74881627297452</v>
      </c>
      <c r="H25" s="308">
        <f>'7.  Persistence Report'!AU27</f>
        <v>0</v>
      </c>
      <c r="I25" s="308">
        <f>'7.  Persistence Report'!AV27</f>
        <v>0</v>
      </c>
      <c r="J25" s="308">
        <f>'7.  Persistence Report'!AW27</f>
        <v>0</v>
      </c>
      <c r="K25" s="308">
        <f>'7.  Persistence Report'!AX27</f>
        <v>0</v>
      </c>
      <c r="L25" s="308">
        <f>'7.  Persistence Report'!AY27</f>
        <v>0</v>
      </c>
      <c r="M25" s="308">
        <f>'7.  Persistence Report'!AZ27</f>
        <v>0</v>
      </c>
      <c r="N25" s="763"/>
      <c r="O25" s="308">
        <f>'7.  Persistence Report'!L27</f>
        <v>1.15898497970758</v>
      </c>
      <c r="P25" s="308">
        <f>'7.  Persistence Report'!M27</f>
        <v>1.15898497970758</v>
      </c>
      <c r="Q25" s="308">
        <f>'7.  Persistence Report'!N27</f>
        <v>1.15898497970758</v>
      </c>
      <c r="R25" s="308">
        <f>'7.  Persistence Report'!O27</f>
        <v>0.17483904409957066</v>
      </c>
      <c r="S25" s="308">
        <f>'7.  Persistence Report'!P27</f>
        <v>0</v>
      </c>
      <c r="T25" s="308">
        <f>'7.  Persistence Report'!Q27</f>
        <v>0</v>
      </c>
      <c r="U25" s="308">
        <f>'7.  Persistence Report'!R27</f>
        <v>0</v>
      </c>
      <c r="V25" s="308">
        <f>'7.  Persistence Report'!S27</f>
        <v>0</v>
      </c>
      <c r="W25" s="308">
        <f>'7.  Persistence Report'!T27</f>
        <v>0</v>
      </c>
      <c r="X25" s="308">
        <f>'7.  Persistence Report'!U27</f>
        <v>0</v>
      </c>
      <c r="Y25" s="772">
        <v>1</v>
      </c>
      <c r="Z25" s="772"/>
      <c r="AA25" s="772"/>
      <c r="AB25" s="772"/>
      <c r="AC25" s="772"/>
      <c r="AD25" s="772"/>
      <c r="AE25" s="772"/>
      <c r="AF25" s="422"/>
      <c r="AG25" s="422"/>
      <c r="AH25" s="422"/>
      <c r="AI25" s="422"/>
      <c r="AJ25" s="422"/>
      <c r="AK25" s="422"/>
      <c r="AL25" s="422"/>
      <c r="AM25" s="309">
        <f>SUM(Y25:AL25)</f>
        <v>1</v>
      </c>
    </row>
    <row r="26" spans="1:39" s="296" customFormat="1" ht="15" outlineLevel="1">
      <c r="A26" s="516"/>
      <c r="B26" s="307" t="s">
        <v>214</v>
      </c>
      <c r="C26" s="304" t="s">
        <v>163</v>
      </c>
      <c r="D26" s="308"/>
      <c r="E26" s="308"/>
      <c r="F26" s="308"/>
      <c r="G26" s="308"/>
      <c r="H26" s="308"/>
      <c r="I26" s="308"/>
      <c r="J26" s="308"/>
      <c r="K26" s="308"/>
      <c r="L26" s="308"/>
      <c r="M26" s="308"/>
      <c r="N26" s="764"/>
      <c r="O26" s="308"/>
      <c r="P26" s="308"/>
      <c r="Q26" s="308"/>
      <c r="R26" s="308"/>
      <c r="S26" s="308"/>
      <c r="T26" s="308"/>
      <c r="U26" s="308"/>
      <c r="V26" s="308"/>
      <c r="W26" s="308"/>
      <c r="X26" s="308"/>
      <c r="Y26" s="773">
        <f>Y25</f>
        <v>1</v>
      </c>
      <c r="Z26" s="773">
        <f>Z25</f>
        <v>0</v>
      </c>
      <c r="AA26" s="773">
        <f t="shared" ref="AA26:AE26" si="2">AA25</f>
        <v>0</v>
      </c>
      <c r="AB26" s="773">
        <f t="shared" si="2"/>
        <v>0</v>
      </c>
      <c r="AC26" s="773">
        <f t="shared" si="2"/>
        <v>0</v>
      </c>
      <c r="AD26" s="773">
        <f t="shared" si="2"/>
        <v>0</v>
      </c>
      <c r="AE26" s="773">
        <f t="shared" si="2"/>
        <v>0</v>
      </c>
      <c r="AF26" s="423">
        <f t="shared" ref="AF26:AL26" si="3">AF25</f>
        <v>0</v>
      </c>
      <c r="AG26" s="423">
        <f t="shared" si="3"/>
        <v>0</v>
      </c>
      <c r="AH26" s="423">
        <f t="shared" si="3"/>
        <v>0</v>
      </c>
      <c r="AI26" s="423">
        <f t="shared" si="3"/>
        <v>0</v>
      </c>
      <c r="AJ26" s="423">
        <f t="shared" si="3"/>
        <v>0</v>
      </c>
      <c r="AK26" s="423">
        <f t="shared" si="3"/>
        <v>0</v>
      </c>
      <c r="AL26" s="423">
        <f t="shared" si="3"/>
        <v>0</v>
      </c>
      <c r="AM26" s="310"/>
    </row>
    <row r="27" spans="1:39" s="316" customFormat="1" ht="15.6" outlineLevel="1">
      <c r="A27" s="518"/>
      <c r="B27" s="311"/>
      <c r="C27" s="312"/>
      <c r="D27" s="766"/>
      <c r="E27" s="766"/>
      <c r="F27" s="766"/>
      <c r="G27" s="766"/>
      <c r="H27" s="766"/>
      <c r="I27" s="766"/>
      <c r="J27" s="766"/>
      <c r="K27" s="766"/>
      <c r="L27" s="766"/>
      <c r="M27" s="766"/>
      <c r="O27" s="766"/>
      <c r="P27" s="766"/>
      <c r="Q27" s="766"/>
      <c r="R27" s="766"/>
      <c r="S27" s="766"/>
      <c r="T27" s="766"/>
      <c r="U27" s="766"/>
      <c r="V27" s="766"/>
      <c r="W27" s="766"/>
      <c r="X27" s="766"/>
      <c r="Y27" s="774"/>
      <c r="Z27" s="775"/>
      <c r="AA27" s="775"/>
      <c r="AB27" s="775"/>
      <c r="AC27" s="775"/>
      <c r="AD27" s="775"/>
      <c r="AE27" s="775"/>
      <c r="AF27" s="425"/>
      <c r="AG27" s="425"/>
      <c r="AH27" s="425"/>
      <c r="AI27" s="425"/>
      <c r="AJ27" s="425"/>
      <c r="AK27" s="425"/>
      <c r="AL27" s="425"/>
      <c r="AM27" s="315"/>
    </row>
    <row r="28" spans="1:39" s="296" customFormat="1" ht="15" outlineLevel="1">
      <c r="A28" s="516">
        <v>3</v>
      </c>
      <c r="B28" s="307" t="s">
        <v>3</v>
      </c>
      <c r="C28" s="304" t="s">
        <v>25</v>
      </c>
      <c r="D28" s="308">
        <f>'7.  Persistence Report'!AQ31</f>
        <v>319153.51837209356</v>
      </c>
      <c r="E28" s="308">
        <f>'7.  Persistence Report'!AR31</f>
        <v>319153.51837209356</v>
      </c>
      <c r="F28" s="308">
        <f>'7.  Persistence Report'!AS31</f>
        <v>319153.51837209356</v>
      </c>
      <c r="G28" s="308">
        <f>'7.  Persistence Report'!AT31</f>
        <v>319153.51837209356</v>
      </c>
      <c r="H28" s="308">
        <f>'7.  Persistence Report'!AU31</f>
        <v>319153.51837209356</v>
      </c>
      <c r="I28" s="308">
        <f>'7.  Persistence Report'!AV31</f>
        <v>319153.51837209356</v>
      </c>
      <c r="J28" s="308">
        <f>'7.  Persistence Report'!AW31</f>
        <v>319153.51837209356</v>
      </c>
      <c r="K28" s="308">
        <f>'7.  Persistence Report'!AX31</f>
        <v>319153.51837209356</v>
      </c>
      <c r="L28" s="308">
        <f>'7.  Persistence Report'!AY31</f>
        <v>319153.51837209356</v>
      </c>
      <c r="M28" s="308">
        <f>'7.  Persistence Report'!AZ31</f>
        <v>319153.51837209356</v>
      </c>
      <c r="N28" s="763"/>
      <c r="O28" s="308">
        <f>'7.  Persistence Report'!L31</f>
        <v>173.52042719512525</v>
      </c>
      <c r="P28" s="308">
        <f>'7.  Persistence Report'!M31</f>
        <v>173.52042719512525</v>
      </c>
      <c r="Q28" s="308">
        <f>'7.  Persistence Report'!N31</f>
        <v>173.52042719512525</v>
      </c>
      <c r="R28" s="308">
        <f>'7.  Persistence Report'!O31</f>
        <v>173.52042719512525</v>
      </c>
      <c r="S28" s="308">
        <f>'7.  Persistence Report'!P31</f>
        <v>173.52042719512525</v>
      </c>
      <c r="T28" s="308">
        <f>'7.  Persistence Report'!Q31</f>
        <v>173.52042719512525</v>
      </c>
      <c r="U28" s="308">
        <f>'7.  Persistence Report'!R31</f>
        <v>173.52042719512525</v>
      </c>
      <c r="V28" s="308">
        <f>'7.  Persistence Report'!S31</f>
        <v>173.52042719512525</v>
      </c>
      <c r="W28" s="308">
        <f>'7.  Persistence Report'!T31</f>
        <v>173.52042719512525</v>
      </c>
      <c r="X28" s="308">
        <f>'7.  Persistence Report'!U31</f>
        <v>173.52042719512525</v>
      </c>
      <c r="Y28" s="772">
        <v>1</v>
      </c>
      <c r="Z28" s="772"/>
      <c r="AA28" s="772"/>
      <c r="AB28" s="772"/>
      <c r="AC28" s="772"/>
      <c r="AD28" s="772"/>
      <c r="AE28" s="772"/>
      <c r="AF28" s="422"/>
      <c r="AG28" s="422"/>
      <c r="AH28" s="422"/>
      <c r="AI28" s="422"/>
      <c r="AJ28" s="422"/>
      <c r="AK28" s="422"/>
      <c r="AL28" s="422"/>
      <c r="AM28" s="309">
        <f>SUM(Y28:AL28)</f>
        <v>1</v>
      </c>
    </row>
    <row r="29" spans="1:39" s="296" customFormat="1" ht="15" outlineLevel="1">
      <c r="A29" s="516"/>
      <c r="B29" s="307" t="s">
        <v>214</v>
      </c>
      <c r="C29" s="304" t="s">
        <v>163</v>
      </c>
      <c r="D29" s="308">
        <f>'7.  Persistence Report'!AQ41</f>
        <v>-70811.915790608255</v>
      </c>
      <c r="E29" s="308">
        <f>'7.  Persistence Report'!AR41</f>
        <v>-70811.915790608255</v>
      </c>
      <c r="F29" s="308">
        <f>'7.  Persistence Report'!AS41</f>
        <v>-70811.915790608255</v>
      </c>
      <c r="G29" s="308">
        <f>'7.  Persistence Report'!AT41</f>
        <v>-70811.915790608255</v>
      </c>
      <c r="H29" s="308">
        <f>'7.  Persistence Report'!AU41</f>
        <v>-70811.915790608255</v>
      </c>
      <c r="I29" s="308">
        <f>'7.  Persistence Report'!AV41</f>
        <v>-70811.915790608255</v>
      </c>
      <c r="J29" s="308">
        <f>'7.  Persistence Report'!AW41</f>
        <v>-70811.915790608255</v>
      </c>
      <c r="K29" s="308">
        <f>'7.  Persistence Report'!AX41</f>
        <v>-70811.915790608255</v>
      </c>
      <c r="L29" s="308">
        <f>'7.  Persistence Report'!AY41</f>
        <v>-70811.915790608255</v>
      </c>
      <c r="M29" s="308">
        <f>'7.  Persistence Report'!AZ41</f>
        <v>-70811.915790608255</v>
      </c>
      <c r="N29" s="764"/>
      <c r="O29" s="308">
        <f>'7.  Persistence Report'!L41</f>
        <v>-38.319810017765967</v>
      </c>
      <c r="P29" s="308">
        <f>'7.  Persistence Report'!M41</f>
        <v>-38.319810017765967</v>
      </c>
      <c r="Q29" s="308">
        <f>'7.  Persistence Report'!N41</f>
        <v>-38.319810017765967</v>
      </c>
      <c r="R29" s="308">
        <f>'7.  Persistence Report'!O41</f>
        <v>-38.319810017765967</v>
      </c>
      <c r="S29" s="308">
        <f>'7.  Persistence Report'!P41</f>
        <v>-38.319810017765967</v>
      </c>
      <c r="T29" s="308">
        <f>'7.  Persistence Report'!Q41</f>
        <v>-38.319810017765967</v>
      </c>
      <c r="U29" s="308">
        <f>'7.  Persistence Report'!R41</f>
        <v>-38.319810017765967</v>
      </c>
      <c r="V29" s="308">
        <f>'7.  Persistence Report'!S41</f>
        <v>-38.319810017765967</v>
      </c>
      <c r="W29" s="308">
        <f>'7.  Persistence Report'!T41</f>
        <v>-38.319810017765967</v>
      </c>
      <c r="X29" s="308">
        <f>'7.  Persistence Report'!U41</f>
        <v>-38.319810017765967</v>
      </c>
      <c r="Y29" s="773">
        <f>Y28</f>
        <v>1</v>
      </c>
      <c r="Z29" s="773">
        <f>Z28</f>
        <v>0</v>
      </c>
      <c r="AA29" s="773">
        <f t="shared" ref="AA29:AE29" si="4">AA28</f>
        <v>0</v>
      </c>
      <c r="AB29" s="773">
        <f t="shared" si="4"/>
        <v>0</v>
      </c>
      <c r="AC29" s="773">
        <f t="shared" si="4"/>
        <v>0</v>
      </c>
      <c r="AD29" s="773">
        <f t="shared" si="4"/>
        <v>0</v>
      </c>
      <c r="AE29" s="773">
        <f t="shared" si="4"/>
        <v>0</v>
      </c>
      <c r="AF29" s="423">
        <f t="shared" ref="AF29:AL29" si="5">AF28</f>
        <v>0</v>
      </c>
      <c r="AG29" s="423">
        <f t="shared" si="5"/>
        <v>0</v>
      </c>
      <c r="AH29" s="423">
        <f t="shared" si="5"/>
        <v>0</v>
      </c>
      <c r="AI29" s="423">
        <f t="shared" si="5"/>
        <v>0</v>
      </c>
      <c r="AJ29" s="423">
        <f t="shared" si="5"/>
        <v>0</v>
      </c>
      <c r="AK29" s="423">
        <f t="shared" si="5"/>
        <v>0</v>
      </c>
      <c r="AL29" s="423">
        <f t="shared" si="5"/>
        <v>0</v>
      </c>
      <c r="AM29" s="310"/>
    </row>
    <row r="30" spans="1:39" s="296" customFormat="1" ht="15" outlineLevel="1">
      <c r="A30" s="516"/>
      <c r="B30" s="307"/>
      <c r="C30" s="318"/>
      <c r="D30" s="763"/>
      <c r="E30" s="763"/>
      <c r="F30" s="763"/>
      <c r="G30" s="763"/>
      <c r="H30" s="763"/>
      <c r="I30" s="763"/>
      <c r="J30" s="763"/>
      <c r="K30" s="763"/>
      <c r="L30" s="763"/>
      <c r="M30" s="763"/>
      <c r="O30" s="763"/>
      <c r="P30" s="763"/>
      <c r="Q30" s="763"/>
      <c r="R30" s="763"/>
      <c r="S30" s="763"/>
      <c r="T30" s="763"/>
      <c r="U30" s="763"/>
      <c r="V30" s="763"/>
      <c r="W30" s="763"/>
      <c r="X30" s="763"/>
      <c r="Y30" s="774"/>
      <c r="Z30" s="774"/>
      <c r="AA30" s="774"/>
      <c r="AB30" s="774"/>
      <c r="AC30" s="774"/>
      <c r="AD30" s="774"/>
      <c r="AE30" s="774"/>
      <c r="AF30" s="424"/>
      <c r="AG30" s="424"/>
      <c r="AH30" s="424"/>
      <c r="AI30" s="424"/>
      <c r="AJ30" s="424"/>
      <c r="AK30" s="424"/>
      <c r="AL30" s="424"/>
      <c r="AM30" s="319"/>
    </row>
    <row r="31" spans="1:39" s="296" customFormat="1" ht="15" outlineLevel="1">
      <c r="A31" s="516">
        <v>4</v>
      </c>
      <c r="B31" s="307" t="s">
        <v>4</v>
      </c>
      <c r="C31" s="304" t="s">
        <v>25</v>
      </c>
      <c r="D31" s="308">
        <f>'7.  Persistence Report'!AQ30</f>
        <v>104255.86043777934</v>
      </c>
      <c r="E31" s="308">
        <f>'7.  Persistence Report'!AR30</f>
        <v>104255.86043777934</v>
      </c>
      <c r="F31" s="308">
        <f>'7.  Persistence Report'!AS30</f>
        <v>104255.86043777934</v>
      </c>
      <c r="G31" s="308">
        <f>'7.  Persistence Report'!AT30</f>
        <v>104255.86043777934</v>
      </c>
      <c r="H31" s="308">
        <f>'7.  Persistence Report'!AU30</f>
        <v>95989.702049951535</v>
      </c>
      <c r="I31" s="308">
        <f>'7.  Persistence Report'!AV30</f>
        <v>86959.272206199326</v>
      </c>
      <c r="J31" s="308">
        <f>'7.  Persistence Report'!AW30</f>
        <v>68113.963290560292</v>
      </c>
      <c r="K31" s="308">
        <f>'7.  Persistence Report'!AX30</f>
        <v>67684.360191001804</v>
      </c>
      <c r="L31" s="308">
        <f>'7.  Persistence Report'!AY30</f>
        <v>84980.948422581787</v>
      </c>
      <c r="M31" s="308">
        <f>'7.  Persistence Report'!AZ30</f>
        <v>33066.864912239223</v>
      </c>
      <c r="N31" s="763"/>
      <c r="O31" s="308">
        <f>'7.  Persistence Report'!L30</f>
        <v>6.4310738102669633</v>
      </c>
      <c r="P31" s="308">
        <f>'7.  Persistence Report'!M30</f>
        <v>6.4310738102669633</v>
      </c>
      <c r="Q31" s="308">
        <f>'7.  Persistence Report'!N30</f>
        <v>6.4310738102669633</v>
      </c>
      <c r="R31" s="308">
        <f>'7.  Persistence Report'!O30</f>
        <v>6.4310738102669633</v>
      </c>
      <c r="S31" s="308">
        <f>'7.  Persistence Report'!P30</f>
        <v>6.0483262908920059</v>
      </c>
      <c r="T31" s="308">
        <f>'7.  Persistence Report'!Q30</f>
        <v>5.6301907484282427</v>
      </c>
      <c r="U31" s="308">
        <f>'7.  Persistence Report'!R30</f>
        <v>4.757597350032075</v>
      </c>
      <c r="V31" s="308">
        <f>'7.  Persistence Report'!S30</f>
        <v>4.7085559003107864</v>
      </c>
      <c r="W31" s="308">
        <f>'7.  Persistence Report'!T30</f>
        <v>5.5094389621495079</v>
      </c>
      <c r="X31" s="308">
        <f>'7.  Persistence Report'!U30</f>
        <v>3.1056637437279355</v>
      </c>
      <c r="Y31" s="772">
        <v>1</v>
      </c>
      <c r="Z31" s="772"/>
      <c r="AA31" s="772"/>
      <c r="AB31" s="772"/>
      <c r="AC31" s="772"/>
      <c r="AD31" s="772"/>
      <c r="AE31" s="772"/>
      <c r="AF31" s="422"/>
      <c r="AG31" s="422"/>
      <c r="AH31" s="422"/>
      <c r="AI31" s="422"/>
      <c r="AJ31" s="422"/>
      <c r="AK31" s="422"/>
      <c r="AL31" s="422"/>
      <c r="AM31" s="309">
        <f>SUM(Y31:AL31)</f>
        <v>1</v>
      </c>
    </row>
    <row r="32" spans="1:39" s="296" customFormat="1" ht="15" outlineLevel="1">
      <c r="A32" s="516"/>
      <c r="B32" s="307" t="s">
        <v>214</v>
      </c>
      <c r="C32" s="304" t="s">
        <v>163</v>
      </c>
      <c r="D32" s="308">
        <f>'7.  Persistence Report'!AQ43</f>
        <v>1509.1429260513696</v>
      </c>
      <c r="E32" s="308">
        <f>'7.  Persistence Report'!AR43</f>
        <v>1509.1429260513696</v>
      </c>
      <c r="F32" s="308">
        <f>'7.  Persistence Report'!AS43</f>
        <v>1509.1429260513696</v>
      </c>
      <c r="G32" s="308">
        <f>'7.  Persistence Report'!AT43</f>
        <v>1509.1429260513696</v>
      </c>
      <c r="H32" s="308">
        <f>'7.  Persistence Report'!AU43</f>
        <v>1509.1429260513696</v>
      </c>
      <c r="I32" s="308">
        <f>'7.  Persistence Report'!AV43</f>
        <v>1378.8748842136638</v>
      </c>
      <c r="J32" s="308">
        <f>'7.  Persistence Report'!AW43</f>
        <v>845.9278214260479</v>
      </c>
      <c r="K32" s="308">
        <f>'7.  Persistence Report'!AX43</f>
        <v>844.77607048889377</v>
      </c>
      <c r="L32" s="308">
        <f>'7.  Persistence Report'!AY43</f>
        <v>844.77607048889377</v>
      </c>
      <c r="M32" s="308">
        <f>'7.  Persistence Report'!AZ43</f>
        <v>299.23204487103203</v>
      </c>
      <c r="N32" s="764"/>
      <c r="O32" s="308">
        <f>'7.  Persistence Report'!L43</f>
        <v>8.8137953166979394E-2</v>
      </c>
      <c r="P32" s="308">
        <f>'7.  Persistence Report'!M43</f>
        <v>8.8137953166979394E-2</v>
      </c>
      <c r="Q32" s="308">
        <f>'7.  Persistence Report'!N43</f>
        <v>8.8137953166979394E-2</v>
      </c>
      <c r="R32" s="308">
        <f>'7.  Persistence Report'!O43</f>
        <v>8.8137953166979394E-2</v>
      </c>
      <c r="S32" s="308">
        <f>'7.  Persistence Report'!P43</f>
        <v>8.8137953166979394E-2</v>
      </c>
      <c r="T32" s="308">
        <f>'7.  Persistence Report'!Q43</f>
        <v>8.2106158525754605E-2</v>
      </c>
      <c r="U32" s="308">
        <f>'7.  Persistence Report'!R43</f>
        <v>5.7429137269967394E-2</v>
      </c>
      <c r="V32" s="308">
        <f>'7.  Persistence Report'!S43</f>
        <v>5.729765885248405E-2</v>
      </c>
      <c r="W32" s="308">
        <f>'7.  Persistence Report'!T43</f>
        <v>5.729765885248405E-2</v>
      </c>
      <c r="X32" s="308">
        <f>'7.  Persistence Report'!U43</f>
        <v>3.2037361055318785E-2</v>
      </c>
      <c r="Y32" s="773">
        <f>Y31</f>
        <v>1</v>
      </c>
      <c r="Z32" s="773">
        <f>Z31</f>
        <v>0</v>
      </c>
      <c r="AA32" s="773">
        <f t="shared" ref="AA32:AE32" si="6">AA31</f>
        <v>0</v>
      </c>
      <c r="AB32" s="773">
        <f t="shared" si="6"/>
        <v>0</v>
      </c>
      <c r="AC32" s="773">
        <f t="shared" si="6"/>
        <v>0</v>
      </c>
      <c r="AD32" s="773">
        <f t="shared" si="6"/>
        <v>0</v>
      </c>
      <c r="AE32" s="773">
        <f t="shared" si="6"/>
        <v>0</v>
      </c>
      <c r="AF32" s="423">
        <f t="shared" ref="AF32:AL32" si="7">AF31</f>
        <v>0</v>
      </c>
      <c r="AG32" s="423">
        <f t="shared" si="7"/>
        <v>0</v>
      </c>
      <c r="AH32" s="423">
        <f t="shared" si="7"/>
        <v>0</v>
      </c>
      <c r="AI32" s="423">
        <f t="shared" si="7"/>
        <v>0</v>
      </c>
      <c r="AJ32" s="423">
        <f t="shared" si="7"/>
        <v>0</v>
      </c>
      <c r="AK32" s="423">
        <f t="shared" si="7"/>
        <v>0</v>
      </c>
      <c r="AL32" s="423">
        <f t="shared" si="7"/>
        <v>0</v>
      </c>
      <c r="AM32" s="310"/>
    </row>
    <row r="33" spans="1:39" s="296" customFormat="1" ht="15" outlineLevel="1">
      <c r="A33" s="516"/>
      <c r="B33" s="307"/>
      <c r="C33" s="318"/>
      <c r="D33" s="766"/>
      <c r="E33" s="766"/>
      <c r="F33" s="766"/>
      <c r="G33" s="766"/>
      <c r="H33" s="766"/>
      <c r="I33" s="766"/>
      <c r="J33" s="766"/>
      <c r="K33" s="766"/>
      <c r="L33" s="766"/>
      <c r="M33" s="766"/>
      <c r="N33" s="763"/>
      <c r="O33" s="766"/>
      <c r="P33" s="766"/>
      <c r="Q33" s="766"/>
      <c r="R33" s="766"/>
      <c r="S33" s="766"/>
      <c r="T33" s="766"/>
      <c r="U33" s="766"/>
      <c r="V33" s="766"/>
      <c r="W33" s="766"/>
      <c r="X33" s="766"/>
      <c r="Y33" s="774"/>
      <c r="Z33" s="774"/>
      <c r="AA33" s="774"/>
      <c r="AB33" s="774"/>
      <c r="AC33" s="774"/>
      <c r="AD33" s="774"/>
      <c r="AE33" s="774"/>
      <c r="AF33" s="424"/>
      <c r="AG33" s="424"/>
      <c r="AH33" s="424"/>
      <c r="AI33" s="424"/>
      <c r="AJ33" s="424"/>
      <c r="AK33" s="424"/>
      <c r="AL33" s="424"/>
      <c r="AM33" s="319"/>
    </row>
    <row r="34" spans="1:39" s="296" customFormat="1" ht="15" outlineLevel="1">
      <c r="A34" s="516">
        <v>5</v>
      </c>
      <c r="B34" s="307" t="s">
        <v>5</v>
      </c>
      <c r="C34" s="304" t="s">
        <v>25</v>
      </c>
      <c r="D34" s="308">
        <f>'7.  Persistence Report'!AQ29</f>
        <v>160889.03977032742</v>
      </c>
      <c r="E34" s="308">
        <f>'7.  Persistence Report'!AR29</f>
        <v>160889.03977032742</v>
      </c>
      <c r="F34" s="308">
        <f>'7.  Persistence Report'!AS29</f>
        <v>160889.03977032742</v>
      </c>
      <c r="G34" s="308">
        <f>'7.  Persistence Report'!AT29</f>
        <v>160889.03977032742</v>
      </c>
      <c r="H34" s="308">
        <f>'7.  Persistence Report'!AU29</f>
        <v>147040.73370669939</v>
      </c>
      <c r="I34" s="308">
        <f>'7.  Persistence Report'!AV29</f>
        <v>131912.04266364471</v>
      </c>
      <c r="J34" s="308">
        <f>'7.  Persistence Report'!AW29</f>
        <v>99453.270985571769</v>
      </c>
      <c r="K34" s="308">
        <f>'7.  Persistence Report'!AX29</f>
        <v>99090.469440368208</v>
      </c>
      <c r="L34" s="308">
        <f>'7.  Persistence Report'!AY29</f>
        <v>128067.46654705094</v>
      </c>
      <c r="M34" s="308">
        <f>'7.  Persistence Report'!AZ29</f>
        <v>41095.733883107736</v>
      </c>
      <c r="N34" s="763"/>
      <c r="O34" s="308">
        <f>'7.  Persistence Report'!L29</f>
        <v>9.2056720221538342</v>
      </c>
      <c r="P34" s="308">
        <f>'7.  Persistence Report'!M29</f>
        <v>9.2056720221538342</v>
      </c>
      <c r="Q34" s="308">
        <f>'7.  Persistence Report'!N29</f>
        <v>9.2056720221538342</v>
      </c>
      <c r="R34" s="308">
        <f>'7.  Persistence Report'!O29</f>
        <v>9.2056720221538342</v>
      </c>
      <c r="S34" s="308">
        <f>'7.  Persistence Report'!P29</f>
        <v>8.5644545974788038</v>
      </c>
      <c r="T34" s="308">
        <f>'7.  Persistence Report'!Q29</f>
        <v>7.8639515709887728</v>
      </c>
      <c r="U34" s="308">
        <f>'7.  Persistence Report'!R29</f>
        <v>6.3610146855747889</v>
      </c>
      <c r="V34" s="308">
        <f>'7.  Persistence Report'!S29</f>
        <v>6.3195989840675342</v>
      </c>
      <c r="W34" s="308">
        <f>'7.  Persistence Report'!T29</f>
        <v>7.6613194352325964</v>
      </c>
      <c r="X34" s="308">
        <f>'7.  Persistence Report'!U29</f>
        <v>3.6342716373239101</v>
      </c>
      <c r="Y34" s="772">
        <v>1</v>
      </c>
      <c r="Z34" s="772"/>
      <c r="AA34" s="772"/>
      <c r="AB34" s="772"/>
      <c r="AC34" s="772"/>
      <c r="AD34" s="772"/>
      <c r="AE34" s="772"/>
      <c r="AF34" s="422"/>
      <c r="AG34" s="422"/>
      <c r="AH34" s="422"/>
      <c r="AI34" s="422"/>
      <c r="AJ34" s="422"/>
      <c r="AK34" s="422"/>
      <c r="AL34" s="422"/>
      <c r="AM34" s="309">
        <f>SUM(Y34:AL34)</f>
        <v>1</v>
      </c>
    </row>
    <row r="35" spans="1:39" s="296" customFormat="1" ht="15" outlineLevel="1">
      <c r="A35" s="516"/>
      <c r="B35" s="307" t="s">
        <v>214</v>
      </c>
      <c r="C35" s="304" t="s">
        <v>163</v>
      </c>
      <c r="D35" s="308">
        <f>'7.  Persistence Report'!AQ42</f>
        <v>11953.518394510378</v>
      </c>
      <c r="E35" s="308">
        <f>'7.  Persistence Report'!AR42</f>
        <v>11953.518394510378</v>
      </c>
      <c r="F35" s="308">
        <f>'7.  Persistence Report'!AS42</f>
        <v>11953.518394510378</v>
      </c>
      <c r="G35" s="308">
        <f>'7.  Persistence Report'!AT42</f>
        <v>11953.518394510378</v>
      </c>
      <c r="H35" s="308">
        <f>'7.  Persistence Report'!AU42</f>
        <v>11953.518394510378</v>
      </c>
      <c r="I35" s="308">
        <f>'7.  Persistence Report'!AV42</f>
        <v>10862.321911842741</v>
      </c>
      <c r="J35" s="308">
        <f>'7.  Persistence Report'!AW42</f>
        <v>5864.4498028194348</v>
      </c>
      <c r="K35" s="308">
        <f>'7.  Persistence Report'!AX42</f>
        <v>5863.2550693968233</v>
      </c>
      <c r="L35" s="308">
        <f>'7.  Persistence Report'!AY42</f>
        <v>5863.2550693968233</v>
      </c>
      <c r="M35" s="308">
        <f>'7.  Persistence Report'!AZ42</f>
        <v>1293.4794475585634</v>
      </c>
      <c r="N35" s="764"/>
      <c r="O35" s="308">
        <f>'7.  Persistence Report'!L42</f>
        <v>0.59052881251308564</v>
      </c>
      <c r="P35" s="308">
        <f>'7.  Persistence Report'!M42</f>
        <v>0.59052881251308564</v>
      </c>
      <c r="Q35" s="308">
        <f>'7.  Persistence Report'!N42</f>
        <v>0.59052881251308564</v>
      </c>
      <c r="R35" s="308">
        <f>'7.  Persistence Report'!O42</f>
        <v>0.59052881251308564</v>
      </c>
      <c r="S35" s="308">
        <f>'7.  Persistence Report'!P42</f>
        <v>0.59052881251308564</v>
      </c>
      <c r="T35" s="308">
        <f>'7.  Persistence Report'!Q42</f>
        <v>0.54000319622357373</v>
      </c>
      <c r="U35" s="308">
        <f>'7.  Persistence Report'!R42</f>
        <v>0.30858697333836826</v>
      </c>
      <c r="V35" s="308">
        <f>'7.  Persistence Report'!S42</f>
        <v>0.30845058824446292</v>
      </c>
      <c r="W35" s="308">
        <f>'7.  Persistence Report'!T42</f>
        <v>0.30845058824446292</v>
      </c>
      <c r="X35" s="308">
        <f>'7.  Persistence Report'!U42</f>
        <v>9.6856495644650292E-2</v>
      </c>
      <c r="Y35" s="773">
        <f>Y34</f>
        <v>1</v>
      </c>
      <c r="Z35" s="773">
        <f>Z34</f>
        <v>0</v>
      </c>
      <c r="AA35" s="773">
        <f t="shared" ref="AA35:AE35" si="8">AA34</f>
        <v>0</v>
      </c>
      <c r="AB35" s="773">
        <f t="shared" si="8"/>
        <v>0</v>
      </c>
      <c r="AC35" s="773">
        <f t="shared" si="8"/>
        <v>0</v>
      </c>
      <c r="AD35" s="773">
        <f t="shared" si="8"/>
        <v>0</v>
      </c>
      <c r="AE35" s="773">
        <f t="shared" si="8"/>
        <v>0</v>
      </c>
      <c r="AF35" s="423">
        <f t="shared" ref="AF35:AL35" si="9">AF34</f>
        <v>0</v>
      </c>
      <c r="AG35" s="423">
        <f t="shared" si="9"/>
        <v>0</v>
      </c>
      <c r="AH35" s="423">
        <f t="shared" si="9"/>
        <v>0</v>
      </c>
      <c r="AI35" s="423">
        <f t="shared" si="9"/>
        <v>0</v>
      </c>
      <c r="AJ35" s="423">
        <f t="shared" si="9"/>
        <v>0</v>
      </c>
      <c r="AK35" s="423">
        <f t="shared" si="9"/>
        <v>0</v>
      </c>
      <c r="AL35" s="423">
        <f t="shared" si="9"/>
        <v>0</v>
      </c>
      <c r="AM35" s="310"/>
    </row>
    <row r="36" spans="1:39" s="296" customFormat="1" ht="15" outlineLevel="1">
      <c r="A36" s="516"/>
      <c r="B36" s="307"/>
      <c r="C36" s="318"/>
      <c r="D36" s="766"/>
      <c r="E36" s="766"/>
      <c r="F36" s="766"/>
      <c r="G36" s="766"/>
      <c r="H36" s="766"/>
      <c r="I36" s="766"/>
      <c r="J36" s="766"/>
      <c r="K36" s="766"/>
      <c r="L36" s="766"/>
      <c r="M36" s="766"/>
      <c r="N36" s="763"/>
      <c r="O36" s="766"/>
      <c r="P36" s="766"/>
      <c r="Q36" s="766"/>
      <c r="R36" s="766"/>
      <c r="S36" s="766"/>
      <c r="T36" s="766"/>
      <c r="U36" s="766"/>
      <c r="V36" s="766"/>
      <c r="W36" s="766"/>
      <c r="X36" s="766"/>
      <c r="Y36" s="774"/>
      <c r="Z36" s="774"/>
      <c r="AA36" s="774"/>
      <c r="AB36" s="774"/>
      <c r="AC36" s="774"/>
      <c r="AD36" s="774"/>
      <c r="AE36" s="774"/>
      <c r="AF36" s="424"/>
      <c r="AG36" s="424"/>
      <c r="AH36" s="424"/>
      <c r="AI36" s="424"/>
      <c r="AJ36" s="424"/>
      <c r="AK36" s="424"/>
      <c r="AL36" s="424"/>
      <c r="AM36" s="319"/>
    </row>
    <row r="37" spans="1:39" s="296" customFormat="1" ht="15" outlineLevel="1">
      <c r="A37" s="516">
        <v>6</v>
      </c>
      <c r="B37" s="307" t="s">
        <v>6</v>
      </c>
      <c r="C37" s="304" t="s">
        <v>25</v>
      </c>
      <c r="D37" s="308"/>
      <c r="E37" s="308"/>
      <c r="F37" s="308"/>
      <c r="G37" s="308"/>
      <c r="H37" s="308"/>
      <c r="I37" s="308"/>
      <c r="J37" s="308"/>
      <c r="K37" s="308"/>
      <c r="L37" s="308"/>
      <c r="M37" s="308"/>
      <c r="N37" s="763"/>
      <c r="O37" s="308"/>
      <c r="P37" s="308"/>
      <c r="Q37" s="308"/>
      <c r="R37" s="308"/>
      <c r="S37" s="308"/>
      <c r="T37" s="308"/>
      <c r="U37" s="308"/>
      <c r="V37" s="308"/>
      <c r="W37" s="308"/>
      <c r="X37" s="308"/>
      <c r="Y37" s="772"/>
      <c r="Z37" s="772"/>
      <c r="AA37" s="772"/>
      <c r="AB37" s="772"/>
      <c r="AC37" s="772"/>
      <c r="AD37" s="772"/>
      <c r="AE37" s="772"/>
      <c r="AF37" s="422"/>
      <c r="AG37" s="422"/>
      <c r="AH37" s="422"/>
      <c r="AI37" s="422"/>
      <c r="AJ37" s="422"/>
      <c r="AK37" s="422"/>
      <c r="AL37" s="422"/>
      <c r="AM37" s="309">
        <f>SUM(Y37:AL37)</f>
        <v>0</v>
      </c>
    </row>
    <row r="38" spans="1:39" s="296" customFormat="1" ht="15" outlineLevel="1">
      <c r="A38" s="516"/>
      <c r="B38" s="307" t="s">
        <v>214</v>
      </c>
      <c r="C38" s="304" t="s">
        <v>163</v>
      </c>
      <c r="D38" s="308"/>
      <c r="E38" s="308"/>
      <c r="F38" s="308"/>
      <c r="G38" s="308"/>
      <c r="H38" s="308"/>
      <c r="I38" s="308"/>
      <c r="J38" s="308"/>
      <c r="K38" s="308"/>
      <c r="L38" s="308"/>
      <c r="M38" s="308"/>
      <c r="N38" s="764"/>
      <c r="O38" s="308"/>
      <c r="P38" s="308"/>
      <c r="Q38" s="308"/>
      <c r="R38" s="308"/>
      <c r="S38" s="308"/>
      <c r="T38" s="308"/>
      <c r="U38" s="308"/>
      <c r="V38" s="308"/>
      <c r="W38" s="308"/>
      <c r="X38" s="308"/>
      <c r="Y38" s="773">
        <f>Y37</f>
        <v>0</v>
      </c>
      <c r="Z38" s="773">
        <f>Z37</f>
        <v>0</v>
      </c>
      <c r="AA38" s="773">
        <f t="shared" ref="AA38:AE38" si="10">AA37</f>
        <v>0</v>
      </c>
      <c r="AB38" s="773">
        <f t="shared" si="10"/>
        <v>0</v>
      </c>
      <c r="AC38" s="773">
        <f t="shared" si="10"/>
        <v>0</v>
      </c>
      <c r="AD38" s="773">
        <f t="shared" si="10"/>
        <v>0</v>
      </c>
      <c r="AE38" s="773">
        <f t="shared" si="10"/>
        <v>0</v>
      </c>
      <c r="AF38" s="423">
        <f t="shared" ref="AF38:AL38" si="11">AF37</f>
        <v>0</v>
      </c>
      <c r="AG38" s="423">
        <f t="shared" si="11"/>
        <v>0</v>
      </c>
      <c r="AH38" s="423">
        <f t="shared" si="11"/>
        <v>0</v>
      </c>
      <c r="AI38" s="423">
        <f t="shared" si="11"/>
        <v>0</v>
      </c>
      <c r="AJ38" s="423">
        <f t="shared" si="11"/>
        <v>0</v>
      </c>
      <c r="AK38" s="423">
        <f t="shared" si="11"/>
        <v>0</v>
      </c>
      <c r="AL38" s="423">
        <f t="shared" si="11"/>
        <v>0</v>
      </c>
      <c r="AM38" s="310"/>
    </row>
    <row r="39" spans="1:39" s="296" customFormat="1" ht="15" outlineLevel="1">
      <c r="A39" s="516"/>
      <c r="B39" s="307"/>
      <c r="C39" s="318"/>
      <c r="D39" s="766"/>
      <c r="E39" s="766"/>
      <c r="F39" s="766"/>
      <c r="G39" s="766"/>
      <c r="H39" s="766"/>
      <c r="I39" s="766"/>
      <c r="J39" s="766"/>
      <c r="K39" s="766"/>
      <c r="L39" s="766"/>
      <c r="M39" s="766"/>
      <c r="N39" s="763"/>
      <c r="O39" s="766"/>
      <c r="P39" s="766"/>
      <c r="Q39" s="766"/>
      <c r="R39" s="766"/>
      <c r="S39" s="766"/>
      <c r="T39" s="766"/>
      <c r="U39" s="766"/>
      <c r="V39" s="766"/>
      <c r="W39" s="766"/>
      <c r="X39" s="766"/>
      <c r="Y39" s="774"/>
      <c r="Z39" s="774"/>
      <c r="AA39" s="774"/>
      <c r="AB39" s="774"/>
      <c r="AC39" s="774"/>
      <c r="AD39" s="774"/>
      <c r="AE39" s="774"/>
      <c r="AF39" s="424"/>
      <c r="AG39" s="424"/>
      <c r="AH39" s="424"/>
      <c r="AI39" s="424"/>
      <c r="AJ39" s="424"/>
      <c r="AK39" s="424"/>
      <c r="AL39" s="424"/>
      <c r="AM39" s="319"/>
    </row>
    <row r="40" spans="1:39" s="296" customFormat="1" ht="15" outlineLevel="1">
      <c r="A40" s="516">
        <v>7</v>
      </c>
      <c r="B40" s="307" t="s">
        <v>42</v>
      </c>
      <c r="C40" s="304" t="s">
        <v>25</v>
      </c>
      <c r="D40" s="308"/>
      <c r="E40" s="308"/>
      <c r="F40" s="308"/>
      <c r="G40" s="308"/>
      <c r="H40" s="308"/>
      <c r="I40" s="308"/>
      <c r="J40" s="308"/>
      <c r="K40" s="308"/>
      <c r="L40" s="308"/>
      <c r="M40" s="308"/>
      <c r="N40" s="763"/>
      <c r="O40" s="308"/>
      <c r="P40" s="308"/>
      <c r="Q40" s="308"/>
      <c r="R40" s="308"/>
      <c r="S40" s="308"/>
      <c r="T40" s="308"/>
      <c r="U40" s="308"/>
      <c r="V40" s="308"/>
      <c r="W40" s="308"/>
      <c r="X40" s="308"/>
      <c r="Y40" s="772"/>
      <c r="Z40" s="772"/>
      <c r="AA40" s="772"/>
      <c r="AB40" s="772"/>
      <c r="AC40" s="772"/>
      <c r="AD40" s="772"/>
      <c r="AE40" s="772"/>
      <c r="AF40" s="422"/>
      <c r="AG40" s="422"/>
      <c r="AH40" s="422"/>
      <c r="AI40" s="422"/>
      <c r="AJ40" s="422"/>
      <c r="AK40" s="422"/>
      <c r="AL40" s="422"/>
      <c r="AM40" s="309">
        <f>SUM(Y40:AL40)</f>
        <v>0</v>
      </c>
    </row>
    <row r="41" spans="1:39" s="296" customFormat="1" ht="15" outlineLevel="1">
      <c r="A41" s="516"/>
      <c r="B41" s="307" t="s">
        <v>214</v>
      </c>
      <c r="C41" s="304" t="s">
        <v>163</v>
      </c>
      <c r="D41" s="308"/>
      <c r="E41" s="308"/>
      <c r="F41" s="308"/>
      <c r="G41" s="308"/>
      <c r="H41" s="308"/>
      <c r="I41" s="308"/>
      <c r="J41" s="308"/>
      <c r="K41" s="308"/>
      <c r="L41" s="308"/>
      <c r="M41" s="308"/>
      <c r="N41" s="763"/>
      <c r="O41" s="308"/>
      <c r="P41" s="308"/>
      <c r="Q41" s="308"/>
      <c r="R41" s="308"/>
      <c r="S41" s="308"/>
      <c r="T41" s="308"/>
      <c r="U41" s="308"/>
      <c r="V41" s="308"/>
      <c r="W41" s="308"/>
      <c r="X41" s="308"/>
      <c r="Y41" s="773">
        <f>Y40</f>
        <v>0</v>
      </c>
      <c r="Z41" s="773">
        <f>Z40</f>
        <v>0</v>
      </c>
      <c r="AA41" s="773">
        <f t="shared" ref="AA41:AE41" si="12">AA40</f>
        <v>0</v>
      </c>
      <c r="AB41" s="773">
        <f t="shared" si="12"/>
        <v>0</v>
      </c>
      <c r="AC41" s="773">
        <f t="shared" si="12"/>
        <v>0</v>
      </c>
      <c r="AD41" s="773">
        <f t="shared" si="12"/>
        <v>0</v>
      </c>
      <c r="AE41" s="773">
        <f t="shared" si="12"/>
        <v>0</v>
      </c>
      <c r="AF41" s="423">
        <f t="shared" ref="AF41:AL41" si="13">AF40</f>
        <v>0</v>
      </c>
      <c r="AG41" s="423">
        <f t="shared" si="13"/>
        <v>0</v>
      </c>
      <c r="AH41" s="423">
        <f t="shared" si="13"/>
        <v>0</v>
      </c>
      <c r="AI41" s="423">
        <f t="shared" si="13"/>
        <v>0</v>
      </c>
      <c r="AJ41" s="423">
        <f t="shared" si="13"/>
        <v>0</v>
      </c>
      <c r="AK41" s="423">
        <f t="shared" si="13"/>
        <v>0</v>
      </c>
      <c r="AL41" s="423">
        <f t="shared" si="13"/>
        <v>0</v>
      </c>
      <c r="AM41" s="310"/>
    </row>
    <row r="42" spans="1:39" s="296" customFormat="1" ht="15" outlineLevel="1">
      <c r="A42" s="516"/>
      <c r="B42" s="307"/>
      <c r="C42" s="318"/>
      <c r="D42" s="766"/>
      <c r="E42" s="766"/>
      <c r="F42" s="766"/>
      <c r="G42" s="766"/>
      <c r="H42" s="766"/>
      <c r="I42" s="766"/>
      <c r="J42" s="766"/>
      <c r="K42" s="766"/>
      <c r="L42" s="766"/>
      <c r="M42" s="766"/>
      <c r="N42" s="763"/>
      <c r="O42" s="766"/>
      <c r="P42" s="766"/>
      <c r="Q42" s="766"/>
      <c r="R42" s="766"/>
      <c r="S42" s="766"/>
      <c r="T42" s="766"/>
      <c r="U42" s="766"/>
      <c r="V42" s="766"/>
      <c r="W42" s="766"/>
      <c r="X42" s="766"/>
      <c r="Y42" s="774"/>
      <c r="Z42" s="774"/>
      <c r="AA42" s="774"/>
      <c r="AB42" s="774"/>
      <c r="AC42" s="774"/>
      <c r="AD42" s="774"/>
      <c r="AE42" s="774"/>
      <c r="AF42" s="424"/>
      <c r="AG42" s="424"/>
      <c r="AH42" s="424"/>
      <c r="AI42" s="424"/>
      <c r="AJ42" s="424"/>
      <c r="AK42" s="424"/>
      <c r="AL42" s="424"/>
      <c r="AM42" s="319"/>
    </row>
    <row r="43" spans="1:39" s="296" customFormat="1" ht="15" outlineLevel="1">
      <c r="A43" s="516">
        <v>8</v>
      </c>
      <c r="B43" s="307" t="s">
        <v>484</v>
      </c>
      <c r="C43" s="304" t="s">
        <v>25</v>
      </c>
      <c r="D43" s="308"/>
      <c r="E43" s="308"/>
      <c r="F43" s="308"/>
      <c r="G43" s="308"/>
      <c r="H43" s="308"/>
      <c r="I43" s="308"/>
      <c r="J43" s="308"/>
      <c r="K43" s="308"/>
      <c r="L43" s="308"/>
      <c r="M43" s="308"/>
      <c r="N43" s="763"/>
      <c r="O43" s="308"/>
      <c r="P43" s="308"/>
      <c r="Q43" s="308"/>
      <c r="R43" s="308"/>
      <c r="S43" s="308"/>
      <c r="T43" s="308"/>
      <c r="U43" s="308"/>
      <c r="V43" s="308"/>
      <c r="W43" s="308"/>
      <c r="X43" s="308"/>
      <c r="Y43" s="772"/>
      <c r="Z43" s="772"/>
      <c r="AA43" s="772"/>
      <c r="AB43" s="772"/>
      <c r="AC43" s="772"/>
      <c r="AD43" s="772"/>
      <c r="AE43" s="772"/>
      <c r="AF43" s="422"/>
      <c r="AG43" s="422"/>
      <c r="AH43" s="422"/>
      <c r="AI43" s="422"/>
      <c r="AJ43" s="422"/>
      <c r="AK43" s="422"/>
      <c r="AL43" s="422"/>
      <c r="AM43" s="309">
        <f>SUM(Y43:AL43)</f>
        <v>0</v>
      </c>
    </row>
    <row r="44" spans="1:39" s="296" customFormat="1" ht="15" outlineLevel="1">
      <c r="A44" s="516"/>
      <c r="B44" s="307" t="s">
        <v>214</v>
      </c>
      <c r="C44" s="304" t="s">
        <v>163</v>
      </c>
      <c r="D44" s="308"/>
      <c r="E44" s="308"/>
      <c r="F44" s="308"/>
      <c r="G44" s="308"/>
      <c r="H44" s="308"/>
      <c r="I44" s="308"/>
      <c r="J44" s="308"/>
      <c r="K44" s="308"/>
      <c r="L44" s="308"/>
      <c r="M44" s="308"/>
      <c r="N44" s="763"/>
      <c r="O44" s="308"/>
      <c r="P44" s="308"/>
      <c r="Q44" s="308"/>
      <c r="R44" s="308"/>
      <c r="S44" s="308"/>
      <c r="T44" s="308"/>
      <c r="U44" s="308"/>
      <c r="V44" s="308"/>
      <c r="W44" s="308"/>
      <c r="X44" s="308"/>
      <c r="Y44" s="773">
        <f>Y43</f>
        <v>0</v>
      </c>
      <c r="Z44" s="773">
        <f>Z43</f>
        <v>0</v>
      </c>
      <c r="AA44" s="773">
        <f t="shared" ref="AA44:AE44" si="14">AA43</f>
        <v>0</v>
      </c>
      <c r="AB44" s="773">
        <f t="shared" si="14"/>
        <v>0</v>
      </c>
      <c r="AC44" s="773">
        <f t="shared" si="14"/>
        <v>0</v>
      </c>
      <c r="AD44" s="773">
        <f t="shared" si="14"/>
        <v>0</v>
      </c>
      <c r="AE44" s="773">
        <f t="shared" si="14"/>
        <v>0</v>
      </c>
      <c r="AF44" s="423">
        <f t="shared" ref="AF44:AL44" si="15">AF43</f>
        <v>0</v>
      </c>
      <c r="AG44" s="423">
        <f t="shared" si="15"/>
        <v>0</v>
      </c>
      <c r="AH44" s="423">
        <f t="shared" si="15"/>
        <v>0</v>
      </c>
      <c r="AI44" s="423">
        <f t="shared" si="15"/>
        <v>0</v>
      </c>
      <c r="AJ44" s="423">
        <f t="shared" si="15"/>
        <v>0</v>
      </c>
      <c r="AK44" s="423">
        <f t="shared" si="15"/>
        <v>0</v>
      </c>
      <c r="AL44" s="423">
        <f t="shared" si="15"/>
        <v>0</v>
      </c>
      <c r="AM44" s="310"/>
    </row>
    <row r="45" spans="1:39" s="296" customFormat="1" ht="15" outlineLevel="1">
      <c r="A45" s="516"/>
      <c r="B45" s="307"/>
      <c r="C45" s="318"/>
      <c r="D45" s="766"/>
      <c r="E45" s="766"/>
      <c r="F45" s="766"/>
      <c r="G45" s="766"/>
      <c r="H45" s="766"/>
      <c r="I45" s="766"/>
      <c r="J45" s="766"/>
      <c r="K45" s="766"/>
      <c r="L45" s="766"/>
      <c r="M45" s="766"/>
      <c r="N45" s="763"/>
      <c r="O45" s="766"/>
      <c r="P45" s="766"/>
      <c r="Q45" s="766"/>
      <c r="R45" s="766"/>
      <c r="S45" s="766"/>
      <c r="T45" s="766"/>
      <c r="U45" s="766"/>
      <c r="V45" s="766"/>
      <c r="W45" s="766"/>
      <c r="X45" s="766"/>
      <c r="Y45" s="774"/>
      <c r="Z45" s="774"/>
      <c r="AA45" s="774"/>
      <c r="AB45" s="774"/>
      <c r="AC45" s="774"/>
      <c r="AD45" s="774"/>
      <c r="AE45" s="774"/>
      <c r="AF45" s="424"/>
      <c r="AG45" s="424"/>
      <c r="AH45" s="424"/>
      <c r="AI45" s="424"/>
      <c r="AJ45" s="424"/>
      <c r="AK45" s="424"/>
      <c r="AL45" s="424"/>
      <c r="AM45" s="319"/>
    </row>
    <row r="46" spans="1:39" s="296" customFormat="1" ht="15" outlineLevel="1">
      <c r="A46" s="516">
        <v>9</v>
      </c>
      <c r="B46" s="307" t="s">
        <v>7</v>
      </c>
      <c r="C46" s="304" t="s">
        <v>25</v>
      </c>
      <c r="D46" s="308"/>
      <c r="E46" s="308"/>
      <c r="F46" s="308"/>
      <c r="G46" s="308"/>
      <c r="H46" s="308"/>
      <c r="I46" s="308"/>
      <c r="J46" s="308"/>
      <c r="K46" s="308"/>
      <c r="L46" s="308"/>
      <c r="M46" s="308"/>
      <c r="N46" s="763"/>
      <c r="O46" s="308"/>
      <c r="P46" s="308"/>
      <c r="Q46" s="308"/>
      <c r="R46" s="308"/>
      <c r="S46" s="308"/>
      <c r="T46" s="308"/>
      <c r="U46" s="308"/>
      <c r="V46" s="308"/>
      <c r="W46" s="308"/>
      <c r="X46" s="308"/>
      <c r="Y46" s="772"/>
      <c r="Z46" s="772"/>
      <c r="AA46" s="772"/>
      <c r="AB46" s="772"/>
      <c r="AC46" s="772"/>
      <c r="AD46" s="772"/>
      <c r="AE46" s="772"/>
      <c r="AF46" s="422"/>
      <c r="AG46" s="422"/>
      <c r="AH46" s="422"/>
      <c r="AI46" s="422"/>
      <c r="AJ46" s="422"/>
      <c r="AK46" s="422"/>
      <c r="AL46" s="422"/>
      <c r="AM46" s="309">
        <f>SUM(Y46:AL46)</f>
        <v>0</v>
      </c>
    </row>
    <row r="47" spans="1:39" s="296" customFormat="1" ht="15" outlineLevel="1">
      <c r="A47" s="516"/>
      <c r="B47" s="307" t="s">
        <v>214</v>
      </c>
      <c r="C47" s="304" t="s">
        <v>163</v>
      </c>
      <c r="D47" s="308"/>
      <c r="E47" s="308"/>
      <c r="F47" s="308"/>
      <c r="G47" s="308"/>
      <c r="H47" s="308"/>
      <c r="I47" s="308"/>
      <c r="J47" s="308"/>
      <c r="K47" s="308"/>
      <c r="L47" s="308"/>
      <c r="M47" s="308"/>
      <c r="N47" s="763"/>
      <c r="O47" s="308"/>
      <c r="P47" s="308"/>
      <c r="Q47" s="308"/>
      <c r="R47" s="308"/>
      <c r="S47" s="308"/>
      <c r="T47" s="308"/>
      <c r="U47" s="308"/>
      <c r="V47" s="308"/>
      <c r="W47" s="308"/>
      <c r="X47" s="308"/>
      <c r="Y47" s="773">
        <f>Y46</f>
        <v>0</v>
      </c>
      <c r="Z47" s="773">
        <f>Z46</f>
        <v>0</v>
      </c>
      <c r="AA47" s="773">
        <f t="shared" ref="AA47:AE47" si="16">AA46</f>
        <v>0</v>
      </c>
      <c r="AB47" s="773">
        <f t="shared" si="16"/>
        <v>0</v>
      </c>
      <c r="AC47" s="773">
        <f t="shared" si="16"/>
        <v>0</v>
      </c>
      <c r="AD47" s="773">
        <f t="shared" si="16"/>
        <v>0</v>
      </c>
      <c r="AE47" s="773">
        <f t="shared" si="16"/>
        <v>0</v>
      </c>
      <c r="AF47" s="423">
        <f t="shared" ref="AF47:AL47" si="17">AF46</f>
        <v>0</v>
      </c>
      <c r="AG47" s="423">
        <f t="shared" si="17"/>
        <v>0</v>
      </c>
      <c r="AH47" s="423">
        <f t="shared" si="17"/>
        <v>0</v>
      </c>
      <c r="AI47" s="423">
        <f t="shared" si="17"/>
        <v>0</v>
      </c>
      <c r="AJ47" s="423">
        <f t="shared" si="17"/>
        <v>0</v>
      </c>
      <c r="AK47" s="423">
        <f t="shared" si="17"/>
        <v>0</v>
      </c>
      <c r="AL47" s="423">
        <f t="shared" si="17"/>
        <v>0</v>
      </c>
      <c r="AM47" s="310"/>
    </row>
    <row r="48" spans="1:39" s="296" customFormat="1" ht="15" outlineLevel="1">
      <c r="A48" s="516"/>
      <c r="B48" s="320"/>
      <c r="C48" s="321"/>
      <c r="D48" s="763"/>
      <c r="E48" s="763"/>
      <c r="F48" s="763"/>
      <c r="G48" s="763"/>
      <c r="H48" s="763"/>
      <c r="I48" s="763"/>
      <c r="J48" s="763"/>
      <c r="K48" s="763"/>
      <c r="L48" s="763"/>
      <c r="M48" s="763"/>
      <c r="N48" s="763"/>
      <c r="O48" s="763"/>
      <c r="P48" s="763"/>
      <c r="Q48" s="763"/>
      <c r="R48" s="763"/>
      <c r="S48" s="763"/>
      <c r="T48" s="763"/>
      <c r="U48" s="763"/>
      <c r="V48" s="763"/>
      <c r="W48" s="763"/>
      <c r="X48" s="763"/>
      <c r="Y48" s="774"/>
      <c r="Z48" s="774"/>
      <c r="AA48" s="774"/>
      <c r="AB48" s="774"/>
      <c r="AC48" s="774"/>
      <c r="AD48" s="774"/>
      <c r="AE48" s="774"/>
      <c r="AF48" s="424"/>
      <c r="AG48" s="424"/>
      <c r="AH48" s="424"/>
      <c r="AI48" s="424"/>
      <c r="AJ48" s="424"/>
      <c r="AK48" s="424"/>
      <c r="AL48" s="424"/>
      <c r="AM48" s="319"/>
    </row>
    <row r="49" spans="1:42" s="306" customFormat="1" ht="15.6" outlineLevel="1">
      <c r="A49" s="517"/>
      <c r="B49" s="301" t="s">
        <v>8</v>
      </c>
      <c r="C49" s="302"/>
      <c r="D49" s="767"/>
      <c r="E49" s="767"/>
      <c r="F49" s="767"/>
      <c r="G49" s="767"/>
      <c r="H49" s="767"/>
      <c r="I49" s="767"/>
      <c r="J49" s="767"/>
      <c r="K49" s="767"/>
      <c r="L49" s="767"/>
      <c r="M49" s="767"/>
      <c r="N49" s="763"/>
      <c r="O49" s="767"/>
      <c r="P49" s="767"/>
      <c r="Q49" s="767"/>
      <c r="R49" s="767"/>
      <c r="S49" s="767"/>
      <c r="T49" s="767"/>
      <c r="U49" s="767"/>
      <c r="V49" s="767"/>
      <c r="W49" s="767"/>
      <c r="X49" s="767"/>
      <c r="Y49" s="776"/>
      <c r="Z49" s="776"/>
      <c r="AA49" s="776"/>
      <c r="AB49" s="776"/>
      <c r="AC49" s="776"/>
      <c r="AD49" s="776"/>
      <c r="AE49" s="776"/>
      <c r="AF49" s="426"/>
      <c r="AG49" s="426"/>
      <c r="AH49" s="426"/>
      <c r="AI49" s="426"/>
      <c r="AJ49" s="426"/>
      <c r="AK49" s="426"/>
      <c r="AL49" s="426"/>
      <c r="AM49" s="305"/>
      <c r="AO49" s="322"/>
      <c r="AP49" s="322"/>
    </row>
    <row r="50" spans="1:42" s="296" customFormat="1" ht="15" outlineLevel="1">
      <c r="A50" s="516">
        <v>10</v>
      </c>
      <c r="B50" s="323" t="s">
        <v>22</v>
      </c>
      <c r="C50" s="304" t="s">
        <v>25</v>
      </c>
      <c r="D50" s="308">
        <f>'7.  Persistence Report'!AQ35</f>
        <v>377207.78609305224</v>
      </c>
      <c r="E50" s="308">
        <f>'7.  Persistence Report'!AR35</f>
        <v>377207.78609305224</v>
      </c>
      <c r="F50" s="308">
        <f>'7.  Persistence Report'!AS35</f>
        <v>377207.78609305224</v>
      </c>
      <c r="G50" s="308">
        <f>'7.  Persistence Report'!AT35</f>
        <v>377207.78609305224</v>
      </c>
      <c r="H50" s="308">
        <f>'7.  Persistence Report'!AU35</f>
        <v>377207.78609305224</v>
      </c>
      <c r="I50" s="308">
        <f>'7.  Persistence Report'!AV35</f>
        <v>377207.78609305224</v>
      </c>
      <c r="J50" s="308">
        <f>'7.  Persistence Report'!AW35</f>
        <v>377207.78609305224</v>
      </c>
      <c r="K50" s="308">
        <f>'7.  Persistence Report'!AX35</f>
        <v>377207.78609305224</v>
      </c>
      <c r="L50" s="308">
        <f>'7.  Persistence Report'!AY35</f>
        <v>370852.56928109692</v>
      </c>
      <c r="M50" s="308">
        <f>'7.  Persistence Report'!AZ35</f>
        <v>370852.56928109692</v>
      </c>
      <c r="N50" s="308">
        <v>12</v>
      </c>
      <c r="O50" s="308">
        <f>'7.  Persistence Report'!L35</f>
        <v>47.742720619843666</v>
      </c>
      <c r="P50" s="308">
        <f>'7.  Persistence Report'!M35</f>
        <v>47.742720619843666</v>
      </c>
      <c r="Q50" s="308">
        <f>'7.  Persistence Report'!N35</f>
        <v>47.742720619843666</v>
      </c>
      <c r="R50" s="308">
        <f>'7.  Persistence Report'!O35</f>
        <v>47.742720619843666</v>
      </c>
      <c r="S50" s="308">
        <f>'7.  Persistence Report'!P35</f>
        <v>47.742720619843666</v>
      </c>
      <c r="T50" s="308">
        <f>'7.  Persistence Report'!Q35</f>
        <v>47.742720619843666</v>
      </c>
      <c r="U50" s="308">
        <f>'7.  Persistence Report'!R35</f>
        <v>47.742720619843666</v>
      </c>
      <c r="V50" s="308">
        <f>'7.  Persistence Report'!S35</f>
        <v>47.742720619843666</v>
      </c>
      <c r="W50" s="308">
        <f>'7.  Persistence Report'!T35</f>
        <v>47.00462354914044</v>
      </c>
      <c r="X50" s="308">
        <f>'7.  Persistence Report'!U35</f>
        <v>47.00462354914044</v>
      </c>
      <c r="Y50" s="777"/>
      <c r="Z50" s="777">
        <v>0.92020000000000002</v>
      </c>
      <c r="AA50" s="777">
        <v>7.9799999999999996E-2</v>
      </c>
      <c r="AB50" s="777"/>
      <c r="AC50" s="777"/>
      <c r="AD50" s="777"/>
      <c r="AE50" s="777"/>
      <c r="AF50" s="427"/>
      <c r="AG50" s="427"/>
      <c r="AH50" s="427"/>
      <c r="AI50" s="427"/>
      <c r="AJ50" s="427"/>
      <c r="AK50" s="427"/>
      <c r="AL50" s="427"/>
      <c r="AM50" s="309">
        <f>SUM(Y50:AL50)</f>
        <v>1</v>
      </c>
    </row>
    <row r="51" spans="1:42" s="296" customFormat="1" ht="15" outlineLevel="1">
      <c r="A51" s="516"/>
      <c r="B51" s="307" t="s">
        <v>214</v>
      </c>
      <c r="C51" s="304" t="s">
        <v>163</v>
      </c>
      <c r="D51" s="308"/>
      <c r="E51" s="308"/>
      <c r="F51" s="308"/>
      <c r="G51" s="308"/>
      <c r="H51" s="308"/>
      <c r="I51" s="308"/>
      <c r="J51" s="308"/>
      <c r="K51" s="308"/>
      <c r="L51" s="308"/>
      <c r="M51" s="308"/>
      <c r="N51" s="308">
        <f>N50</f>
        <v>12</v>
      </c>
      <c r="O51" s="308"/>
      <c r="P51" s="308"/>
      <c r="Q51" s="308"/>
      <c r="R51" s="308"/>
      <c r="S51" s="308"/>
      <c r="T51" s="308"/>
      <c r="U51" s="308"/>
      <c r="V51" s="308"/>
      <c r="W51" s="308"/>
      <c r="X51" s="308"/>
      <c r="Y51" s="773">
        <f>Y50</f>
        <v>0</v>
      </c>
      <c r="Z51" s="773">
        <f>Z50</f>
        <v>0.92020000000000002</v>
      </c>
      <c r="AA51" s="773">
        <f>AA50</f>
        <v>7.9799999999999996E-2</v>
      </c>
      <c r="AB51" s="773">
        <f t="shared" ref="AB51:AE51" si="18">AB50</f>
        <v>0</v>
      </c>
      <c r="AC51" s="773">
        <f t="shared" si="18"/>
        <v>0</v>
      </c>
      <c r="AD51" s="773">
        <f t="shared" si="18"/>
        <v>0</v>
      </c>
      <c r="AE51" s="773">
        <f t="shared" si="18"/>
        <v>0</v>
      </c>
      <c r="AF51" s="423">
        <f t="shared" ref="AF51:AL51" si="19">AF50</f>
        <v>0</v>
      </c>
      <c r="AG51" s="423">
        <f t="shared" si="19"/>
        <v>0</v>
      </c>
      <c r="AH51" s="423">
        <f t="shared" si="19"/>
        <v>0</v>
      </c>
      <c r="AI51" s="423">
        <f t="shared" si="19"/>
        <v>0</v>
      </c>
      <c r="AJ51" s="423">
        <f t="shared" si="19"/>
        <v>0</v>
      </c>
      <c r="AK51" s="423">
        <f t="shared" si="19"/>
        <v>0</v>
      </c>
      <c r="AL51" s="423">
        <f t="shared" si="19"/>
        <v>0</v>
      </c>
      <c r="AM51" s="324"/>
    </row>
    <row r="52" spans="1:42" s="296" customFormat="1" ht="15" outlineLevel="1">
      <c r="A52" s="516"/>
      <c r="B52" s="323"/>
      <c r="C52" s="325"/>
      <c r="D52" s="763"/>
      <c r="E52" s="763"/>
      <c r="F52" s="763"/>
      <c r="G52" s="763"/>
      <c r="H52" s="763"/>
      <c r="I52" s="763"/>
      <c r="J52" s="763"/>
      <c r="K52" s="763"/>
      <c r="L52" s="763"/>
      <c r="M52" s="763"/>
      <c r="N52" s="763"/>
      <c r="O52" s="763"/>
      <c r="P52" s="763"/>
      <c r="Q52" s="763"/>
      <c r="R52" s="763"/>
      <c r="S52" s="763"/>
      <c r="T52" s="763"/>
      <c r="U52" s="763"/>
      <c r="V52" s="763"/>
      <c r="W52" s="763"/>
      <c r="X52" s="763"/>
      <c r="Y52" s="778"/>
      <c r="Z52" s="778"/>
      <c r="AA52" s="778"/>
      <c r="AB52" s="778"/>
      <c r="AC52" s="778"/>
      <c r="AD52" s="778"/>
      <c r="AE52" s="778"/>
      <c r="AF52" s="428"/>
      <c r="AG52" s="428"/>
      <c r="AH52" s="428"/>
      <c r="AI52" s="428"/>
      <c r="AJ52" s="428"/>
      <c r="AK52" s="428"/>
      <c r="AL52" s="428"/>
      <c r="AM52" s="326"/>
    </row>
    <row r="53" spans="1:42" s="296" customFormat="1" ht="15" outlineLevel="1">
      <c r="A53" s="516">
        <v>11</v>
      </c>
      <c r="B53" s="327" t="s">
        <v>21</v>
      </c>
      <c r="C53" s="304" t="s">
        <v>25</v>
      </c>
      <c r="D53" s="308">
        <f>'7.  Persistence Report'!AQ34</f>
        <v>97297.891214360396</v>
      </c>
      <c r="E53" s="308">
        <f>'7.  Persistence Report'!AR34</f>
        <v>97297.891214360396</v>
      </c>
      <c r="F53" s="308">
        <f>'7.  Persistence Report'!AS34</f>
        <v>96039.790500717529</v>
      </c>
      <c r="G53" s="308">
        <f>'7.  Persistence Report'!AT34</f>
        <v>67751.485414538824</v>
      </c>
      <c r="H53" s="308">
        <f>'7.  Persistence Report'!AU34</f>
        <v>67751.485414538824</v>
      </c>
      <c r="I53" s="308">
        <f>'7.  Persistence Report'!AV34</f>
        <v>66505.762165415246</v>
      </c>
      <c r="J53" s="308">
        <f>'7.  Persistence Report'!AW34</f>
        <v>12058.244843184209</v>
      </c>
      <c r="K53" s="308">
        <f>'7.  Persistence Report'!AX34</f>
        <v>12058.244843184209</v>
      </c>
      <c r="L53" s="308">
        <f>'7.  Persistence Report'!AY34</f>
        <v>12058.244843184209</v>
      </c>
      <c r="M53" s="308">
        <f>'7.  Persistence Report'!AZ34</f>
        <v>12058.244843184209</v>
      </c>
      <c r="N53" s="308">
        <v>12</v>
      </c>
      <c r="O53" s="308">
        <f>'7.  Persistence Report'!L34</f>
        <v>41.718418107982878</v>
      </c>
      <c r="P53" s="308">
        <f>'7.  Persistence Report'!M34</f>
        <v>41.718418107982878</v>
      </c>
      <c r="Q53" s="308">
        <f>'7.  Persistence Report'!N34</f>
        <v>41.17460045637781</v>
      </c>
      <c r="R53" s="308">
        <f>'7.  Persistence Report'!O34</f>
        <v>30.545960973206714</v>
      </c>
      <c r="S53" s="308">
        <f>'7.  Persistence Report'!P34</f>
        <v>30.545960973206714</v>
      </c>
      <c r="T53" s="308">
        <f>'7.  Persistence Report'!Q34</f>
        <v>29.951117870652752</v>
      </c>
      <c r="U53" s="308">
        <f>'7.  Persistence Report'!R34</f>
        <v>4.5529900910296064</v>
      </c>
      <c r="V53" s="308">
        <f>'7.  Persistence Report'!S34</f>
        <v>4.5529900910296064</v>
      </c>
      <c r="W53" s="308">
        <f>'7.  Persistence Report'!T34</f>
        <v>4.5529900910296064</v>
      </c>
      <c r="X53" s="308">
        <f>'7.  Persistence Report'!U34</f>
        <v>4.5529900910296064</v>
      </c>
      <c r="Y53" s="777"/>
      <c r="Z53" s="777">
        <v>0.5</v>
      </c>
      <c r="AA53" s="777">
        <v>0.5</v>
      </c>
      <c r="AB53" s="777"/>
      <c r="AC53" s="777"/>
      <c r="AD53" s="777"/>
      <c r="AE53" s="777"/>
      <c r="AF53" s="427"/>
      <c r="AG53" s="427"/>
      <c r="AH53" s="427"/>
      <c r="AI53" s="427"/>
      <c r="AJ53" s="427"/>
      <c r="AK53" s="427"/>
      <c r="AL53" s="427"/>
      <c r="AM53" s="309">
        <f>SUM(Y53:AL53)</f>
        <v>1</v>
      </c>
    </row>
    <row r="54" spans="1:42" s="296" customFormat="1" ht="15" outlineLevel="1">
      <c r="A54" s="516"/>
      <c r="B54" s="328" t="s">
        <v>214</v>
      </c>
      <c r="C54" s="304" t="s">
        <v>163</v>
      </c>
      <c r="D54" s="308"/>
      <c r="E54" s="308"/>
      <c r="F54" s="308"/>
      <c r="G54" s="308"/>
      <c r="H54" s="308"/>
      <c r="I54" s="308"/>
      <c r="J54" s="308"/>
      <c r="K54" s="308"/>
      <c r="L54" s="308"/>
      <c r="M54" s="308"/>
      <c r="N54" s="308">
        <f>N53</f>
        <v>12</v>
      </c>
      <c r="O54" s="308"/>
      <c r="P54" s="308"/>
      <c r="Q54" s="308"/>
      <c r="R54" s="308"/>
      <c r="S54" s="308"/>
      <c r="T54" s="308"/>
      <c r="U54" s="308"/>
      <c r="V54" s="308"/>
      <c r="W54" s="308"/>
      <c r="X54" s="308"/>
      <c r="Y54" s="773">
        <f>Y53</f>
        <v>0</v>
      </c>
      <c r="Z54" s="773">
        <f>Z53</f>
        <v>0.5</v>
      </c>
      <c r="AA54" s="773">
        <f t="shared" ref="AA54:AE54" si="20">AA53</f>
        <v>0.5</v>
      </c>
      <c r="AB54" s="773">
        <f t="shared" si="20"/>
        <v>0</v>
      </c>
      <c r="AC54" s="773">
        <f t="shared" si="20"/>
        <v>0</v>
      </c>
      <c r="AD54" s="773">
        <f t="shared" si="20"/>
        <v>0</v>
      </c>
      <c r="AE54" s="773">
        <f t="shared" si="20"/>
        <v>0</v>
      </c>
      <c r="AF54" s="423">
        <f t="shared" ref="AF54:AL54" si="21">AF53</f>
        <v>0</v>
      </c>
      <c r="AG54" s="423">
        <f t="shared" si="21"/>
        <v>0</v>
      </c>
      <c r="AH54" s="423">
        <f t="shared" si="21"/>
        <v>0</v>
      </c>
      <c r="AI54" s="423">
        <f t="shared" si="21"/>
        <v>0</v>
      </c>
      <c r="AJ54" s="423">
        <f t="shared" si="21"/>
        <v>0</v>
      </c>
      <c r="AK54" s="423">
        <f t="shared" si="21"/>
        <v>0</v>
      </c>
      <c r="AL54" s="423">
        <f t="shared" si="21"/>
        <v>0</v>
      </c>
      <c r="AM54" s="324"/>
    </row>
    <row r="55" spans="1:42" s="296" customFormat="1" ht="15" outlineLevel="1">
      <c r="A55" s="516"/>
      <c r="B55" s="327"/>
      <c r="C55" s="325"/>
      <c r="D55" s="763"/>
      <c r="E55" s="763"/>
      <c r="F55" s="763"/>
      <c r="G55" s="763"/>
      <c r="H55" s="763"/>
      <c r="I55" s="763"/>
      <c r="J55" s="763"/>
      <c r="K55" s="763"/>
      <c r="L55" s="763"/>
      <c r="M55" s="763"/>
      <c r="N55" s="763"/>
      <c r="O55" s="763"/>
      <c r="P55" s="763"/>
      <c r="Q55" s="763"/>
      <c r="R55" s="763"/>
      <c r="S55" s="763"/>
      <c r="T55" s="763"/>
      <c r="U55" s="763"/>
      <c r="V55" s="763"/>
      <c r="W55" s="763"/>
      <c r="X55" s="763"/>
      <c r="Y55" s="778"/>
      <c r="Z55" s="779"/>
      <c r="AA55" s="778"/>
      <c r="AB55" s="778"/>
      <c r="AC55" s="778"/>
      <c r="AD55" s="778"/>
      <c r="AE55" s="778"/>
      <c r="AF55" s="428"/>
      <c r="AG55" s="428"/>
      <c r="AH55" s="428"/>
      <c r="AI55" s="428"/>
      <c r="AJ55" s="428"/>
      <c r="AK55" s="428"/>
      <c r="AL55" s="428"/>
      <c r="AM55" s="326"/>
    </row>
    <row r="56" spans="1:42" s="296" customFormat="1" ht="15" outlineLevel="1">
      <c r="A56" s="516">
        <v>12</v>
      </c>
      <c r="B56" s="327" t="s">
        <v>23</v>
      </c>
      <c r="C56" s="304" t="s">
        <v>25</v>
      </c>
      <c r="D56" s="308"/>
      <c r="E56" s="308"/>
      <c r="F56" s="308"/>
      <c r="G56" s="308"/>
      <c r="H56" s="308"/>
      <c r="I56" s="308"/>
      <c r="J56" s="308"/>
      <c r="K56" s="308"/>
      <c r="L56" s="308"/>
      <c r="M56" s="308"/>
      <c r="N56" s="308">
        <v>3</v>
      </c>
      <c r="O56" s="308"/>
      <c r="P56" s="308"/>
      <c r="Q56" s="308"/>
      <c r="R56" s="308"/>
      <c r="S56" s="308"/>
      <c r="T56" s="308"/>
      <c r="U56" s="308"/>
      <c r="V56" s="308"/>
      <c r="W56" s="308"/>
      <c r="X56" s="308"/>
      <c r="Y56" s="777"/>
      <c r="Z56" s="777"/>
      <c r="AA56" s="777"/>
      <c r="AB56" s="777"/>
      <c r="AC56" s="777"/>
      <c r="AD56" s="777"/>
      <c r="AE56" s="777"/>
      <c r="AF56" s="427"/>
      <c r="AG56" s="427"/>
      <c r="AH56" s="427"/>
      <c r="AI56" s="427"/>
      <c r="AJ56" s="427"/>
      <c r="AK56" s="427"/>
      <c r="AL56" s="427"/>
      <c r="AM56" s="309">
        <f>SUM(Y56:AL56)</f>
        <v>0</v>
      </c>
    </row>
    <row r="57" spans="1:42" s="296" customFormat="1" ht="15" outlineLevel="1">
      <c r="A57" s="516"/>
      <c r="B57" s="328" t="s">
        <v>214</v>
      </c>
      <c r="C57" s="304" t="s">
        <v>163</v>
      </c>
      <c r="D57" s="308"/>
      <c r="E57" s="308"/>
      <c r="F57" s="308"/>
      <c r="G57" s="308"/>
      <c r="H57" s="308"/>
      <c r="I57" s="308"/>
      <c r="J57" s="308"/>
      <c r="K57" s="308"/>
      <c r="L57" s="308"/>
      <c r="M57" s="308"/>
      <c r="N57" s="308">
        <f>N56</f>
        <v>3</v>
      </c>
      <c r="O57" s="308"/>
      <c r="P57" s="308"/>
      <c r="Q57" s="308"/>
      <c r="R57" s="308"/>
      <c r="S57" s="308"/>
      <c r="T57" s="308"/>
      <c r="U57" s="308"/>
      <c r="V57" s="308"/>
      <c r="W57" s="308"/>
      <c r="X57" s="308"/>
      <c r="Y57" s="773">
        <f>Y56</f>
        <v>0</v>
      </c>
      <c r="Z57" s="773">
        <f>Z56</f>
        <v>0</v>
      </c>
      <c r="AA57" s="773">
        <f t="shared" ref="AA57:AE57" si="22">AA56</f>
        <v>0</v>
      </c>
      <c r="AB57" s="773">
        <f t="shared" si="22"/>
        <v>0</v>
      </c>
      <c r="AC57" s="773">
        <f t="shared" si="22"/>
        <v>0</v>
      </c>
      <c r="AD57" s="773">
        <f t="shared" si="22"/>
        <v>0</v>
      </c>
      <c r="AE57" s="773">
        <f t="shared" si="22"/>
        <v>0</v>
      </c>
      <c r="AF57" s="423">
        <f t="shared" ref="AF57:AL57" si="23">AF56</f>
        <v>0</v>
      </c>
      <c r="AG57" s="423">
        <f t="shared" si="23"/>
        <v>0</v>
      </c>
      <c r="AH57" s="423">
        <f t="shared" si="23"/>
        <v>0</v>
      </c>
      <c r="AI57" s="423">
        <f t="shared" si="23"/>
        <v>0</v>
      </c>
      <c r="AJ57" s="423">
        <f t="shared" si="23"/>
        <v>0</v>
      </c>
      <c r="AK57" s="423">
        <f t="shared" si="23"/>
        <v>0</v>
      </c>
      <c r="AL57" s="423">
        <f t="shared" si="23"/>
        <v>0</v>
      </c>
      <c r="AM57" s="324"/>
    </row>
    <row r="58" spans="1:42" s="296" customFormat="1" ht="15" outlineLevel="1">
      <c r="A58" s="516"/>
      <c r="B58" s="327"/>
      <c r="C58" s="325"/>
      <c r="D58" s="768"/>
      <c r="E58" s="768"/>
      <c r="F58" s="768"/>
      <c r="G58" s="768"/>
      <c r="H58" s="768"/>
      <c r="I58" s="768"/>
      <c r="J58" s="768"/>
      <c r="K58" s="768"/>
      <c r="L58" s="768"/>
      <c r="M58" s="768"/>
      <c r="N58" s="763"/>
      <c r="O58" s="768"/>
      <c r="P58" s="768"/>
      <c r="Q58" s="768"/>
      <c r="R58" s="768"/>
      <c r="S58" s="768"/>
      <c r="T58" s="768"/>
      <c r="U58" s="768"/>
      <c r="V58" s="768"/>
      <c r="W58" s="768"/>
      <c r="X58" s="768"/>
      <c r="Y58" s="778"/>
      <c r="Z58" s="779"/>
      <c r="AA58" s="778"/>
      <c r="AB58" s="778"/>
      <c r="AC58" s="778"/>
      <c r="AD58" s="778"/>
      <c r="AE58" s="778"/>
      <c r="AF58" s="428"/>
      <c r="AG58" s="428"/>
      <c r="AH58" s="428"/>
      <c r="AI58" s="428"/>
      <c r="AJ58" s="428"/>
      <c r="AK58" s="428"/>
      <c r="AL58" s="428"/>
      <c r="AM58" s="326"/>
    </row>
    <row r="59" spans="1:42" s="296" customFormat="1" ht="15" outlineLevel="1">
      <c r="A59" s="516">
        <v>13</v>
      </c>
      <c r="B59" s="327" t="s">
        <v>24</v>
      </c>
      <c r="C59" s="304" t="s">
        <v>25</v>
      </c>
      <c r="D59" s="308"/>
      <c r="E59" s="308"/>
      <c r="F59" s="308"/>
      <c r="G59" s="308"/>
      <c r="H59" s="308"/>
      <c r="I59" s="308"/>
      <c r="J59" s="308"/>
      <c r="K59" s="308"/>
      <c r="L59" s="308"/>
      <c r="M59" s="308"/>
      <c r="N59" s="308">
        <v>12</v>
      </c>
      <c r="O59" s="308"/>
      <c r="P59" s="308"/>
      <c r="Q59" s="308"/>
      <c r="R59" s="308"/>
      <c r="S59" s="308"/>
      <c r="T59" s="308"/>
      <c r="U59" s="308"/>
      <c r="V59" s="308"/>
      <c r="W59" s="308"/>
      <c r="X59" s="308"/>
      <c r="Y59" s="777"/>
      <c r="Z59" s="777"/>
      <c r="AA59" s="777"/>
      <c r="AB59" s="777"/>
      <c r="AC59" s="777"/>
      <c r="AD59" s="777"/>
      <c r="AE59" s="777"/>
      <c r="AF59" s="427"/>
      <c r="AG59" s="427"/>
      <c r="AH59" s="427"/>
      <c r="AI59" s="427"/>
      <c r="AJ59" s="427"/>
      <c r="AK59" s="427"/>
      <c r="AL59" s="427"/>
      <c r="AM59" s="309">
        <f>SUM(Y59:AL59)</f>
        <v>0</v>
      </c>
    </row>
    <row r="60" spans="1:42" s="296" customFormat="1" ht="15" outlineLevel="1">
      <c r="A60" s="516"/>
      <c r="B60" s="328" t="s">
        <v>214</v>
      </c>
      <c r="C60" s="304" t="s">
        <v>163</v>
      </c>
      <c r="D60" s="308"/>
      <c r="E60" s="308"/>
      <c r="F60" s="308"/>
      <c r="G60" s="308"/>
      <c r="H60" s="308"/>
      <c r="I60" s="308"/>
      <c r="J60" s="308"/>
      <c r="K60" s="308"/>
      <c r="L60" s="308"/>
      <c r="M60" s="308"/>
      <c r="N60" s="308">
        <f>N59</f>
        <v>12</v>
      </c>
      <c r="O60" s="308"/>
      <c r="P60" s="308"/>
      <c r="Q60" s="308"/>
      <c r="R60" s="308"/>
      <c r="S60" s="308"/>
      <c r="T60" s="308"/>
      <c r="U60" s="308"/>
      <c r="V60" s="308"/>
      <c r="W60" s="308"/>
      <c r="X60" s="308"/>
      <c r="Y60" s="773">
        <f>Y59</f>
        <v>0</v>
      </c>
      <c r="Z60" s="773">
        <f>Z59</f>
        <v>0</v>
      </c>
      <c r="AA60" s="773">
        <f t="shared" ref="AA60:AE60" si="24">AA59</f>
        <v>0</v>
      </c>
      <c r="AB60" s="773">
        <f t="shared" si="24"/>
        <v>0</v>
      </c>
      <c r="AC60" s="773">
        <f t="shared" si="24"/>
        <v>0</v>
      </c>
      <c r="AD60" s="773">
        <f t="shared" si="24"/>
        <v>0</v>
      </c>
      <c r="AE60" s="773">
        <f t="shared" si="24"/>
        <v>0</v>
      </c>
      <c r="AF60" s="423">
        <f t="shared" ref="AF60:AL60" si="25">AF59</f>
        <v>0</v>
      </c>
      <c r="AG60" s="423">
        <f t="shared" si="25"/>
        <v>0</v>
      </c>
      <c r="AH60" s="423">
        <f t="shared" si="25"/>
        <v>0</v>
      </c>
      <c r="AI60" s="423">
        <f t="shared" si="25"/>
        <v>0</v>
      </c>
      <c r="AJ60" s="423">
        <f t="shared" si="25"/>
        <v>0</v>
      </c>
      <c r="AK60" s="423">
        <f t="shared" si="25"/>
        <v>0</v>
      </c>
      <c r="AL60" s="423">
        <f t="shared" si="25"/>
        <v>0</v>
      </c>
      <c r="AM60" s="324"/>
    </row>
    <row r="61" spans="1:42" s="296" customFormat="1" ht="15" outlineLevel="1">
      <c r="A61" s="516"/>
      <c r="B61" s="327"/>
      <c r="C61" s="325"/>
      <c r="D61" s="768"/>
      <c r="E61" s="768"/>
      <c r="F61" s="768"/>
      <c r="G61" s="768"/>
      <c r="H61" s="768"/>
      <c r="I61" s="768"/>
      <c r="J61" s="768"/>
      <c r="K61" s="768"/>
      <c r="L61" s="768"/>
      <c r="M61" s="768"/>
      <c r="N61" s="763"/>
      <c r="O61" s="768"/>
      <c r="P61" s="768"/>
      <c r="Q61" s="768"/>
      <c r="R61" s="768"/>
      <c r="S61" s="768"/>
      <c r="T61" s="768"/>
      <c r="U61" s="768"/>
      <c r="V61" s="768"/>
      <c r="W61" s="768"/>
      <c r="X61" s="768"/>
      <c r="Y61" s="778"/>
      <c r="Z61" s="778"/>
      <c r="AA61" s="778"/>
      <c r="AB61" s="778"/>
      <c r="AC61" s="778"/>
      <c r="AD61" s="778"/>
      <c r="AE61" s="778"/>
      <c r="AF61" s="428"/>
      <c r="AG61" s="428"/>
      <c r="AH61" s="428"/>
      <c r="AI61" s="428"/>
      <c r="AJ61" s="428"/>
      <c r="AK61" s="428"/>
      <c r="AL61" s="428"/>
      <c r="AM61" s="326"/>
    </row>
    <row r="62" spans="1:42" s="296" customFormat="1" ht="15" outlineLevel="1">
      <c r="A62" s="516">
        <v>14</v>
      </c>
      <c r="B62" s="327" t="s">
        <v>20</v>
      </c>
      <c r="C62" s="304" t="s">
        <v>25</v>
      </c>
      <c r="D62" s="308"/>
      <c r="E62" s="308"/>
      <c r="F62" s="308"/>
      <c r="G62" s="308"/>
      <c r="H62" s="308"/>
      <c r="I62" s="308"/>
      <c r="J62" s="308"/>
      <c r="K62" s="308"/>
      <c r="L62" s="308"/>
      <c r="M62" s="308"/>
      <c r="N62" s="308">
        <v>12</v>
      </c>
      <c r="O62" s="308"/>
      <c r="P62" s="308"/>
      <c r="Q62" s="308"/>
      <c r="R62" s="308"/>
      <c r="S62" s="308"/>
      <c r="T62" s="308"/>
      <c r="U62" s="308"/>
      <c r="V62" s="308"/>
      <c r="W62" s="308"/>
      <c r="X62" s="308"/>
      <c r="Y62" s="777"/>
      <c r="Z62" s="777">
        <v>0.5</v>
      </c>
      <c r="AA62" s="777">
        <v>0.5</v>
      </c>
      <c r="AB62" s="777"/>
      <c r="AC62" s="777"/>
      <c r="AD62" s="777"/>
      <c r="AE62" s="777"/>
      <c r="AF62" s="427"/>
      <c r="AG62" s="427"/>
      <c r="AH62" s="427"/>
      <c r="AI62" s="427"/>
      <c r="AJ62" s="427"/>
      <c r="AK62" s="427"/>
      <c r="AL62" s="427"/>
      <c r="AM62" s="309">
        <f>SUM(Y62:AL62)</f>
        <v>1</v>
      </c>
    </row>
    <row r="63" spans="1:42" s="296" customFormat="1" ht="15" outlineLevel="1">
      <c r="A63" s="516"/>
      <c r="B63" s="328" t="s">
        <v>214</v>
      </c>
      <c r="C63" s="304" t="s">
        <v>163</v>
      </c>
      <c r="D63" s="308">
        <f>'7.  Persistence Report'!AQ44</f>
        <v>437351.41950000002</v>
      </c>
      <c r="E63" s="308">
        <f>'7.  Persistence Report'!AR44</f>
        <v>437351.41950000002</v>
      </c>
      <c r="F63" s="308">
        <f>'7.  Persistence Report'!AS44</f>
        <v>437351.41950000002</v>
      </c>
      <c r="G63" s="308">
        <f>'7.  Persistence Report'!AT44</f>
        <v>437351.41950000002</v>
      </c>
      <c r="H63" s="308">
        <f>'7.  Persistence Report'!AU44</f>
        <v>0</v>
      </c>
      <c r="I63" s="308">
        <f>'7.  Persistence Report'!AV44</f>
        <v>0</v>
      </c>
      <c r="J63" s="308">
        <f>'7.  Persistence Report'!AW44</f>
        <v>0</v>
      </c>
      <c r="K63" s="308">
        <f>'7.  Persistence Report'!AX44</f>
        <v>0</v>
      </c>
      <c r="L63" s="308">
        <f>'7.  Persistence Report'!AY44</f>
        <v>0</v>
      </c>
      <c r="M63" s="308">
        <f>'7.  Persistence Report'!AZ44</f>
        <v>0</v>
      </c>
      <c r="N63" s="308">
        <f>N62</f>
        <v>12</v>
      </c>
      <c r="O63" s="308">
        <f>'7.  Persistence Report'!L44</f>
        <v>88.317436819999998</v>
      </c>
      <c r="P63" s="308">
        <f>'7.  Persistence Report'!M44</f>
        <v>88.317436819999998</v>
      </c>
      <c r="Q63" s="308">
        <f>'7.  Persistence Report'!N44</f>
        <v>88.317436819999998</v>
      </c>
      <c r="R63" s="308">
        <f>'7.  Persistence Report'!O44</f>
        <v>88.317436819999998</v>
      </c>
      <c r="S63" s="308">
        <f>'7.  Persistence Report'!P44</f>
        <v>0</v>
      </c>
      <c r="T63" s="308">
        <f>'7.  Persistence Report'!Q44</f>
        <v>0</v>
      </c>
      <c r="U63" s="308">
        <f>'7.  Persistence Report'!R44</f>
        <v>0</v>
      </c>
      <c r="V63" s="308">
        <f>'7.  Persistence Report'!S44</f>
        <v>0</v>
      </c>
      <c r="W63" s="308">
        <f>'7.  Persistence Report'!T44</f>
        <v>0</v>
      </c>
      <c r="X63" s="308">
        <f>'7.  Persistence Report'!U44</f>
        <v>0</v>
      </c>
      <c r="Y63" s="773">
        <f>Y62</f>
        <v>0</v>
      </c>
      <c r="Z63" s="773">
        <f>Z62</f>
        <v>0.5</v>
      </c>
      <c r="AA63" s="773">
        <f t="shared" ref="AA63:AE63" si="26">AA62</f>
        <v>0.5</v>
      </c>
      <c r="AB63" s="773">
        <f t="shared" si="26"/>
        <v>0</v>
      </c>
      <c r="AC63" s="773">
        <f t="shared" si="26"/>
        <v>0</v>
      </c>
      <c r="AD63" s="773">
        <f t="shared" si="26"/>
        <v>0</v>
      </c>
      <c r="AE63" s="773">
        <f t="shared" si="26"/>
        <v>0</v>
      </c>
      <c r="AF63" s="423">
        <f t="shared" ref="AF63:AL63" si="27">AF62</f>
        <v>0</v>
      </c>
      <c r="AG63" s="423">
        <f t="shared" si="27"/>
        <v>0</v>
      </c>
      <c r="AH63" s="423">
        <f t="shared" si="27"/>
        <v>0</v>
      </c>
      <c r="AI63" s="423">
        <f t="shared" si="27"/>
        <v>0</v>
      </c>
      <c r="AJ63" s="423">
        <f t="shared" si="27"/>
        <v>0</v>
      </c>
      <c r="AK63" s="423">
        <f t="shared" si="27"/>
        <v>0</v>
      </c>
      <c r="AL63" s="423">
        <f t="shared" si="27"/>
        <v>0</v>
      </c>
      <c r="AM63" s="324"/>
    </row>
    <row r="64" spans="1:42" s="296" customFormat="1" ht="15" outlineLevel="1">
      <c r="A64" s="516"/>
      <c r="B64" s="327"/>
      <c r="C64" s="325"/>
      <c r="D64" s="768"/>
      <c r="E64" s="768"/>
      <c r="F64" s="768"/>
      <c r="G64" s="768"/>
      <c r="H64" s="768"/>
      <c r="I64" s="768"/>
      <c r="J64" s="768"/>
      <c r="K64" s="768"/>
      <c r="L64" s="768"/>
      <c r="M64" s="768"/>
      <c r="N64" s="763"/>
      <c r="O64" s="768"/>
      <c r="P64" s="768"/>
      <c r="Q64" s="768"/>
      <c r="R64" s="768"/>
      <c r="S64" s="768"/>
      <c r="T64" s="768"/>
      <c r="U64" s="768"/>
      <c r="V64" s="768"/>
      <c r="W64" s="768"/>
      <c r="X64" s="768"/>
      <c r="Y64" s="778"/>
      <c r="Z64" s="779"/>
      <c r="AA64" s="778"/>
      <c r="AB64" s="778"/>
      <c r="AC64" s="778"/>
      <c r="AD64" s="778"/>
      <c r="AE64" s="778"/>
      <c r="AF64" s="428"/>
      <c r="AG64" s="428"/>
      <c r="AH64" s="428"/>
      <c r="AI64" s="428"/>
      <c r="AJ64" s="428"/>
      <c r="AK64" s="428"/>
      <c r="AL64" s="428"/>
      <c r="AM64" s="326"/>
    </row>
    <row r="65" spans="1:39" s="296" customFormat="1" ht="15" outlineLevel="1">
      <c r="A65" s="516">
        <v>15</v>
      </c>
      <c r="B65" s="327" t="s">
        <v>485</v>
      </c>
      <c r="C65" s="304" t="s">
        <v>25</v>
      </c>
      <c r="D65" s="308"/>
      <c r="E65" s="308"/>
      <c r="F65" s="308"/>
      <c r="G65" s="308"/>
      <c r="H65" s="308"/>
      <c r="I65" s="308"/>
      <c r="J65" s="308"/>
      <c r="K65" s="308"/>
      <c r="L65" s="308"/>
      <c r="M65" s="308"/>
      <c r="N65" s="763"/>
      <c r="O65" s="308"/>
      <c r="P65" s="308"/>
      <c r="Q65" s="308"/>
      <c r="R65" s="308"/>
      <c r="S65" s="308"/>
      <c r="T65" s="308"/>
      <c r="U65" s="308"/>
      <c r="V65" s="308"/>
      <c r="W65" s="308"/>
      <c r="X65" s="308"/>
      <c r="Y65" s="777"/>
      <c r="Z65" s="777"/>
      <c r="AA65" s="777"/>
      <c r="AB65" s="777"/>
      <c r="AC65" s="777"/>
      <c r="AD65" s="777"/>
      <c r="AE65" s="777"/>
      <c r="AF65" s="427"/>
      <c r="AG65" s="427"/>
      <c r="AH65" s="427"/>
      <c r="AI65" s="427"/>
      <c r="AJ65" s="427"/>
      <c r="AK65" s="427"/>
      <c r="AL65" s="427"/>
      <c r="AM65" s="309">
        <f>SUM(Y65:AL65)</f>
        <v>0</v>
      </c>
    </row>
    <row r="66" spans="1:39" s="296" customFormat="1" ht="15" outlineLevel="1">
      <c r="A66" s="516"/>
      <c r="B66" s="328" t="s">
        <v>214</v>
      </c>
      <c r="C66" s="304" t="s">
        <v>163</v>
      </c>
      <c r="D66" s="308"/>
      <c r="E66" s="308"/>
      <c r="F66" s="308"/>
      <c r="G66" s="308"/>
      <c r="H66" s="308"/>
      <c r="I66" s="308"/>
      <c r="J66" s="308"/>
      <c r="K66" s="308"/>
      <c r="L66" s="308"/>
      <c r="M66" s="308"/>
      <c r="N66" s="763"/>
      <c r="O66" s="308"/>
      <c r="P66" s="308"/>
      <c r="Q66" s="308"/>
      <c r="R66" s="308"/>
      <c r="S66" s="308"/>
      <c r="T66" s="308"/>
      <c r="U66" s="308"/>
      <c r="V66" s="308"/>
      <c r="W66" s="308"/>
      <c r="X66" s="308"/>
      <c r="Y66" s="773">
        <f>Y65</f>
        <v>0</v>
      </c>
      <c r="Z66" s="773">
        <f>Z65</f>
        <v>0</v>
      </c>
      <c r="AA66" s="773">
        <f t="shared" ref="AA66:AE66" si="28">AA65</f>
        <v>0</v>
      </c>
      <c r="AB66" s="773">
        <f t="shared" si="28"/>
        <v>0</v>
      </c>
      <c r="AC66" s="773">
        <f t="shared" si="28"/>
        <v>0</v>
      </c>
      <c r="AD66" s="773">
        <f t="shared" si="28"/>
        <v>0</v>
      </c>
      <c r="AE66" s="773">
        <f t="shared" si="28"/>
        <v>0</v>
      </c>
      <c r="AF66" s="423">
        <f t="shared" ref="AF66:AL66" si="29">AF65</f>
        <v>0</v>
      </c>
      <c r="AG66" s="423">
        <f t="shared" si="29"/>
        <v>0</v>
      </c>
      <c r="AH66" s="423">
        <f t="shared" si="29"/>
        <v>0</v>
      </c>
      <c r="AI66" s="423">
        <f t="shared" si="29"/>
        <v>0</v>
      </c>
      <c r="AJ66" s="423">
        <f t="shared" si="29"/>
        <v>0</v>
      </c>
      <c r="AK66" s="423">
        <f t="shared" si="29"/>
        <v>0</v>
      </c>
      <c r="AL66" s="423">
        <f t="shared" si="29"/>
        <v>0</v>
      </c>
      <c r="AM66" s="324"/>
    </row>
    <row r="67" spans="1:39" s="296" customFormat="1" ht="15" outlineLevel="1">
      <c r="A67" s="516"/>
      <c r="B67" s="327"/>
      <c r="C67" s="325"/>
      <c r="D67" s="768"/>
      <c r="E67" s="768"/>
      <c r="F67" s="768"/>
      <c r="G67" s="768"/>
      <c r="H67" s="768"/>
      <c r="I67" s="768"/>
      <c r="J67" s="768"/>
      <c r="K67" s="768"/>
      <c r="L67" s="768"/>
      <c r="M67" s="768"/>
      <c r="N67" s="763"/>
      <c r="O67" s="768"/>
      <c r="P67" s="768"/>
      <c r="Q67" s="768"/>
      <c r="R67" s="768"/>
      <c r="S67" s="768"/>
      <c r="T67" s="768"/>
      <c r="U67" s="768"/>
      <c r="V67" s="768"/>
      <c r="W67" s="768"/>
      <c r="X67" s="768"/>
      <c r="Y67" s="780"/>
      <c r="Z67" s="778"/>
      <c r="AA67" s="778"/>
      <c r="AB67" s="778"/>
      <c r="AC67" s="778"/>
      <c r="AD67" s="778"/>
      <c r="AE67" s="778"/>
      <c r="AF67" s="428"/>
      <c r="AG67" s="428"/>
      <c r="AH67" s="428"/>
      <c r="AI67" s="428"/>
      <c r="AJ67" s="428"/>
      <c r="AK67" s="428"/>
      <c r="AL67" s="428"/>
      <c r="AM67" s="326"/>
    </row>
    <row r="68" spans="1:39" s="296" customFormat="1" ht="30" outlineLevel="1">
      <c r="A68" s="516">
        <v>16</v>
      </c>
      <c r="B68" s="327" t="s">
        <v>486</v>
      </c>
      <c r="C68" s="304" t="s">
        <v>25</v>
      </c>
      <c r="D68" s="308"/>
      <c r="E68" s="308"/>
      <c r="F68" s="308"/>
      <c r="G68" s="308"/>
      <c r="H68" s="308"/>
      <c r="I68" s="308"/>
      <c r="J68" s="308"/>
      <c r="K68" s="308"/>
      <c r="L68" s="308"/>
      <c r="M68" s="308"/>
      <c r="N68" s="763"/>
      <c r="O68" s="308"/>
      <c r="P68" s="308"/>
      <c r="Q68" s="308"/>
      <c r="R68" s="308"/>
      <c r="S68" s="308"/>
      <c r="T68" s="308"/>
      <c r="U68" s="308"/>
      <c r="V68" s="308"/>
      <c r="W68" s="308"/>
      <c r="X68" s="308"/>
      <c r="Y68" s="777"/>
      <c r="Z68" s="777"/>
      <c r="AA68" s="777"/>
      <c r="AB68" s="777"/>
      <c r="AC68" s="777"/>
      <c r="AD68" s="777"/>
      <c r="AE68" s="777"/>
      <c r="AF68" s="427"/>
      <c r="AG68" s="427"/>
      <c r="AH68" s="427"/>
      <c r="AI68" s="427"/>
      <c r="AJ68" s="427"/>
      <c r="AK68" s="427"/>
      <c r="AL68" s="427"/>
      <c r="AM68" s="309">
        <f>SUM(Y68:AL68)</f>
        <v>0</v>
      </c>
    </row>
    <row r="69" spans="1:39" s="296" customFormat="1" ht="15" outlineLevel="1">
      <c r="A69" s="516"/>
      <c r="B69" s="328" t="s">
        <v>214</v>
      </c>
      <c r="C69" s="304" t="s">
        <v>163</v>
      </c>
      <c r="D69" s="308"/>
      <c r="E69" s="308"/>
      <c r="F69" s="308"/>
      <c r="G69" s="308"/>
      <c r="H69" s="308"/>
      <c r="I69" s="308"/>
      <c r="J69" s="308"/>
      <c r="K69" s="308"/>
      <c r="L69" s="308"/>
      <c r="M69" s="308"/>
      <c r="N69" s="763"/>
      <c r="O69" s="308"/>
      <c r="P69" s="308"/>
      <c r="Q69" s="308"/>
      <c r="R69" s="308"/>
      <c r="S69" s="308"/>
      <c r="T69" s="308"/>
      <c r="U69" s="308"/>
      <c r="V69" s="308"/>
      <c r="W69" s="308"/>
      <c r="X69" s="308"/>
      <c r="Y69" s="773">
        <f>Y68</f>
        <v>0</v>
      </c>
      <c r="Z69" s="773">
        <f>Z68</f>
        <v>0</v>
      </c>
      <c r="AA69" s="773">
        <f t="shared" ref="AA69:AE69" si="30">AA68</f>
        <v>0</v>
      </c>
      <c r="AB69" s="773">
        <f t="shared" si="30"/>
        <v>0</v>
      </c>
      <c r="AC69" s="773">
        <f t="shared" si="30"/>
        <v>0</v>
      </c>
      <c r="AD69" s="773">
        <f t="shared" si="30"/>
        <v>0</v>
      </c>
      <c r="AE69" s="773">
        <f t="shared" si="30"/>
        <v>0</v>
      </c>
      <c r="AF69" s="423">
        <f t="shared" ref="AF69:AL69" si="31">AF68</f>
        <v>0</v>
      </c>
      <c r="AG69" s="423">
        <f t="shared" si="31"/>
        <v>0</v>
      </c>
      <c r="AH69" s="423">
        <f t="shared" si="31"/>
        <v>0</v>
      </c>
      <c r="AI69" s="423">
        <f t="shared" si="31"/>
        <v>0</v>
      </c>
      <c r="AJ69" s="423">
        <f t="shared" si="31"/>
        <v>0</v>
      </c>
      <c r="AK69" s="423">
        <f t="shared" si="31"/>
        <v>0</v>
      </c>
      <c r="AL69" s="423">
        <f t="shared" si="31"/>
        <v>0</v>
      </c>
      <c r="AM69" s="324"/>
    </row>
    <row r="70" spans="1:39" s="296" customFormat="1" ht="15" outlineLevel="1">
      <c r="A70" s="516"/>
      <c r="B70" s="327"/>
      <c r="C70" s="325"/>
      <c r="D70" s="768"/>
      <c r="E70" s="768"/>
      <c r="F70" s="768"/>
      <c r="G70" s="768"/>
      <c r="H70" s="768"/>
      <c r="I70" s="768"/>
      <c r="J70" s="768"/>
      <c r="K70" s="768"/>
      <c r="L70" s="768"/>
      <c r="M70" s="768"/>
      <c r="N70" s="763"/>
      <c r="O70" s="768"/>
      <c r="P70" s="768"/>
      <c r="Q70" s="768"/>
      <c r="R70" s="768"/>
      <c r="S70" s="768"/>
      <c r="T70" s="768"/>
      <c r="U70" s="768"/>
      <c r="V70" s="768"/>
      <c r="W70" s="768"/>
      <c r="X70" s="768"/>
      <c r="Y70" s="780"/>
      <c r="Z70" s="778"/>
      <c r="AA70" s="778"/>
      <c r="AB70" s="778"/>
      <c r="AC70" s="778"/>
      <c r="AD70" s="778"/>
      <c r="AE70" s="778"/>
      <c r="AF70" s="428"/>
      <c r="AG70" s="428"/>
      <c r="AH70" s="428"/>
      <c r="AI70" s="428"/>
      <c r="AJ70" s="428"/>
      <c r="AK70" s="428"/>
      <c r="AL70" s="428"/>
      <c r="AM70" s="326"/>
    </row>
    <row r="71" spans="1:39" s="296" customFormat="1" ht="15" outlineLevel="1">
      <c r="A71" s="516">
        <v>17</v>
      </c>
      <c r="B71" s="327" t="s">
        <v>9</v>
      </c>
      <c r="C71" s="304" t="s">
        <v>25</v>
      </c>
      <c r="D71" s="308"/>
      <c r="E71" s="308"/>
      <c r="F71" s="308"/>
      <c r="G71" s="308"/>
      <c r="H71" s="308"/>
      <c r="I71" s="308"/>
      <c r="J71" s="308"/>
      <c r="K71" s="308"/>
      <c r="L71" s="308"/>
      <c r="M71" s="308"/>
      <c r="N71" s="763"/>
      <c r="O71" s="308"/>
      <c r="P71" s="308"/>
      <c r="Q71" s="308"/>
      <c r="R71" s="308"/>
      <c r="S71" s="308"/>
      <c r="T71" s="308"/>
      <c r="U71" s="308"/>
      <c r="V71" s="308"/>
      <c r="W71" s="308"/>
      <c r="X71" s="308"/>
      <c r="Y71" s="777"/>
      <c r="Z71" s="777"/>
      <c r="AA71" s="777"/>
      <c r="AB71" s="777"/>
      <c r="AC71" s="777"/>
      <c r="AD71" s="777"/>
      <c r="AE71" s="777"/>
      <c r="AF71" s="427"/>
      <c r="AG71" s="427"/>
      <c r="AH71" s="427"/>
      <c r="AI71" s="427"/>
      <c r="AJ71" s="427"/>
      <c r="AK71" s="427"/>
      <c r="AL71" s="427"/>
      <c r="AM71" s="309">
        <f>SUM(Y71:AL71)</f>
        <v>0</v>
      </c>
    </row>
    <row r="72" spans="1:39" s="296" customFormat="1" ht="15" outlineLevel="1">
      <c r="A72" s="516"/>
      <c r="B72" s="328" t="s">
        <v>214</v>
      </c>
      <c r="C72" s="304" t="s">
        <v>163</v>
      </c>
      <c r="D72" s="308"/>
      <c r="E72" s="308"/>
      <c r="F72" s="308"/>
      <c r="G72" s="308"/>
      <c r="H72" s="308"/>
      <c r="I72" s="308"/>
      <c r="J72" s="308"/>
      <c r="K72" s="308"/>
      <c r="L72" s="308"/>
      <c r="M72" s="308"/>
      <c r="N72" s="763"/>
      <c r="O72" s="308"/>
      <c r="P72" s="308"/>
      <c r="Q72" s="308"/>
      <c r="R72" s="308"/>
      <c r="S72" s="308"/>
      <c r="T72" s="308"/>
      <c r="U72" s="308"/>
      <c r="V72" s="308"/>
      <c r="W72" s="308"/>
      <c r="X72" s="308"/>
      <c r="Y72" s="773">
        <f>Y71</f>
        <v>0</v>
      </c>
      <c r="Z72" s="773">
        <f>Z71</f>
        <v>0</v>
      </c>
      <c r="AA72" s="773">
        <f t="shared" ref="AA72:AE72" si="32">AA71</f>
        <v>0</v>
      </c>
      <c r="AB72" s="773">
        <f t="shared" si="32"/>
        <v>0</v>
      </c>
      <c r="AC72" s="773">
        <f t="shared" si="32"/>
        <v>0</v>
      </c>
      <c r="AD72" s="773">
        <f t="shared" si="32"/>
        <v>0</v>
      </c>
      <c r="AE72" s="773">
        <f t="shared" si="32"/>
        <v>0</v>
      </c>
      <c r="AF72" s="423">
        <f t="shared" ref="AF72:AL72" si="33">AF71</f>
        <v>0</v>
      </c>
      <c r="AG72" s="423">
        <f t="shared" si="33"/>
        <v>0</v>
      </c>
      <c r="AH72" s="423">
        <f t="shared" si="33"/>
        <v>0</v>
      </c>
      <c r="AI72" s="423">
        <f t="shared" si="33"/>
        <v>0</v>
      </c>
      <c r="AJ72" s="423">
        <f t="shared" si="33"/>
        <v>0</v>
      </c>
      <c r="AK72" s="423">
        <f t="shared" si="33"/>
        <v>0</v>
      </c>
      <c r="AL72" s="423">
        <f t="shared" si="33"/>
        <v>0</v>
      </c>
      <c r="AM72" s="324"/>
    </row>
    <row r="73" spans="1:39" s="296" customFormat="1" ht="15" outlineLevel="1">
      <c r="A73" s="516"/>
      <c r="B73" s="328"/>
      <c r="C73" s="318"/>
      <c r="D73" s="763"/>
      <c r="E73" s="763"/>
      <c r="F73" s="763"/>
      <c r="G73" s="763"/>
      <c r="H73" s="763"/>
      <c r="I73" s="763"/>
      <c r="J73" s="763"/>
      <c r="K73" s="763"/>
      <c r="L73" s="763"/>
      <c r="M73" s="763"/>
      <c r="N73" s="763"/>
      <c r="O73" s="763"/>
      <c r="P73" s="763"/>
      <c r="Q73" s="763"/>
      <c r="R73" s="763"/>
      <c r="S73" s="763"/>
      <c r="T73" s="763"/>
      <c r="U73" s="763"/>
      <c r="V73" s="763"/>
      <c r="W73" s="763"/>
      <c r="X73" s="763"/>
      <c r="Y73" s="781"/>
      <c r="Z73" s="782"/>
      <c r="AA73" s="782"/>
      <c r="AB73" s="782"/>
      <c r="AC73" s="782"/>
      <c r="AD73" s="782"/>
      <c r="AE73" s="782"/>
      <c r="AF73" s="430"/>
      <c r="AG73" s="430"/>
      <c r="AH73" s="430"/>
      <c r="AI73" s="430"/>
      <c r="AJ73" s="430"/>
      <c r="AK73" s="430"/>
      <c r="AL73" s="430"/>
      <c r="AM73" s="330"/>
    </row>
    <row r="74" spans="1:39" s="306" customFormat="1" ht="15.6" outlineLevel="1">
      <c r="A74" s="517"/>
      <c r="B74" s="301" t="s">
        <v>10</v>
      </c>
      <c r="C74" s="302"/>
      <c r="D74" s="767"/>
      <c r="E74" s="767"/>
      <c r="F74" s="767"/>
      <c r="G74" s="767"/>
      <c r="H74" s="767"/>
      <c r="I74" s="767"/>
      <c r="J74" s="767"/>
      <c r="K74" s="767"/>
      <c r="L74" s="767"/>
      <c r="M74" s="767"/>
      <c r="N74" s="769"/>
      <c r="O74" s="767"/>
      <c r="P74" s="767"/>
      <c r="Q74" s="767"/>
      <c r="R74" s="767"/>
      <c r="S74" s="767"/>
      <c r="T74" s="767"/>
      <c r="U74" s="767"/>
      <c r="V74" s="767"/>
      <c r="W74" s="767"/>
      <c r="X74" s="767"/>
      <c r="Y74" s="776"/>
      <c r="Z74" s="776"/>
      <c r="AA74" s="776"/>
      <c r="AB74" s="776"/>
      <c r="AC74" s="776"/>
      <c r="AD74" s="776"/>
      <c r="AE74" s="776"/>
      <c r="AF74" s="426"/>
      <c r="AG74" s="426"/>
      <c r="AH74" s="426"/>
      <c r="AI74" s="426"/>
      <c r="AJ74" s="426"/>
      <c r="AK74" s="426"/>
      <c r="AL74" s="426"/>
      <c r="AM74" s="305"/>
    </row>
    <row r="75" spans="1:39" s="296" customFormat="1" ht="15" outlineLevel="1">
      <c r="A75" s="516">
        <v>18</v>
      </c>
      <c r="B75" s="328" t="s">
        <v>11</v>
      </c>
      <c r="C75" s="304" t="s">
        <v>25</v>
      </c>
      <c r="D75" s="308"/>
      <c r="E75" s="308"/>
      <c r="F75" s="308"/>
      <c r="G75" s="308"/>
      <c r="H75" s="308"/>
      <c r="I75" s="308"/>
      <c r="J75" s="308"/>
      <c r="K75" s="308"/>
      <c r="L75" s="308"/>
      <c r="M75" s="308"/>
      <c r="N75" s="308">
        <v>12</v>
      </c>
      <c r="O75" s="308"/>
      <c r="P75" s="308"/>
      <c r="Q75" s="308"/>
      <c r="R75" s="308"/>
      <c r="S75" s="308"/>
      <c r="T75" s="308"/>
      <c r="U75" s="308"/>
      <c r="V75" s="308"/>
      <c r="W75" s="308"/>
      <c r="X75" s="308"/>
      <c r="Y75" s="777"/>
      <c r="Z75" s="777"/>
      <c r="AA75" s="777"/>
      <c r="AB75" s="777"/>
      <c r="AC75" s="777"/>
      <c r="AD75" s="777"/>
      <c r="AE75" s="777"/>
      <c r="AF75" s="427"/>
      <c r="AG75" s="427"/>
      <c r="AH75" s="427"/>
      <c r="AI75" s="427"/>
      <c r="AJ75" s="427"/>
      <c r="AK75" s="427"/>
      <c r="AL75" s="427"/>
      <c r="AM75" s="309">
        <f>SUM(Y75:AL75)</f>
        <v>0</v>
      </c>
    </row>
    <row r="76" spans="1:39" s="296" customFormat="1" ht="15" outlineLevel="1">
      <c r="A76" s="516"/>
      <c r="B76" s="328" t="s">
        <v>214</v>
      </c>
      <c r="C76" s="304" t="s">
        <v>163</v>
      </c>
      <c r="D76" s="308"/>
      <c r="E76" s="308"/>
      <c r="F76" s="308"/>
      <c r="G76" s="308"/>
      <c r="H76" s="308"/>
      <c r="I76" s="308"/>
      <c r="J76" s="308"/>
      <c r="K76" s="308"/>
      <c r="L76" s="308"/>
      <c r="M76" s="308"/>
      <c r="N76" s="308">
        <f>N75</f>
        <v>12</v>
      </c>
      <c r="O76" s="308"/>
      <c r="P76" s="308"/>
      <c r="Q76" s="308"/>
      <c r="R76" s="308"/>
      <c r="S76" s="308"/>
      <c r="T76" s="308"/>
      <c r="U76" s="308"/>
      <c r="V76" s="308"/>
      <c r="W76" s="308"/>
      <c r="X76" s="308"/>
      <c r="Y76" s="773">
        <f>Y75</f>
        <v>0</v>
      </c>
      <c r="Z76" s="773">
        <f>Z75</f>
        <v>0</v>
      </c>
      <c r="AA76" s="773">
        <f t="shared" ref="AA76:AE76" si="34">AA75</f>
        <v>0</v>
      </c>
      <c r="AB76" s="773">
        <f t="shared" si="34"/>
        <v>0</v>
      </c>
      <c r="AC76" s="773">
        <f t="shared" si="34"/>
        <v>0</v>
      </c>
      <c r="AD76" s="773">
        <f t="shared" si="34"/>
        <v>0</v>
      </c>
      <c r="AE76" s="773">
        <f t="shared" si="34"/>
        <v>0</v>
      </c>
      <c r="AF76" s="423">
        <f t="shared" ref="AF76:AL76" si="35">AF75</f>
        <v>0</v>
      </c>
      <c r="AG76" s="423">
        <f t="shared" si="35"/>
        <v>0</v>
      </c>
      <c r="AH76" s="423">
        <f t="shared" si="35"/>
        <v>0</v>
      </c>
      <c r="AI76" s="423">
        <f t="shared" si="35"/>
        <v>0</v>
      </c>
      <c r="AJ76" s="423">
        <f t="shared" si="35"/>
        <v>0</v>
      </c>
      <c r="AK76" s="423">
        <f t="shared" si="35"/>
        <v>0</v>
      </c>
      <c r="AL76" s="423">
        <f t="shared" si="35"/>
        <v>0</v>
      </c>
      <c r="AM76" s="310"/>
    </row>
    <row r="77" spans="1:39" s="322" customFormat="1" ht="15" outlineLevel="1">
      <c r="A77" s="519"/>
      <c r="B77" s="328"/>
      <c r="C77" s="318"/>
      <c r="D77" s="763"/>
      <c r="E77" s="763"/>
      <c r="F77" s="763"/>
      <c r="G77" s="763"/>
      <c r="H77" s="763"/>
      <c r="I77" s="763"/>
      <c r="J77" s="763"/>
      <c r="K77" s="763"/>
      <c r="L77" s="763"/>
      <c r="M77" s="763"/>
      <c r="N77" s="763"/>
      <c r="O77" s="763"/>
      <c r="P77" s="763"/>
      <c r="Q77" s="763"/>
      <c r="R77" s="763"/>
      <c r="S77" s="763"/>
      <c r="T77" s="763"/>
      <c r="U77" s="763"/>
      <c r="V77" s="763"/>
      <c r="W77" s="763"/>
      <c r="X77" s="763"/>
      <c r="Y77" s="774"/>
      <c r="Z77" s="783"/>
      <c r="AA77" s="783"/>
      <c r="AB77" s="783"/>
      <c r="AC77" s="783"/>
      <c r="AD77" s="783"/>
      <c r="AE77" s="783"/>
      <c r="AF77" s="431"/>
      <c r="AG77" s="431"/>
      <c r="AH77" s="431"/>
      <c r="AI77" s="431"/>
      <c r="AJ77" s="431"/>
      <c r="AK77" s="431"/>
      <c r="AL77" s="431"/>
      <c r="AM77" s="319"/>
    </row>
    <row r="78" spans="1:39" s="296" customFormat="1" ht="15" outlineLevel="1">
      <c r="A78" s="516">
        <v>19</v>
      </c>
      <c r="B78" s="328" t="s">
        <v>12</v>
      </c>
      <c r="C78" s="304" t="s">
        <v>25</v>
      </c>
      <c r="D78" s="308"/>
      <c r="E78" s="308"/>
      <c r="F78" s="308"/>
      <c r="G78" s="308"/>
      <c r="H78" s="308"/>
      <c r="I78" s="308"/>
      <c r="J78" s="308"/>
      <c r="K78" s="308"/>
      <c r="L78" s="308"/>
      <c r="M78" s="308"/>
      <c r="N78" s="308">
        <v>12</v>
      </c>
      <c r="O78" s="308"/>
      <c r="P78" s="308"/>
      <c r="Q78" s="308"/>
      <c r="R78" s="308"/>
      <c r="S78" s="308"/>
      <c r="T78" s="308"/>
      <c r="U78" s="308"/>
      <c r="V78" s="308"/>
      <c r="W78" s="308"/>
      <c r="X78" s="308"/>
      <c r="Y78" s="772"/>
      <c r="Z78" s="777"/>
      <c r="AA78" s="777"/>
      <c r="AB78" s="777"/>
      <c r="AC78" s="777"/>
      <c r="AD78" s="777"/>
      <c r="AE78" s="777"/>
      <c r="AF78" s="427"/>
      <c r="AG78" s="427"/>
      <c r="AH78" s="427"/>
      <c r="AI78" s="427"/>
      <c r="AJ78" s="427"/>
      <c r="AK78" s="427"/>
      <c r="AL78" s="427"/>
      <c r="AM78" s="309">
        <f>SUM(Y78:AL78)</f>
        <v>0</v>
      </c>
    </row>
    <row r="79" spans="1:39" s="296" customFormat="1" ht="15" outlineLevel="1">
      <c r="A79" s="516"/>
      <c r="B79" s="328" t="s">
        <v>214</v>
      </c>
      <c r="C79" s="304" t="s">
        <v>163</v>
      </c>
      <c r="D79" s="308"/>
      <c r="E79" s="308"/>
      <c r="F79" s="308"/>
      <c r="G79" s="308"/>
      <c r="H79" s="308"/>
      <c r="I79" s="308"/>
      <c r="J79" s="308"/>
      <c r="K79" s="308"/>
      <c r="L79" s="308"/>
      <c r="M79" s="308"/>
      <c r="N79" s="308">
        <f>N78</f>
        <v>12</v>
      </c>
      <c r="O79" s="308"/>
      <c r="P79" s="308"/>
      <c r="Q79" s="308"/>
      <c r="R79" s="308"/>
      <c r="S79" s="308"/>
      <c r="T79" s="308"/>
      <c r="U79" s="308"/>
      <c r="V79" s="308"/>
      <c r="W79" s="308"/>
      <c r="X79" s="308"/>
      <c r="Y79" s="773">
        <f>Y78</f>
        <v>0</v>
      </c>
      <c r="Z79" s="773">
        <f>Z78</f>
        <v>0</v>
      </c>
      <c r="AA79" s="773">
        <f t="shared" ref="AA79:AE79" si="36">AA78</f>
        <v>0</v>
      </c>
      <c r="AB79" s="773">
        <f t="shared" si="36"/>
        <v>0</v>
      </c>
      <c r="AC79" s="773">
        <f t="shared" si="36"/>
        <v>0</v>
      </c>
      <c r="AD79" s="773">
        <f t="shared" si="36"/>
        <v>0</v>
      </c>
      <c r="AE79" s="773">
        <f t="shared" si="36"/>
        <v>0</v>
      </c>
      <c r="AF79" s="423">
        <f t="shared" ref="AF79:AL79" si="37">AF78</f>
        <v>0</v>
      </c>
      <c r="AG79" s="423">
        <f t="shared" si="37"/>
        <v>0</v>
      </c>
      <c r="AH79" s="423">
        <f t="shared" si="37"/>
        <v>0</v>
      </c>
      <c r="AI79" s="423">
        <f t="shared" si="37"/>
        <v>0</v>
      </c>
      <c r="AJ79" s="423">
        <f t="shared" si="37"/>
        <v>0</v>
      </c>
      <c r="AK79" s="423">
        <f t="shared" si="37"/>
        <v>0</v>
      </c>
      <c r="AL79" s="423">
        <f t="shared" si="37"/>
        <v>0</v>
      </c>
      <c r="AM79" s="310"/>
    </row>
    <row r="80" spans="1:39" s="296" customFormat="1" ht="15" outlineLevel="1">
      <c r="A80" s="516"/>
      <c r="B80" s="328"/>
      <c r="C80" s="318"/>
      <c r="D80" s="763"/>
      <c r="E80" s="763"/>
      <c r="F80" s="763"/>
      <c r="G80" s="763"/>
      <c r="H80" s="763"/>
      <c r="I80" s="763"/>
      <c r="J80" s="763"/>
      <c r="K80" s="763"/>
      <c r="L80" s="763"/>
      <c r="M80" s="763"/>
      <c r="N80" s="763"/>
      <c r="O80" s="763"/>
      <c r="P80" s="763"/>
      <c r="Q80" s="763"/>
      <c r="R80" s="763"/>
      <c r="S80" s="763"/>
      <c r="T80" s="763"/>
      <c r="U80" s="763"/>
      <c r="V80" s="763"/>
      <c r="W80" s="763"/>
      <c r="X80" s="763"/>
      <c r="Y80" s="784"/>
      <c r="Z80" s="784"/>
      <c r="AA80" s="774"/>
      <c r="AB80" s="774"/>
      <c r="AC80" s="774"/>
      <c r="AD80" s="774"/>
      <c r="AE80" s="774"/>
      <c r="AF80" s="424"/>
      <c r="AG80" s="424"/>
      <c r="AH80" s="424"/>
      <c r="AI80" s="424"/>
      <c r="AJ80" s="424"/>
      <c r="AK80" s="424"/>
      <c r="AL80" s="424"/>
      <c r="AM80" s="319"/>
    </row>
    <row r="81" spans="1:39" s="296" customFormat="1" ht="15" outlineLevel="1">
      <c r="A81" s="516">
        <v>20</v>
      </c>
      <c r="B81" s="328" t="s">
        <v>13</v>
      </c>
      <c r="C81" s="304" t="s">
        <v>25</v>
      </c>
      <c r="D81" s="308"/>
      <c r="E81" s="308"/>
      <c r="F81" s="308"/>
      <c r="G81" s="308"/>
      <c r="H81" s="308"/>
      <c r="I81" s="308"/>
      <c r="J81" s="308"/>
      <c r="K81" s="308"/>
      <c r="L81" s="308"/>
      <c r="M81" s="308"/>
      <c r="N81" s="308">
        <v>12</v>
      </c>
      <c r="O81" s="308"/>
      <c r="P81" s="308"/>
      <c r="Q81" s="308"/>
      <c r="R81" s="308"/>
      <c r="S81" s="308"/>
      <c r="T81" s="308"/>
      <c r="U81" s="308"/>
      <c r="V81" s="308"/>
      <c r="W81" s="308"/>
      <c r="X81" s="308"/>
      <c r="Y81" s="772"/>
      <c r="Z81" s="777"/>
      <c r="AA81" s="777"/>
      <c r="AB81" s="777"/>
      <c r="AC81" s="777"/>
      <c r="AD81" s="777"/>
      <c r="AE81" s="777"/>
      <c r="AF81" s="427"/>
      <c r="AG81" s="427"/>
      <c r="AH81" s="427"/>
      <c r="AI81" s="427"/>
      <c r="AJ81" s="427"/>
      <c r="AK81" s="427"/>
      <c r="AL81" s="427"/>
      <c r="AM81" s="309">
        <f>SUM(Y81:AL81)</f>
        <v>0</v>
      </c>
    </row>
    <row r="82" spans="1:39" s="296" customFormat="1" ht="15" outlineLevel="1">
      <c r="A82" s="516"/>
      <c r="B82" s="328" t="s">
        <v>214</v>
      </c>
      <c r="C82" s="304" t="s">
        <v>163</v>
      </c>
      <c r="D82" s="308"/>
      <c r="E82" s="308"/>
      <c r="F82" s="308"/>
      <c r="G82" s="308"/>
      <c r="H82" s="308"/>
      <c r="I82" s="308"/>
      <c r="J82" s="308"/>
      <c r="K82" s="308"/>
      <c r="L82" s="308"/>
      <c r="M82" s="308"/>
      <c r="N82" s="308">
        <f>N81</f>
        <v>12</v>
      </c>
      <c r="O82" s="308"/>
      <c r="P82" s="308"/>
      <c r="Q82" s="308"/>
      <c r="R82" s="308"/>
      <c r="S82" s="308"/>
      <c r="T82" s="308"/>
      <c r="U82" s="308"/>
      <c r="V82" s="308"/>
      <c r="W82" s="308"/>
      <c r="X82" s="308"/>
      <c r="Y82" s="773">
        <f>Y81</f>
        <v>0</v>
      </c>
      <c r="Z82" s="773">
        <f>Z81</f>
        <v>0</v>
      </c>
      <c r="AA82" s="773">
        <f t="shared" ref="AA82:AE82" si="38">AA81</f>
        <v>0</v>
      </c>
      <c r="AB82" s="773">
        <f t="shared" si="38"/>
        <v>0</v>
      </c>
      <c r="AC82" s="773">
        <f t="shared" si="38"/>
        <v>0</v>
      </c>
      <c r="AD82" s="773">
        <f t="shared" si="38"/>
        <v>0</v>
      </c>
      <c r="AE82" s="773">
        <f t="shared" si="38"/>
        <v>0</v>
      </c>
      <c r="AF82" s="423">
        <f t="shared" ref="AF82:AL82" si="39">AF81</f>
        <v>0</v>
      </c>
      <c r="AG82" s="423">
        <f t="shared" si="39"/>
        <v>0</v>
      </c>
      <c r="AH82" s="423">
        <f t="shared" si="39"/>
        <v>0</v>
      </c>
      <c r="AI82" s="423">
        <f t="shared" si="39"/>
        <v>0</v>
      </c>
      <c r="AJ82" s="423">
        <f t="shared" si="39"/>
        <v>0</v>
      </c>
      <c r="AK82" s="423">
        <f t="shared" si="39"/>
        <v>0</v>
      </c>
      <c r="AL82" s="423">
        <f t="shared" si="39"/>
        <v>0</v>
      </c>
      <c r="AM82" s="319"/>
    </row>
    <row r="83" spans="1:39" s="296" customFormat="1" ht="15" outlineLevel="1">
      <c r="A83" s="516"/>
      <c r="B83" s="328"/>
      <c r="C83" s="318"/>
      <c r="D83" s="763"/>
      <c r="E83" s="763"/>
      <c r="F83" s="763"/>
      <c r="G83" s="763"/>
      <c r="H83" s="763"/>
      <c r="I83" s="763"/>
      <c r="J83" s="763"/>
      <c r="K83" s="763"/>
      <c r="L83" s="763"/>
      <c r="M83" s="763"/>
      <c r="N83" s="770"/>
      <c r="O83" s="763"/>
      <c r="P83" s="763"/>
      <c r="Q83" s="763"/>
      <c r="R83" s="763"/>
      <c r="S83" s="763"/>
      <c r="T83" s="763"/>
      <c r="U83" s="763"/>
      <c r="V83" s="763"/>
      <c r="W83" s="763"/>
      <c r="X83" s="763"/>
      <c r="Y83" s="774"/>
      <c r="Z83" s="774"/>
      <c r="AA83" s="774"/>
      <c r="AB83" s="774"/>
      <c r="AC83" s="774"/>
      <c r="AD83" s="774"/>
      <c r="AE83" s="774"/>
      <c r="AF83" s="424"/>
      <c r="AG83" s="424"/>
      <c r="AH83" s="424"/>
      <c r="AI83" s="424"/>
      <c r="AJ83" s="424"/>
      <c r="AK83" s="424"/>
      <c r="AL83" s="424"/>
      <c r="AM83" s="319"/>
    </row>
    <row r="84" spans="1:39" s="296" customFormat="1" ht="15" outlineLevel="1">
      <c r="A84" s="516">
        <v>21</v>
      </c>
      <c r="B84" s="328" t="s">
        <v>22</v>
      </c>
      <c r="C84" s="304" t="s">
        <v>25</v>
      </c>
      <c r="D84" s="308">
        <f>'7.  Persistence Report'!AQ37</f>
        <v>103574.18618663134</v>
      </c>
      <c r="E84" s="308">
        <f>'7.  Persistence Report'!AR37</f>
        <v>103574.18618663134</v>
      </c>
      <c r="F84" s="308">
        <f>'7.  Persistence Report'!AS37</f>
        <v>103574.18618663134</v>
      </c>
      <c r="G84" s="308">
        <f>'7.  Persistence Report'!AT37</f>
        <v>103574.18618663134</v>
      </c>
      <c r="H84" s="308">
        <f>'7.  Persistence Report'!AU37</f>
        <v>103574.18618663134</v>
      </c>
      <c r="I84" s="308">
        <f>'7.  Persistence Report'!AV37</f>
        <v>103574.18618663134</v>
      </c>
      <c r="J84" s="308">
        <f>'7.  Persistence Report'!AW37</f>
        <v>103574.18618663134</v>
      </c>
      <c r="K84" s="308">
        <f>'7.  Persistence Report'!AX37</f>
        <v>103574.18618663134</v>
      </c>
      <c r="L84" s="308">
        <f>'7.  Persistence Report'!AY37</f>
        <v>103574.18618663134</v>
      </c>
      <c r="M84" s="308">
        <f>'7.  Persistence Report'!AZ37</f>
        <v>103574.18618663134</v>
      </c>
      <c r="N84" s="308">
        <v>12</v>
      </c>
      <c r="O84" s="308">
        <f>'7.  Persistence Report'!L37</f>
        <v>16.17593293773842</v>
      </c>
      <c r="P84" s="308">
        <f>'7.  Persistence Report'!M37</f>
        <v>16.17593293773842</v>
      </c>
      <c r="Q84" s="308">
        <f>'7.  Persistence Report'!N37</f>
        <v>16.17593293773842</v>
      </c>
      <c r="R84" s="308">
        <f>'7.  Persistence Report'!O37</f>
        <v>16.17593293773842</v>
      </c>
      <c r="S84" s="308">
        <f>'7.  Persistence Report'!P37</f>
        <v>16.17593293773842</v>
      </c>
      <c r="T84" s="308">
        <f>'7.  Persistence Report'!Q37</f>
        <v>16.17593293773842</v>
      </c>
      <c r="U84" s="308">
        <f>'7.  Persistence Report'!R37</f>
        <v>16.17593293773842</v>
      </c>
      <c r="V84" s="308">
        <f>'7.  Persistence Report'!S37</f>
        <v>16.17593293773842</v>
      </c>
      <c r="W84" s="308">
        <f>'7.  Persistence Report'!T37</f>
        <v>16.17593293773842</v>
      </c>
      <c r="X84" s="308">
        <f>'7.  Persistence Report'!U37</f>
        <v>16.17593293773842</v>
      </c>
      <c r="Y84" s="772"/>
      <c r="Z84" s="777"/>
      <c r="AA84" s="777">
        <v>1</v>
      </c>
      <c r="AB84" s="777"/>
      <c r="AC84" s="777"/>
      <c r="AD84" s="777"/>
      <c r="AE84" s="777"/>
      <c r="AF84" s="427"/>
      <c r="AG84" s="427"/>
      <c r="AH84" s="427"/>
      <c r="AI84" s="427"/>
      <c r="AJ84" s="427"/>
      <c r="AK84" s="427"/>
      <c r="AL84" s="427"/>
      <c r="AM84" s="309">
        <f>SUM(Y84:AL84)</f>
        <v>1</v>
      </c>
    </row>
    <row r="85" spans="1:39" s="296" customFormat="1" ht="15" outlineLevel="1">
      <c r="A85" s="516"/>
      <c r="B85" s="328" t="s">
        <v>214</v>
      </c>
      <c r="C85" s="304" t="s">
        <v>163</v>
      </c>
      <c r="D85" s="308"/>
      <c r="E85" s="308"/>
      <c r="F85" s="308"/>
      <c r="G85" s="308"/>
      <c r="H85" s="308"/>
      <c r="I85" s="308"/>
      <c r="J85" s="308"/>
      <c r="K85" s="308"/>
      <c r="L85" s="308"/>
      <c r="M85" s="308"/>
      <c r="N85" s="308">
        <f>N84</f>
        <v>12</v>
      </c>
      <c r="O85" s="308"/>
      <c r="P85" s="308"/>
      <c r="Q85" s="308"/>
      <c r="R85" s="308"/>
      <c r="S85" s="308"/>
      <c r="T85" s="308"/>
      <c r="U85" s="308"/>
      <c r="V85" s="308"/>
      <c r="W85" s="308"/>
      <c r="X85" s="308"/>
      <c r="Y85" s="773">
        <f>Y84</f>
        <v>0</v>
      </c>
      <c r="Z85" s="773">
        <f>Z84</f>
        <v>0</v>
      </c>
      <c r="AA85" s="773">
        <f t="shared" ref="AA85:AE85" si="40">AA84</f>
        <v>1</v>
      </c>
      <c r="AB85" s="773">
        <f t="shared" si="40"/>
        <v>0</v>
      </c>
      <c r="AC85" s="773">
        <f t="shared" si="40"/>
        <v>0</v>
      </c>
      <c r="AD85" s="773">
        <f t="shared" si="40"/>
        <v>0</v>
      </c>
      <c r="AE85" s="773">
        <f t="shared" si="40"/>
        <v>0</v>
      </c>
      <c r="AF85" s="423">
        <f t="shared" ref="AF85:AL85" si="41">AF84</f>
        <v>0</v>
      </c>
      <c r="AG85" s="423">
        <f t="shared" si="41"/>
        <v>0</v>
      </c>
      <c r="AH85" s="423">
        <f t="shared" si="41"/>
        <v>0</v>
      </c>
      <c r="AI85" s="423">
        <f t="shared" si="41"/>
        <v>0</v>
      </c>
      <c r="AJ85" s="423">
        <f t="shared" si="41"/>
        <v>0</v>
      </c>
      <c r="AK85" s="423">
        <f t="shared" si="41"/>
        <v>0</v>
      </c>
      <c r="AL85" s="423">
        <f t="shared" si="41"/>
        <v>0</v>
      </c>
      <c r="AM85" s="310"/>
    </row>
    <row r="86" spans="1:39" s="296" customFormat="1" ht="15" outlineLevel="1">
      <c r="A86" s="516"/>
      <c r="B86" s="328"/>
      <c r="C86" s="318"/>
      <c r="D86" s="763"/>
      <c r="E86" s="763"/>
      <c r="F86" s="763"/>
      <c r="G86" s="763"/>
      <c r="H86" s="763"/>
      <c r="I86" s="763"/>
      <c r="J86" s="763"/>
      <c r="K86" s="763"/>
      <c r="L86" s="763"/>
      <c r="M86" s="763"/>
      <c r="N86" s="763"/>
      <c r="O86" s="763"/>
      <c r="P86" s="763"/>
      <c r="Q86" s="763"/>
      <c r="R86" s="763"/>
      <c r="S86" s="763"/>
      <c r="T86" s="763"/>
      <c r="U86" s="763"/>
      <c r="V86" s="763"/>
      <c r="W86" s="763"/>
      <c r="X86" s="763"/>
      <c r="Y86" s="784"/>
      <c r="Z86" s="774"/>
      <c r="AA86" s="774"/>
      <c r="AB86" s="774"/>
      <c r="AC86" s="774"/>
      <c r="AD86" s="774"/>
      <c r="AE86" s="774"/>
      <c r="AF86" s="424"/>
      <c r="AG86" s="424"/>
      <c r="AH86" s="424"/>
      <c r="AI86" s="424"/>
      <c r="AJ86" s="424"/>
      <c r="AK86" s="424"/>
      <c r="AL86" s="424"/>
      <c r="AM86" s="319"/>
    </row>
    <row r="87" spans="1:39" s="296" customFormat="1" ht="15" outlineLevel="1">
      <c r="A87" s="516">
        <v>22</v>
      </c>
      <c r="B87" s="328" t="s">
        <v>9</v>
      </c>
      <c r="C87" s="304" t="s">
        <v>25</v>
      </c>
      <c r="D87" s="308"/>
      <c r="E87" s="308"/>
      <c r="F87" s="308"/>
      <c r="G87" s="308"/>
      <c r="H87" s="308"/>
      <c r="I87" s="308"/>
      <c r="J87" s="308"/>
      <c r="K87" s="308"/>
      <c r="L87" s="308"/>
      <c r="M87" s="308"/>
      <c r="N87" s="763"/>
      <c r="O87" s="308"/>
      <c r="P87" s="308"/>
      <c r="Q87" s="308"/>
      <c r="R87" s="308"/>
      <c r="S87" s="308"/>
      <c r="T87" s="308"/>
      <c r="U87" s="308"/>
      <c r="V87" s="308"/>
      <c r="W87" s="308"/>
      <c r="X87" s="308"/>
      <c r="Y87" s="772"/>
      <c r="Z87" s="777"/>
      <c r="AA87" s="777"/>
      <c r="AB87" s="777"/>
      <c r="AC87" s="777"/>
      <c r="AD87" s="777"/>
      <c r="AE87" s="777"/>
      <c r="AF87" s="427"/>
      <c r="AG87" s="427"/>
      <c r="AH87" s="427"/>
      <c r="AI87" s="427"/>
      <c r="AJ87" s="427"/>
      <c r="AK87" s="427"/>
      <c r="AL87" s="427"/>
      <c r="AM87" s="309">
        <f>SUM(Y87:AL87)</f>
        <v>0</v>
      </c>
    </row>
    <row r="88" spans="1:39" s="296" customFormat="1" ht="15" outlineLevel="1">
      <c r="A88" s="516"/>
      <c r="B88" s="328" t="s">
        <v>214</v>
      </c>
      <c r="C88" s="304" t="s">
        <v>163</v>
      </c>
      <c r="D88" s="308"/>
      <c r="E88" s="308"/>
      <c r="F88" s="308"/>
      <c r="G88" s="308"/>
      <c r="H88" s="308"/>
      <c r="I88" s="308"/>
      <c r="J88" s="308"/>
      <c r="K88" s="308"/>
      <c r="L88" s="308"/>
      <c r="M88" s="308"/>
      <c r="N88" s="763"/>
      <c r="O88" s="308"/>
      <c r="P88" s="308"/>
      <c r="Q88" s="308"/>
      <c r="R88" s="308"/>
      <c r="S88" s="308"/>
      <c r="T88" s="308"/>
      <c r="U88" s="308"/>
      <c r="V88" s="308"/>
      <c r="W88" s="308"/>
      <c r="X88" s="308"/>
      <c r="Y88" s="773">
        <f>Y87</f>
        <v>0</v>
      </c>
      <c r="Z88" s="773">
        <f>Z87</f>
        <v>0</v>
      </c>
      <c r="AA88" s="773">
        <f t="shared" ref="AA88:AE88" si="42">AA87</f>
        <v>0</v>
      </c>
      <c r="AB88" s="773">
        <f t="shared" si="42"/>
        <v>0</v>
      </c>
      <c r="AC88" s="773">
        <f t="shared" si="42"/>
        <v>0</v>
      </c>
      <c r="AD88" s="773">
        <f t="shared" si="42"/>
        <v>0</v>
      </c>
      <c r="AE88" s="773">
        <f t="shared" si="42"/>
        <v>0</v>
      </c>
      <c r="AF88" s="423">
        <f t="shared" ref="AF88:AL88" si="43">AF87</f>
        <v>0</v>
      </c>
      <c r="AG88" s="423">
        <f t="shared" si="43"/>
        <v>0</v>
      </c>
      <c r="AH88" s="423">
        <f t="shared" si="43"/>
        <v>0</v>
      </c>
      <c r="AI88" s="423">
        <f t="shared" si="43"/>
        <v>0</v>
      </c>
      <c r="AJ88" s="423">
        <f t="shared" si="43"/>
        <v>0</v>
      </c>
      <c r="AK88" s="423">
        <f t="shared" si="43"/>
        <v>0</v>
      </c>
      <c r="AL88" s="423">
        <f t="shared" si="43"/>
        <v>0</v>
      </c>
      <c r="AM88" s="319"/>
    </row>
    <row r="89" spans="1:39" s="296" customFormat="1" ht="15" outlineLevel="1">
      <c r="A89" s="516"/>
      <c r="B89" s="328"/>
      <c r="C89" s="318"/>
      <c r="D89" s="763"/>
      <c r="E89" s="763"/>
      <c r="F89" s="763"/>
      <c r="G89" s="763"/>
      <c r="H89" s="763"/>
      <c r="I89" s="763"/>
      <c r="J89" s="763"/>
      <c r="K89" s="763"/>
      <c r="L89" s="763"/>
      <c r="M89" s="763"/>
      <c r="N89" s="763"/>
      <c r="O89" s="763"/>
      <c r="P89" s="763"/>
      <c r="Q89" s="763"/>
      <c r="R89" s="763"/>
      <c r="S89" s="763"/>
      <c r="T89" s="763"/>
      <c r="U89" s="763"/>
      <c r="V89" s="763"/>
      <c r="W89" s="763"/>
      <c r="X89" s="763"/>
      <c r="Y89" s="774"/>
      <c r="Z89" s="774"/>
      <c r="AA89" s="774"/>
      <c r="AB89" s="774"/>
      <c r="AC89" s="774"/>
      <c r="AD89" s="774"/>
      <c r="AE89" s="774"/>
      <c r="AF89" s="424"/>
      <c r="AG89" s="424"/>
      <c r="AH89" s="424"/>
      <c r="AI89" s="424"/>
      <c r="AJ89" s="424"/>
      <c r="AK89" s="424"/>
      <c r="AL89" s="424"/>
      <c r="AM89" s="319"/>
    </row>
    <row r="90" spans="1:39" s="306" customFormat="1" ht="15.6" outlineLevel="1">
      <c r="A90" s="517"/>
      <c r="B90" s="301" t="s">
        <v>14</v>
      </c>
      <c r="C90" s="302"/>
      <c r="D90" s="769"/>
      <c r="E90" s="769"/>
      <c r="F90" s="769"/>
      <c r="G90" s="769"/>
      <c r="H90" s="769"/>
      <c r="I90" s="769"/>
      <c r="J90" s="769"/>
      <c r="K90" s="769"/>
      <c r="L90" s="769"/>
      <c r="M90" s="769"/>
      <c r="N90" s="769"/>
      <c r="O90" s="769"/>
      <c r="P90" s="769"/>
      <c r="Q90" s="769"/>
      <c r="R90" s="769"/>
      <c r="S90" s="769"/>
      <c r="T90" s="769"/>
      <c r="U90" s="769"/>
      <c r="V90" s="769"/>
      <c r="W90" s="769"/>
      <c r="X90" s="769"/>
      <c r="Y90" s="776"/>
      <c r="Z90" s="776"/>
      <c r="AA90" s="776"/>
      <c r="AB90" s="776"/>
      <c r="AC90" s="776"/>
      <c r="AD90" s="776"/>
      <c r="AE90" s="776"/>
      <c r="AF90" s="426"/>
      <c r="AG90" s="426"/>
      <c r="AH90" s="426"/>
      <c r="AI90" s="426"/>
      <c r="AJ90" s="426"/>
      <c r="AK90" s="426"/>
      <c r="AL90" s="426"/>
      <c r="AM90" s="305"/>
    </row>
    <row r="91" spans="1:39" s="296" customFormat="1" ht="15" outlineLevel="1">
      <c r="A91" s="516">
        <v>23</v>
      </c>
      <c r="B91" s="328" t="s">
        <v>14</v>
      </c>
      <c r="C91" s="304" t="s">
        <v>25</v>
      </c>
      <c r="D91" s="308"/>
      <c r="E91" s="308"/>
      <c r="F91" s="308"/>
      <c r="G91" s="308"/>
      <c r="H91" s="308"/>
      <c r="I91" s="308"/>
      <c r="J91" s="308"/>
      <c r="K91" s="308"/>
      <c r="L91" s="308"/>
      <c r="M91" s="308"/>
      <c r="N91" s="763"/>
      <c r="O91" s="308"/>
      <c r="P91" s="308"/>
      <c r="Q91" s="308"/>
      <c r="R91" s="308"/>
      <c r="S91" s="308"/>
      <c r="T91" s="308"/>
      <c r="U91" s="308"/>
      <c r="V91" s="308"/>
      <c r="W91" s="308"/>
      <c r="X91" s="308"/>
      <c r="Y91" s="772"/>
      <c r="Z91" s="772"/>
      <c r="AA91" s="772"/>
      <c r="AB91" s="772"/>
      <c r="AC91" s="772"/>
      <c r="AD91" s="772"/>
      <c r="AE91" s="772"/>
      <c r="AF91" s="422"/>
      <c r="AG91" s="422"/>
      <c r="AH91" s="422"/>
      <c r="AI91" s="422"/>
      <c r="AJ91" s="422"/>
      <c r="AK91" s="422"/>
      <c r="AL91" s="422"/>
      <c r="AM91" s="309">
        <f>SUM(Y91:AL91)</f>
        <v>0</v>
      </c>
    </row>
    <row r="92" spans="1:39" s="296" customFormat="1" ht="15" outlineLevel="1">
      <c r="A92" s="516"/>
      <c r="B92" s="328" t="s">
        <v>214</v>
      </c>
      <c r="C92" s="304" t="s">
        <v>163</v>
      </c>
      <c r="D92" s="308"/>
      <c r="E92" s="308"/>
      <c r="F92" s="308"/>
      <c r="G92" s="308"/>
      <c r="H92" s="308"/>
      <c r="I92" s="308"/>
      <c r="J92" s="308"/>
      <c r="K92" s="308"/>
      <c r="L92" s="308"/>
      <c r="M92" s="308"/>
      <c r="N92" s="764"/>
      <c r="O92" s="308"/>
      <c r="P92" s="308"/>
      <c r="Q92" s="308"/>
      <c r="R92" s="308"/>
      <c r="S92" s="308"/>
      <c r="T92" s="308"/>
      <c r="U92" s="308"/>
      <c r="V92" s="308"/>
      <c r="W92" s="308"/>
      <c r="X92" s="308"/>
      <c r="Y92" s="773">
        <f>Y91</f>
        <v>0</v>
      </c>
      <c r="Z92" s="773">
        <f>Z91</f>
        <v>0</v>
      </c>
      <c r="AA92" s="773">
        <f t="shared" ref="AA92:AE92" si="44">AA91</f>
        <v>0</v>
      </c>
      <c r="AB92" s="773">
        <f t="shared" si="44"/>
        <v>0</v>
      </c>
      <c r="AC92" s="773">
        <f t="shared" si="44"/>
        <v>0</v>
      </c>
      <c r="AD92" s="773">
        <f t="shared" si="44"/>
        <v>0</v>
      </c>
      <c r="AE92" s="773">
        <f t="shared" si="44"/>
        <v>0</v>
      </c>
      <c r="AF92" s="423">
        <f t="shared" ref="AF92:AL92" si="45">AF91</f>
        <v>0</v>
      </c>
      <c r="AG92" s="423">
        <f t="shared" si="45"/>
        <v>0</v>
      </c>
      <c r="AH92" s="423">
        <f t="shared" si="45"/>
        <v>0</v>
      </c>
      <c r="AI92" s="423">
        <f t="shared" si="45"/>
        <v>0</v>
      </c>
      <c r="AJ92" s="423">
        <f t="shared" si="45"/>
        <v>0</v>
      </c>
      <c r="AK92" s="423">
        <f t="shared" si="45"/>
        <v>0</v>
      </c>
      <c r="AL92" s="423">
        <f t="shared" si="45"/>
        <v>0</v>
      </c>
      <c r="AM92" s="310"/>
    </row>
    <row r="93" spans="1:39" s="296" customFormat="1" ht="15" outlineLevel="1">
      <c r="A93" s="516"/>
      <c r="B93" s="328"/>
      <c r="C93" s="318"/>
      <c r="D93" s="763"/>
      <c r="E93" s="763"/>
      <c r="F93" s="763"/>
      <c r="G93" s="763"/>
      <c r="H93" s="763"/>
      <c r="I93" s="763"/>
      <c r="J93" s="763"/>
      <c r="K93" s="763"/>
      <c r="L93" s="763"/>
      <c r="M93" s="763"/>
      <c r="N93" s="763"/>
      <c r="O93" s="763"/>
      <c r="P93" s="763"/>
      <c r="Q93" s="763"/>
      <c r="R93" s="763"/>
      <c r="S93" s="763"/>
      <c r="T93" s="763"/>
      <c r="U93" s="763"/>
      <c r="V93" s="763"/>
      <c r="W93" s="763"/>
      <c r="X93" s="763"/>
      <c r="Y93" s="774"/>
      <c r="Z93" s="774"/>
      <c r="AA93" s="774"/>
      <c r="AB93" s="774"/>
      <c r="AC93" s="774"/>
      <c r="AD93" s="774"/>
      <c r="AE93" s="774"/>
      <c r="AF93" s="424"/>
      <c r="AG93" s="424"/>
      <c r="AH93" s="424"/>
      <c r="AI93" s="424"/>
      <c r="AJ93" s="424"/>
      <c r="AK93" s="424"/>
      <c r="AL93" s="424"/>
      <c r="AM93" s="319"/>
    </row>
    <row r="94" spans="1:39" s="306" customFormat="1" ht="15.6" outlineLevel="1">
      <c r="A94" s="517"/>
      <c r="B94" s="301" t="s">
        <v>487</v>
      </c>
      <c r="C94" s="302"/>
      <c r="D94" s="769"/>
      <c r="E94" s="769"/>
      <c r="F94" s="769"/>
      <c r="G94" s="769"/>
      <c r="H94" s="769"/>
      <c r="I94" s="769"/>
      <c r="J94" s="769"/>
      <c r="K94" s="769"/>
      <c r="L94" s="769"/>
      <c r="M94" s="769"/>
      <c r="N94" s="769"/>
      <c r="O94" s="769"/>
      <c r="P94" s="769"/>
      <c r="Q94" s="769"/>
      <c r="R94" s="769"/>
      <c r="S94" s="769"/>
      <c r="T94" s="769"/>
      <c r="U94" s="769"/>
      <c r="V94" s="769"/>
      <c r="W94" s="769"/>
      <c r="X94" s="769"/>
      <c r="Y94" s="776"/>
      <c r="Z94" s="776"/>
      <c r="AA94" s="776"/>
      <c r="AB94" s="776"/>
      <c r="AC94" s="776"/>
      <c r="AD94" s="776"/>
      <c r="AE94" s="776"/>
      <c r="AF94" s="426"/>
      <c r="AG94" s="426"/>
      <c r="AH94" s="426"/>
      <c r="AI94" s="426"/>
      <c r="AJ94" s="426"/>
      <c r="AK94" s="426"/>
      <c r="AL94" s="426"/>
      <c r="AM94" s="305"/>
    </row>
    <row r="95" spans="1:39" s="296" customFormat="1" ht="15" outlineLevel="1">
      <c r="A95" s="516">
        <v>24</v>
      </c>
      <c r="B95" s="328" t="s">
        <v>14</v>
      </c>
      <c r="C95" s="304" t="s">
        <v>25</v>
      </c>
      <c r="D95" s="308"/>
      <c r="E95" s="308"/>
      <c r="F95" s="308"/>
      <c r="G95" s="308"/>
      <c r="H95" s="308"/>
      <c r="I95" s="308"/>
      <c r="J95" s="308"/>
      <c r="K95" s="308"/>
      <c r="L95" s="308"/>
      <c r="M95" s="308"/>
      <c r="N95" s="763"/>
      <c r="O95" s="308"/>
      <c r="P95" s="308"/>
      <c r="Q95" s="308"/>
      <c r="R95" s="308"/>
      <c r="S95" s="308"/>
      <c r="T95" s="308"/>
      <c r="U95" s="308"/>
      <c r="V95" s="308"/>
      <c r="W95" s="308"/>
      <c r="X95" s="308"/>
      <c r="Y95" s="772"/>
      <c r="Z95" s="772"/>
      <c r="AA95" s="772"/>
      <c r="AB95" s="772"/>
      <c r="AC95" s="772"/>
      <c r="AD95" s="772"/>
      <c r="AE95" s="772"/>
      <c r="AF95" s="422"/>
      <c r="AG95" s="422"/>
      <c r="AH95" s="422"/>
      <c r="AI95" s="422"/>
      <c r="AJ95" s="422"/>
      <c r="AK95" s="422"/>
      <c r="AL95" s="422"/>
      <c r="AM95" s="309">
        <f>SUM(Y95:AL95)</f>
        <v>0</v>
      </c>
    </row>
    <row r="96" spans="1:39" s="296" customFormat="1" ht="15" outlineLevel="1">
      <c r="A96" s="516"/>
      <c r="B96" s="328" t="s">
        <v>214</v>
      </c>
      <c r="C96" s="304" t="s">
        <v>163</v>
      </c>
      <c r="D96" s="308"/>
      <c r="E96" s="308"/>
      <c r="F96" s="308"/>
      <c r="G96" s="308"/>
      <c r="H96" s="308"/>
      <c r="I96" s="308"/>
      <c r="J96" s="308"/>
      <c r="K96" s="308"/>
      <c r="L96" s="308"/>
      <c r="M96" s="308"/>
      <c r="N96" s="764"/>
      <c r="O96" s="308"/>
      <c r="P96" s="308"/>
      <c r="Q96" s="308"/>
      <c r="R96" s="308"/>
      <c r="S96" s="308"/>
      <c r="T96" s="308"/>
      <c r="U96" s="308"/>
      <c r="V96" s="308"/>
      <c r="W96" s="308"/>
      <c r="X96" s="308"/>
      <c r="Y96" s="773">
        <f>Y95</f>
        <v>0</v>
      </c>
      <c r="Z96" s="773">
        <f>Z95</f>
        <v>0</v>
      </c>
      <c r="AA96" s="773">
        <f t="shared" ref="AA96:AE96" si="46">AA95</f>
        <v>0</v>
      </c>
      <c r="AB96" s="773">
        <f t="shared" si="46"/>
        <v>0</v>
      </c>
      <c r="AC96" s="773">
        <f t="shared" si="46"/>
        <v>0</v>
      </c>
      <c r="AD96" s="773">
        <f t="shared" si="46"/>
        <v>0</v>
      </c>
      <c r="AE96" s="773">
        <f t="shared" si="46"/>
        <v>0</v>
      </c>
      <c r="AF96" s="423">
        <f t="shared" ref="AF96:AL96" si="47">AF95</f>
        <v>0</v>
      </c>
      <c r="AG96" s="423">
        <f t="shared" si="47"/>
        <v>0</v>
      </c>
      <c r="AH96" s="423">
        <f t="shared" si="47"/>
        <v>0</v>
      </c>
      <c r="AI96" s="423">
        <f t="shared" si="47"/>
        <v>0</v>
      </c>
      <c r="AJ96" s="423">
        <f t="shared" si="47"/>
        <v>0</v>
      </c>
      <c r="AK96" s="423">
        <f t="shared" si="47"/>
        <v>0</v>
      </c>
      <c r="AL96" s="423">
        <f t="shared" si="47"/>
        <v>0</v>
      </c>
      <c r="AM96" s="310"/>
    </row>
    <row r="97" spans="1:39" s="296" customFormat="1" ht="15" outlineLevel="1">
      <c r="A97" s="516"/>
      <c r="B97" s="328"/>
      <c r="C97" s="318"/>
      <c r="D97" s="763"/>
      <c r="E97" s="763"/>
      <c r="F97" s="763"/>
      <c r="G97" s="763"/>
      <c r="H97" s="763"/>
      <c r="I97" s="763"/>
      <c r="J97" s="763"/>
      <c r="K97" s="763"/>
      <c r="L97" s="763"/>
      <c r="M97" s="763"/>
      <c r="N97" s="763"/>
      <c r="O97" s="763"/>
      <c r="P97" s="763"/>
      <c r="Q97" s="763"/>
      <c r="R97" s="763"/>
      <c r="S97" s="763"/>
      <c r="T97" s="763"/>
      <c r="U97" s="763"/>
      <c r="V97" s="763"/>
      <c r="W97" s="763"/>
      <c r="X97" s="763"/>
      <c r="Y97" s="774"/>
      <c r="Z97" s="774"/>
      <c r="AA97" s="774"/>
      <c r="AB97" s="774"/>
      <c r="AC97" s="774"/>
      <c r="AD97" s="774"/>
      <c r="AE97" s="774"/>
      <c r="AF97" s="424"/>
      <c r="AG97" s="424"/>
      <c r="AH97" s="424"/>
      <c r="AI97" s="424"/>
      <c r="AJ97" s="424"/>
      <c r="AK97" s="424"/>
      <c r="AL97" s="424"/>
      <c r="AM97" s="319"/>
    </row>
    <row r="98" spans="1:39" s="296" customFormat="1" ht="15" outlineLevel="1">
      <c r="A98" s="516">
        <v>25</v>
      </c>
      <c r="B98" s="327" t="s">
        <v>21</v>
      </c>
      <c r="C98" s="304" t="s">
        <v>25</v>
      </c>
      <c r="D98" s="308"/>
      <c r="E98" s="308"/>
      <c r="F98" s="308"/>
      <c r="G98" s="308"/>
      <c r="H98" s="308"/>
      <c r="I98" s="308"/>
      <c r="J98" s="308"/>
      <c r="K98" s="308"/>
      <c r="L98" s="308"/>
      <c r="M98" s="308"/>
      <c r="N98" s="308">
        <v>0</v>
      </c>
      <c r="O98" s="308"/>
      <c r="P98" s="308"/>
      <c r="Q98" s="308"/>
      <c r="R98" s="308"/>
      <c r="S98" s="308"/>
      <c r="T98" s="308"/>
      <c r="U98" s="308"/>
      <c r="V98" s="308"/>
      <c r="W98" s="308"/>
      <c r="X98" s="308"/>
      <c r="Y98" s="777"/>
      <c r="Z98" s="777"/>
      <c r="AA98" s="777"/>
      <c r="AB98" s="777"/>
      <c r="AC98" s="777"/>
      <c r="AD98" s="777"/>
      <c r="AE98" s="777"/>
      <c r="AF98" s="427"/>
      <c r="AG98" s="427"/>
      <c r="AH98" s="427"/>
      <c r="AI98" s="427"/>
      <c r="AJ98" s="427"/>
      <c r="AK98" s="427"/>
      <c r="AL98" s="427"/>
      <c r="AM98" s="309">
        <f>SUM(Y98:AL98)</f>
        <v>0</v>
      </c>
    </row>
    <row r="99" spans="1:39" s="296" customFormat="1" ht="15" outlineLevel="1">
      <c r="A99" s="516"/>
      <c r="B99" s="328" t="s">
        <v>214</v>
      </c>
      <c r="C99" s="304" t="s">
        <v>163</v>
      </c>
      <c r="D99" s="308"/>
      <c r="E99" s="308"/>
      <c r="F99" s="308"/>
      <c r="G99" s="308"/>
      <c r="H99" s="308"/>
      <c r="I99" s="308"/>
      <c r="J99" s="308"/>
      <c r="K99" s="308"/>
      <c r="L99" s="308"/>
      <c r="M99" s="308"/>
      <c r="N99" s="308">
        <f>N98</f>
        <v>0</v>
      </c>
      <c r="O99" s="308"/>
      <c r="P99" s="308"/>
      <c r="Q99" s="308"/>
      <c r="R99" s="308"/>
      <c r="S99" s="308"/>
      <c r="T99" s="308"/>
      <c r="U99" s="308"/>
      <c r="V99" s="308"/>
      <c r="W99" s="308"/>
      <c r="X99" s="308"/>
      <c r="Y99" s="773">
        <f>Y98</f>
        <v>0</v>
      </c>
      <c r="Z99" s="773">
        <f>Z98</f>
        <v>0</v>
      </c>
      <c r="AA99" s="773">
        <f t="shared" ref="AA99:AE99" si="48">AA98</f>
        <v>0</v>
      </c>
      <c r="AB99" s="773">
        <f t="shared" si="48"/>
        <v>0</v>
      </c>
      <c r="AC99" s="773">
        <f t="shared" si="48"/>
        <v>0</v>
      </c>
      <c r="AD99" s="773">
        <f t="shared" si="48"/>
        <v>0</v>
      </c>
      <c r="AE99" s="773">
        <f t="shared" si="48"/>
        <v>0</v>
      </c>
      <c r="AF99" s="423">
        <f t="shared" ref="AF99:AL99" si="49">AF98</f>
        <v>0</v>
      </c>
      <c r="AG99" s="423">
        <f t="shared" si="49"/>
        <v>0</v>
      </c>
      <c r="AH99" s="423">
        <f t="shared" si="49"/>
        <v>0</v>
      </c>
      <c r="AI99" s="423">
        <f t="shared" si="49"/>
        <v>0</v>
      </c>
      <c r="AJ99" s="423">
        <f t="shared" si="49"/>
        <v>0</v>
      </c>
      <c r="AK99" s="423">
        <f t="shared" si="49"/>
        <v>0</v>
      </c>
      <c r="AL99" s="423">
        <f t="shared" si="49"/>
        <v>0</v>
      </c>
      <c r="AM99" s="324"/>
    </row>
    <row r="100" spans="1:39" s="296" customFormat="1" ht="15" outlineLevel="1">
      <c r="A100" s="516"/>
      <c r="B100" s="327"/>
      <c r="C100" s="325"/>
      <c r="D100" s="763"/>
      <c r="E100" s="763"/>
      <c r="F100" s="763"/>
      <c r="G100" s="763"/>
      <c r="H100" s="763"/>
      <c r="I100" s="763"/>
      <c r="J100" s="763"/>
      <c r="K100" s="763"/>
      <c r="L100" s="763"/>
      <c r="M100" s="763"/>
      <c r="N100" s="763"/>
      <c r="O100" s="763"/>
      <c r="P100" s="763"/>
      <c r="Q100" s="763"/>
      <c r="R100" s="763"/>
      <c r="S100" s="763"/>
      <c r="T100" s="763"/>
      <c r="U100" s="763"/>
      <c r="V100" s="763"/>
      <c r="W100" s="763"/>
      <c r="X100" s="763"/>
      <c r="Y100" s="778"/>
      <c r="Z100" s="779"/>
      <c r="AA100" s="778"/>
      <c r="AB100" s="778"/>
      <c r="AC100" s="778"/>
      <c r="AD100" s="778"/>
      <c r="AE100" s="778"/>
      <c r="AF100" s="428"/>
      <c r="AG100" s="428"/>
      <c r="AH100" s="428"/>
      <c r="AI100" s="428"/>
      <c r="AJ100" s="428"/>
      <c r="AK100" s="428"/>
      <c r="AL100" s="428"/>
      <c r="AM100" s="326"/>
    </row>
    <row r="101" spans="1:39" s="306" customFormat="1" ht="15.6" outlineLevel="1">
      <c r="A101" s="517"/>
      <c r="B101" s="301" t="s">
        <v>15</v>
      </c>
      <c r="C101" s="332"/>
      <c r="D101" s="769"/>
      <c r="E101" s="769"/>
      <c r="F101" s="769"/>
      <c r="G101" s="769"/>
      <c r="H101" s="769"/>
      <c r="I101" s="769"/>
      <c r="J101" s="769"/>
      <c r="K101" s="769"/>
      <c r="L101" s="769"/>
      <c r="M101" s="769"/>
      <c r="N101" s="763"/>
      <c r="O101" s="769"/>
      <c r="P101" s="769"/>
      <c r="Q101" s="769"/>
      <c r="R101" s="769"/>
      <c r="S101" s="769"/>
      <c r="T101" s="769"/>
      <c r="U101" s="769"/>
      <c r="V101" s="769"/>
      <c r="W101" s="769"/>
      <c r="X101" s="769"/>
      <c r="Y101" s="776"/>
      <c r="Z101" s="776"/>
      <c r="AA101" s="776"/>
      <c r="AB101" s="776"/>
      <c r="AC101" s="776"/>
      <c r="AD101" s="776"/>
      <c r="AE101" s="776"/>
      <c r="AF101" s="426"/>
      <c r="AG101" s="426"/>
      <c r="AH101" s="426"/>
      <c r="AI101" s="426"/>
      <c r="AJ101" s="426"/>
      <c r="AK101" s="426"/>
      <c r="AL101" s="426"/>
      <c r="AM101" s="305"/>
    </row>
    <row r="102" spans="1:39" s="296" customFormat="1" ht="15" outlineLevel="1">
      <c r="A102" s="516">
        <v>26</v>
      </c>
      <c r="B102" s="333" t="s">
        <v>16</v>
      </c>
      <c r="C102" s="304" t="s">
        <v>25</v>
      </c>
      <c r="D102" s="308">
        <f>'7.  Persistence Report'!AQ38</f>
        <v>606286.25819361606</v>
      </c>
      <c r="E102" s="308">
        <f>'7.  Persistence Report'!AR38</f>
        <v>606286.25819361606</v>
      </c>
      <c r="F102" s="308">
        <f>'7.  Persistence Report'!AS38</f>
        <v>606286.25819361606</v>
      </c>
      <c r="G102" s="308">
        <f>'7.  Persistence Report'!AT38</f>
        <v>606286.25819361606</v>
      </c>
      <c r="H102" s="308">
        <f>'7.  Persistence Report'!AU38</f>
        <v>606286.25819361606</v>
      </c>
      <c r="I102" s="308">
        <f>'7.  Persistence Report'!AV38</f>
        <v>606286.25819361606</v>
      </c>
      <c r="J102" s="308">
        <f>'7.  Persistence Report'!AW38</f>
        <v>606286.25819361606</v>
      </c>
      <c r="K102" s="308">
        <f>'7.  Persistence Report'!AX38</f>
        <v>606286.25819361606</v>
      </c>
      <c r="L102" s="308">
        <f>'7.  Persistence Report'!AY38</f>
        <v>606286.25819361606</v>
      </c>
      <c r="M102" s="308">
        <f>'7.  Persistence Report'!AZ38</f>
        <v>606286.25819361606</v>
      </c>
      <c r="N102" s="308">
        <v>12</v>
      </c>
      <c r="O102" s="308">
        <f>'7.  Persistence Report'!L38</f>
        <v>112.89486208000002</v>
      </c>
      <c r="P102" s="308">
        <f>'7.  Persistence Report'!M38</f>
        <v>112.89486208000002</v>
      </c>
      <c r="Q102" s="308">
        <f>'7.  Persistence Report'!N38</f>
        <v>112.89486208000002</v>
      </c>
      <c r="R102" s="308">
        <f>'7.  Persistence Report'!O38</f>
        <v>112.89486208000002</v>
      </c>
      <c r="S102" s="308">
        <f>'7.  Persistence Report'!P38</f>
        <v>112.89486208000002</v>
      </c>
      <c r="T102" s="308">
        <f>'7.  Persistence Report'!Q38</f>
        <v>112.89486208000002</v>
      </c>
      <c r="U102" s="308">
        <f>'7.  Persistence Report'!R38</f>
        <v>112.89486208000002</v>
      </c>
      <c r="V102" s="308">
        <f>'7.  Persistence Report'!S38</f>
        <v>112.89486208000002</v>
      </c>
      <c r="W102" s="308">
        <f>'7.  Persistence Report'!T38</f>
        <v>112.89486208000002</v>
      </c>
      <c r="X102" s="308">
        <f>'7.  Persistence Report'!U38</f>
        <v>112.89486208000002</v>
      </c>
      <c r="Y102" s="772"/>
      <c r="Z102" s="772"/>
      <c r="AA102" s="772">
        <v>1</v>
      </c>
      <c r="AB102" s="772"/>
      <c r="AC102" s="772"/>
      <c r="AD102" s="772"/>
      <c r="AE102" s="777"/>
      <c r="AF102" s="427"/>
      <c r="AG102" s="427"/>
      <c r="AH102" s="427"/>
      <c r="AI102" s="427"/>
      <c r="AJ102" s="427"/>
      <c r="AK102" s="427"/>
      <c r="AL102" s="427"/>
      <c r="AM102" s="309">
        <f>SUM(Y102:AL102)</f>
        <v>1</v>
      </c>
    </row>
    <row r="103" spans="1:39" s="296" customFormat="1" ht="15" outlineLevel="1">
      <c r="A103" s="516"/>
      <c r="B103" s="328" t="s">
        <v>214</v>
      </c>
      <c r="C103" s="304" t="s">
        <v>163</v>
      </c>
      <c r="D103" s="308"/>
      <c r="E103" s="308"/>
      <c r="F103" s="308"/>
      <c r="G103" s="308"/>
      <c r="H103" s="308"/>
      <c r="I103" s="308"/>
      <c r="J103" s="308"/>
      <c r="K103" s="308"/>
      <c r="L103" s="308"/>
      <c r="M103" s="308"/>
      <c r="N103" s="308">
        <f>N102</f>
        <v>12</v>
      </c>
      <c r="O103" s="308"/>
      <c r="P103" s="308"/>
      <c r="Q103" s="308"/>
      <c r="R103" s="308"/>
      <c r="S103" s="308"/>
      <c r="T103" s="308"/>
      <c r="U103" s="308"/>
      <c r="V103" s="308"/>
      <c r="W103" s="308"/>
      <c r="X103" s="308"/>
      <c r="Y103" s="773">
        <f>Y102</f>
        <v>0</v>
      </c>
      <c r="Z103" s="773">
        <f>Z102</f>
        <v>0</v>
      </c>
      <c r="AA103" s="773">
        <f t="shared" ref="AA103:AE103" si="50">AA102</f>
        <v>1</v>
      </c>
      <c r="AB103" s="773">
        <f t="shared" si="50"/>
        <v>0</v>
      </c>
      <c r="AC103" s="773">
        <f t="shared" si="50"/>
        <v>0</v>
      </c>
      <c r="AD103" s="773">
        <f t="shared" si="50"/>
        <v>0</v>
      </c>
      <c r="AE103" s="773">
        <f t="shared" si="50"/>
        <v>0</v>
      </c>
      <c r="AF103" s="423">
        <f t="shared" ref="AF103:AL103" si="51">AF102</f>
        <v>0</v>
      </c>
      <c r="AG103" s="423">
        <f t="shared" si="51"/>
        <v>0</v>
      </c>
      <c r="AH103" s="423">
        <f t="shared" si="51"/>
        <v>0</v>
      </c>
      <c r="AI103" s="423">
        <f t="shared" si="51"/>
        <v>0</v>
      </c>
      <c r="AJ103" s="423">
        <f t="shared" si="51"/>
        <v>0</v>
      </c>
      <c r="AK103" s="423">
        <f t="shared" si="51"/>
        <v>0</v>
      </c>
      <c r="AL103" s="423">
        <f t="shared" si="51"/>
        <v>0</v>
      </c>
      <c r="AM103" s="319"/>
    </row>
    <row r="104" spans="1:39" s="322" customFormat="1" ht="15" outlineLevel="1">
      <c r="A104" s="519"/>
      <c r="B104" s="334"/>
      <c r="C104" s="304"/>
      <c r="D104" s="763"/>
      <c r="E104" s="763"/>
      <c r="F104" s="763"/>
      <c r="G104" s="763"/>
      <c r="H104" s="763"/>
      <c r="I104" s="763"/>
      <c r="J104" s="763"/>
      <c r="K104" s="763"/>
      <c r="L104" s="763"/>
      <c r="M104" s="763"/>
      <c r="N104" s="763"/>
      <c r="O104" s="763"/>
      <c r="P104" s="763"/>
      <c r="Q104" s="763"/>
      <c r="R104" s="763"/>
      <c r="S104" s="763"/>
      <c r="T104" s="763"/>
      <c r="U104" s="763"/>
      <c r="V104" s="763"/>
      <c r="W104" s="763"/>
      <c r="X104" s="763"/>
      <c r="Y104" s="785"/>
      <c r="Z104" s="786"/>
      <c r="AA104" s="786"/>
      <c r="AB104" s="786"/>
      <c r="AC104" s="786"/>
      <c r="AD104" s="786"/>
      <c r="AE104" s="786"/>
      <c r="AF104" s="434"/>
      <c r="AG104" s="434"/>
      <c r="AH104" s="434"/>
      <c r="AI104" s="434"/>
      <c r="AJ104" s="434"/>
      <c r="AK104" s="434"/>
      <c r="AL104" s="434"/>
      <c r="AM104" s="310"/>
    </row>
    <row r="105" spans="1:39" s="296" customFormat="1" ht="15" outlineLevel="1">
      <c r="A105" s="516">
        <v>27</v>
      </c>
      <c r="B105" s="333" t="s">
        <v>17</v>
      </c>
      <c r="C105" s="304" t="s">
        <v>25</v>
      </c>
      <c r="D105" s="308">
        <f>'7.  Persistence Report'!AQ39</f>
        <v>1182.1891116275158</v>
      </c>
      <c r="E105" s="308">
        <f>'7.  Persistence Report'!AR39</f>
        <v>1182.1891116275158</v>
      </c>
      <c r="F105" s="308">
        <f>'7.  Persistence Report'!AS39</f>
        <v>1182.1891116275158</v>
      </c>
      <c r="G105" s="308">
        <f>'7.  Persistence Report'!AT39</f>
        <v>1182.1891116275158</v>
      </c>
      <c r="H105" s="308">
        <f>'7.  Persistence Report'!AU39</f>
        <v>1182.1891116275158</v>
      </c>
      <c r="I105" s="308">
        <f>'7.  Persistence Report'!AV39</f>
        <v>1182.1891116275158</v>
      </c>
      <c r="J105" s="308">
        <f>'7.  Persistence Report'!AW39</f>
        <v>1182.1891116275158</v>
      </c>
      <c r="K105" s="308">
        <f>'7.  Persistence Report'!AX39</f>
        <v>1182.1891116275158</v>
      </c>
      <c r="L105" s="308">
        <f>'7.  Persistence Report'!AY39</f>
        <v>1182.1891116275158</v>
      </c>
      <c r="M105" s="308">
        <f>'7.  Persistence Report'!AZ39</f>
        <v>1182.1891116275158</v>
      </c>
      <c r="N105" s="308">
        <v>12</v>
      </c>
      <c r="O105" s="308">
        <f>'7.  Persistence Report'!L39</f>
        <v>0.23017700771563779</v>
      </c>
      <c r="P105" s="308">
        <f>'7.  Persistence Report'!M39</f>
        <v>0.23017700771563779</v>
      </c>
      <c r="Q105" s="308">
        <f>'7.  Persistence Report'!N39</f>
        <v>0.23017700771563779</v>
      </c>
      <c r="R105" s="308">
        <f>'7.  Persistence Report'!O39</f>
        <v>0.23017700771563779</v>
      </c>
      <c r="S105" s="308">
        <f>'7.  Persistence Report'!P39</f>
        <v>0.23017700771563779</v>
      </c>
      <c r="T105" s="308">
        <f>'7.  Persistence Report'!Q39</f>
        <v>0.23017700771563779</v>
      </c>
      <c r="U105" s="308">
        <f>'7.  Persistence Report'!R39</f>
        <v>0.23017700771563779</v>
      </c>
      <c r="V105" s="308">
        <f>'7.  Persistence Report'!S39</f>
        <v>0.23017700771563779</v>
      </c>
      <c r="W105" s="308">
        <f>'7.  Persistence Report'!T39</f>
        <v>0.23017700771563779</v>
      </c>
      <c r="X105" s="308">
        <f>'7.  Persistence Report'!U39</f>
        <v>0.23017700771563779</v>
      </c>
      <c r="Y105" s="772"/>
      <c r="Z105" s="772"/>
      <c r="AA105" s="772"/>
      <c r="AB105" s="772">
        <v>1</v>
      </c>
      <c r="AC105" s="772"/>
      <c r="AD105" s="772"/>
      <c r="AE105" s="777"/>
      <c r="AF105" s="427"/>
      <c r="AG105" s="427"/>
      <c r="AH105" s="427"/>
      <c r="AI105" s="427"/>
      <c r="AJ105" s="427"/>
      <c r="AK105" s="427"/>
      <c r="AL105" s="427"/>
      <c r="AM105" s="309">
        <f>SUM(Y105:AL105)</f>
        <v>1</v>
      </c>
    </row>
    <row r="106" spans="1:39" s="296" customFormat="1" ht="15" outlineLevel="1">
      <c r="A106" s="516"/>
      <c r="B106" s="328" t="s">
        <v>214</v>
      </c>
      <c r="C106" s="304" t="s">
        <v>163</v>
      </c>
      <c r="D106" s="308">
        <f>'7.  Persistence Report'!AQ40</f>
        <v>0</v>
      </c>
      <c r="E106" s="308">
        <f>'7.  Persistence Report'!AR40</f>
        <v>0</v>
      </c>
      <c r="F106" s="308">
        <f>'7.  Persistence Report'!AS40</f>
        <v>0</v>
      </c>
      <c r="G106" s="308">
        <f>'7.  Persistence Report'!AT40</f>
        <v>0</v>
      </c>
      <c r="H106" s="308">
        <f>'7.  Persistence Report'!AU40</f>
        <v>0</v>
      </c>
      <c r="I106" s="308">
        <f>'7.  Persistence Report'!AV40</f>
        <v>0</v>
      </c>
      <c r="J106" s="308">
        <f>'7.  Persistence Report'!AW40</f>
        <v>0</v>
      </c>
      <c r="K106" s="308">
        <f>'7.  Persistence Report'!AX40</f>
        <v>0</v>
      </c>
      <c r="L106" s="308">
        <f>'7.  Persistence Report'!AY40</f>
        <v>0</v>
      </c>
      <c r="M106" s="308">
        <f>'7.  Persistence Report'!AZ40</f>
        <v>0</v>
      </c>
      <c r="N106" s="308">
        <f>N105</f>
        <v>12</v>
      </c>
      <c r="O106" s="308">
        <f>'7.  Persistence Report'!L40</f>
        <v>0</v>
      </c>
      <c r="P106" s="308">
        <f>'7.  Persistence Report'!M40</f>
        <v>0</v>
      </c>
      <c r="Q106" s="308">
        <f>'7.  Persistence Report'!N40</f>
        <v>0</v>
      </c>
      <c r="R106" s="308">
        <f>'7.  Persistence Report'!O40</f>
        <v>0</v>
      </c>
      <c r="S106" s="308">
        <f>'7.  Persistence Report'!P40</f>
        <v>0</v>
      </c>
      <c r="T106" s="308">
        <f>'7.  Persistence Report'!Q40</f>
        <v>0</v>
      </c>
      <c r="U106" s="308">
        <f>'7.  Persistence Report'!R40</f>
        <v>0</v>
      </c>
      <c r="V106" s="308">
        <f>'7.  Persistence Report'!S40</f>
        <v>0</v>
      </c>
      <c r="W106" s="308">
        <f>'7.  Persistence Report'!T40</f>
        <v>0</v>
      </c>
      <c r="X106" s="308">
        <f>'7.  Persistence Report'!U40</f>
        <v>0</v>
      </c>
      <c r="Y106" s="773">
        <f>Y105</f>
        <v>0</v>
      </c>
      <c r="Z106" s="773">
        <f>Z105</f>
        <v>0</v>
      </c>
      <c r="AA106" s="773">
        <f>AA105</f>
        <v>0</v>
      </c>
      <c r="AB106" s="773">
        <f>AB105</f>
        <v>1</v>
      </c>
      <c r="AC106" s="773">
        <f t="shared" ref="AC106:AE106" si="52">AC105</f>
        <v>0</v>
      </c>
      <c r="AD106" s="773">
        <f t="shared" si="52"/>
        <v>0</v>
      </c>
      <c r="AE106" s="773">
        <f t="shared" si="52"/>
        <v>0</v>
      </c>
      <c r="AF106" s="423">
        <f t="shared" ref="AF106:AL106" si="53">AF105</f>
        <v>0</v>
      </c>
      <c r="AG106" s="423">
        <f t="shared" si="53"/>
        <v>0</v>
      </c>
      <c r="AH106" s="423">
        <f t="shared" si="53"/>
        <v>0</v>
      </c>
      <c r="AI106" s="423">
        <f t="shared" si="53"/>
        <v>0</v>
      </c>
      <c r="AJ106" s="423">
        <f t="shared" si="53"/>
        <v>0</v>
      </c>
      <c r="AK106" s="423">
        <f t="shared" si="53"/>
        <v>0</v>
      </c>
      <c r="AL106" s="423">
        <f t="shared" si="53"/>
        <v>0</v>
      </c>
      <c r="AM106" s="319"/>
    </row>
    <row r="107" spans="1:39" s="322" customFormat="1" ht="15.6" outlineLevel="1">
      <c r="A107" s="519"/>
      <c r="B107" s="335"/>
      <c r="C107" s="313"/>
      <c r="D107" s="763"/>
      <c r="E107" s="763"/>
      <c r="F107" s="763"/>
      <c r="G107" s="763"/>
      <c r="H107" s="763"/>
      <c r="I107" s="763"/>
      <c r="J107" s="763"/>
      <c r="K107" s="763"/>
      <c r="L107" s="763"/>
      <c r="M107" s="763"/>
      <c r="N107" s="771"/>
      <c r="O107" s="763"/>
      <c r="P107" s="763"/>
      <c r="Q107" s="763"/>
      <c r="R107" s="763"/>
      <c r="S107" s="763"/>
      <c r="T107" s="763"/>
      <c r="U107" s="763"/>
      <c r="V107" s="763"/>
      <c r="W107" s="763"/>
      <c r="X107" s="763"/>
      <c r="Y107" s="774"/>
      <c r="Z107" s="774"/>
      <c r="AA107" s="774"/>
      <c r="AB107" s="774"/>
      <c r="AC107" s="774"/>
      <c r="AD107" s="774"/>
      <c r="AE107" s="774"/>
      <c r="AF107" s="424"/>
      <c r="AG107" s="424"/>
      <c r="AH107" s="424"/>
      <c r="AI107" s="424"/>
      <c r="AJ107" s="424"/>
      <c r="AK107" s="424"/>
      <c r="AL107" s="424"/>
      <c r="AM107" s="319"/>
    </row>
    <row r="108" spans="1:39" s="296" customFormat="1" ht="15" outlineLevel="1">
      <c r="A108" s="516">
        <v>28</v>
      </c>
      <c r="B108" s="333" t="s">
        <v>18</v>
      </c>
      <c r="C108" s="304" t="s">
        <v>25</v>
      </c>
      <c r="D108" s="308"/>
      <c r="E108" s="308"/>
      <c r="F108" s="308"/>
      <c r="G108" s="308"/>
      <c r="H108" s="308"/>
      <c r="I108" s="308"/>
      <c r="J108" s="308"/>
      <c r="K108" s="308"/>
      <c r="L108" s="308"/>
      <c r="M108" s="308"/>
      <c r="N108" s="308">
        <v>0</v>
      </c>
      <c r="O108" s="308"/>
      <c r="P108" s="308"/>
      <c r="Q108" s="308"/>
      <c r="R108" s="308"/>
      <c r="S108" s="308"/>
      <c r="T108" s="308"/>
      <c r="U108" s="308"/>
      <c r="V108" s="308"/>
      <c r="W108" s="308"/>
      <c r="X108" s="308"/>
      <c r="Y108" s="772"/>
      <c r="Z108" s="772"/>
      <c r="AA108" s="772"/>
      <c r="AB108" s="772"/>
      <c r="AC108" s="772"/>
      <c r="AD108" s="772"/>
      <c r="AE108" s="777"/>
      <c r="AF108" s="427"/>
      <c r="AG108" s="427"/>
      <c r="AH108" s="427"/>
      <c r="AI108" s="427"/>
      <c r="AJ108" s="427"/>
      <c r="AK108" s="427"/>
      <c r="AL108" s="427"/>
      <c r="AM108" s="309">
        <f>SUM(Y108:AL108)</f>
        <v>0</v>
      </c>
    </row>
    <row r="109" spans="1:39" s="296" customFormat="1" ht="15" outlineLevel="1">
      <c r="A109" s="516"/>
      <c r="B109" s="328" t="s">
        <v>214</v>
      </c>
      <c r="C109" s="304" t="s">
        <v>163</v>
      </c>
      <c r="D109" s="308"/>
      <c r="E109" s="308"/>
      <c r="F109" s="308"/>
      <c r="G109" s="308"/>
      <c r="H109" s="308"/>
      <c r="I109" s="308"/>
      <c r="J109" s="308"/>
      <c r="K109" s="308"/>
      <c r="L109" s="308"/>
      <c r="M109" s="308"/>
      <c r="N109" s="308">
        <f>N108</f>
        <v>0</v>
      </c>
      <c r="O109" s="308"/>
      <c r="P109" s="308"/>
      <c r="Q109" s="308"/>
      <c r="R109" s="308"/>
      <c r="S109" s="308"/>
      <c r="T109" s="308"/>
      <c r="U109" s="308"/>
      <c r="V109" s="308"/>
      <c r="W109" s="308"/>
      <c r="X109" s="308"/>
      <c r="Y109" s="773">
        <f>Y108</f>
        <v>0</v>
      </c>
      <c r="Z109" s="773">
        <f>Z108</f>
        <v>0</v>
      </c>
      <c r="AA109" s="773">
        <f t="shared" ref="AA109:AE109" si="54">AA108</f>
        <v>0</v>
      </c>
      <c r="AB109" s="773">
        <f t="shared" si="54"/>
        <v>0</v>
      </c>
      <c r="AC109" s="773">
        <f t="shared" si="54"/>
        <v>0</v>
      </c>
      <c r="AD109" s="773">
        <f t="shared" si="54"/>
        <v>0</v>
      </c>
      <c r="AE109" s="773">
        <f t="shared" si="54"/>
        <v>0</v>
      </c>
      <c r="AF109" s="423">
        <f t="shared" ref="AF109:AK109" si="55">AF108</f>
        <v>0</v>
      </c>
      <c r="AG109" s="423">
        <f t="shared" si="55"/>
        <v>0</v>
      </c>
      <c r="AH109" s="423">
        <f t="shared" si="55"/>
        <v>0</v>
      </c>
      <c r="AI109" s="423">
        <f t="shared" si="55"/>
        <v>0</v>
      </c>
      <c r="AJ109" s="423">
        <f t="shared" si="55"/>
        <v>0</v>
      </c>
      <c r="AK109" s="423">
        <f t="shared" si="55"/>
        <v>0</v>
      </c>
      <c r="AL109" s="423">
        <f>AL108</f>
        <v>0</v>
      </c>
      <c r="AM109" s="310"/>
    </row>
    <row r="110" spans="1:39" s="322" customFormat="1" ht="15" outlineLevel="1">
      <c r="A110" s="519"/>
      <c r="B110" s="334"/>
      <c r="C110" s="304"/>
      <c r="D110" s="763"/>
      <c r="E110" s="763"/>
      <c r="F110" s="763"/>
      <c r="G110" s="763"/>
      <c r="H110" s="763"/>
      <c r="I110" s="763"/>
      <c r="J110" s="763"/>
      <c r="K110" s="763"/>
      <c r="L110" s="763"/>
      <c r="M110" s="763"/>
      <c r="N110" s="763"/>
      <c r="O110" s="763"/>
      <c r="P110" s="763"/>
      <c r="Q110" s="763"/>
      <c r="R110" s="763"/>
      <c r="S110" s="763"/>
      <c r="T110" s="763"/>
      <c r="U110" s="763"/>
      <c r="V110" s="763"/>
      <c r="W110" s="763"/>
      <c r="X110" s="763"/>
      <c r="Y110" s="774"/>
      <c r="Z110" s="774"/>
      <c r="AA110" s="774"/>
      <c r="AB110" s="774"/>
      <c r="AC110" s="774"/>
      <c r="AD110" s="774"/>
      <c r="AE110" s="774"/>
      <c r="AF110" s="424"/>
      <c r="AG110" s="424"/>
      <c r="AH110" s="424"/>
      <c r="AI110" s="424"/>
      <c r="AJ110" s="424"/>
      <c r="AK110" s="424"/>
      <c r="AL110" s="424"/>
      <c r="AM110" s="319"/>
    </row>
    <row r="111" spans="1:39" s="296" customFormat="1" ht="15" outlineLevel="1">
      <c r="A111" s="516">
        <v>29</v>
      </c>
      <c r="B111" s="336" t="s">
        <v>19</v>
      </c>
      <c r="C111" s="304" t="s">
        <v>25</v>
      </c>
      <c r="D111" s="308"/>
      <c r="E111" s="308"/>
      <c r="F111" s="308"/>
      <c r="G111" s="308"/>
      <c r="H111" s="308"/>
      <c r="I111" s="308"/>
      <c r="J111" s="308"/>
      <c r="K111" s="308"/>
      <c r="L111" s="308"/>
      <c r="M111" s="308"/>
      <c r="N111" s="308">
        <v>0</v>
      </c>
      <c r="O111" s="308"/>
      <c r="P111" s="308"/>
      <c r="Q111" s="308"/>
      <c r="R111" s="308"/>
      <c r="S111" s="308"/>
      <c r="T111" s="308"/>
      <c r="U111" s="308"/>
      <c r="V111" s="308"/>
      <c r="W111" s="308"/>
      <c r="X111" s="308"/>
      <c r="Y111" s="772"/>
      <c r="Z111" s="772"/>
      <c r="AA111" s="772"/>
      <c r="AB111" s="772"/>
      <c r="AC111" s="772"/>
      <c r="AD111" s="772"/>
      <c r="AE111" s="777"/>
      <c r="AF111" s="427"/>
      <c r="AG111" s="427"/>
      <c r="AH111" s="427"/>
      <c r="AI111" s="427"/>
      <c r="AJ111" s="427"/>
      <c r="AK111" s="427"/>
      <c r="AL111" s="427"/>
      <c r="AM111" s="309">
        <f>SUM(Y111:AL111)</f>
        <v>0</v>
      </c>
    </row>
    <row r="112" spans="1:39" s="296" customFormat="1" ht="15" outlineLevel="1">
      <c r="A112" s="516"/>
      <c r="B112" s="336" t="s">
        <v>214</v>
      </c>
      <c r="C112" s="304" t="s">
        <v>163</v>
      </c>
      <c r="D112" s="308"/>
      <c r="E112" s="308"/>
      <c r="F112" s="308"/>
      <c r="G112" s="308"/>
      <c r="H112" s="308"/>
      <c r="I112" s="308"/>
      <c r="J112" s="308"/>
      <c r="K112" s="308"/>
      <c r="L112" s="308"/>
      <c r="M112" s="308"/>
      <c r="N112" s="308">
        <f>N111</f>
        <v>0</v>
      </c>
      <c r="O112" s="308"/>
      <c r="P112" s="308"/>
      <c r="Q112" s="308"/>
      <c r="R112" s="308"/>
      <c r="S112" s="308"/>
      <c r="T112" s="308"/>
      <c r="U112" s="308"/>
      <c r="V112" s="308"/>
      <c r="W112" s="308"/>
      <c r="X112" s="308"/>
      <c r="Y112" s="773">
        <f>Y111</f>
        <v>0</v>
      </c>
      <c r="Z112" s="773">
        <f t="shared" ref="Z112:AE112" si="56">Z111</f>
        <v>0</v>
      </c>
      <c r="AA112" s="773">
        <f t="shared" si="56"/>
        <v>0</v>
      </c>
      <c r="AB112" s="773">
        <f t="shared" si="56"/>
        <v>0</v>
      </c>
      <c r="AC112" s="773">
        <f t="shared" si="56"/>
        <v>0</v>
      </c>
      <c r="AD112" s="773">
        <f t="shared" si="56"/>
        <v>0</v>
      </c>
      <c r="AE112" s="773">
        <f t="shared" si="56"/>
        <v>0</v>
      </c>
      <c r="AF112" s="423">
        <f t="shared" ref="AF112:AK112" si="57">AF111</f>
        <v>0</v>
      </c>
      <c r="AG112" s="423">
        <f t="shared" si="57"/>
        <v>0</v>
      </c>
      <c r="AH112" s="423">
        <f t="shared" si="57"/>
        <v>0</v>
      </c>
      <c r="AI112" s="423">
        <f t="shared" si="57"/>
        <v>0</v>
      </c>
      <c r="AJ112" s="423">
        <f t="shared" si="57"/>
        <v>0</v>
      </c>
      <c r="AK112" s="423">
        <f t="shared" si="57"/>
        <v>0</v>
      </c>
      <c r="AL112" s="423">
        <f>AL111</f>
        <v>0</v>
      </c>
      <c r="AM112" s="512"/>
    </row>
    <row r="113" spans="1:39" s="296" customFormat="1" ht="15" outlineLevel="1">
      <c r="A113" s="516"/>
      <c r="B113" s="336"/>
      <c r="C113" s="304"/>
      <c r="D113" s="763"/>
      <c r="E113" s="763"/>
      <c r="F113" s="763"/>
      <c r="G113" s="763"/>
      <c r="H113" s="763"/>
      <c r="I113" s="763"/>
      <c r="J113" s="763"/>
      <c r="K113" s="763"/>
      <c r="L113" s="763"/>
      <c r="M113" s="763"/>
      <c r="N113" s="763"/>
      <c r="O113" s="763"/>
      <c r="P113" s="763"/>
      <c r="Q113" s="763"/>
      <c r="R113" s="763"/>
      <c r="S113" s="763"/>
      <c r="T113" s="763"/>
      <c r="U113" s="763"/>
      <c r="V113" s="763"/>
      <c r="W113" s="763"/>
      <c r="X113" s="763"/>
      <c r="Y113" s="763"/>
      <c r="Z113" s="774"/>
      <c r="AA113" s="774"/>
      <c r="AB113" s="774"/>
      <c r="AC113" s="774"/>
      <c r="AD113" s="774"/>
      <c r="AE113" s="778"/>
      <c r="AF113" s="428"/>
      <c r="AG113" s="428"/>
      <c r="AH113" s="428"/>
      <c r="AI113" s="428"/>
      <c r="AJ113" s="428"/>
      <c r="AK113" s="428"/>
      <c r="AL113" s="428"/>
      <c r="AM113" s="326"/>
    </row>
    <row r="114" spans="1:39" s="296" customFormat="1" ht="15" outlineLevel="1">
      <c r="A114" s="516">
        <v>30</v>
      </c>
      <c r="B114" s="336" t="s">
        <v>488</v>
      </c>
      <c r="C114" s="304" t="s">
        <v>25</v>
      </c>
      <c r="D114" s="308"/>
      <c r="E114" s="308"/>
      <c r="F114" s="308"/>
      <c r="G114" s="308"/>
      <c r="H114" s="308"/>
      <c r="I114" s="308"/>
      <c r="J114" s="308"/>
      <c r="K114" s="308"/>
      <c r="L114" s="308"/>
      <c r="M114" s="308"/>
      <c r="N114" s="308">
        <v>0</v>
      </c>
      <c r="O114" s="308"/>
      <c r="P114" s="308"/>
      <c r="Q114" s="308"/>
      <c r="R114" s="308"/>
      <c r="S114" s="308"/>
      <c r="T114" s="308"/>
      <c r="U114" s="308"/>
      <c r="V114" s="308"/>
      <c r="W114" s="308"/>
      <c r="X114" s="308"/>
      <c r="Y114" s="772"/>
      <c r="Z114" s="772"/>
      <c r="AA114" s="772"/>
      <c r="AB114" s="772"/>
      <c r="AC114" s="772"/>
      <c r="AD114" s="772"/>
      <c r="AE114" s="777"/>
      <c r="AF114" s="427"/>
      <c r="AG114" s="427"/>
      <c r="AH114" s="427"/>
      <c r="AI114" s="427"/>
      <c r="AJ114" s="427"/>
      <c r="AK114" s="427"/>
      <c r="AL114" s="427"/>
      <c r="AM114" s="309">
        <f>SUM(Y114:AL114)</f>
        <v>0</v>
      </c>
    </row>
    <row r="115" spans="1:39" s="296" customFormat="1" ht="15" outlineLevel="1">
      <c r="A115" s="516"/>
      <c r="B115" s="336" t="s">
        <v>214</v>
      </c>
      <c r="C115" s="304" t="s">
        <v>163</v>
      </c>
      <c r="D115" s="308"/>
      <c r="E115" s="308"/>
      <c r="F115" s="308"/>
      <c r="G115" s="308"/>
      <c r="H115" s="308"/>
      <c r="I115" s="308"/>
      <c r="J115" s="308"/>
      <c r="K115" s="308"/>
      <c r="L115" s="308"/>
      <c r="M115" s="308"/>
      <c r="N115" s="308">
        <f>N114</f>
        <v>0</v>
      </c>
      <c r="O115" s="308"/>
      <c r="P115" s="308"/>
      <c r="Q115" s="308"/>
      <c r="R115" s="308"/>
      <c r="S115" s="308"/>
      <c r="T115" s="308"/>
      <c r="U115" s="308"/>
      <c r="V115" s="308"/>
      <c r="W115" s="308"/>
      <c r="X115" s="308"/>
      <c r="Y115" s="773">
        <f>Y114</f>
        <v>0</v>
      </c>
      <c r="Z115" s="773">
        <f t="shared" ref="Z115:AE115" si="58">Z114</f>
        <v>0</v>
      </c>
      <c r="AA115" s="773">
        <f t="shared" si="58"/>
        <v>0</v>
      </c>
      <c r="AB115" s="773">
        <f t="shared" si="58"/>
        <v>0</v>
      </c>
      <c r="AC115" s="773">
        <f t="shared" si="58"/>
        <v>0</v>
      </c>
      <c r="AD115" s="773">
        <f t="shared" si="58"/>
        <v>0</v>
      </c>
      <c r="AE115" s="773">
        <f t="shared" si="58"/>
        <v>0</v>
      </c>
      <c r="AF115" s="423">
        <f t="shared" ref="AF115:AL115" si="59">AF114</f>
        <v>0</v>
      </c>
      <c r="AG115" s="423">
        <f t="shared" si="59"/>
        <v>0</v>
      </c>
      <c r="AH115" s="423">
        <f t="shared" si="59"/>
        <v>0</v>
      </c>
      <c r="AI115" s="423">
        <f t="shared" si="59"/>
        <v>0</v>
      </c>
      <c r="AJ115" s="423">
        <f t="shared" si="59"/>
        <v>0</v>
      </c>
      <c r="AK115" s="423">
        <f t="shared" si="59"/>
        <v>0</v>
      </c>
      <c r="AL115" s="423">
        <f t="shared" si="59"/>
        <v>0</v>
      </c>
      <c r="AM115" s="512"/>
    </row>
    <row r="116" spans="1:39" s="296" customFormat="1" ht="15" outlineLevel="1">
      <c r="A116" s="516"/>
      <c r="B116" s="336"/>
      <c r="C116" s="304"/>
      <c r="D116" s="763"/>
      <c r="E116" s="763"/>
      <c r="F116" s="763"/>
      <c r="G116" s="763"/>
      <c r="H116" s="763"/>
      <c r="I116" s="763"/>
      <c r="J116" s="763"/>
      <c r="K116" s="763"/>
      <c r="L116" s="763"/>
      <c r="M116" s="763"/>
      <c r="N116" s="763"/>
      <c r="O116" s="763"/>
      <c r="P116" s="763"/>
      <c r="Q116" s="763"/>
      <c r="R116" s="763"/>
      <c r="S116" s="763"/>
      <c r="T116" s="763"/>
      <c r="U116" s="763"/>
      <c r="V116" s="763"/>
      <c r="W116" s="763"/>
      <c r="X116" s="763"/>
      <c r="Y116" s="763"/>
      <c r="Z116" s="774"/>
      <c r="AA116" s="774"/>
      <c r="AB116" s="774"/>
      <c r="AC116" s="774"/>
      <c r="AD116" s="774"/>
      <c r="AE116" s="778"/>
      <c r="AF116" s="428"/>
      <c r="AG116" s="428"/>
      <c r="AH116" s="428"/>
      <c r="AI116" s="428"/>
      <c r="AJ116" s="428"/>
      <c r="AK116" s="428"/>
      <c r="AL116" s="428"/>
      <c r="AM116" s="326"/>
    </row>
    <row r="117" spans="1:39" s="296" customFormat="1" ht="15.6" outlineLevel="1">
      <c r="A117" s="516"/>
      <c r="B117" s="301" t="s">
        <v>489</v>
      </c>
      <c r="C117" s="304"/>
      <c r="D117" s="763"/>
      <c r="E117" s="763"/>
      <c r="F117" s="763"/>
      <c r="G117" s="763"/>
      <c r="H117" s="763"/>
      <c r="I117" s="763"/>
      <c r="J117" s="763"/>
      <c r="K117" s="763"/>
      <c r="L117" s="763"/>
      <c r="M117" s="763"/>
      <c r="N117" s="763"/>
      <c r="O117" s="763"/>
      <c r="P117" s="763"/>
      <c r="Q117" s="763"/>
      <c r="R117" s="763"/>
      <c r="S117" s="763"/>
      <c r="T117" s="763"/>
      <c r="U117" s="763"/>
      <c r="V117" s="763"/>
      <c r="W117" s="763"/>
      <c r="X117" s="763"/>
      <c r="Y117" s="763"/>
      <c r="Z117" s="774"/>
      <c r="AA117" s="774"/>
      <c r="AB117" s="774"/>
      <c r="AC117" s="774"/>
      <c r="AD117" s="774"/>
      <c r="AE117" s="778"/>
      <c r="AF117" s="428"/>
      <c r="AG117" s="428"/>
      <c r="AH117" s="428"/>
      <c r="AI117" s="428"/>
      <c r="AJ117" s="428"/>
      <c r="AK117" s="428"/>
      <c r="AL117" s="428"/>
      <c r="AM117" s="326"/>
    </row>
    <row r="118" spans="1:39" s="296" customFormat="1" ht="15" outlineLevel="1">
      <c r="A118" s="516">
        <v>31</v>
      </c>
      <c r="B118" s="336" t="s">
        <v>490</v>
      </c>
      <c r="C118" s="304" t="s">
        <v>25</v>
      </c>
      <c r="D118" s="308"/>
      <c r="E118" s="308"/>
      <c r="F118" s="308"/>
      <c r="G118" s="308"/>
      <c r="H118" s="308"/>
      <c r="I118" s="308"/>
      <c r="J118" s="308"/>
      <c r="K118" s="308"/>
      <c r="L118" s="308"/>
      <c r="M118" s="308"/>
      <c r="N118" s="308">
        <v>0</v>
      </c>
      <c r="O118" s="308"/>
      <c r="P118" s="308"/>
      <c r="Q118" s="308"/>
      <c r="R118" s="308"/>
      <c r="S118" s="308"/>
      <c r="T118" s="308"/>
      <c r="U118" s="308"/>
      <c r="V118" s="308"/>
      <c r="W118" s="308"/>
      <c r="X118" s="308"/>
      <c r="Y118" s="772"/>
      <c r="Z118" s="772"/>
      <c r="AA118" s="772"/>
      <c r="AB118" s="772"/>
      <c r="AC118" s="772"/>
      <c r="AD118" s="772"/>
      <c r="AE118" s="777"/>
      <c r="AF118" s="427"/>
      <c r="AG118" s="427"/>
      <c r="AH118" s="427"/>
      <c r="AI118" s="427"/>
      <c r="AJ118" s="427"/>
      <c r="AK118" s="427"/>
      <c r="AL118" s="427"/>
      <c r="AM118" s="309">
        <f>SUM(Y118:AL118)</f>
        <v>0</v>
      </c>
    </row>
    <row r="119" spans="1:39" s="296" customFormat="1" ht="15" outlineLevel="1">
      <c r="A119" s="516"/>
      <c r="B119" s="336" t="s">
        <v>214</v>
      </c>
      <c r="C119" s="304" t="s">
        <v>163</v>
      </c>
      <c r="D119" s="308"/>
      <c r="E119" s="308"/>
      <c r="F119" s="308"/>
      <c r="G119" s="308"/>
      <c r="H119" s="308"/>
      <c r="I119" s="308"/>
      <c r="J119" s="308"/>
      <c r="K119" s="308"/>
      <c r="L119" s="308"/>
      <c r="M119" s="308"/>
      <c r="N119" s="308">
        <f>N118</f>
        <v>0</v>
      </c>
      <c r="O119" s="308"/>
      <c r="P119" s="308"/>
      <c r="Q119" s="308"/>
      <c r="R119" s="308"/>
      <c r="S119" s="308"/>
      <c r="T119" s="308"/>
      <c r="U119" s="308"/>
      <c r="V119" s="308"/>
      <c r="W119" s="308"/>
      <c r="X119" s="308"/>
      <c r="Y119" s="773">
        <f>Y118</f>
        <v>0</v>
      </c>
      <c r="Z119" s="773">
        <f t="shared" ref="Z119:AE119" si="60">Z118</f>
        <v>0</v>
      </c>
      <c r="AA119" s="773">
        <f t="shared" si="60"/>
        <v>0</v>
      </c>
      <c r="AB119" s="773">
        <f t="shared" si="60"/>
        <v>0</v>
      </c>
      <c r="AC119" s="773">
        <f t="shared" si="60"/>
        <v>0</v>
      </c>
      <c r="AD119" s="773">
        <f t="shared" si="60"/>
        <v>0</v>
      </c>
      <c r="AE119" s="773">
        <f t="shared" si="60"/>
        <v>0</v>
      </c>
      <c r="AF119" s="423">
        <f t="shared" ref="AF119:AL119" si="61">AF118</f>
        <v>0</v>
      </c>
      <c r="AG119" s="423">
        <f t="shared" si="61"/>
        <v>0</v>
      </c>
      <c r="AH119" s="423">
        <f t="shared" si="61"/>
        <v>0</v>
      </c>
      <c r="AI119" s="423">
        <f t="shared" si="61"/>
        <v>0</v>
      </c>
      <c r="AJ119" s="423">
        <f t="shared" si="61"/>
        <v>0</v>
      </c>
      <c r="AK119" s="423">
        <f t="shared" si="61"/>
        <v>0</v>
      </c>
      <c r="AL119" s="423">
        <f t="shared" si="61"/>
        <v>0</v>
      </c>
      <c r="AM119" s="512"/>
    </row>
    <row r="120" spans="1:39" s="296" customFormat="1" ht="15" outlineLevel="1">
      <c r="A120" s="516"/>
      <c r="B120" s="336"/>
      <c r="C120" s="304"/>
      <c r="D120" s="763"/>
      <c r="E120" s="763"/>
      <c r="F120" s="763"/>
      <c r="G120" s="763"/>
      <c r="H120" s="763"/>
      <c r="I120" s="763"/>
      <c r="J120" s="763"/>
      <c r="K120" s="763"/>
      <c r="L120" s="763"/>
      <c r="M120" s="763"/>
      <c r="N120" s="763"/>
      <c r="O120" s="763"/>
      <c r="P120" s="763"/>
      <c r="Q120" s="763"/>
      <c r="R120" s="763"/>
      <c r="S120" s="763"/>
      <c r="T120" s="763"/>
      <c r="U120" s="763"/>
      <c r="V120" s="763"/>
      <c r="W120" s="763"/>
      <c r="X120" s="763"/>
      <c r="Y120" s="774"/>
      <c r="Z120" s="774"/>
      <c r="AA120" s="774"/>
      <c r="AB120" s="774"/>
      <c r="AC120" s="774"/>
      <c r="AD120" s="774"/>
      <c r="AE120" s="778"/>
      <c r="AF120" s="428"/>
      <c r="AG120" s="428"/>
      <c r="AH120" s="428"/>
      <c r="AI120" s="428"/>
      <c r="AJ120" s="428"/>
      <c r="AK120" s="428"/>
      <c r="AL120" s="428"/>
      <c r="AM120" s="326"/>
    </row>
    <row r="121" spans="1:39" s="296" customFormat="1" ht="15" outlineLevel="1">
      <c r="A121" s="516">
        <v>32</v>
      </c>
      <c r="B121" s="336" t="s">
        <v>491</v>
      </c>
      <c r="C121" s="304" t="s">
        <v>25</v>
      </c>
      <c r="D121" s="308"/>
      <c r="E121" s="308"/>
      <c r="F121" s="308"/>
      <c r="G121" s="308"/>
      <c r="H121" s="308"/>
      <c r="I121" s="308"/>
      <c r="J121" s="308"/>
      <c r="K121" s="308"/>
      <c r="L121" s="308"/>
      <c r="M121" s="308"/>
      <c r="N121" s="308">
        <v>0</v>
      </c>
      <c r="O121" s="308"/>
      <c r="P121" s="308"/>
      <c r="Q121" s="308"/>
      <c r="R121" s="308"/>
      <c r="S121" s="308"/>
      <c r="T121" s="308"/>
      <c r="U121" s="308"/>
      <c r="V121" s="308"/>
      <c r="W121" s="308"/>
      <c r="X121" s="308"/>
      <c r="Y121" s="772"/>
      <c r="Z121" s="772"/>
      <c r="AA121" s="772"/>
      <c r="AB121" s="772"/>
      <c r="AC121" s="772"/>
      <c r="AD121" s="772"/>
      <c r="AE121" s="777"/>
      <c r="AF121" s="427"/>
      <c r="AG121" s="427"/>
      <c r="AH121" s="427"/>
      <c r="AI121" s="427"/>
      <c r="AJ121" s="427"/>
      <c r="AK121" s="427"/>
      <c r="AL121" s="427"/>
      <c r="AM121" s="309">
        <f>SUM(Y121:AL121)</f>
        <v>0</v>
      </c>
    </row>
    <row r="122" spans="1:39" s="296" customFormat="1" ht="15" outlineLevel="1">
      <c r="A122" s="516"/>
      <c r="B122" s="336" t="s">
        <v>214</v>
      </c>
      <c r="C122" s="304" t="s">
        <v>163</v>
      </c>
      <c r="D122" s="308"/>
      <c r="E122" s="308"/>
      <c r="F122" s="308"/>
      <c r="G122" s="308"/>
      <c r="H122" s="308"/>
      <c r="I122" s="308"/>
      <c r="J122" s="308"/>
      <c r="K122" s="308"/>
      <c r="L122" s="308"/>
      <c r="M122" s="308"/>
      <c r="N122" s="308">
        <f>N121</f>
        <v>0</v>
      </c>
      <c r="O122" s="308"/>
      <c r="P122" s="308"/>
      <c r="Q122" s="308"/>
      <c r="R122" s="308"/>
      <c r="S122" s="308"/>
      <c r="T122" s="308"/>
      <c r="U122" s="308"/>
      <c r="V122" s="308"/>
      <c r="W122" s="308"/>
      <c r="X122" s="308"/>
      <c r="Y122" s="773">
        <f>Y121</f>
        <v>0</v>
      </c>
      <c r="Z122" s="773">
        <f t="shared" ref="Z122:AE122" si="62">Z121</f>
        <v>0</v>
      </c>
      <c r="AA122" s="773">
        <f t="shared" si="62"/>
        <v>0</v>
      </c>
      <c r="AB122" s="773">
        <f t="shared" si="62"/>
        <v>0</v>
      </c>
      <c r="AC122" s="773">
        <f t="shared" si="62"/>
        <v>0</v>
      </c>
      <c r="AD122" s="773">
        <f t="shared" si="62"/>
        <v>0</v>
      </c>
      <c r="AE122" s="773">
        <f t="shared" si="62"/>
        <v>0</v>
      </c>
      <c r="AF122" s="423">
        <f t="shared" ref="AF122:AL122" si="63">AF121</f>
        <v>0</v>
      </c>
      <c r="AG122" s="423">
        <f t="shared" si="63"/>
        <v>0</v>
      </c>
      <c r="AH122" s="423">
        <f t="shared" si="63"/>
        <v>0</v>
      </c>
      <c r="AI122" s="423">
        <f t="shared" si="63"/>
        <v>0</v>
      </c>
      <c r="AJ122" s="423">
        <f t="shared" si="63"/>
        <v>0</v>
      </c>
      <c r="AK122" s="423">
        <f t="shared" si="63"/>
        <v>0</v>
      </c>
      <c r="AL122" s="423">
        <f t="shared" si="63"/>
        <v>0</v>
      </c>
      <c r="AM122" s="512"/>
    </row>
    <row r="123" spans="1:39" s="296" customFormat="1" ht="15" outlineLevel="1">
      <c r="A123" s="516"/>
      <c r="B123" s="336"/>
      <c r="C123" s="304"/>
      <c r="D123" s="763"/>
      <c r="E123" s="763"/>
      <c r="F123" s="763"/>
      <c r="G123" s="763"/>
      <c r="H123" s="763"/>
      <c r="I123" s="763"/>
      <c r="J123" s="763"/>
      <c r="K123" s="763"/>
      <c r="L123" s="763"/>
      <c r="M123" s="763"/>
      <c r="N123" s="763"/>
      <c r="O123" s="763"/>
      <c r="P123" s="763"/>
      <c r="Q123" s="763"/>
      <c r="R123" s="763"/>
      <c r="S123" s="763"/>
      <c r="T123" s="763"/>
      <c r="U123" s="763"/>
      <c r="V123" s="763"/>
      <c r="W123" s="763"/>
      <c r="X123" s="763"/>
      <c r="Y123" s="774"/>
      <c r="Z123" s="774"/>
      <c r="AA123" s="774"/>
      <c r="AB123" s="774"/>
      <c r="AC123" s="774"/>
      <c r="AD123" s="774"/>
      <c r="AE123" s="778"/>
      <c r="AF123" s="428"/>
      <c r="AG123" s="428"/>
      <c r="AH123" s="428"/>
      <c r="AI123" s="428"/>
      <c r="AJ123" s="428"/>
      <c r="AK123" s="428"/>
      <c r="AL123" s="428"/>
      <c r="AM123" s="326"/>
    </row>
    <row r="124" spans="1:39" s="296" customFormat="1" ht="15" outlineLevel="1">
      <c r="A124" s="516">
        <v>33</v>
      </c>
      <c r="B124" s="336" t="s">
        <v>492</v>
      </c>
      <c r="C124" s="304" t="s">
        <v>25</v>
      </c>
      <c r="D124" s="308"/>
      <c r="E124" s="308"/>
      <c r="F124" s="308"/>
      <c r="G124" s="308"/>
      <c r="H124" s="308"/>
      <c r="I124" s="308"/>
      <c r="J124" s="308"/>
      <c r="K124" s="308"/>
      <c r="L124" s="308"/>
      <c r="M124" s="308"/>
      <c r="N124" s="308">
        <v>12</v>
      </c>
      <c r="O124" s="308"/>
      <c r="P124" s="308"/>
      <c r="Q124" s="308"/>
      <c r="R124" s="308"/>
      <c r="S124" s="308"/>
      <c r="T124" s="308"/>
      <c r="U124" s="308"/>
      <c r="V124" s="308"/>
      <c r="W124" s="308"/>
      <c r="X124" s="308"/>
      <c r="Y124" s="772"/>
      <c r="Z124" s="772"/>
      <c r="AA124" s="772"/>
      <c r="AB124" s="772"/>
      <c r="AC124" s="772"/>
      <c r="AD124" s="772"/>
      <c r="AE124" s="777"/>
      <c r="AF124" s="427"/>
      <c r="AG124" s="427"/>
      <c r="AH124" s="427"/>
      <c r="AI124" s="427"/>
      <c r="AJ124" s="427"/>
      <c r="AK124" s="427"/>
      <c r="AL124" s="427"/>
      <c r="AM124" s="309">
        <f>SUM(Y124:AL124)</f>
        <v>0</v>
      </c>
    </row>
    <row r="125" spans="1:39" s="296" customFormat="1" ht="15" outlineLevel="1">
      <c r="A125" s="516"/>
      <c r="B125" s="336" t="s">
        <v>214</v>
      </c>
      <c r="C125" s="304" t="s">
        <v>163</v>
      </c>
      <c r="D125" s="308"/>
      <c r="E125" s="308"/>
      <c r="F125" s="308"/>
      <c r="G125" s="308"/>
      <c r="H125" s="308"/>
      <c r="I125" s="308"/>
      <c r="J125" s="308"/>
      <c r="K125" s="308"/>
      <c r="L125" s="308"/>
      <c r="M125" s="308"/>
      <c r="N125" s="308">
        <f>N124</f>
        <v>12</v>
      </c>
      <c r="O125" s="308"/>
      <c r="P125" s="308"/>
      <c r="Q125" s="308"/>
      <c r="R125" s="308"/>
      <c r="S125" s="308"/>
      <c r="T125" s="308"/>
      <c r="U125" s="308"/>
      <c r="V125" s="308"/>
      <c r="W125" s="308"/>
      <c r="X125" s="308"/>
      <c r="Y125" s="773">
        <f>Y124</f>
        <v>0</v>
      </c>
      <c r="Z125" s="773">
        <f t="shared" ref="Z125:AE125" si="64">Z124</f>
        <v>0</v>
      </c>
      <c r="AA125" s="773">
        <f t="shared" si="64"/>
        <v>0</v>
      </c>
      <c r="AB125" s="773">
        <f t="shared" si="64"/>
        <v>0</v>
      </c>
      <c r="AC125" s="773">
        <f t="shared" si="64"/>
        <v>0</v>
      </c>
      <c r="AD125" s="773">
        <f t="shared" si="64"/>
        <v>0</v>
      </c>
      <c r="AE125" s="773">
        <f t="shared" si="64"/>
        <v>0</v>
      </c>
      <c r="AF125" s="423">
        <f t="shared" ref="AF125:AL125" si="65">AF124</f>
        <v>0</v>
      </c>
      <c r="AG125" s="423">
        <f t="shared" si="65"/>
        <v>0</v>
      </c>
      <c r="AH125" s="423">
        <f t="shared" si="65"/>
        <v>0</v>
      </c>
      <c r="AI125" s="423">
        <f t="shared" si="65"/>
        <v>0</v>
      </c>
      <c r="AJ125" s="423">
        <f t="shared" si="65"/>
        <v>0</v>
      </c>
      <c r="AK125" s="423">
        <f t="shared" si="65"/>
        <v>0</v>
      </c>
      <c r="AL125" s="423">
        <f t="shared" si="65"/>
        <v>0</v>
      </c>
      <c r="AM125" s="512"/>
    </row>
    <row r="126" spans="1:39" s="296" customFormat="1" ht="15" outlineLevel="1">
      <c r="A126" s="516"/>
      <c r="B126" s="328"/>
      <c r="C126" s="337"/>
      <c r="D126" s="338"/>
      <c r="E126" s="338"/>
      <c r="F126" s="338"/>
      <c r="G126" s="338"/>
      <c r="H126" s="338"/>
      <c r="I126" s="338"/>
      <c r="J126" s="338"/>
      <c r="K126" s="338"/>
      <c r="L126" s="338"/>
      <c r="M126" s="338"/>
      <c r="N126" s="338"/>
      <c r="O126" s="338"/>
      <c r="P126" s="338"/>
      <c r="Q126" s="338"/>
      <c r="R126" s="338"/>
      <c r="S126" s="338"/>
      <c r="T126" s="338"/>
      <c r="U126" s="338"/>
      <c r="V126" s="338"/>
      <c r="W126" s="338"/>
      <c r="X126" s="338"/>
      <c r="Y126" s="424"/>
      <c r="Z126" s="424"/>
      <c r="AA126" s="424"/>
      <c r="AB126" s="424"/>
      <c r="AC126" s="424"/>
      <c r="AD126" s="424"/>
      <c r="AE126" s="424"/>
      <c r="AF126" s="424"/>
      <c r="AG126" s="424"/>
      <c r="AH126" s="424"/>
      <c r="AI126" s="424"/>
      <c r="AJ126" s="424"/>
      <c r="AK126" s="424"/>
      <c r="AL126" s="424"/>
      <c r="AM126" s="319"/>
    </row>
    <row r="127" spans="1:39" s="296" customFormat="1" ht="15.6">
      <c r="A127" s="516"/>
      <c r="B127" s="339" t="s">
        <v>237</v>
      </c>
      <c r="C127" s="340"/>
      <c r="D127" s="340">
        <f>SUM(D22:D125)</f>
        <v>2245334.6748896148</v>
      </c>
      <c r="E127" s="340"/>
      <c r="F127" s="340"/>
      <c r="G127" s="340"/>
      <c r="H127" s="340"/>
      <c r="I127" s="340"/>
      <c r="J127" s="340"/>
      <c r="K127" s="340"/>
      <c r="L127" s="340"/>
      <c r="M127" s="340"/>
      <c r="N127" s="340"/>
      <c r="O127" s="340">
        <f>SUM(O22:O125)</f>
        <v>472.89813519086238</v>
      </c>
      <c r="P127" s="340"/>
      <c r="Q127" s="340"/>
      <c r="R127" s="340"/>
      <c r="S127" s="340"/>
      <c r="T127" s="340"/>
      <c r="U127" s="340"/>
      <c r="V127" s="340"/>
      <c r="W127" s="340"/>
      <c r="X127" s="340"/>
      <c r="Y127" s="341">
        <f>IF(Y21="kWh",SUMPRODUCT(D22:D125,Y22:Y125))</f>
        <v>622434.94459032675</v>
      </c>
      <c r="Z127" s="341">
        <f>IF(Z21="kWh",SUMPRODUCT(D22:D125,Z22:Z125))</f>
        <v>614431.26012000686</v>
      </c>
      <c r="AA127" s="341">
        <f>IF(AA21="kW",SUMPRODUCT(N22:N125,O22:O125,AA22:AA125),SUMPRODUCT(D22:D125,AA22:AA125))</f>
        <v>2374.7830990463208</v>
      </c>
      <c r="AB127" s="341">
        <f>IF(AB21="kW",SUMPRODUCT(N22:N125,O22:O125,AB22:AB125),SUMPRODUCT(D22:D125,AB22:AB125))</f>
        <v>2.7621240925876536</v>
      </c>
      <c r="AC127" s="341">
        <f>IF(AC21="kW",SUMPRODUCT(N22:N125,O22:O125,AC22:AC125),SUMPRODUCT(D22:D125,AC22:AC125))</f>
        <v>0</v>
      </c>
      <c r="AD127" s="341">
        <f>IF(AD21="kW",SUMPRODUCT(N22:N125,O22:O125,AD22:AD125),SUMPRODUCT(D22:D125,AD22:AD125))</f>
        <v>0</v>
      </c>
      <c r="AE127" s="341">
        <f>IF(AE21="kW",SUMPRODUCT(N22:N125,O22:O125,AE22:AE125),SUMPRODUCT(D22:D125,AE22:AE125))</f>
        <v>0</v>
      </c>
      <c r="AF127" s="341">
        <f>IF(AF21="kW",SUMPRODUCT(N22:N125,O22:O125,AF22:AF125),SUMPRODUCT(D22:D125,AF22:AF125))</f>
        <v>0</v>
      </c>
      <c r="AG127" s="341">
        <f>IF(AG21="kW",SUMPRODUCT(N22:N125,O22:O125,AG22:AG125),SUMPRODUCT(D22:D125,AG22:AG125))</f>
        <v>0</v>
      </c>
      <c r="AH127" s="341">
        <f>IF(AH21="kW",SUMPRODUCT(N22:N125,O22:O125,AH22:AH125),SUMPRODUCT(D22:D125,AH22:AH125))</f>
        <v>0</v>
      </c>
      <c r="AI127" s="341">
        <f>IF(AI21="kW",SUMPRODUCT(N22:N125,O22:O125,AI22:AI125),SUMPRODUCT(D22:D125,AI22:AI125))</f>
        <v>0</v>
      </c>
      <c r="AJ127" s="341">
        <f>IF(AJ21="kW",SUMPRODUCT(N22:N125,O22:O125,AJ22:AJ125),SUMPRODUCT(D22:D125,AJ22:AJ125))</f>
        <v>0</v>
      </c>
      <c r="AK127" s="341">
        <f>IF(AK21="kW",SUMPRODUCT(N22:N125,O22:O125,AK22:AK125),SUMPRODUCT(D22:D125,AK22:AK125))</f>
        <v>0</v>
      </c>
      <c r="AL127" s="341">
        <f>IF(AL21="kW",SUMPRODUCT(N22:N125,O22:O125,AL22:AL125),SUMPRODUCT(D22:D125,AL22:AL125))</f>
        <v>0</v>
      </c>
      <c r="AM127" s="342"/>
    </row>
    <row r="128" spans="1:39" s="296" customFormat="1" ht="15.6">
      <c r="A128" s="516"/>
      <c r="B128" s="343" t="s">
        <v>238</v>
      </c>
      <c r="C128" s="340"/>
      <c r="D128" s="340"/>
      <c r="E128" s="340"/>
      <c r="F128" s="340"/>
      <c r="G128" s="340"/>
      <c r="H128" s="340"/>
      <c r="I128" s="340"/>
      <c r="J128" s="340"/>
      <c r="K128" s="340"/>
      <c r="L128" s="340"/>
      <c r="M128" s="340"/>
      <c r="N128" s="340"/>
      <c r="O128" s="340"/>
      <c r="P128" s="340"/>
      <c r="Q128" s="340"/>
      <c r="R128" s="340"/>
      <c r="S128" s="340"/>
      <c r="T128" s="340"/>
      <c r="U128" s="340"/>
      <c r="V128" s="340"/>
      <c r="W128" s="340"/>
      <c r="X128" s="340"/>
      <c r="Y128" s="340">
        <f>HLOOKUP(Y20,'2. LRAMVA Threshold'!$B$42:$Q$53,3,FALSE)</f>
        <v>0</v>
      </c>
      <c r="Z128" s="340">
        <f>HLOOKUP(Z20,'2. LRAMVA Threshold'!$B$42:$Q$53,3,FALSE)</f>
        <v>0</v>
      </c>
      <c r="AA128" s="340">
        <f>HLOOKUP(AA20,'2. LRAMVA Threshold'!$B$42:$Q$53,3,FALSE)</f>
        <v>0</v>
      </c>
      <c r="AB128" s="340">
        <f>HLOOKUP(AB20,'2. LRAMVA Threshold'!$B$42:$Q$53,3,FALSE)</f>
        <v>0</v>
      </c>
      <c r="AC128" s="340">
        <f>HLOOKUP(AC20,'2. LRAMVA Threshold'!$B$42:$Q$53,3,FALSE)</f>
        <v>0</v>
      </c>
      <c r="AD128" s="340">
        <f>HLOOKUP(AD20,'2. LRAMVA Threshold'!$B$42:$Q$53,3,FALSE)</f>
        <v>0</v>
      </c>
      <c r="AE128" s="340">
        <f>HLOOKUP(AE20,'2. LRAMVA Threshold'!$B$42:$Q$53,3,FALSE)</f>
        <v>0</v>
      </c>
      <c r="AF128" s="340">
        <f>HLOOKUP(AF20,'2. LRAMVA Threshold'!$B$42:$Q$53,3,FALSE)</f>
        <v>0</v>
      </c>
      <c r="AG128" s="340">
        <f>HLOOKUP(AG20,'2. LRAMVA Threshold'!$B$42:$Q$53,3,FALSE)</f>
        <v>0</v>
      </c>
      <c r="AH128" s="340">
        <f>HLOOKUP(AH20,'2. LRAMVA Threshold'!$B$42:$Q$53,3,FALSE)</f>
        <v>0</v>
      </c>
      <c r="AI128" s="340">
        <f>HLOOKUP(AI20,'2. LRAMVA Threshold'!$B$42:$Q$53,3,FALSE)</f>
        <v>0</v>
      </c>
      <c r="AJ128" s="340">
        <f>HLOOKUP(AJ20,'2. LRAMVA Threshold'!$B$42:$Q$53,3,FALSE)</f>
        <v>0</v>
      </c>
      <c r="AK128" s="340">
        <f>HLOOKUP(AK20,'2. LRAMVA Threshold'!$B$42:$Q$53,3,FALSE)</f>
        <v>0</v>
      </c>
      <c r="AL128" s="340">
        <f>HLOOKUP(AL20,'2. LRAMVA Threshold'!$B$42:$Q$53,3,FALSE)</f>
        <v>0</v>
      </c>
      <c r="AM128" s="344"/>
    </row>
    <row r="129" spans="1:40" s="316" customFormat="1" ht="15">
      <c r="A129" s="518"/>
      <c r="B129" s="336"/>
      <c r="C129" s="345"/>
      <c r="D129" s="346"/>
      <c r="E129" s="346"/>
      <c r="F129" s="346"/>
      <c r="G129" s="346"/>
      <c r="H129" s="346"/>
      <c r="I129" s="346"/>
      <c r="J129" s="346"/>
      <c r="K129" s="346"/>
      <c r="L129" s="346"/>
      <c r="M129" s="346"/>
      <c r="N129" s="346"/>
      <c r="O129" s="347"/>
      <c r="P129" s="346"/>
      <c r="Q129" s="346"/>
      <c r="R129" s="346"/>
      <c r="S129" s="348"/>
      <c r="T129" s="348"/>
      <c r="U129" s="348"/>
      <c r="V129" s="348"/>
      <c r="W129" s="346"/>
      <c r="X129" s="346"/>
      <c r="Y129" s="313"/>
      <c r="Z129" s="313"/>
      <c r="AA129" s="313"/>
      <c r="AB129" s="313"/>
      <c r="AC129" s="313"/>
      <c r="AD129" s="313"/>
      <c r="AE129" s="313"/>
      <c r="AF129" s="313"/>
      <c r="AG129" s="313"/>
      <c r="AH129" s="313"/>
      <c r="AI129" s="313"/>
      <c r="AJ129" s="313"/>
      <c r="AK129" s="313"/>
      <c r="AL129" s="313"/>
      <c r="AM129" s="349"/>
    </row>
    <row r="130" spans="1:40" s="356" customFormat="1" ht="15">
      <c r="A130" s="515"/>
      <c r="B130" s="336" t="s">
        <v>164</v>
      </c>
      <c r="C130" s="350"/>
      <c r="D130" s="350"/>
      <c r="E130" s="350"/>
      <c r="F130" s="350"/>
      <c r="G130" s="350"/>
      <c r="H130" s="350"/>
      <c r="I130" s="350"/>
      <c r="J130" s="350"/>
      <c r="K130" s="350"/>
      <c r="L130" s="350"/>
      <c r="M130" s="350"/>
      <c r="N130" s="350"/>
      <c r="O130" s="350"/>
      <c r="P130" s="350"/>
      <c r="Q130" s="350"/>
      <c r="R130" s="350"/>
      <c r="S130" s="350"/>
      <c r="T130" s="351"/>
      <c r="U130" s="351"/>
      <c r="V130" s="351"/>
      <c r="W130" s="352"/>
      <c r="X130" s="352"/>
      <c r="Y130" s="353">
        <f>HLOOKUP(Y$20,'3.  Distribution Rates'!$C$122:$P$133,3,FALSE)</f>
        <v>0</v>
      </c>
      <c r="Z130" s="353">
        <f>HLOOKUP(Z$20,'3.  Distribution Rates'!$C$122:$P$133,3,FALSE)</f>
        <v>0</v>
      </c>
      <c r="AA130" s="353">
        <f>HLOOKUP(AA$20,'3.  Distribution Rates'!$C$122:$P$133,3,FALSE)</f>
        <v>0</v>
      </c>
      <c r="AB130" s="353">
        <f>HLOOKUP(AB$20,'3.  Distribution Rates'!$C$122:$P$133,3,FALSE)</f>
        <v>0</v>
      </c>
      <c r="AC130" s="353">
        <f>HLOOKUP(AC$20,'3.  Distribution Rates'!$C$122:$P$133,3,FALSE)</f>
        <v>0</v>
      </c>
      <c r="AD130" s="353">
        <f>HLOOKUP(AD$20,'3.  Distribution Rates'!$C$122:$P$133,3,FALSE)</f>
        <v>0</v>
      </c>
      <c r="AE130" s="353">
        <f>HLOOKUP(AE$20,'3.  Distribution Rates'!$C$122:$P$133,3,FALSE)</f>
        <v>0</v>
      </c>
      <c r="AF130" s="353">
        <f>HLOOKUP(AF$20,'3.  Distribution Rates'!$C$122:$P$133,3,FALSE)</f>
        <v>0</v>
      </c>
      <c r="AG130" s="353">
        <f>HLOOKUP(AG$20,'3.  Distribution Rates'!$C$122:$P$133,3,FALSE)</f>
        <v>0</v>
      </c>
      <c r="AH130" s="353">
        <f>HLOOKUP(AH$20,'3.  Distribution Rates'!$C$122:$P$133,3,FALSE)</f>
        <v>0</v>
      </c>
      <c r="AI130" s="353">
        <f>HLOOKUP(AI$20,'3.  Distribution Rates'!$C$122:$P$133,3,FALSE)</f>
        <v>0</v>
      </c>
      <c r="AJ130" s="353">
        <f>HLOOKUP(AJ$20,'3.  Distribution Rates'!$C$122:$P$133,3,FALSE)</f>
        <v>0</v>
      </c>
      <c r="AK130" s="353">
        <f>HLOOKUP(AK$20,'3.  Distribution Rates'!$C$122:$P$133,3,FALSE)</f>
        <v>0</v>
      </c>
      <c r="AL130" s="353">
        <f>HLOOKUP(AL$20,'3.  Distribution Rates'!$C$122:$P$133,3,FALSE)</f>
        <v>0</v>
      </c>
      <c r="AM130" s="354"/>
      <c r="AN130" s="355"/>
    </row>
    <row r="131" spans="1:40" s="316" customFormat="1" ht="15.6">
      <c r="A131" s="518"/>
      <c r="B131" s="311" t="s">
        <v>253</v>
      </c>
      <c r="C131" s="357"/>
      <c r="D131" s="348"/>
      <c r="E131" s="346"/>
      <c r="F131" s="346"/>
      <c r="G131" s="346"/>
      <c r="H131" s="346"/>
      <c r="I131" s="346"/>
      <c r="J131" s="346"/>
      <c r="K131" s="346"/>
      <c r="L131" s="346"/>
      <c r="M131" s="346"/>
      <c r="N131" s="346"/>
      <c r="O131" s="313"/>
      <c r="P131" s="346"/>
      <c r="Q131" s="346"/>
      <c r="R131" s="346"/>
      <c r="S131" s="348"/>
      <c r="T131" s="348"/>
      <c r="U131" s="348"/>
      <c r="V131" s="348"/>
      <c r="W131" s="346"/>
      <c r="X131" s="346"/>
      <c r="Y131" s="358">
        <f t="shared" ref="Y131:AD131" si="66">Y127*Y130</f>
        <v>0</v>
      </c>
      <c r="Z131" s="358">
        <f t="shared" si="66"/>
        <v>0</v>
      </c>
      <c r="AA131" s="359">
        <f t="shared" si="66"/>
        <v>0</v>
      </c>
      <c r="AB131" s="359">
        <f t="shared" si="66"/>
        <v>0</v>
      </c>
      <c r="AC131" s="359">
        <f t="shared" si="66"/>
        <v>0</v>
      </c>
      <c r="AD131" s="359">
        <f t="shared" si="66"/>
        <v>0</v>
      </c>
      <c r="AE131" s="359">
        <f>AE127*AE130</f>
        <v>0</v>
      </c>
      <c r="AF131" s="359">
        <f t="shared" ref="AF131:AL131" si="67">AF127*AF130</f>
        <v>0</v>
      </c>
      <c r="AG131" s="359">
        <f t="shared" si="67"/>
        <v>0</v>
      </c>
      <c r="AH131" s="359">
        <f t="shared" si="67"/>
        <v>0</v>
      </c>
      <c r="AI131" s="359">
        <f t="shared" si="67"/>
        <v>0</v>
      </c>
      <c r="AJ131" s="359">
        <f t="shared" si="67"/>
        <v>0</v>
      </c>
      <c r="AK131" s="359">
        <f t="shared" si="67"/>
        <v>0</v>
      </c>
      <c r="AL131" s="359">
        <f t="shared" si="67"/>
        <v>0</v>
      </c>
      <c r="AM131" s="419">
        <f>SUM(Y131:AL131)</f>
        <v>0</v>
      </c>
    </row>
    <row r="132" spans="1:40" s="316" customFormat="1" ht="15.6">
      <c r="A132" s="518"/>
      <c r="B132" s="361" t="s">
        <v>210</v>
      </c>
      <c r="C132" s="357"/>
      <c r="D132" s="362"/>
      <c r="E132" s="346"/>
      <c r="F132" s="346"/>
      <c r="G132" s="346"/>
      <c r="H132" s="346"/>
      <c r="I132" s="346"/>
      <c r="J132" s="346"/>
      <c r="K132" s="346"/>
      <c r="L132" s="346"/>
      <c r="M132" s="346"/>
      <c r="N132" s="346"/>
      <c r="O132" s="313"/>
      <c r="P132" s="346"/>
      <c r="Q132" s="346"/>
      <c r="R132" s="346"/>
      <c r="S132" s="348"/>
      <c r="T132" s="348"/>
      <c r="U132" s="348"/>
      <c r="V132" s="348"/>
      <c r="W132" s="346"/>
      <c r="X132" s="346"/>
      <c r="Y132" s="359">
        <f t="shared" ref="Y132:AD132" si="68">Y128*Y130</f>
        <v>0</v>
      </c>
      <c r="Z132" s="359">
        <f t="shared" si="68"/>
        <v>0</v>
      </c>
      <c r="AA132" s="359">
        <f t="shared" si="68"/>
        <v>0</v>
      </c>
      <c r="AB132" s="359">
        <f t="shared" si="68"/>
        <v>0</v>
      </c>
      <c r="AC132" s="359">
        <f t="shared" si="68"/>
        <v>0</v>
      </c>
      <c r="AD132" s="359">
        <f t="shared" si="68"/>
        <v>0</v>
      </c>
      <c r="AE132" s="359">
        <f>AE128*AE130</f>
        <v>0</v>
      </c>
      <c r="AF132" s="359">
        <f t="shared" ref="AF132:AL132" si="69">AF128*AF130</f>
        <v>0</v>
      </c>
      <c r="AG132" s="359">
        <f t="shared" si="69"/>
        <v>0</v>
      </c>
      <c r="AH132" s="359">
        <f t="shared" si="69"/>
        <v>0</v>
      </c>
      <c r="AI132" s="359">
        <f t="shared" si="69"/>
        <v>0</v>
      </c>
      <c r="AJ132" s="359">
        <f t="shared" si="69"/>
        <v>0</v>
      </c>
      <c r="AK132" s="359">
        <f t="shared" si="69"/>
        <v>0</v>
      </c>
      <c r="AL132" s="359">
        <f t="shared" si="69"/>
        <v>0</v>
      </c>
      <c r="AM132" s="419">
        <f>SUM(Y132:AL132)</f>
        <v>0</v>
      </c>
    </row>
    <row r="133" spans="1:40" s="362" customFormat="1" ht="17.25" customHeight="1">
      <c r="A133" s="520"/>
      <c r="B133" s="361" t="s">
        <v>256</v>
      </c>
      <c r="C133" s="357"/>
      <c r="E133" s="346"/>
      <c r="F133" s="346"/>
      <c r="G133" s="346"/>
      <c r="H133" s="346"/>
      <c r="I133" s="346"/>
      <c r="J133" s="346"/>
      <c r="K133" s="346"/>
      <c r="L133" s="346"/>
      <c r="M133" s="346"/>
      <c r="N133" s="346"/>
      <c r="O133" s="313"/>
      <c r="P133" s="346"/>
      <c r="Q133" s="346"/>
      <c r="R133" s="346"/>
      <c r="W133" s="346"/>
      <c r="X133" s="346"/>
      <c r="Y133" s="363"/>
      <c r="Z133" s="363"/>
      <c r="AA133" s="363"/>
      <c r="AB133" s="363"/>
      <c r="AC133" s="363"/>
      <c r="AD133" s="363"/>
      <c r="AE133" s="363"/>
      <c r="AF133" s="363"/>
      <c r="AG133" s="363"/>
      <c r="AH133" s="363"/>
      <c r="AI133" s="363"/>
      <c r="AJ133" s="363"/>
      <c r="AK133" s="363"/>
      <c r="AL133" s="363"/>
      <c r="AM133" s="419">
        <f>AM131-AM132</f>
        <v>0</v>
      </c>
    </row>
    <row r="134" spans="1:40" s="366" customFormat="1" ht="19.5" customHeight="1">
      <c r="A134" s="515"/>
      <c r="B134" s="336"/>
      <c r="C134" s="362"/>
      <c r="D134" s="362"/>
      <c r="E134" s="346"/>
      <c r="F134" s="346"/>
      <c r="G134" s="346"/>
      <c r="H134" s="346"/>
      <c r="I134" s="346"/>
      <c r="J134" s="346"/>
      <c r="K134" s="346"/>
      <c r="L134" s="346"/>
      <c r="M134" s="346"/>
      <c r="N134" s="346"/>
      <c r="O134" s="313"/>
      <c r="P134" s="346"/>
      <c r="Q134" s="346"/>
      <c r="R134" s="346"/>
      <c r="S134" s="362"/>
      <c r="T134" s="357"/>
      <c r="U134" s="362"/>
      <c r="V134" s="362"/>
      <c r="W134" s="346"/>
      <c r="X134" s="346"/>
      <c r="Y134" s="364"/>
      <c r="Z134" s="364"/>
      <c r="AA134" s="364"/>
      <c r="AB134" s="364"/>
      <c r="AC134" s="364"/>
      <c r="AD134" s="364"/>
      <c r="AE134" s="364"/>
      <c r="AF134" s="364"/>
      <c r="AG134" s="364"/>
      <c r="AH134" s="364"/>
      <c r="AI134" s="364"/>
      <c r="AJ134" s="364"/>
      <c r="AK134" s="364"/>
      <c r="AL134" s="364"/>
      <c r="AM134" s="365"/>
    </row>
    <row r="135" spans="1:40" s="296" customFormat="1" ht="15">
      <c r="A135" s="516"/>
      <c r="B135" s="367" t="s">
        <v>215</v>
      </c>
      <c r="C135" s="368"/>
      <c r="D135" s="292"/>
      <c r="E135" s="292"/>
      <c r="F135" s="292"/>
      <c r="G135" s="292"/>
      <c r="H135" s="292"/>
      <c r="I135" s="292"/>
      <c r="J135" s="292"/>
      <c r="K135" s="292"/>
      <c r="L135" s="292"/>
      <c r="M135" s="292"/>
      <c r="N135" s="292"/>
      <c r="O135" s="369"/>
      <c r="P135" s="292"/>
      <c r="Q135" s="292"/>
      <c r="R135" s="292"/>
      <c r="S135" s="317"/>
      <c r="T135" s="322"/>
      <c r="U135" s="322"/>
      <c r="V135" s="292"/>
      <c r="W135" s="292"/>
      <c r="X135" s="322"/>
      <c r="Y135" s="304">
        <f>SUMPRODUCT(E22:E125,Y22:Y125)</f>
        <v>622434.94459032675</v>
      </c>
      <c r="Z135" s="304">
        <f>SUMPRODUCT(E22:E125,Z22:Z125)</f>
        <v>614431.26012000686</v>
      </c>
      <c r="AA135" s="304">
        <f>IF(AA21="kW",SUMPRODUCT(N22:N125,P22:P125,AA22:AA125),SUMPRODUCT(E22:E125,AA22:AA125))</f>
        <v>2374.7830990463208</v>
      </c>
      <c r="AB135" s="304">
        <f>IF(AB21="kW",SUMPRODUCT(N22:N125,P22:P125,AB22:AB125),SUMPRODUCT(E22:E125,AB22:AB125))</f>
        <v>2.7621240925876536</v>
      </c>
      <c r="AC135" s="304">
        <f>IF(AC21="kW",SUMPRODUCT(N22:N125,P22:P125,AC22:AC125),SUMPRODUCT(E22:E125,AC22:AC125))</f>
        <v>0</v>
      </c>
      <c r="AD135" s="304">
        <f>IF(AD21="kW",SUMPRODUCT(N22:N125,P22:P125,AD22:AD125),SUMPRODUCT(E22:E125,AD22:AD125))</f>
        <v>0</v>
      </c>
      <c r="AE135" s="304">
        <f>IF(AE21="kW",SUMPRODUCT(N22:N125,P22:P125,AE22:AE125),SUMPRODUCT(E22:E125,AE22:AE125))</f>
        <v>0</v>
      </c>
      <c r="AF135" s="304">
        <f>IF(AF21="kW",SUMPRODUCT(N22:N125,P22:P125,AF22:AF125),SUMPRODUCT(E22:E125,AF22:AF125))</f>
        <v>0</v>
      </c>
      <c r="AG135" s="304">
        <f>IF(AG21="kW",SUMPRODUCT(N22:N125,P22:P125,AG22:AG125),SUMPRODUCT(E22:E125,AG22:AG125))</f>
        <v>0</v>
      </c>
      <c r="AH135" s="304">
        <f>IF(AH21="kW",SUMPRODUCT(N22:N125,P22:P125,AH22:AH125),SUMPRODUCT(E22:E125,AH22:AH125))</f>
        <v>0</v>
      </c>
      <c r="AI135" s="304">
        <f>IF(AI21="kW",SUMPRODUCT(N22:N125,P22:P125,AI22:AI125),SUMPRODUCT(E22:E125,AI22:AI125))</f>
        <v>0</v>
      </c>
      <c r="AJ135" s="304">
        <f>IF(AJ21="kW",SUMPRODUCT(N22:N125,P22:P125,AJ22:AJ125),SUMPRODUCT(E22:E125,AJ22:AJ125))</f>
        <v>0</v>
      </c>
      <c r="AK135" s="304">
        <f>IF(AK21="kW",SUMPRODUCT(N22:N125,P22:P125,AK22:AK125),SUMPRODUCT(E22:E125,AK22:AK125))</f>
        <v>0</v>
      </c>
      <c r="AL135" s="304">
        <f>IF(AL21="kW",SUMPRODUCT(N22:N125,P22:P125,AL22:AL125),SUMPRODUCT(E22:E125,AL22:AL125))</f>
        <v>0</v>
      </c>
      <c r="AM135" s="349"/>
    </row>
    <row r="136" spans="1:40" s="296" customFormat="1" ht="15">
      <c r="A136" s="516"/>
      <c r="B136" s="367" t="s">
        <v>216</v>
      </c>
      <c r="C136" s="368"/>
      <c r="D136" s="292"/>
      <c r="E136" s="292"/>
      <c r="F136" s="292"/>
      <c r="G136" s="292"/>
      <c r="H136" s="292"/>
      <c r="I136" s="292"/>
      <c r="J136" s="292"/>
      <c r="K136" s="292"/>
      <c r="L136" s="292"/>
      <c r="M136" s="292"/>
      <c r="N136" s="292"/>
      <c r="O136" s="369"/>
      <c r="P136" s="292"/>
      <c r="Q136" s="292"/>
      <c r="R136" s="292"/>
      <c r="S136" s="317"/>
      <c r="T136" s="322"/>
      <c r="U136" s="322"/>
      <c r="V136" s="292"/>
      <c r="W136" s="292"/>
      <c r="X136" s="322"/>
      <c r="Y136" s="304">
        <f>SUMPRODUCT(F22:F125,Y22:Y125)</f>
        <v>622434.94459032675</v>
      </c>
      <c r="Z136" s="304">
        <f>SUMPRODUCT(F22:F125,Z22:Z125)</f>
        <v>613802.20976318547</v>
      </c>
      <c r="AA136" s="304">
        <f>IF(AA21="kW",SUMPRODUCT(N22:N125,Q22:Q125,AA22:AA125),SUMPRODUCT(F22:F125,AA22:AA125))</f>
        <v>2371.5201931366901</v>
      </c>
      <c r="AB136" s="304">
        <f>IF(AB21="kW",SUMPRODUCT(N22:N125,Q22:Q125,AB22:AB125),SUMPRODUCT(F22:F125,AB22:AB125))</f>
        <v>2.7621240925876536</v>
      </c>
      <c r="AC136" s="304">
        <f>IF(AC21="kW",SUMPRODUCT(N22:N125,Q22:Q125,AC22:AC125),SUMPRODUCT(F22:F125,AC22:AC125))</f>
        <v>0</v>
      </c>
      <c r="AD136" s="304">
        <f>IF(AD21="kW",SUMPRODUCT(N22:N125,Q22:Q125,AD22:AD125),SUMPRODUCT(F22:F125,AD22:AD125))</f>
        <v>0</v>
      </c>
      <c r="AE136" s="304">
        <f>IF(AE21="kW",SUMPRODUCT(N22:N125,Q22:Q125,AE22:AE125),SUMPRODUCT(F22:F125,AE22:AE125))</f>
        <v>0</v>
      </c>
      <c r="AF136" s="304">
        <f>IF(AF21="kW",SUMPRODUCT(N22:N125,Q22:Q125,AF22:AF125),SUMPRODUCT(F22:F125,AF22:AF125))</f>
        <v>0</v>
      </c>
      <c r="AG136" s="304">
        <f>IF(AG21="kW",SUMPRODUCT(N22:N125,Q22:Q125,AG22:AG125),SUMPRODUCT(F22:F125,AG22:AG125))</f>
        <v>0</v>
      </c>
      <c r="AH136" s="304">
        <f>IF(AH21="kW",SUMPRODUCT(N22:N125,Q22:Q125,AH22:AH125),SUMPRODUCT(F22:F125,AH22:AH125))</f>
        <v>0</v>
      </c>
      <c r="AI136" s="304">
        <f>IF(AI21="kW",SUMPRODUCT(N22:N125,Q22:Q125,AI22:AI125),SUMPRODUCT(F22:F125,AI22:AI125))</f>
        <v>0</v>
      </c>
      <c r="AJ136" s="304">
        <f>IF(AJ21="kW",SUMPRODUCT(N22:N125,Q22:Q125,AJ22:AJ125),SUMPRODUCT(F22:F125,AJ22:AJ125))</f>
        <v>0</v>
      </c>
      <c r="AK136" s="304">
        <f>IF(AK21="kW",SUMPRODUCT(N22:N125,Q22:Q125,AK22:AK125),SUMPRODUCT(F22:F125,AK22:AK125))</f>
        <v>0</v>
      </c>
      <c r="AL136" s="304">
        <f>IF(AL21="kW",SUMPRODUCT(N22:N125,Q22:Q125,AL22:AL125),SUMPRODUCT(F22:F125,AL22:AL125))</f>
        <v>0</v>
      </c>
      <c r="AM136" s="349"/>
    </row>
    <row r="137" spans="1:40" s="296" customFormat="1" ht="15">
      <c r="A137" s="516"/>
      <c r="B137" s="367" t="s">
        <v>217</v>
      </c>
      <c r="C137" s="368"/>
      <c r="D137" s="292"/>
      <c r="E137" s="292"/>
      <c r="F137" s="292"/>
      <c r="G137" s="292"/>
      <c r="H137" s="292"/>
      <c r="I137" s="292"/>
      <c r="J137" s="292"/>
      <c r="K137" s="292"/>
      <c r="L137" s="292"/>
      <c r="M137" s="292"/>
      <c r="N137" s="292"/>
      <c r="O137" s="369"/>
      <c r="P137" s="292"/>
      <c r="Q137" s="292"/>
      <c r="R137" s="292"/>
      <c r="S137" s="317"/>
      <c r="T137" s="322"/>
      <c r="U137" s="322"/>
      <c r="V137" s="292"/>
      <c r="W137" s="292"/>
      <c r="X137" s="322"/>
      <c r="Y137" s="304">
        <f>SUMPRODUCT(G22:G125,Y22:Y125)</f>
        <v>621150.2449766139</v>
      </c>
      <c r="Z137" s="304">
        <f>SUMPRODUCT(G22:G125,Z22:Z125)</f>
        <v>599658.05722009612</v>
      </c>
      <c r="AA137" s="304">
        <f>IF(AA21="kW",SUMPRODUCT(N22:N125,R22:R125,AA22:AA125),SUMPRODUCT(G22:G125,AA22:AA125))</f>
        <v>2307.7483562376638</v>
      </c>
      <c r="AB137" s="304">
        <f>IF(AB21="kW",SUMPRODUCT(N22:N125,R22:R125,AB22:AB125),SUMPRODUCT(G22:G125,AB22:AB125))</f>
        <v>2.7621240925876536</v>
      </c>
      <c r="AC137" s="304">
        <f>IF(AC21="kW",SUMPRODUCT(N22:N125,R22:R125,AC22:AC125),SUMPRODUCT(G22:G125,AC22:AC125))</f>
        <v>0</v>
      </c>
      <c r="AD137" s="304">
        <f>IF(AD21="kW",SUMPRODUCT(N22:N125,R22:R125,AD22:AD125),SUMPRODUCT(G22:G125,AD22:AD125))</f>
        <v>0</v>
      </c>
      <c r="AE137" s="304">
        <f>IF(AE21="kW",SUMPRODUCT(N22:N125,R22:R125,AE22:AE125),SUMPRODUCT(G22:G125,AE22:AE125))</f>
        <v>0</v>
      </c>
      <c r="AF137" s="304">
        <f>IF(AF21="kW",SUMPRODUCT(N22:N125,R22:R125,AF22:AF125),SUMPRODUCT(G22:G125,AF22:AF125))</f>
        <v>0</v>
      </c>
      <c r="AG137" s="304">
        <f>IF(AG21="kW",SUMPRODUCT(N22:N125,R22:R125,AG22:AG125),SUMPRODUCT(G22:G125,AG22:AG125))</f>
        <v>0</v>
      </c>
      <c r="AH137" s="304">
        <f>IF(AH21="kW",SUMPRODUCT(N22:N125,R22:R125,AH22:AH125),SUMPRODUCT(G22:G125,AH22:AH125))</f>
        <v>0</v>
      </c>
      <c r="AI137" s="304">
        <f>IF(AI21="kW",SUMPRODUCT(N22:N125,R22:R125,AI22:AI125),SUMPRODUCT(G22:G125,AI22:AI125))</f>
        <v>0</v>
      </c>
      <c r="AJ137" s="304">
        <f>IF(AJ21="kW",SUMPRODUCT(N22:N125,R22:R125,AJ22:AJ125),SUMPRODUCT(G22:G125,AJ22:AJ125))</f>
        <v>0</v>
      </c>
      <c r="AK137" s="304">
        <f>IF(AK21="kW",SUMPRODUCT(N22:N125,R22:R125,AK22:AK125),SUMPRODUCT(G22:G125,AK22:AK125))</f>
        <v>0</v>
      </c>
      <c r="AL137" s="304">
        <f>IF(AL21="kW",SUMPRODUCT(N22:N125,R22:R125,AL22:AL125),SUMPRODUCT(G22:G125,AL22:AL125))</f>
        <v>0</v>
      </c>
      <c r="AM137" s="349"/>
    </row>
    <row r="138" spans="1:40" s="296" customFormat="1" ht="15">
      <c r="A138" s="516"/>
      <c r="B138" s="367" t="s">
        <v>218</v>
      </c>
      <c r="C138" s="368"/>
      <c r="D138" s="292"/>
      <c r="E138" s="292"/>
      <c r="F138" s="292"/>
      <c r="G138" s="292"/>
      <c r="H138" s="292"/>
      <c r="I138" s="292"/>
      <c r="J138" s="292"/>
      <c r="K138" s="292"/>
      <c r="L138" s="292"/>
      <c r="M138" s="292"/>
      <c r="N138" s="292"/>
      <c r="O138" s="369"/>
      <c r="P138" s="292"/>
      <c r="Q138" s="292"/>
      <c r="R138" s="292"/>
      <c r="S138" s="317"/>
      <c r="T138" s="322"/>
      <c r="U138" s="322"/>
      <c r="V138" s="292"/>
      <c r="W138" s="292"/>
      <c r="X138" s="322"/>
      <c r="Y138" s="304">
        <f>SUMPRODUCT(H22:H125,Y22:Y125)</f>
        <v>570496.76689568965</v>
      </c>
      <c r="Z138" s="304">
        <f>SUMPRODUCT(H22:H125,Z22:Z125)</f>
        <v>380982.34747009608</v>
      </c>
      <c r="AA138" s="304">
        <f>IF(AA21="kW",SUMPRODUCT(N22:N125,S22:S125,AA22:AA125),SUMPRODUCT(H22:H125,AA22:AA125))</f>
        <v>1777.8437353176637</v>
      </c>
      <c r="AB138" s="304">
        <f>IF(AB21="kW",SUMPRODUCT(N22:N125,S22:S125,AB22:AB125),SUMPRODUCT(H22:H125,AB22:AB125))</f>
        <v>2.7621240925876536</v>
      </c>
      <c r="AC138" s="304">
        <f>IF(AC21="kW",SUMPRODUCT(N22:N125,S22:S125,AC22:AC125),SUMPRODUCT(H22:H125,AC22:AC125))</f>
        <v>0</v>
      </c>
      <c r="AD138" s="304">
        <f>IF(AD21="kW",SUMPRODUCT(N22:N125,S22:S125,AD22:AD125),SUMPRODUCT(H22:H125,AD22:AD125))</f>
        <v>0</v>
      </c>
      <c r="AE138" s="304">
        <f>IF(AE21="kW",SUMPRODUCT(N22:N125,S22:S125,AE22:AE125),SUMPRODUCT(H22:H125,AE22:AE125))</f>
        <v>0</v>
      </c>
      <c r="AF138" s="304">
        <f>IF(AF21="kW",SUMPRODUCT(N22:N125,S22:S125,AF22:AF125),SUMPRODUCT(H22:H125,AF22:AF125))</f>
        <v>0</v>
      </c>
      <c r="AG138" s="304">
        <f>IF(AG21="kW",SUMPRODUCT(N22:N125,S22:S125,AG22:AG125),SUMPRODUCT(H22:H125,AG22:AG125))</f>
        <v>0</v>
      </c>
      <c r="AH138" s="304">
        <f>IF(AH21="kW",SUMPRODUCT(N22:N125,S22:S125,AH22:AH125),SUMPRODUCT(H22:H125,AH22:AH125))</f>
        <v>0</v>
      </c>
      <c r="AI138" s="304">
        <f>IF(AI21="kW",SUMPRODUCT(N22:N125,S22:S125,AI22:AI125),SUMPRODUCT(H22:H125,AI22:AI125))</f>
        <v>0</v>
      </c>
      <c r="AJ138" s="304">
        <f>IF(AJ21="kW",SUMPRODUCT(N22:N125,S22:S125,AJ22:AJ125),SUMPRODUCT(H22:H125,AJ22:AJ125))</f>
        <v>0</v>
      </c>
      <c r="AK138" s="304">
        <f>IF(AK21="kW",SUMPRODUCT(N22:N125,S22:S125,AK22:AK125),SUMPRODUCT(H22:H125,AK22:AK125))</f>
        <v>0</v>
      </c>
      <c r="AL138" s="304">
        <f>IF(AL21="kW",SUMPRODUCT(N22:N125,S22:S125,AL22:AL125),SUMPRODUCT(H22:H125,AL22:AL125))</f>
        <v>0</v>
      </c>
      <c r="AM138" s="349"/>
    </row>
    <row r="139" spans="1:40" s="296" customFormat="1" ht="15">
      <c r="A139" s="516"/>
      <c r="B139" s="367" t="s">
        <v>219</v>
      </c>
      <c r="C139" s="368"/>
      <c r="D139" s="292"/>
      <c r="E139" s="292"/>
      <c r="F139" s="292"/>
      <c r="G139" s="292"/>
      <c r="H139" s="292"/>
      <c r="I139" s="292"/>
      <c r="J139" s="292"/>
      <c r="K139" s="292"/>
      <c r="L139" s="292"/>
      <c r="M139" s="292"/>
      <c r="N139" s="292"/>
      <c r="O139" s="369"/>
      <c r="P139" s="292"/>
      <c r="Q139" s="292"/>
      <c r="R139" s="292"/>
      <c r="S139" s="317"/>
      <c r="T139" s="322"/>
      <c r="U139" s="322"/>
      <c r="V139" s="292"/>
      <c r="W139" s="292"/>
      <c r="X139" s="322"/>
      <c r="Y139" s="304"/>
      <c r="Z139" s="304"/>
      <c r="AA139" s="304"/>
      <c r="AB139" s="304"/>
      <c r="AC139" s="304"/>
      <c r="AD139" s="304"/>
      <c r="AE139" s="304"/>
      <c r="AF139" s="304"/>
      <c r="AG139" s="304"/>
      <c r="AH139" s="304"/>
      <c r="AI139" s="304"/>
      <c r="AJ139" s="304"/>
      <c r="AK139" s="304"/>
      <c r="AL139" s="304"/>
      <c r="AM139" s="349"/>
    </row>
    <row r="140" spans="1:40" s="296" customFormat="1" ht="15">
      <c r="A140" s="516"/>
      <c r="B140" s="367" t="s">
        <v>220</v>
      </c>
      <c r="C140" s="368"/>
      <c r="D140" s="322"/>
      <c r="E140" s="322"/>
      <c r="F140" s="322"/>
      <c r="G140" s="322"/>
      <c r="H140" s="322"/>
      <c r="I140" s="322"/>
      <c r="J140" s="322"/>
      <c r="K140" s="322"/>
      <c r="L140" s="322"/>
      <c r="M140" s="322"/>
      <c r="N140" s="322"/>
      <c r="O140" s="369"/>
      <c r="P140" s="322"/>
      <c r="Q140" s="322"/>
      <c r="R140" s="322"/>
      <c r="S140" s="317"/>
      <c r="T140" s="322"/>
      <c r="U140" s="322"/>
      <c r="V140" s="322"/>
      <c r="W140" s="322"/>
      <c r="X140" s="322"/>
      <c r="Y140" s="304"/>
      <c r="Z140" s="304"/>
      <c r="AA140" s="304"/>
      <c r="AB140" s="304"/>
      <c r="AC140" s="304"/>
      <c r="AD140" s="304"/>
      <c r="AE140" s="304"/>
      <c r="AF140" s="304"/>
      <c r="AG140" s="304"/>
      <c r="AH140" s="304"/>
      <c r="AI140" s="304"/>
      <c r="AJ140" s="304"/>
      <c r="AK140" s="304"/>
      <c r="AL140" s="304"/>
      <c r="AM140" s="349"/>
    </row>
    <row r="141" spans="1:40" s="296" customFormat="1" ht="15">
      <c r="A141" s="516"/>
      <c r="B141" s="367" t="s">
        <v>221</v>
      </c>
      <c r="C141" s="368"/>
      <c r="D141" s="347"/>
      <c r="E141" s="347"/>
      <c r="F141" s="347"/>
      <c r="G141" s="347"/>
      <c r="H141" s="347"/>
      <c r="I141" s="347"/>
      <c r="J141" s="347"/>
      <c r="K141" s="347"/>
      <c r="L141" s="347"/>
      <c r="M141" s="347"/>
      <c r="N141" s="347"/>
      <c r="O141" s="322"/>
      <c r="P141" s="292"/>
      <c r="Q141" s="292"/>
      <c r="R141" s="322"/>
      <c r="S141" s="317"/>
      <c r="T141" s="322"/>
      <c r="U141" s="322"/>
      <c r="V141" s="369"/>
      <c r="W141" s="369"/>
      <c r="X141" s="322"/>
      <c r="Y141" s="304"/>
      <c r="Z141" s="304"/>
      <c r="AA141" s="304"/>
      <c r="AB141" s="304"/>
      <c r="AC141" s="304"/>
      <c r="AD141" s="304"/>
      <c r="AE141" s="304"/>
      <c r="AF141" s="304"/>
      <c r="AG141" s="304"/>
      <c r="AH141" s="304"/>
      <c r="AI141" s="304"/>
      <c r="AJ141" s="304"/>
      <c r="AK141" s="304"/>
      <c r="AL141" s="304"/>
      <c r="AM141" s="349"/>
    </row>
    <row r="142" spans="1:40" s="296" customFormat="1" ht="15">
      <c r="A142" s="516"/>
      <c r="B142" s="367" t="s">
        <v>222</v>
      </c>
      <c r="C142" s="368"/>
      <c r="D142" s="347"/>
      <c r="E142" s="347"/>
      <c r="F142" s="347"/>
      <c r="G142" s="347"/>
      <c r="H142" s="347"/>
      <c r="I142" s="347"/>
      <c r="J142" s="347"/>
      <c r="K142" s="347"/>
      <c r="L142" s="347"/>
      <c r="M142" s="347"/>
      <c r="N142" s="347"/>
      <c r="O142" s="369"/>
      <c r="P142" s="292"/>
      <c r="Q142" s="292"/>
      <c r="R142" s="322"/>
      <c r="S142" s="317"/>
      <c r="T142" s="322"/>
      <c r="U142" s="322"/>
      <c r="V142" s="369"/>
      <c r="W142" s="369"/>
      <c r="X142" s="322"/>
      <c r="Y142" s="304"/>
      <c r="Z142" s="304"/>
      <c r="AA142" s="304"/>
      <c r="AB142" s="304"/>
      <c r="AC142" s="304"/>
      <c r="AD142" s="304"/>
      <c r="AE142" s="304"/>
      <c r="AF142" s="304"/>
      <c r="AG142" s="304"/>
      <c r="AH142" s="304"/>
      <c r="AI142" s="304"/>
      <c r="AJ142" s="304"/>
      <c r="AK142" s="304"/>
      <c r="AL142" s="304"/>
      <c r="AM142" s="349"/>
    </row>
    <row r="143" spans="1:40" ht="15">
      <c r="B143" s="370" t="s">
        <v>223</v>
      </c>
      <c r="C143" s="371"/>
      <c r="D143" s="372"/>
      <c r="E143" s="372"/>
      <c r="F143" s="372"/>
      <c r="G143" s="372"/>
      <c r="H143" s="372"/>
      <c r="I143" s="372"/>
      <c r="J143" s="372"/>
      <c r="K143" s="372"/>
      <c r="L143" s="372"/>
      <c r="M143" s="372"/>
      <c r="N143" s="372"/>
      <c r="O143" s="373"/>
      <c r="P143" s="374"/>
      <c r="Q143" s="375"/>
      <c r="R143" s="373"/>
      <c r="S143" s="376"/>
      <c r="T143" s="377"/>
      <c r="U143" s="377"/>
      <c r="V143" s="373"/>
      <c r="W143" s="373"/>
      <c r="X143" s="377"/>
      <c r="Y143" s="338"/>
      <c r="Z143" s="338"/>
      <c r="AA143" s="338"/>
      <c r="AB143" s="338"/>
      <c r="AC143" s="338"/>
      <c r="AD143" s="338"/>
      <c r="AE143" s="338"/>
      <c r="AF143" s="338"/>
      <c r="AG143" s="338"/>
      <c r="AH143" s="338"/>
      <c r="AI143" s="338"/>
      <c r="AJ143" s="338"/>
      <c r="AK143" s="338"/>
      <c r="AL143" s="338"/>
      <c r="AM143" s="378"/>
      <c r="AN143" s="379"/>
    </row>
    <row r="144" spans="1:40" ht="21.75" customHeight="1">
      <c r="B144" s="380" t="s">
        <v>586</v>
      </c>
      <c r="C144" s="381"/>
      <c r="D144" s="382"/>
      <c r="E144" s="382"/>
      <c r="F144" s="382"/>
      <c r="G144" s="382"/>
      <c r="H144" s="382"/>
      <c r="I144" s="382"/>
      <c r="J144" s="382"/>
      <c r="K144" s="382"/>
      <c r="L144" s="382"/>
      <c r="M144" s="382"/>
      <c r="N144" s="382"/>
      <c r="O144" s="382"/>
      <c r="P144" s="382"/>
      <c r="Q144" s="382"/>
      <c r="R144" s="382"/>
      <c r="S144" s="383"/>
      <c r="T144" s="384"/>
      <c r="U144" s="382"/>
      <c r="V144" s="382"/>
      <c r="W144" s="382"/>
      <c r="X144" s="382"/>
      <c r="Y144" s="385"/>
      <c r="Z144" s="385"/>
      <c r="AA144" s="385"/>
      <c r="AB144" s="385"/>
      <c r="AC144" s="385"/>
      <c r="AD144" s="385"/>
      <c r="AE144" s="385"/>
      <c r="AF144" s="385"/>
      <c r="AG144" s="385"/>
      <c r="AH144" s="385"/>
      <c r="AI144" s="385"/>
      <c r="AJ144" s="385"/>
      <c r="AK144" s="385"/>
      <c r="AL144" s="385"/>
      <c r="AM144" s="386"/>
      <c r="AN144" s="379"/>
    </row>
    <row r="146" spans="1:39" ht="15.6">
      <c r="B146" s="293" t="s">
        <v>242</v>
      </c>
      <c r="C146" s="294"/>
      <c r="D146" s="596" t="s">
        <v>525</v>
      </c>
      <c r="F146" s="596"/>
      <c r="O146" s="294"/>
      <c r="Y146" s="283"/>
      <c r="Z146" s="280"/>
      <c r="AA146" s="280"/>
      <c r="AB146" s="280"/>
      <c r="AC146" s="280"/>
      <c r="AD146" s="280"/>
      <c r="AE146" s="280"/>
      <c r="AF146" s="280"/>
      <c r="AG146" s="280"/>
      <c r="AH146" s="280"/>
      <c r="AI146" s="280"/>
      <c r="AJ146" s="280"/>
      <c r="AK146" s="280"/>
      <c r="AL146" s="280"/>
      <c r="AM146" s="295"/>
    </row>
    <row r="147" spans="1:39" ht="34.5" customHeight="1">
      <c r="B147" s="901" t="s">
        <v>211</v>
      </c>
      <c r="C147" s="903" t="s">
        <v>33</v>
      </c>
      <c r="D147" s="297" t="s">
        <v>421</v>
      </c>
      <c r="E147" s="905" t="s">
        <v>209</v>
      </c>
      <c r="F147" s="906"/>
      <c r="G147" s="906"/>
      <c r="H147" s="906"/>
      <c r="I147" s="906"/>
      <c r="J147" s="906"/>
      <c r="K147" s="906"/>
      <c r="L147" s="906"/>
      <c r="M147" s="907"/>
      <c r="N147" s="911" t="s">
        <v>213</v>
      </c>
      <c r="O147" s="297" t="s">
        <v>422</v>
      </c>
      <c r="P147" s="905" t="s">
        <v>212</v>
      </c>
      <c r="Q147" s="906"/>
      <c r="R147" s="906"/>
      <c r="S147" s="906"/>
      <c r="T147" s="906"/>
      <c r="U147" s="906"/>
      <c r="V147" s="906"/>
      <c r="W147" s="906"/>
      <c r="X147" s="907"/>
      <c r="Y147" s="908" t="s">
        <v>243</v>
      </c>
      <c r="Z147" s="909"/>
      <c r="AA147" s="909"/>
      <c r="AB147" s="909"/>
      <c r="AC147" s="909"/>
      <c r="AD147" s="909"/>
      <c r="AE147" s="909"/>
      <c r="AF147" s="909"/>
      <c r="AG147" s="909"/>
      <c r="AH147" s="909"/>
      <c r="AI147" s="909"/>
      <c r="AJ147" s="909"/>
      <c r="AK147" s="909"/>
      <c r="AL147" s="909"/>
      <c r="AM147" s="910"/>
    </row>
    <row r="148" spans="1:39" ht="60.75" customHeight="1">
      <c r="B148" s="902"/>
      <c r="C148" s="904"/>
      <c r="D148" s="298">
        <v>2012</v>
      </c>
      <c r="E148" s="298">
        <v>2013</v>
      </c>
      <c r="F148" s="298">
        <v>2014</v>
      </c>
      <c r="G148" s="298">
        <v>2015</v>
      </c>
      <c r="H148" s="298">
        <v>2016</v>
      </c>
      <c r="I148" s="298">
        <v>2017</v>
      </c>
      <c r="J148" s="298">
        <v>2018</v>
      </c>
      <c r="K148" s="298">
        <v>2019</v>
      </c>
      <c r="L148" s="298">
        <v>2020</v>
      </c>
      <c r="M148" s="298">
        <v>2021</v>
      </c>
      <c r="N148" s="912"/>
      <c r="O148" s="298">
        <v>2012</v>
      </c>
      <c r="P148" s="298">
        <v>2013</v>
      </c>
      <c r="Q148" s="298">
        <v>2014</v>
      </c>
      <c r="R148" s="298">
        <v>2015</v>
      </c>
      <c r="S148" s="298">
        <v>2016</v>
      </c>
      <c r="T148" s="298">
        <v>2017</v>
      </c>
      <c r="U148" s="298">
        <v>2018</v>
      </c>
      <c r="V148" s="298">
        <v>2019</v>
      </c>
      <c r="W148" s="298">
        <v>2020</v>
      </c>
      <c r="X148" s="298">
        <v>2021</v>
      </c>
      <c r="Y148" s="298" t="str">
        <f>'1.  LRAMVA Summary'!D52</f>
        <v>Residential</v>
      </c>
      <c r="Z148" s="298" t="str">
        <f>'1.  LRAMVA Summary'!E52</f>
        <v>GS&lt;50 kW</v>
      </c>
      <c r="AA148" s="298" t="str">
        <f>'1.  LRAMVA Summary'!F52</f>
        <v>GS 50 - 999 kW</v>
      </c>
      <c r="AB148" s="298" t="str">
        <f>'1.  LRAMVA Summary'!G52</f>
        <v>GS 1,000 - 4,999 kW</v>
      </c>
      <c r="AC148" s="298" t="str">
        <f>'1.  LRAMVA Summary'!H52</f>
        <v>USL</v>
      </c>
      <c r="AD148" s="298" t="str">
        <f>'1.  LRAMVA Summary'!I52</f>
        <v>Sentinel Lighting</v>
      </c>
      <c r="AE148" s="298" t="str">
        <f>'1.  LRAMVA Summary'!J52</f>
        <v>Street Lighting</v>
      </c>
      <c r="AF148" s="298" t="str">
        <f>'1.  LRAMVA Summary'!K52</f>
        <v/>
      </c>
      <c r="AG148" s="298" t="str">
        <f>'1.  LRAMVA Summary'!L52</f>
        <v/>
      </c>
      <c r="AH148" s="298" t="str">
        <f>'1.  LRAMVA Summary'!M52</f>
        <v/>
      </c>
      <c r="AI148" s="298" t="str">
        <f>'1.  LRAMVA Summary'!N52</f>
        <v/>
      </c>
      <c r="AJ148" s="298" t="str">
        <f>'1.  LRAMVA Summary'!O52</f>
        <v/>
      </c>
      <c r="AK148" s="298" t="str">
        <f>'1.  LRAMVA Summary'!P52</f>
        <v/>
      </c>
      <c r="AL148" s="298" t="str">
        <f>'1.  LRAMVA Summary'!Q52</f>
        <v/>
      </c>
      <c r="AM148" s="300" t="str">
        <f>'1.  LRAMVA Summary'!R52</f>
        <v>Total</v>
      </c>
    </row>
    <row r="149" spans="1:39" ht="15.75" customHeight="1">
      <c r="A149" s="517"/>
      <c r="B149" s="301" t="s">
        <v>0</v>
      </c>
      <c r="C149" s="302"/>
      <c r="D149" s="302"/>
      <c r="E149" s="302"/>
      <c r="F149" s="302"/>
      <c r="G149" s="302"/>
      <c r="H149" s="302"/>
      <c r="I149" s="302"/>
      <c r="J149" s="302"/>
      <c r="K149" s="302"/>
      <c r="L149" s="302"/>
      <c r="M149" s="302"/>
      <c r="N149" s="303"/>
      <c r="O149" s="302"/>
      <c r="P149" s="302"/>
      <c r="Q149" s="302"/>
      <c r="R149" s="302"/>
      <c r="S149" s="302"/>
      <c r="T149" s="302"/>
      <c r="U149" s="302"/>
      <c r="V149" s="302"/>
      <c r="W149" s="302"/>
      <c r="X149" s="302"/>
      <c r="Y149" s="304" t="str">
        <f>'1.  LRAMVA Summary'!D53</f>
        <v>kWh</v>
      </c>
      <c r="Z149" s="304" t="str">
        <f>'1.  LRAMVA Summary'!E53</f>
        <v>kWh</v>
      </c>
      <c r="AA149" s="304" t="str">
        <f>'1.  LRAMVA Summary'!F53</f>
        <v>kW</v>
      </c>
      <c r="AB149" s="304" t="str">
        <f>'1.  LRAMVA Summary'!G53</f>
        <v>kW</v>
      </c>
      <c r="AC149" s="304" t="str">
        <f>'1.  LRAMVA Summary'!H53</f>
        <v>kWh</v>
      </c>
      <c r="AD149" s="304" t="str">
        <f>'1.  LRAMVA Summary'!I53</f>
        <v>kW</v>
      </c>
      <c r="AE149" s="304" t="str">
        <f>'1.  LRAMVA Summary'!J53</f>
        <v>kW</v>
      </c>
      <c r="AF149" s="304">
        <f>'1.  LRAMVA Summary'!K53</f>
        <v>0</v>
      </c>
      <c r="AG149" s="304">
        <f>'1.  LRAMVA Summary'!L53</f>
        <v>0</v>
      </c>
      <c r="AH149" s="304">
        <f>'1.  LRAMVA Summary'!M53</f>
        <v>0</v>
      </c>
      <c r="AI149" s="304">
        <f>'1.  LRAMVA Summary'!N53</f>
        <v>0</v>
      </c>
      <c r="AJ149" s="304">
        <f>'1.  LRAMVA Summary'!O53</f>
        <v>0</v>
      </c>
      <c r="AK149" s="304">
        <f>'1.  LRAMVA Summary'!P53</f>
        <v>0</v>
      </c>
      <c r="AL149" s="304">
        <f>'1.  LRAMVA Summary'!Q53</f>
        <v>0</v>
      </c>
      <c r="AM149" s="387"/>
    </row>
    <row r="150" spans="1:39" ht="15" outlineLevel="1">
      <c r="A150" s="516">
        <v>1</v>
      </c>
      <c r="B150" s="307" t="s">
        <v>1</v>
      </c>
      <c r="C150" s="304" t="s">
        <v>25</v>
      </c>
      <c r="D150" s="308">
        <f>'7.  Persistence Report'!AR48</f>
        <v>44552.775865090764</v>
      </c>
      <c r="E150" s="308">
        <f>'7.  Persistence Report'!AS48</f>
        <v>44552.775865090764</v>
      </c>
      <c r="F150" s="308">
        <f>'7.  Persistence Report'!AT48</f>
        <v>44552.775865090764</v>
      </c>
      <c r="G150" s="308">
        <f>'7.  Persistence Report'!AU48</f>
        <v>44552.775865090764</v>
      </c>
      <c r="H150" s="308">
        <f>'7.  Persistence Report'!AV48</f>
        <v>25633.440279257204</v>
      </c>
      <c r="I150" s="308">
        <f>'7.  Persistence Report'!AW48</f>
        <v>0</v>
      </c>
      <c r="J150" s="308">
        <f>'7.  Persistence Report'!AX48</f>
        <v>0</v>
      </c>
      <c r="K150" s="308">
        <f>'7.  Persistence Report'!AY48</f>
        <v>0</v>
      </c>
      <c r="L150" s="308">
        <f>'7.  Persistence Report'!AZ48</f>
        <v>0</v>
      </c>
      <c r="M150" s="308">
        <f>'7.  Persistence Report'!BA48</f>
        <v>0</v>
      </c>
      <c r="N150" s="763"/>
      <c r="O150" s="308">
        <f>'7.  Persistence Report'!M48</f>
        <v>5.9391255822410285</v>
      </c>
      <c r="P150" s="308">
        <f>'7.  Persistence Report'!N48</f>
        <v>5.9391255822410285</v>
      </c>
      <c r="Q150" s="308">
        <f>'7.  Persistence Report'!O48</f>
        <v>5.9391255822410285</v>
      </c>
      <c r="R150" s="308">
        <f>'7.  Persistence Report'!P48</f>
        <v>5.9391255822410285</v>
      </c>
      <c r="S150" s="308">
        <f>'7.  Persistence Report'!Q48</f>
        <v>3.3702776363714868</v>
      </c>
      <c r="T150" s="308">
        <f>'7.  Persistence Report'!R48</f>
        <v>0</v>
      </c>
      <c r="U150" s="308">
        <f>'7.  Persistence Report'!S48</f>
        <v>0</v>
      </c>
      <c r="V150" s="308">
        <f>'7.  Persistence Report'!T48</f>
        <v>0</v>
      </c>
      <c r="W150" s="308">
        <f>'7.  Persistence Report'!U48</f>
        <v>0</v>
      </c>
      <c r="X150" s="308">
        <f>'7.  Persistence Report'!V48</f>
        <v>0</v>
      </c>
      <c r="Y150" s="772">
        <v>1</v>
      </c>
      <c r="Z150" s="772"/>
      <c r="AA150" s="772"/>
      <c r="AB150" s="772"/>
      <c r="AC150" s="772"/>
      <c r="AD150" s="772"/>
      <c r="AE150" s="772"/>
      <c r="AF150" s="422"/>
      <c r="AG150" s="422"/>
      <c r="AH150" s="422"/>
      <c r="AI150" s="422"/>
      <c r="AJ150" s="422"/>
      <c r="AK150" s="422"/>
      <c r="AL150" s="422"/>
      <c r="AM150" s="309">
        <f>SUM(Y150:AL150)</f>
        <v>1</v>
      </c>
    </row>
    <row r="151" spans="1:39" ht="15" outlineLevel="1">
      <c r="B151" s="307" t="s">
        <v>244</v>
      </c>
      <c r="C151" s="304" t="s">
        <v>163</v>
      </c>
      <c r="D151" s="308"/>
      <c r="E151" s="308"/>
      <c r="F151" s="308"/>
      <c r="G151" s="308"/>
      <c r="H151" s="308"/>
      <c r="I151" s="308"/>
      <c r="J151" s="308"/>
      <c r="K151" s="308"/>
      <c r="L151" s="308"/>
      <c r="M151" s="308"/>
      <c r="N151" s="764"/>
      <c r="O151" s="308"/>
      <c r="P151" s="308"/>
      <c r="Q151" s="308"/>
      <c r="R151" s="308"/>
      <c r="S151" s="308"/>
      <c r="T151" s="308"/>
      <c r="U151" s="308"/>
      <c r="V151" s="308"/>
      <c r="W151" s="308"/>
      <c r="X151" s="308"/>
      <c r="Y151" s="773">
        <f>Y150</f>
        <v>1</v>
      </c>
      <c r="Z151" s="773">
        <f>Z150</f>
        <v>0</v>
      </c>
      <c r="AA151" s="773">
        <f t="shared" ref="AA151:AE151" si="70">AA150</f>
        <v>0</v>
      </c>
      <c r="AB151" s="773">
        <f t="shared" si="70"/>
        <v>0</v>
      </c>
      <c r="AC151" s="773">
        <f t="shared" si="70"/>
        <v>0</v>
      </c>
      <c r="AD151" s="773">
        <f t="shared" si="70"/>
        <v>0</v>
      </c>
      <c r="AE151" s="773">
        <f t="shared" si="70"/>
        <v>0</v>
      </c>
      <c r="AF151" s="423">
        <f t="shared" ref="AF151:AL151" si="71">AF150</f>
        <v>0</v>
      </c>
      <c r="AG151" s="423">
        <f t="shared" si="71"/>
        <v>0</v>
      </c>
      <c r="AH151" s="423">
        <f t="shared" si="71"/>
        <v>0</v>
      </c>
      <c r="AI151" s="423">
        <f t="shared" si="71"/>
        <v>0</v>
      </c>
      <c r="AJ151" s="423">
        <f t="shared" si="71"/>
        <v>0</v>
      </c>
      <c r="AK151" s="423">
        <f t="shared" si="71"/>
        <v>0</v>
      </c>
      <c r="AL151" s="423">
        <f t="shared" si="71"/>
        <v>0</v>
      </c>
      <c r="AM151" s="512"/>
    </row>
    <row r="152" spans="1:39" ht="15.6" outlineLevel="1">
      <c r="A152" s="518"/>
      <c r="B152" s="311"/>
      <c r="C152" s="312"/>
      <c r="D152" s="765"/>
      <c r="E152" s="765"/>
      <c r="F152" s="765"/>
      <c r="G152" s="765"/>
      <c r="H152" s="765"/>
      <c r="I152" s="765"/>
      <c r="J152" s="765"/>
      <c r="K152" s="765"/>
      <c r="L152" s="765"/>
      <c r="M152" s="765"/>
      <c r="N152" s="316"/>
      <c r="O152" s="765"/>
      <c r="P152" s="765"/>
      <c r="Q152" s="765"/>
      <c r="R152" s="765"/>
      <c r="S152" s="765"/>
      <c r="T152" s="765"/>
      <c r="U152" s="765"/>
      <c r="V152" s="765"/>
      <c r="W152" s="765"/>
      <c r="X152" s="765"/>
      <c r="Y152" s="774"/>
      <c r="Z152" s="775"/>
      <c r="AA152" s="775"/>
      <c r="AB152" s="775"/>
      <c r="AC152" s="775"/>
      <c r="AD152" s="775"/>
      <c r="AE152" s="775"/>
      <c r="AF152" s="425"/>
      <c r="AG152" s="425"/>
      <c r="AH152" s="425"/>
      <c r="AI152" s="425"/>
      <c r="AJ152" s="425"/>
      <c r="AK152" s="425"/>
      <c r="AL152" s="425"/>
      <c r="AM152" s="315"/>
    </row>
    <row r="153" spans="1:39" ht="15" outlineLevel="1">
      <c r="A153" s="516">
        <v>2</v>
      </c>
      <c r="B153" s="307" t="s">
        <v>2</v>
      </c>
      <c r="C153" s="304" t="s">
        <v>25</v>
      </c>
      <c r="D153" s="308">
        <f>'7.  Persistence Report'!AR47</f>
        <v>4503.725179691296</v>
      </c>
      <c r="E153" s="308">
        <f>'7.  Persistence Report'!AS47</f>
        <v>4503.725179691296</v>
      </c>
      <c r="F153" s="308">
        <f>'7.  Persistence Report'!AT47</f>
        <v>4503.725179691296</v>
      </c>
      <c r="G153" s="308">
        <f>'7.  Persistence Report'!AU47</f>
        <v>4493.317166044154</v>
      </c>
      <c r="H153" s="308">
        <f>'7.  Persistence Report'!AV47</f>
        <v>0</v>
      </c>
      <c r="I153" s="308">
        <f>'7.  Persistence Report'!AW47</f>
        <v>0</v>
      </c>
      <c r="J153" s="308">
        <f>'7.  Persistence Report'!AX47</f>
        <v>0</v>
      </c>
      <c r="K153" s="308">
        <f>'7.  Persistence Report'!AY47</f>
        <v>0</v>
      </c>
      <c r="L153" s="308">
        <f>'7.  Persistence Report'!AZ47</f>
        <v>0</v>
      </c>
      <c r="M153" s="308">
        <f>'7.  Persistence Report'!BA47</f>
        <v>0</v>
      </c>
      <c r="N153" s="763"/>
      <c r="O153" s="308">
        <f>'7.  Persistence Report'!M47</f>
        <v>2.5316395988564526</v>
      </c>
      <c r="P153" s="308">
        <f>'7.  Persistence Report'!N47</f>
        <v>2.5316395988564526</v>
      </c>
      <c r="Q153" s="308">
        <f>'7.  Persistence Report'!O47</f>
        <v>2.5316395988564526</v>
      </c>
      <c r="R153" s="308">
        <f>'7.  Persistence Report'!P47</f>
        <v>2.520000837659818</v>
      </c>
      <c r="S153" s="308">
        <f>'7.  Persistence Report'!Q47</f>
        <v>0</v>
      </c>
      <c r="T153" s="308">
        <f>'7.  Persistence Report'!R47</f>
        <v>0</v>
      </c>
      <c r="U153" s="308">
        <f>'7.  Persistence Report'!S47</f>
        <v>0</v>
      </c>
      <c r="V153" s="308">
        <f>'7.  Persistence Report'!T47</f>
        <v>0</v>
      </c>
      <c r="W153" s="308">
        <f>'7.  Persistence Report'!U47</f>
        <v>0</v>
      </c>
      <c r="X153" s="308">
        <f>'7.  Persistence Report'!V47</f>
        <v>0</v>
      </c>
      <c r="Y153" s="772">
        <v>1</v>
      </c>
      <c r="Z153" s="772"/>
      <c r="AA153" s="772"/>
      <c r="AB153" s="772"/>
      <c r="AC153" s="772"/>
      <c r="AD153" s="772"/>
      <c r="AE153" s="772"/>
      <c r="AF153" s="422"/>
      <c r="AG153" s="422"/>
      <c r="AH153" s="422"/>
      <c r="AI153" s="422"/>
      <c r="AJ153" s="422"/>
      <c r="AK153" s="422"/>
      <c r="AL153" s="422"/>
      <c r="AM153" s="309">
        <f>SUM(Y153:AL153)</f>
        <v>1</v>
      </c>
    </row>
    <row r="154" spans="1:39" ht="15" outlineLevel="1">
      <c r="B154" s="307" t="s">
        <v>244</v>
      </c>
      <c r="C154" s="304" t="s">
        <v>163</v>
      </c>
      <c r="D154" s="308"/>
      <c r="E154" s="308"/>
      <c r="F154" s="308"/>
      <c r="G154" s="308"/>
      <c r="H154" s="308"/>
      <c r="I154" s="308"/>
      <c r="J154" s="308"/>
      <c r="K154" s="308"/>
      <c r="L154" s="308"/>
      <c r="M154" s="308"/>
      <c r="N154" s="764"/>
      <c r="O154" s="308"/>
      <c r="P154" s="308"/>
      <c r="Q154" s="308"/>
      <c r="R154" s="308"/>
      <c r="S154" s="308"/>
      <c r="T154" s="308"/>
      <c r="U154" s="308"/>
      <c r="V154" s="308"/>
      <c r="W154" s="308"/>
      <c r="X154" s="308"/>
      <c r="Y154" s="773">
        <f>Y153</f>
        <v>1</v>
      </c>
      <c r="Z154" s="773">
        <f>Z153</f>
        <v>0</v>
      </c>
      <c r="AA154" s="773">
        <f t="shared" ref="AA154:AE154" si="72">AA153</f>
        <v>0</v>
      </c>
      <c r="AB154" s="773">
        <f t="shared" si="72"/>
        <v>0</v>
      </c>
      <c r="AC154" s="773">
        <f t="shared" si="72"/>
        <v>0</v>
      </c>
      <c r="AD154" s="773">
        <f t="shared" si="72"/>
        <v>0</v>
      </c>
      <c r="AE154" s="773">
        <f t="shared" si="72"/>
        <v>0</v>
      </c>
      <c r="AF154" s="423">
        <f t="shared" ref="AF154:AL154" si="73">AF153</f>
        <v>0</v>
      </c>
      <c r="AG154" s="423">
        <f t="shared" si="73"/>
        <v>0</v>
      </c>
      <c r="AH154" s="423">
        <f t="shared" si="73"/>
        <v>0</v>
      </c>
      <c r="AI154" s="423">
        <f t="shared" si="73"/>
        <v>0</v>
      </c>
      <c r="AJ154" s="423">
        <f t="shared" si="73"/>
        <v>0</v>
      </c>
      <c r="AK154" s="423">
        <f t="shared" si="73"/>
        <v>0</v>
      </c>
      <c r="AL154" s="423">
        <f t="shared" si="73"/>
        <v>0</v>
      </c>
      <c r="AM154" s="512"/>
    </row>
    <row r="155" spans="1:39" ht="15.6" outlineLevel="1">
      <c r="A155" s="518"/>
      <c r="B155" s="311"/>
      <c r="C155" s="312"/>
      <c r="D155" s="766"/>
      <c r="E155" s="766"/>
      <c r="F155" s="766"/>
      <c r="G155" s="766"/>
      <c r="H155" s="766"/>
      <c r="I155" s="766"/>
      <c r="J155" s="766"/>
      <c r="K155" s="766"/>
      <c r="L155" s="766"/>
      <c r="M155" s="766"/>
      <c r="N155" s="316"/>
      <c r="O155" s="766"/>
      <c r="P155" s="766"/>
      <c r="Q155" s="766"/>
      <c r="R155" s="766"/>
      <c r="S155" s="766"/>
      <c r="T155" s="766"/>
      <c r="U155" s="766"/>
      <c r="V155" s="766"/>
      <c r="W155" s="766"/>
      <c r="X155" s="766"/>
      <c r="Y155" s="774"/>
      <c r="Z155" s="775"/>
      <c r="AA155" s="775"/>
      <c r="AB155" s="775"/>
      <c r="AC155" s="775"/>
      <c r="AD155" s="775"/>
      <c r="AE155" s="775"/>
      <c r="AF155" s="425"/>
      <c r="AG155" s="425"/>
      <c r="AH155" s="425"/>
      <c r="AI155" s="425"/>
      <c r="AJ155" s="425"/>
      <c r="AK155" s="425"/>
      <c r="AL155" s="425"/>
      <c r="AM155" s="315"/>
    </row>
    <row r="156" spans="1:39" ht="15" outlineLevel="1">
      <c r="A156" s="516">
        <v>3</v>
      </c>
      <c r="B156" s="307" t="s">
        <v>3</v>
      </c>
      <c r="C156" s="304" t="s">
        <v>25</v>
      </c>
      <c r="D156" s="308">
        <f>'7.  Persistence Report'!AR51</f>
        <v>152189.65208178159</v>
      </c>
      <c r="E156" s="308">
        <f>'7.  Persistence Report'!AS51</f>
        <v>152189.65208178159</v>
      </c>
      <c r="F156" s="308">
        <f>'7.  Persistence Report'!AT51</f>
        <v>152189.65208178159</v>
      </c>
      <c r="G156" s="308">
        <f>'7.  Persistence Report'!AU51</f>
        <v>152189.65208178159</v>
      </c>
      <c r="H156" s="308">
        <f>'7.  Persistence Report'!AV51</f>
        <v>152189.65208178159</v>
      </c>
      <c r="I156" s="308">
        <f>'7.  Persistence Report'!AW51</f>
        <v>152189.65208178159</v>
      </c>
      <c r="J156" s="308">
        <f>'7.  Persistence Report'!AX51</f>
        <v>152189.65208178159</v>
      </c>
      <c r="K156" s="308">
        <f>'7.  Persistence Report'!AY51</f>
        <v>152189.65208178159</v>
      </c>
      <c r="L156" s="308">
        <f>'7.  Persistence Report'!AZ51</f>
        <v>152189.65208178159</v>
      </c>
      <c r="M156" s="308">
        <f>'7.  Persistence Report'!BA51</f>
        <v>152189.65208178159</v>
      </c>
      <c r="N156" s="763"/>
      <c r="O156" s="308">
        <f>'7.  Persistence Report'!M51</f>
        <v>90.067114387176318</v>
      </c>
      <c r="P156" s="308">
        <f>'7.  Persistence Report'!N51</f>
        <v>90.067114387176318</v>
      </c>
      <c r="Q156" s="308">
        <f>'7.  Persistence Report'!O51</f>
        <v>90.067114387176318</v>
      </c>
      <c r="R156" s="308">
        <f>'7.  Persistence Report'!P51</f>
        <v>90.067114387176318</v>
      </c>
      <c r="S156" s="308">
        <f>'7.  Persistence Report'!Q51</f>
        <v>90.067114387176318</v>
      </c>
      <c r="T156" s="308">
        <f>'7.  Persistence Report'!R51</f>
        <v>90.067114387176318</v>
      </c>
      <c r="U156" s="308">
        <f>'7.  Persistence Report'!S51</f>
        <v>90.067114387176318</v>
      </c>
      <c r="V156" s="308">
        <f>'7.  Persistence Report'!T51</f>
        <v>90.067114387176318</v>
      </c>
      <c r="W156" s="308">
        <f>'7.  Persistence Report'!U51</f>
        <v>90.067114387176318</v>
      </c>
      <c r="X156" s="308">
        <f>'7.  Persistence Report'!V51</f>
        <v>90.067114387176318</v>
      </c>
      <c r="Y156" s="772">
        <v>1</v>
      </c>
      <c r="Z156" s="772"/>
      <c r="AA156" s="772"/>
      <c r="AB156" s="772"/>
      <c r="AC156" s="772"/>
      <c r="AD156" s="772"/>
      <c r="AE156" s="772"/>
      <c r="AF156" s="422"/>
      <c r="AG156" s="422"/>
      <c r="AH156" s="422"/>
      <c r="AI156" s="422"/>
      <c r="AJ156" s="422"/>
      <c r="AK156" s="422"/>
      <c r="AL156" s="422"/>
      <c r="AM156" s="309">
        <f>SUM(Y156:AL156)</f>
        <v>1</v>
      </c>
    </row>
    <row r="157" spans="1:39" ht="15" outlineLevel="1">
      <c r="B157" s="307" t="s">
        <v>244</v>
      </c>
      <c r="C157" s="304" t="s">
        <v>163</v>
      </c>
      <c r="D157" s="308">
        <f>'7.  Persistence Report'!AR65+'7.  Persistence Report'!AR66+'7.  Persistence Report'!AR67</f>
        <v>6164.1692116020258</v>
      </c>
      <c r="E157" s="308">
        <f>'7.  Persistence Report'!AS65+'7.  Persistence Report'!AS66+'7.  Persistence Report'!AS67</f>
        <v>6164.1692116020258</v>
      </c>
      <c r="F157" s="308">
        <f>'7.  Persistence Report'!AT65+'7.  Persistence Report'!AT66+'7.  Persistence Report'!AT67</f>
        <v>6164.1692116020258</v>
      </c>
      <c r="G157" s="308">
        <f>'7.  Persistence Report'!AU65+'7.  Persistence Report'!AU66+'7.  Persistence Report'!AU67</f>
        <v>6164.1692116020258</v>
      </c>
      <c r="H157" s="308">
        <f>'7.  Persistence Report'!AV65+'7.  Persistence Report'!AV66+'7.  Persistence Report'!AV67</f>
        <v>6164.1692116020258</v>
      </c>
      <c r="I157" s="308">
        <f>'7.  Persistence Report'!AW65+'7.  Persistence Report'!AW66+'7.  Persistence Report'!AW67</f>
        <v>6164.1692116020258</v>
      </c>
      <c r="J157" s="308">
        <f>'7.  Persistence Report'!AX65+'7.  Persistence Report'!AX66+'7.  Persistence Report'!AX67</f>
        <v>6164.1692116020258</v>
      </c>
      <c r="K157" s="308">
        <f>'7.  Persistence Report'!AY65+'7.  Persistence Report'!AY66+'7.  Persistence Report'!AY67</f>
        <v>6164.1692116020258</v>
      </c>
      <c r="L157" s="308">
        <f>'7.  Persistence Report'!AZ65+'7.  Persistence Report'!AZ66+'7.  Persistence Report'!AZ67</f>
        <v>6164.1692116020258</v>
      </c>
      <c r="M157" s="308">
        <f>'7.  Persistence Report'!BA65+'7.  Persistence Report'!BA66+'7.  Persistence Report'!BA67</f>
        <v>6164.1692116020258</v>
      </c>
      <c r="N157" s="764"/>
      <c r="O157" s="308">
        <f>'7.  Persistence Report'!M65+'7.  Persistence Report'!M66+'7.  Persistence Report'!M67</f>
        <v>3.1807165889751667</v>
      </c>
      <c r="P157" s="308">
        <f>'7.  Persistence Report'!N65+'7.  Persistence Report'!N66+'7.  Persistence Report'!N67</f>
        <v>3.1807165889751667</v>
      </c>
      <c r="Q157" s="308">
        <f>'7.  Persistence Report'!O65+'7.  Persistence Report'!O66+'7.  Persistence Report'!O67</f>
        <v>3.1807165889751667</v>
      </c>
      <c r="R157" s="308">
        <f>'7.  Persistence Report'!P65+'7.  Persistence Report'!P66+'7.  Persistence Report'!P67</f>
        <v>3.1807165889751667</v>
      </c>
      <c r="S157" s="308">
        <f>'7.  Persistence Report'!Q65+'7.  Persistence Report'!Q66+'7.  Persistence Report'!Q67</f>
        <v>3.1807165889751667</v>
      </c>
      <c r="T157" s="308">
        <f>'7.  Persistence Report'!R65+'7.  Persistence Report'!R66+'7.  Persistence Report'!R67</f>
        <v>3.1807165889751667</v>
      </c>
      <c r="U157" s="308">
        <f>'7.  Persistence Report'!S65+'7.  Persistence Report'!S66+'7.  Persistence Report'!S67</f>
        <v>3.1807165889751667</v>
      </c>
      <c r="V157" s="308">
        <f>'7.  Persistence Report'!T65+'7.  Persistence Report'!T66+'7.  Persistence Report'!T67</f>
        <v>3.1807165889751667</v>
      </c>
      <c r="W157" s="308">
        <f>'7.  Persistence Report'!U65+'7.  Persistence Report'!U66+'7.  Persistence Report'!U67</f>
        <v>3.1807165889751667</v>
      </c>
      <c r="X157" s="308">
        <f>'7.  Persistence Report'!V65+'7.  Persistence Report'!V66+'7.  Persistence Report'!V67</f>
        <v>3.1807165889751667</v>
      </c>
      <c r="Y157" s="773">
        <f>Y156</f>
        <v>1</v>
      </c>
      <c r="Z157" s="773">
        <f>Z156</f>
        <v>0</v>
      </c>
      <c r="AA157" s="773">
        <f t="shared" ref="AA157:AE157" si="74">AA156</f>
        <v>0</v>
      </c>
      <c r="AB157" s="773">
        <f t="shared" si="74"/>
        <v>0</v>
      </c>
      <c r="AC157" s="773">
        <f t="shared" si="74"/>
        <v>0</v>
      </c>
      <c r="AD157" s="773">
        <f t="shared" si="74"/>
        <v>0</v>
      </c>
      <c r="AE157" s="773">
        <f t="shared" si="74"/>
        <v>0</v>
      </c>
      <c r="AF157" s="423">
        <f t="shared" ref="AF157:AL157" si="75">AF156</f>
        <v>0</v>
      </c>
      <c r="AG157" s="423">
        <f t="shared" si="75"/>
        <v>0</v>
      </c>
      <c r="AH157" s="423">
        <f t="shared" si="75"/>
        <v>0</v>
      </c>
      <c r="AI157" s="423">
        <f t="shared" si="75"/>
        <v>0</v>
      </c>
      <c r="AJ157" s="423">
        <f t="shared" si="75"/>
        <v>0</v>
      </c>
      <c r="AK157" s="423">
        <f t="shared" si="75"/>
        <v>0</v>
      </c>
      <c r="AL157" s="423">
        <f t="shared" si="75"/>
        <v>0</v>
      </c>
      <c r="AM157" s="512"/>
    </row>
    <row r="158" spans="1:39" ht="15" outlineLevel="1">
      <c r="B158" s="307"/>
      <c r="C158" s="318"/>
      <c r="D158" s="763"/>
      <c r="E158" s="763"/>
      <c r="F158" s="763"/>
      <c r="G158" s="763"/>
      <c r="H158" s="763"/>
      <c r="I158" s="763"/>
      <c r="J158" s="763"/>
      <c r="K158" s="763"/>
      <c r="L158" s="763"/>
      <c r="M158" s="763"/>
      <c r="N158" s="296"/>
      <c r="O158" s="763"/>
      <c r="P158" s="763"/>
      <c r="Q158" s="763"/>
      <c r="R158" s="763"/>
      <c r="S158" s="763"/>
      <c r="T158" s="763"/>
      <c r="U158" s="763"/>
      <c r="V158" s="763"/>
      <c r="W158" s="763"/>
      <c r="X158" s="763"/>
      <c r="Y158" s="774"/>
      <c r="Z158" s="774"/>
      <c r="AA158" s="774"/>
      <c r="AB158" s="774"/>
      <c r="AC158" s="774"/>
      <c r="AD158" s="774"/>
      <c r="AE158" s="774"/>
      <c r="AF158" s="424"/>
      <c r="AG158" s="424"/>
      <c r="AH158" s="424"/>
      <c r="AI158" s="424"/>
      <c r="AJ158" s="424"/>
      <c r="AK158" s="424"/>
      <c r="AL158" s="424"/>
      <c r="AM158" s="319"/>
    </row>
    <row r="159" spans="1:39" ht="15" outlineLevel="1">
      <c r="A159" s="516">
        <v>4</v>
      </c>
      <c r="B159" s="307" t="s">
        <v>4</v>
      </c>
      <c r="C159" s="304" t="s">
        <v>25</v>
      </c>
      <c r="D159" s="308">
        <f>'7.  Persistence Report'!AR50</f>
        <v>7654.805446726109</v>
      </c>
      <c r="E159" s="308">
        <f>'7.  Persistence Report'!AS50</f>
        <v>7654.805446726109</v>
      </c>
      <c r="F159" s="308">
        <f>'7.  Persistence Report'!AT50</f>
        <v>7654.805446726109</v>
      </c>
      <c r="G159" s="308">
        <f>'7.  Persistence Report'!AU50</f>
        <v>7654.805446726109</v>
      </c>
      <c r="H159" s="308">
        <f>'7.  Persistence Report'!AV50</f>
        <v>7539.8035580049018</v>
      </c>
      <c r="I159" s="308">
        <f>'7.  Persistence Report'!AW50</f>
        <v>7539.8035580049018</v>
      </c>
      <c r="J159" s="308">
        <f>'7.  Persistence Report'!AX50</f>
        <v>3550.4678645175309</v>
      </c>
      <c r="K159" s="308">
        <f>'7.  Persistence Report'!AY50</f>
        <v>3530.8727247442662</v>
      </c>
      <c r="L159" s="308">
        <f>'7.  Persistence Report'!AZ50</f>
        <v>3530.8727247442662</v>
      </c>
      <c r="M159" s="308">
        <f>'7.  Persistence Report'!BA50</f>
        <v>3530.8727247442662</v>
      </c>
      <c r="N159" s="763"/>
      <c r="O159" s="308">
        <f>'7.  Persistence Report'!M50</f>
        <v>1.2614675933139985</v>
      </c>
      <c r="P159" s="308">
        <f>'7.  Persistence Report'!N50</f>
        <v>1.2614675933139985</v>
      </c>
      <c r="Q159" s="308">
        <f>'7.  Persistence Report'!O50</f>
        <v>1.2614675933139985</v>
      </c>
      <c r="R159" s="308">
        <f>'7.  Persistence Report'!P50</f>
        <v>1.2614675933139985</v>
      </c>
      <c r="S159" s="308">
        <f>'7.  Persistence Report'!Q50</f>
        <v>1.2561426665987911</v>
      </c>
      <c r="T159" s="308">
        <f>'7.  Persistence Report'!R50</f>
        <v>1.2561426665987911</v>
      </c>
      <c r="U159" s="308">
        <f>'7.  Persistence Report'!S50</f>
        <v>1.0714246550391899</v>
      </c>
      <c r="V159" s="308">
        <f>'7.  Persistence Report'!T50</f>
        <v>1.0691877669372192</v>
      </c>
      <c r="W159" s="308">
        <f>'7.  Persistence Report'!U50</f>
        <v>1.0691877669372192</v>
      </c>
      <c r="X159" s="308">
        <f>'7.  Persistence Report'!V50</f>
        <v>1.0691877669372192</v>
      </c>
      <c r="Y159" s="772">
        <v>1</v>
      </c>
      <c r="Z159" s="772"/>
      <c r="AA159" s="772"/>
      <c r="AB159" s="772"/>
      <c r="AC159" s="772"/>
      <c r="AD159" s="772"/>
      <c r="AE159" s="772"/>
      <c r="AF159" s="422"/>
      <c r="AG159" s="422"/>
      <c r="AH159" s="422"/>
      <c r="AI159" s="422"/>
      <c r="AJ159" s="422"/>
      <c r="AK159" s="422"/>
      <c r="AL159" s="422"/>
      <c r="AM159" s="309">
        <f>SUM(Y159:AL159)</f>
        <v>1</v>
      </c>
    </row>
    <row r="160" spans="1:39" ht="15" outlineLevel="1">
      <c r="B160" s="307" t="s">
        <v>244</v>
      </c>
      <c r="C160" s="304" t="s">
        <v>163</v>
      </c>
      <c r="D160" s="308"/>
      <c r="E160" s="308"/>
      <c r="F160" s="308"/>
      <c r="G160" s="308"/>
      <c r="H160" s="308"/>
      <c r="I160" s="308"/>
      <c r="J160" s="308"/>
      <c r="K160" s="308"/>
      <c r="L160" s="308"/>
      <c r="M160" s="308"/>
      <c r="N160" s="764"/>
      <c r="O160" s="308"/>
      <c r="P160" s="308"/>
      <c r="Q160" s="308"/>
      <c r="R160" s="308"/>
      <c r="S160" s="308"/>
      <c r="T160" s="308"/>
      <c r="U160" s="308"/>
      <c r="V160" s="308"/>
      <c r="W160" s="308"/>
      <c r="X160" s="308"/>
      <c r="Y160" s="773">
        <f>Y159</f>
        <v>1</v>
      </c>
      <c r="Z160" s="773">
        <f>Z159</f>
        <v>0</v>
      </c>
      <c r="AA160" s="773">
        <f t="shared" ref="AA160:AE160" si="76">AA159</f>
        <v>0</v>
      </c>
      <c r="AB160" s="773">
        <f t="shared" si="76"/>
        <v>0</v>
      </c>
      <c r="AC160" s="773">
        <f t="shared" si="76"/>
        <v>0</v>
      </c>
      <c r="AD160" s="773">
        <f t="shared" si="76"/>
        <v>0</v>
      </c>
      <c r="AE160" s="773">
        <f t="shared" si="76"/>
        <v>0</v>
      </c>
      <c r="AF160" s="423">
        <f t="shared" ref="AF160:AL160" si="77">AF159</f>
        <v>0</v>
      </c>
      <c r="AG160" s="423">
        <f t="shared" si="77"/>
        <v>0</v>
      </c>
      <c r="AH160" s="423">
        <f t="shared" si="77"/>
        <v>0</v>
      </c>
      <c r="AI160" s="423">
        <f t="shared" si="77"/>
        <v>0</v>
      </c>
      <c r="AJ160" s="423">
        <f t="shared" si="77"/>
        <v>0</v>
      </c>
      <c r="AK160" s="423">
        <f t="shared" si="77"/>
        <v>0</v>
      </c>
      <c r="AL160" s="423">
        <f t="shared" si="77"/>
        <v>0</v>
      </c>
      <c r="AM160" s="512"/>
    </row>
    <row r="161" spans="1:39" ht="15" outlineLevel="1">
      <c r="B161" s="307"/>
      <c r="C161" s="318"/>
      <c r="D161" s="766"/>
      <c r="E161" s="766"/>
      <c r="F161" s="766"/>
      <c r="G161" s="766"/>
      <c r="H161" s="766"/>
      <c r="I161" s="766"/>
      <c r="J161" s="766"/>
      <c r="K161" s="766"/>
      <c r="L161" s="766"/>
      <c r="M161" s="766"/>
      <c r="N161" s="763"/>
      <c r="O161" s="766"/>
      <c r="P161" s="766"/>
      <c r="Q161" s="766"/>
      <c r="R161" s="766"/>
      <c r="S161" s="766"/>
      <c r="T161" s="766"/>
      <c r="U161" s="766"/>
      <c r="V161" s="766"/>
      <c r="W161" s="766"/>
      <c r="X161" s="766"/>
      <c r="Y161" s="774"/>
      <c r="Z161" s="774"/>
      <c r="AA161" s="774"/>
      <c r="AB161" s="774"/>
      <c r="AC161" s="774"/>
      <c r="AD161" s="774"/>
      <c r="AE161" s="774"/>
      <c r="AF161" s="424"/>
      <c r="AG161" s="424"/>
      <c r="AH161" s="424"/>
      <c r="AI161" s="424"/>
      <c r="AJ161" s="424"/>
      <c r="AK161" s="424"/>
      <c r="AL161" s="424"/>
      <c r="AM161" s="319"/>
    </row>
    <row r="162" spans="1:39" ht="15" outlineLevel="1">
      <c r="A162" s="516">
        <v>5</v>
      </c>
      <c r="B162" s="307" t="s">
        <v>5</v>
      </c>
      <c r="C162" s="304" t="s">
        <v>25</v>
      </c>
      <c r="D162" s="308">
        <f>'7.  Persistence Report'!AR49</f>
        <v>146622.96829601386</v>
      </c>
      <c r="E162" s="308">
        <f>'7.  Persistence Report'!AS49</f>
        <v>146622.96829601386</v>
      </c>
      <c r="F162" s="308">
        <f>'7.  Persistence Report'!AT49</f>
        <v>146622.96829601386</v>
      </c>
      <c r="G162" s="308">
        <f>'7.  Persistence Report'!AU49</f>
        <v>146622.96829601386</v>
      </c>
      <c r="H162" s="308">
        <f>'7.  Persistence Report'!AV49</f>
        <v>131804.72099682936</v>
      </c>
      <c r="I162" s="308">
        <f>'7.  Persistence Report'!AW49</f>
        <v>107176.06438703198</v>
      </c>
      <c r="J162" s="308">
        <f>'7.  Persistence Report'!AX49</f>
        <v>73105.068263053094</v>
      </c>
      <c r="K162" s="308">
        <f>'7.  Persistence Report'!AY49</f>
        <v>72953.105954607381</v>
      </c>
      <c r="L162" s="308">
        <f>'7.  Persistence Report'!AZ49</f>
        <v>72953.105954607381</v>
      </c>
      <c r="M162" s="308">
        <f>'7.  Persistence Report'!BA49</f>
        <v>37054.626317693874</v>
      </c>
      <c r="N162" s="763"/>
      <c r="O162" s="308">
        <f>'7.  Persistence Report'!M49</f>
        <v>8.1025388189143026</v>
      </c>
      <c r="P162" s="308">
        <f>'7.  Persistence Report'!N49</f>
        <v>8.1025388189143026</v>
      </c>
      <c r="Q162" s="308">
        <f>'7.  Persistence Report'!O49</f>
        <v>8.1025388189143026</v>
      </c>
      <c r="R162" s="308">
        <f>'7.  Persistence Report'!P49</f>
        <v>8.1025388189143026</v>
      </c>
      <c r="S162" s="308">
        <f>'7.  Persistence Report'!Q49</f>
        <v>7.4164102536064744</v>
      </c>
      <c r="T162" s="308">
        <f>'7.  Persistence Report'!R49</f>
        <v>6.276030795499481</v>
      </c>
      <c r="U162" s="308">
        <f>'7.  Persistence Report'!S49</f>
        <v>4.6984431620118992</v>
      </c>
      <c r="V162" s="308">
        <f>'7.  Persistence Report'!T49</f>
        <v>4.6810958665272269</v>
      </c>
      <c r="W162" s="308">
        <f>'7.  Persistence Report'!U49</f>
        <v>4.6810958665272269</v>
      </c>
      <c r="X162" s="308">
        <f>'7.  Persistence Report'!V49</f>
        <v>3.0188903551262105</v>
      </c>
      <c r="Y162" s="772">
        <v>1</v>
      </c>
      <c r="Z162" s="772"/>
      <c r="AA162" s="772"/>
      <c r="AB162" s="772"/>
      <c r="AC162" s="772"/>
      <c r="AD162" s="772"/>
      <c r="AE162" s="772"/>
      <c r="AF162" s="422"/>
      <c r="AG162" s="422"/>
      <c r="AH162" s="422"/>
      <c r="AI162" s="422"/>
      <c r="AJ162" s="422"/>
      <c r="AK162" s="422"/>
      <c r="AL162" s="422"/>
      <c r="AM162" s="309">
        <f>SUM(Y162:AL162)</f>
        <v>1</v>
      </c>
    </row>
    <row r="163" spans="1:39" ht="15" outlineLevel="1">
      <c r="B163" s="307" t="s">
        <v>244</v>
      </c>
      <c r="C163" s="304" t="s">
        <v>163</v>
      </c>
      <c r="D163" s="308"/>
      <c r="E163" s="308"/>
      <c r="F163" s="308"/>
      <c r="G163" s="308"/>
      <c r="H163" s="308"/>
      <c r="I163" s="308"/>
      <c r="J163" s="308"/>
      <c r="K163" s="308"/>
      <c r="L163" s="308"/>
      <c r="M163" s="308"/>
      <c r="N163" s="764"/>
      <c r="O163" s="308"/>
      <c r="P163" s="308"/>
      <c r="Q163" s="308"/>
      <c r="R163" s="308"/>
      <c r="S163" s="308"/>
      <c r="T163" s="308"/>
      <c r="U163" s="308"/>
      <c r="V163" s="308"/>
      <c r="W163" s="308"/>
      <c r="X163" s="308"/>
      <c r="Y163" s="773">
        <f>Y162</f>
        <v>1</v>
      </c>
      <c r="Z163" s="773">
        <f>Z162</f>
        <v>0</v>
      </c>
      <c r="AA163" s="773">
        <f t="shared" ref="AA163:AE163" si="78">AA162</f>
        <v>0</v>
      </c>
      <c r="AB163" s="773">
        <f t="shared" si="78"/>
        <v>0</v>
      </c>
      <c r="AC163" s="773">
        <f t="shared" si="78"/>
        <v>0</v>
      </c>
      <c r="AD163" s="773">
        <f t="shared" si="78"/>
        <v>0</v>
      </c>
      <c r="AE163" s="773">
        <f t="shared" si="78"/>
        <v>0</v>
      </c>
      <c r="AF163" s="423">
        <f t="shared" ref="AF163:AL163" si="79">AF162</f>
        <v>0</v>
      </c>
      <c r="AG163" s="423">
        <f t="shared" si="79"/>
        <v>0</v>
      </c>
      <c r="AH163" s="423">
        <f t="shared" si="79"/>
        <v>0</v>
      </c>
      <c r="AI163" s="423">
        <f t="shared" si="79"/>
        <v>0</v>
      </c>
      <c r="AJ163" s="423">
        <f t="shared" si="79"/>
        <v>0</v>
      </c>
      <c r="AK163" s="423">
        <f t="shared" si="79"/>
        <v>0</v>
      </c>
      <c r="AL163" s="423">
        <f t="shared" si="79"/>
        <v>0</v>
      </c>
      <c r="AM163" s="512"/>
    </row>
    <row r="164" spans="1:39" ht="15" outlineLevel="1">
      <c r="B164" s="307"/>
      <c r="C164" s="318"/>
      <c r="D164" s="766"/>
      <c r="E164" s="766"/>
      <c r="F164" s="766"/>
      <c r="G164" s="766"/>
      <c r="H164" s="766"/>
      <c r="I164" s="766"/>
      <c r="J164" s="766"/>
      <c r="K164" s="766"/>
      <c r="L164" s="766"/>
      <c r="M164" s="766"/>
      <c r="N164" s="763"/>
      <c r="O164" s="766"/>
      <c r="P164" s="766"/>
      <c r="Q164" s="766"/>
      <c r="R164" s="766"/>
      <c r="S164" s="766"/>
      <c r="T164" s="766"/>
      <c r="U164" s="766"/>
      <c r="V164" s="766"/>
      <c r="W164" s="766"/>
      <c r="X164" s="766"/>
      <c r="Y164" s="774"/>
      <c r="Z164" s="774"/>
      <c r="AA164" s="774"/>
      <c r="AB164" s="774"/>
      <c r="AC164" s="774"/>
      <c r="AD164" s="774"/>
      <c r="AE164" s="774"/>
      <c r="AF164" s="424"/>
      <c r="AG164" s="424"/>
      <c r="AH164" s="424"/>
      <c r="AI164" s="424"/>
      <c r="AJ164" s="424"/>
      <c r="AK164" s="424"/>
      <c r="AL164" s="424"/>
      <c r="AM164" s="319"/>
    </row>
    <row r="165" spans="1:39" ht="15" outlineLevel="1">
      <c r="A165" s="516">
        <v>6</v>
      </c>
      <c r="B165" s="307" t="s">
        <v>6</v>
      </c>
      <c r="C165" s="304" t="s">
        <v>25</v>
      </c>
      <c r="D165" s="308"/>
      <c r="E165" s="308"/>
      <c r="F165" s="308"/>
      <c r="G165" s="308"/>
      <c r="H165" s="308"/>
      <c r="I165" s="308"/>
      <c r="J165" s="308"/>
      <c r="K165" s="308"/>
      <c r="L165" s="308"/>
      <c r="M165" s="308"/>
      <c r="N165" s="763"/>
      <c r="O165" s="308"/>
      <c r="P165" s="308"/>
      <c r="Q165" s="308"/>
      <c r="R165" s="308"/>
      <c r="S165" s="308"/>
      <c r="T165" s="308"/>
      <c r="U165" s="308"/>
      <c r="V165" s="308"/>
      <c r="W165" s="308"/>
      <c r="X165" s="308"/>
      <c r="Y165" s="772"/>
      <c r="Z165" s="772"/>
      <c r="AA165" s="772"/>
      <c r="AB165" s="772"/>
      <c r="AC165" s="772"/>
      <c r="AD165" s="772"/>
      <c r="AE165" s="772"/>
      <c r="AF165" s="422"/>
      <c r="AG165" s="422"/>
      <c r="AH165" s="422"/>
      <c r="AI165" s="422"/>
      <c r="AJ165" s="422"/>
      <c r="AK165" s="422"/>
      <c r="AL165" s="422"/>
      <c r="AM165" s="309">
        <f>SUM(Y165:AL165)</f>
        <v>0</v>
      </c>
    </row>
    <row r="166" spans="1:39" ht="15" outlineLevel="1">
      <c r="B166" s="307" t="s">
        <v>244</v>
      </c>
      <c r="C166" s="304" t="s">
        <v>163</v>
      </c>
      <c r="D166" s="308"/>
      <c r="E166" s="308"/>
      <c r="F166" s="308"/>
      <c r="G166" s="308"/>
      <c r="H166" s="308"/>
      <c r="I166" s="308"/>
      <c r="J166" s="308"/>
      <c r="K166" s="308"/>
      <c r="L166" s="308"/>
      <c r="M166" s="308"/>
      <c r="N166" s="764"/>
      <c r="O166" s="308"/>
      <c r="P166" s="308"/>
      <c r="Q166" s="308"/>
      <c r="R166" s="308"/>
      <c r="S166" s="308"/>
      <c r="T166" s="308"/>
      <c r="U166" s="308"/>
      <c r="V166" s="308"/>
      <c r="W166" s="308"/>
      <c r="X166" s="308"/>
      <c r="Y166" s="773">
        <f>Y165</f>
        <v>0</v>
      </c>
      <c r="Z166" s="773">
        <f>Z165</f>
        <v>0</v>
      </c>
      <c r="AA166" s="773">
        <f t="shared" ref="AA166:AE166" si="80">AA165</f>
        <v>0</v>
      </c>
      <c r="AB166" s="773">
        <f t="shared" si="80"/>
        <v>0</v>
      </c>
      <c r="AC166" s="773">
        <f t="shared" si="80"/>
        <v>0</v>
      </c>
      <c r="AD166" s="773">
        <f t="shared" si="80"/>
        <v>0</v>
      </c>
      <c r="AE166" s="773">
        <f t="shared" si="80"/>
        <v>0</v>
      </c>
      <c r="AF166" s="423">
        <f t="shared" ref="AF166:AL166" si="81">AF165</f>
        <v>0</v>
      </c>
      <c r="AG166" s="423">
        <f t="shared" si="81"/>
        <v>0</v>
      </c>
      <c r="AH166" s="423">
        <f t="shared" si="81"/>
        <v>0</v>
      </c>
      <c r="AI166" s="423">
        <f t="shared" si="81"/>
        <v>0</v>
      </c>
      <c r="AJ166" s="423">
        <f t="shared" si="81"/>
        <v>0</v>
      </c>
      <c r="AK166" s="423">
        <f t="shared" si="81"/>
        <v>0</v>
      </c>
      <c r="AL166" s="423">
        <f t="shared" si="81"/>
        <v>0</v>
      </c>
      <c r="AM166" s="512"/>
    </row>
    <row r="167" spans="1:39" ht="15" outlineLevel="1">
      <c r="B167" s="307"/>
      <c r="C167" s="318"/>
      <c r="D167" s="766"/>
      <c r="E167" s="766"/>
      <c r="F167" s="766"/>
      <c r="G167" s="766"/>
      <c r="H167" s="766"/>
      <c r="I167" s="766"/>
      <c r="J167" s="766"/>
      <c r="K167" s="766"/>
      <c r="L167" s="766"/>
      <c r="M167" s="766"/>
      <c r="N167" s="763"/>
      <c r="O167" s="766"/>
      <c r="P167" s="766"/>
      <c r="Q167" s="766"/>
      <c r="R167" s="766"/>
      <c r="S167" s="766"/>
      <c r="T167" s="766"/>
      <c r="U167" s="766"/>
      <c r="V167" s="766"/>
      <c r="W167" s="766"/>
      <c r="X167" s="766"/>
      <c r="Y167" s="774"/>
      <c r="Z167" s="774"/>
      <c r="AA167" s="774"/>
      <c r="AB167" s="774"/>
      <c r="AC167" s="774"/>
      <c r="AD167" s="774"/>
      <c r="AE167" s="774"/>
      <c r="AF167" s="424"/>
      <c r="AG167" s="424"/>
      <c r="AH167" s="424"/>
      <c r="AI167" s="424"/>
      <c r="AJ167" s="424"/>
      <c r="AK167" s="424"/>
      <c r="AL167" s="424"/>
      <c r="AM167" s="319"/>
    </row>
    <row r="168" spans="1:39" ht="15" outlineLevel="1">
      <c r="A168" s="516">
        <v>7</v>
      </c>
      <c r="B168" s="307" t="s">
        <v>42</v>
      </c>
      <c r="C168" s="304" t="s">
        <v>25</v>
      </c>
      <c r="D168" s="308"/>
      <c r="E168" s="308"/>
      <c r="F168" s="308"/>
      <c r="G168" s="308"/>
      <c r="H168" s="308"/>
      <c r="I168" s="308"/>
      <c r="J168" s="308"/>
      <c r="K168" s="308"/>
      <c r="L168" s="308"/>
      <c r="M168" s="308"/>
      <c r="N168" s="763"/>
      <c r="O168" s="308"/>
      <c r="P168" s="308"/>
      <c r="Q168" s="308"/>
      <c r="R168" s="308"/>
      <c r="S168" s="308"/>
      <c r="T168" s="308"/>
      <c r="U168" s="308"/>
      <c r="V168" s="308"/>
      <c r="W168" s="308"/>
      <c r="X168" s="308"/>
      <c r="Y168" s="772"/>
      <c r="Z168" s="772"/>
      <c r="AA168" s="772"/>
      <c r="AB168" s="772"/>
      <c r="AC168" s="772"/>
      <c r="AD168" s="772"/>
      <c r="AE168" s="772"/>
      <c r="AF168" s="422"/>
      <c r="AG168" s="422"/>
      <c r="AH168" s="422"/>
      <c r="AI168" s="422"/>
      <c r="AJ168" s="422"/>
      <c r="AK168" s="422"/>
      <c r="AL168" s="422"/>
      <c r="AM168" s="309">
        <f>SUM(Y168:AL168)</f>
        <v>0</v>
      </c>
    </row>
    <row r="169" spans="1:39" ht="15" outlineLevel="1">
      <c r="B169" s="307" t="s">
        <v>244</v>
      </c>
      <c r="C169" s="304" t="s">
        <v>163</v>
      </c>
      <c r="D169" s="308"/>
      <c r="E169" s="308"/>
      <c r="F169" s="308"/>
      <c r="G169" s="308"/>
      <c r="H169" s="308"/>
      <c r="I169" s="308"/>
      <c r="J169" s="308"/>
      <c r="K169" s="308"/>
      <c r="L169" s="308"/>
      <c r="M169" s="308"/>
      <c r="N169" s="763"/>
      <c r="O169" s="308"/>
      <c r="P169" s="308"/>
      <c r="Q169" s="308"/>
      <c r="R169" s="308"/>
      <c r="S169" s="308"/>
      <c r="T169" s="308"/>
      <c r="U169" s="308"/>
      <c r="V169" s="308"/>
      <c r="W169" s="308"/>
      <c r="X169" s="308"/>
      <c r="Y169" s="773">
        <f>Y168</f>
        <v>0</v>
      </c>
      <c r="Z169" s="773">
        <f>Z168</f>
        <v>0</v>
      </c>
      <c r="AA169" s="773">
        <f t="shared" ref="AA169:AE169" si="82">AA168</f>
        <v>0</v>
      </c>
      <c r="AB169" s="773">
        <f t="shared" si="82"/>
        <v>0</v>
      </c>
      <c r="AC169" s="773">
        <f t="shared" si="82"/>
        <v>0</v>
      </c>
      <c r="AD169" s="773">
        <f t="shared" si="82"/>
        <v>0</v>
      </c>
      <c r="AE169" s="773">
        <f t="shared" si="82"/>
        <v>0</v>
      </c>
      <c r="AF169" s="423">
        <f t="shared" ref="AF169:AL169" si="83">AF168</f>
        <v>0</v>
      </c>
      <c r="AG169" s="423">
        <f t="shared" si="83"/>
        <v>0</v>
      </c>
      <c r="AH169" s="423">
        <f t="shared" si="83"/>
        <v>0</v>
      </c>
      <c r="AI169" s="423">
        <f t="shared" si="83"/>
        <v>0</v>
      </c>
      <c r="AJ169" s="423">
        <f t="shared" si="83"/>
        <v>0</v>
      </c>
      <c r="AK169" s="423">
        <f t="shared" si="83"/>
        <v>0</v>
      </c>
      <c r="AL169" s="423">
        <f t="shared" si="83"/>
        <v>0</v>
      </c>
      <c r="AM169" s="512"/>
    </row>
    <row r="170" spans="1:39" ht="15" outlineLevel="1">
      <c r="B170" s="307"/>
      <c r="C170" s="318"/>
      <c r="D170" s="766"/>
      <c r="E170" s="766"/>
      <c r="F170" s="766"/>
      <c r="G170" s="766"/>
      <c r="H170" s="766"/>
      <c r="I170" s="766"/>
      <c r="J170" s="766"/>
      <c r="K170" s="766"/>
      <c r="L170" s="766"/>
      <c r="M170" s="766"/>
      <c r="N170" s="763"/>
      <c r="O170" s="766"/>
      <c r="P170" s="766"/>
      <c r="Q170" s="766"/>
      <c r="R170" s="766"/>
      <c r="S170" s="766"/>
      <c r="T170" s="766"/>
      <c r="U170" s="766"/>
      <c r="V170" s="766"/>
      <c r="W170" s="766"/>
      <c r="X170" s="766"/>
      <c r="Y170" s="774"/>
      <c r="Z170" s="774"/>
      <c r="AA170" s="774"/>
      <c r="AB170" s="774"/>
      <c r="AC170" s="774"/>
      <c r="AD170" s="774"/>
      <c r="AE170" s="774"/>
      <c r="AF170" s="424"/>
      <c r="AG170" s="424"/>
      <c r="AH170" s="424"/>
      <c r="AI170" s="424"/>
      <c r="AJ170" s="424"/>
      <c r="AK170" s="424"/>
      <c r="AL170" s="424"/>
      <c r="AM170" s="319"/>
    </row>
    <row r="171" spans="1:39" s="296" customFormat="1" ht="15" outlineLevel="1">
      <c r="A171" s="516">
        <v>8</v>
      </c>
      <c r="B171" s="307" t="s">
        <v>484</v>
      </c>
      <c r="C171" s="304" t="s">
        <v>25</v>
      </c>
      <c r="D171" s="308"/>
      <c r="E171" s="308"/>
      <c r="F171" s="308"/>
      <c r="G171" s="308"/>
      <c r="H171" s="308"/>
      <c r="I171" s="308"/>
      <c r="J171" s="308"/>
      <c r="K171" s="308"/>
      <c r="L171" s="308"/>
      <c r="M171" s="308"/>
      <c r="N171" s="763"/>
      <c r="O171" s="308"/>
      <c r="P171" s="308"/>
      <c r="Q171" s="308"/>
      <c r="R171" s="308"/>
      <c r="S171" s="308"/>
      <c r="T171" s="308"/>
      <c r="U171" s="308"/>
      <c r="V171" s="308"/>
      <c r="W171" s="308"/>
      <c r="X171" s="308"/>
      <c r="Y171" s="772"/>
      <c r="Z171" s="772"/>
      <c r="AA171" s="772"/>
      <c r="AB171" s="772"/>
      <c r="AC171" s="772"/>
      <c r="AD171" s="772"/>
      <c r="AE171" s="772"/>
      <c r="AF171" s="422"/>
      <c r="AG171" s="422"/>
      <c r="AH171" s="422"/>
      <c r="AI171" s="422"/>
      <c r="AJ171" s="422"/>
      <c r="AK171" s="422"/>
      <c r="AL171" s="422"/>
      <c r="AM171" s="309">
        <f>SUM(Y171:AL171)</f>
        <v>0</v>
      </c>
    </row>
    <row r="172" spans="1:39" s="296" customFormat="1" ht="15" outlineLevel="1">
      <c r="A172" s="516"/>
      <c r="B172" s="307" t="s">
        <v>244</v>
      </c>
      <c r="C172" s="304" t="s">
        <v>163</v>
      </c>
      <c r="D172" s="308"/>
      <c r="E172" s="308"/>
      <c r="F172" s="308"/>
      <c r="G172" s="308"/>
      <c r="H172" s="308"/>
      <c r="I172" s="308"/>
      <c r="J172" s="308"/>
      <c r="K172" s="308"/>
      <c r="L172" s="308"/>
      <c r="M172" s="308"/>
      <c r="N172" s="763"/>
      <c r="O172" s="308"/>
      <c r="P172" s="308"/>
      <c r="Q172" s="308"/>
      <c r="R172" s="308"/>
      <c r="S172" s="308"/>
      <c r="T172" s="308"/>
      <c r="U172" s="308"/>
      <c r="V172" s="308"/>
      <c r="W172" s="308"/>
      <c r="X172" s="308"/>
      <c r="Y172" s="773">
        <f>Y171</f>
        <v>0</v>
      </c>
      <c r="Z172" s="773">
        <f>Z171</f>
        <v>0</v>
      </c>
      <c r="AA172" s="773">
        <f t="shared" ref="AA172:AE172" si="84">AA171</f>
        <v>0</v>
      </c>
      <c r="AB172" s="773">
        <f t="shared" si="84"/>
        <v>0</v>
      </c>
      <c r="AC172" s="773">
        <f t="shared" si="84"/>
        <v>0</v>
      </c>
      <c r="AD172" s="773">
        <f t="shared" si="84"/>
        <v>0</v>
      </c>
      <c r="AE172" s="773">
        <f t="shared" si="84"/>
        <v>0</v>
      </c>
      <c r="AF172" s="423">
        <f t="shared" ref="AF172:AL172" si="85">AF171</f>
        <v>0</v>
      </c>
      <c r="AG172" s="423">
        <f t="shared" si="85"/>
        <v>0</v>
      </c>
      <c r="AH172" s="423">
        <f t="shared" si="85"/>
        <v>0</v>
      </c>
      <c r="AI172" s="423">
        <f t="shared" si="85"/>
        <v>0</v>
      </c>
      <c r="AJ172" s="423">
        <f t="shared" si="85"/>
        <v>0</v>
      </c>
      <c r="AK172" s="423">
        <f t="shared" si="85"/>
        <v>0</v>
      </c>
      <c r="AL172" s="423">
        <f t="shared" si="85"/>
        <v>0</v>
      </c>
      <c r="AM172" s="512"/>
    </row>
    <row r="173" spans="1:39" s="296" customFormat="1" ht="15" outlineLevel="1">
      <c r="A173" s="516"/>
      <c r="B173" s="307"/>
      <c r="C173" s="318"/>
      <c r="D173" s="766"/>
      <c r="E173" s="766"/>
      <c r="F173" s="766"/>
      <c r="G173" s="766"/>
      <c r="H173" s="766"/>
      <c r="I173" s="766"/>
      <c r="J173" s="766"/>
      <c r="K173" s="766"/>
      <c r="L173" s="766"/>
      <c r="M173" s="766"/>
      <c r="N173" s="763"/>
      <c r="O173" s="766"/>
      <c r="P173" s="766"/>
      <c r="Q173" s="766"/>
      <c r="R173" s="766"/>
      <c r="S173" s="766"/>
      <c r="T173" s="766"/>
      <c r="U173" s="766"/>
      <c r="V173" s="766"/>
      <c r="W173" s="766"/>
      <c r="X173" s="766"/>
      <c r="Y173" s="774"/>
      <c r="Z173" s="774"/>
      <c r="AA173" s="774"/>
      <c r="AB173" s="774"/>
      <c r="AC173" s="774"/>
      <c r="AD173" s="774"/>
      <c r="AE173" s="774"/>
      <c r="AF173" s="424"/>
      <c r="AG173" s="424"/>
      <c r="AH173" s="424"/>
      <c r="AI173" s="424"/>
      <c r="AJ173" s="424"/>
      <c r="AK173" s="424"/>
      <c r="AL173" s="424"/>
      <c r="AM173" s="319"/>
    </row>
    <row r="174" spans="1:39" ht="15" outlineLevel="1">
      <c r="A174" s="516">
        <v>9</v>
      </c>
      <c r="B174" s="307" t="s">
        <v>7</v>
      </c>
      <c r="C174" s="304" t="s">
        <v>25</v>
      </c>
      <c r="D174" s="308"/>
      <c r="E174" s="308"/>
      <c r="F174" s="308"/>
      <c r="G174" s="308"/>
      <c r="H174" s="308"/>
      <c r="I174" s="308"/>
      <c r="J174" s="308"/>
      <c r="K174" s="308"/>
      <c r="L174" s="308"/>
      <c r="M174" s="308"/>
      <c r="N174" s="763"/>
      <c r="O174" s="308"/>
      <c r="P174" s="308"/>
      <c r="Q174" s="308"/>
      <c r="R174" s="308"/>
      <c r="S174" s="308"/>
      <c r="T174" s="308"/>
      <c r="U174" s="308"/>
      <c r="V174" s="308"/>
      <c r="W174" s="308"/>
      <c r="X174" s="308"/>
      <c r="Y174" s="772"/>
      <c r="Z174" s="772"/>
      <c r="AA174" s="772"/>
      <c r="AB174" s="772"/>
      <c r="AC174" s="772"/>
      <c r="AD174" s="772"/>
      <c r="AE174" s="772"/>
      <c r="AF174" s="422"/>
      <c r="AG174" s="422"/>
      <c r="AH174" s="422"/>
      <c r="AI174" s="422"/>
      <c r="AJ174" s="422"/>
      <c r="AK174" s="422"/>
      <c r="AL174" s="422"/>
      <c r="AM174" s="309">
        <f>SUM(Y174:AL174)</f>
        <v>0</v>
      </c>
    </row>
    <row r="175" spans="1:39" ht="15" outlineLevel="1">
      <c r="B175" s="307" t="s">
        <v>244</v>
      </c>
      <c r="C175" s="304" t="s">
        <v>163</v>
      </c>
      <c r="D175" s="308"/>
      <c r="E175" s="308"/>
      <c r="F175" s="308"/>
      <c r="G175" s="308"/>
      <c r="H175" s="308"/>
      <c r="I175" s="308"/>
      <c r="J175" s="308"/>
      <c r="K175" s="308"/>
      <c r="L175" s="308"/>
      <c r="M175" s="308"/>
      <c r="N175" s="763"/>
      <c r="O175" s="308"/>
      <c r="P175" s="308"/>
      <c r="Q175" s="308"/>
      <c r="R175" s="308"/>
      <c r="S175" s="308"/>
      <c r="T175" s="308"/>
      <c r="U175" s="308"/>
      <c r="V175" s="308"/>
      <c r="W175" s="308"/>
      <c r="X175" s="308"/>
      <c r="Y175" s="773">
        <f>Y174</f>
        <v>0</v>
      </c>
      <c r="Z175" s="773">
        <f>Z174</f>
        <v>0</v>
      </c>
      <c r="AA175" s="773">
        <f t="shared" ref="AA175:AE175" si="86">AA174</f>
        <v>0</v>
      </c>
      <c r="AB175" s="773">
        <f t="shared" si="86"/>
        <v>0</v>
      </c>
      <c r="AC175" s="773">
        <f t="shared" si="86"/>
        <v>0</v>
      </c>
      <c r="AD175" s="773">
        <f t="shared" si="86"/>
        <v>0</v>
      </c>
      <c r="AE175" s="773">
        <f t="shared" si="86"/>
        <v>0</v>
      </c>
      <c r="AF175" s="423">
        <f t="shared" ref="AF175:AL175" si="87">AF174</f>
        <v>0</v>
      </c>
      <c r="AG175" s="423">
        <f t="shared" si="87"/>
        <v>0</v>
      </c>
      <c r="AH175" s="423">
        <f t="shared" si="87"/>
        <v>0</v>
      </c>
      <c r="AI175" s="423">
        <f t="shared" si="87"/>
        <v>0</v>
      </c>
      <c r="AJ175" s="423">
        <f t="shared" si="87"/>
        <v>0</v>
      </c>
      <c r="AK175" s="423">
        <f t="shared" si="87"/>
        <v>0</v>
      </c>
      <c r="AL175" s="423">
        <f t="shared" si="87"/>
        <v>0</v>
      </c>
      <c r="AM175" s="512"/>
    </row>
    <row r="176" spans="1:39" ht="15" outlineLevel="1">
      <c r="B176" s="320"/>
      <c r="C176" s="321"/>
      <c r="D176" s="763"/>
      <c r="E176" s="763"/>
      <c r="F176" s="763"/>
      <c r="G176" s="763"/>
      <c r="H176" s="763"/>
      <c r="I176" s="763"/>
      <c r="J176" s="763"/>
      <c r="K176" s="763"/>
      <c r="L176" s="763"/>
      <c r="M176" s="763"/>
      <c r="N176" s="763"/>
      <c r="O176" s="763"/>
      <c r="P176" s="763"/>
      <c r="Q176" s="763"/>
      <c r="R176" s="763"/>
      <c r="S176" s="763"/>
      <c r="T176" s="763"/>
      <c r="U176" s="763"/>
      <c r="V176" s="763"/>
      <c r="W176" s="763"/>
      <c r="X176" s="763"/>
      <c r="Y176" s="774"/>
      <c r="Z176" s="774"/>
      <c r="AA176" s="774"/>
      <c r="AB176" s="774"/>
      <c r="AC176" s="774"/>
      <c r="AD176" s="774"/>
      <c r="AE176" s="774"/>
      <c r="AF176" s="424"/>
      <c r="AG176" s="424"/>
      <c r="AH176" s="424"/>
      <c r="AI176" s="424"/>
      <c r="AJ176" s="424"/>
      <c r="AK176" s="424"/>
      <c r="AL176" s="424"/>
      <c r="AM176" s="319"/>
    </row>
    <row r="177" spans="1:39" ht="15.6" outlineLevel="1">
      <c r="A177" s="517"/>
      <c r="B177" s="301" t="s">
        <v>8</v>
      </c>
      <c r="C177" s="302"/>
      <c r="D177" s="767"/>
      <c r="E177" s="767"/>
      <c r="F177" s="767"/>
      <c r="G177" s="767"/>
      <c r="H177" s="767"/>
      <c r="I177" s="767"/>
      <c r="J177" s="767"/>
      <c r="K177" s="767"/>
      <c r="L177" s="767"/>
      <c r="M177" s="767"/>
      <c r="N177" s="763"/>
      <c r="O177" s="767"/>
      <c r="P177" s="767"/>
      <c r="Q177" s="767"/>
      <c r="R177" s="767"/>
      <c r="S177" s="767"/>
      <c r="T177" s="767"/>
      <c r="U177" s="767"/>
      <c r="V177" s="767"/>
      <c r="W177" s="767"/>
      <c r="X177" s="767"/>
      <c r="Y177" s="776"/>
      <c r="Z177" s="776"/>
      <c r="AA177" s="776"/>
      <c r="AB177" s="776"/>
      <c r="AC177" s="776"/>
      <c r="AD177" s="776"/>
      <c r="AE177" s="776"/>
      <c r="AF177" s="426"/>
      <c r="AG177" s="426"/>
      <c r="AH177" s="426"/>
      <c r="AI177" s="426"/>
      <c r="AJ177" s="426"/>
      <c r="AK177" s="426"/>
      <c r="AL177" s="426"/>
      <c r="AM177" s="305"/>
    </row>
    <row r="178" spans="1:39" ht="15" outlineLevel="1">
      <c r="A178" s="516">
        <v>10</v>
      </c>
      <c r="B178" s="323" t="s">
        <v>22</v>
      </c>
      <c r="C178" s="304" t="s">
        <v>25</v>
      </c>
      <c r="D178" s="308">
        <f>'7.  Persistence Report'!AR46</f>
        <v>1766600.8902990958</v>
      </c>
      <c r="E178" s="308">
        <f>'7.  Persistence Report'!AS46</f>
        <v>1766600.8902990958</v>
      </c>
      <c r="F178" s="308">
        <f>'7.  Persistence Report'!AT46</f>
        <v>1766600.8902990958</v>
      </c>
      <c r="G178" s="308">
        <f>'7.  Persistence Report'!AU46</f>
        <v>1766600.8902990958</v>
      </c>
      <c r="H178" s="308">
        <f>'7.  Persistence Report'!AV46</f>
        <v>1766600.8902990958</v>
      </c>
      <c r="I178" s="308">
        <f>'7.  Persistence Report'!AW46</f>
        <v>1751500.7360676003</v>
      </c>
      <c r="J178" s="308">
        <f>'7.  Persistence Report'!AX46</f>
        <v>1721619.6747512654</v>
      </c>
      <c r="K178" s="308">
        <f>'7.  Persistence Report'!AY46</f>
        <v>1721619.6747512654</v>
      </c>
      <c r="L178" s="308">
        <f>'7.  Persistence Report'!AZ46</f>
        <v>1696762.0333809508</v>
      </c>
      <c r="M178" s="308">
        <f>'7.  Persistence Report'!BA46</f>
        <v>1293819.5747477813</v>
      </c>
      <c r="N178" s="308">
        <v>12</v>
      </c>
      <c r="O178" s="308">
        <f>'7.  Persistence Report'!M46</f>
        <v>264.3443969891793</v>
      </c>
      <c r="P178" s="308">
        <f>'7.  Persistence Report'!N46</f>
        <v>264.3443969891793</v>
      </c>
      <c r="Q178" s="308">
        <f>'7.  Persistence Report'!O46</f>
        <v>264.3443969891793</v>
      </c>
      <c r="R178" s="308">
        <f>'7.  Persistence Report'!P46</f>
        <v>264.3443969891793</v>
      </c>
      <c r="S178" s="308">
        <f>'7.  Persistence Report'!Q46</f>
        <v>264.3443969891793</v>
      </c>
      <c r="T178" s="308">
        <f>'7.  Persistence Report'!R46</f>
        <v>259.711711237222</v>
      </c>
      <c r="U178" s="308">
        <f>'7.  Persistence Report'!S46</f>
        <v>255.0544809996928</v>
      </c>
      <c r="V178" s="308">
        <f>'7.  Persistence Report'!T46</f>
        <v>255.0544809996928</v>
      </c>
      <c r="W178" s="308">
        <f>'7.  Persistence Report'!U46</f>
        <v>248.22008211607255</v>
      </c>
      <c r="X178" s="308">
        <f>'7.  Persistence Report'!V46</f>
        <v>185.41790174957657</v>
      </c>
      <c r="Y178" s="787"/>
      <c r="Z178" s="788">
        <v>0.1235</v>
      </c>
      <c r="AA178" s="788">
        <v>0.33739999999999998</v>
      </c>
      <c r="AB178" s="777">
        <v>0.53610000000000002</v>
      </c>
      <c r="AC178" s="777"/>
      <c r="AD178" s="777"/>
      <c r="AE178" s="777"/>
      <c r="AF178" s="427"/>
      <c r="AG178" s="427"/>
      <c r="AH178" s="427"/>
      <c r="AI178" s="427"/>
      <c r="AJ178" s="427"/>
      <c r="AK178" s="427"/>
      <c r="AL178" s="427"/>
      <c r="AM178" s="309">
        <f>SUM(Y178:AL178)</f>
        <v>0.997</v>
      </c>
    </row>
    <row r="179" spans="1:39" ht="15" outlineLevel="1">
      <c r="B179" s="307" t="s">
        <v>244</v>
      </c>
      <c r="C179" s="304" t="s">
        <v>163</v>
      </c>
      <c r="D179" s="308">
        <f>'7.  Persistence Report'!AR64</f>
        <v>69162.097060236003</v>
      </c>
      <c r="E179" s="308">
        <f>'7.  Persistence Report'!AS64</f>
        <v>69162.097060236003</v>
      </c>
      <c r="F179" s="308">
        <f>'7.  Persistence Report'!AT64</f>
        <v>69162.097060236003</v>
      </c>
      <c r="G179" s="308">
        <f>'7.  Persistence Report'!AU64</f>
        <v>69162.097060236003</v>
      </c>
      <c r="H179" s="308">
        <f>'7.  Persistence Report'!AV64</f>
        <v>69162.097060236003</v>
      </c>
      <c r="I179" s="308">
        <f>'7.  Persistence Report'!AW64</f>
        <v>69162.097060236003</v>
      </c>
      <c r="J179" s="308">
        <f>'7.  Persistence Report'!AX64</f>
        <v>69162.097060236003</v>
      </c>
      <c r="K179" s="308">
        <f>'7.  Persistence Report'!AY64</f>
        <v>69162.097060236003</v>
      </c>
      <c r="L179" s="308">
        <f>'7.  Persistence Report'!AZ64</f>
        <v>69162.097060236003</v>
      </c>
      <c r="M179" s="308">
        <f>'7.  Persistence Report'!BA64</f>
        <v>69162.097060236003</v>
      </c>
      <c r="N179" s="308">
        <f>N178</f>
        <v>12</v>
      </c>
      <c r="O179" s="308">
        <f>'7.  Persistence Report'!M64</f>
        <v>12.168868435</v>
      </c>
      <c r="P179" s="308">
        <f>'7.  Persistence Report'!N64</f>
        <v>12.168868435</v>
      </c>
      <c r="Q179" s="308">
        <f>'7.  Persistence Report'!O64</f>
        <v>12.168868435</v>
      </c>
      <c r="R179" s="308">
        <f>'7.  Persistence Report'!P64</f>
        <v>12.168868435</v>
      </c>
      <c r="S179" s="308">
        <f>'7.  Persistence Report'!Q64</f>
        <v>12.168868435</v>
      </c>
      <c r="T179" s="308">
        <f>'7.  Persistence Report'!R64</f>
        <v>12.168868435</v>
      </c>
      <c r="U179" s="308">
        <f>'7.  Persistence Report'!S64</f>
        <v>12.168868435</v>
      </c>
      <c r="V179" s="308">
        <f>'7.  Persistence Report'!T64</f>
        <v>12.168868435</v>
      </c>
      <c r="W179" s="308">
        <f>'7.  Persistence Report'!U64</f>
        <v>12.168868435</v>
      </c>
      <c r="X179" s="308">
        <f>'7.  Persistence Report'!V64</f>
        <v>12.168868435</v>
      </c>
      <c r="Y179" s="773">
        <f>Y178</f>
        <v>0</v>
      </c>
      <c r="Z179" s="773">
        <f>Z178</f>
        <v>0.1235</v>
      </c>
      <c r="AA179" s="773">
        <f t="shared" ref="AA179:AE179" si="88">AA178</f>
        <v>0.33739999999999998</v>
      </c>
      <c r="AB179" s="773">
        <f t="shared" si="88"/>
        <v>0.53610000000000002</v>
      </c>
      <c r="AC179" s="773">
        <f t="shared" si="88"/>
        <v>0</v>
      </c>
      <c r="AD179" s="773">
        <f t="shared" si="88"/>
        <v>0</v>
      </c>
      <c r="AE179" s="773">
        <f t="shared" si="88"/>
        <v>0</v>
      </c>
      <c r="AF179" s="423">
        <f t="shared" ref="AF179:AL179" si="89">AF178</f>
        <v>0</v>
      </c>
      <c r="AG179" s="423">
        <f t="shared" si="89"/>
        <v>0</v>
      </c>
      <c r="AH179" s="423">
        <f t="shared" si="89"/>
        <v>0</v>
      </c>
      <c r="AI179" s="423">
        <f t="shared" si="89"/>
        <v>0</v>
      </c>
      <c r="AJ179" s="423">
        <f t="shared" si="89"/>
        <v>0</v>
      </c>
      <c r="AK179" s="423">
        <f t="shared" si="89"/>
        <v>0</v>
      </c>
      <c r="AL179" s="423">
        <f t="shared" si="89"/>
        <v>0</v>
      </c>
      <c r="AM179" s="512"/>
    </row>
    <row r="180" spans="1:39" ht="15" outlineLevel="1">
      <c r="B180" s="323"/>
      <c r="C180" s="325"/>
      <c r="D180" s="763"/>
      <c r="E180" s="763"/>
      <c r="F180" s="763"/>
      <c r="G180" s="763"/>
      <c r="H180" s="763"/>
      <c r="I180" s="763"/>
      <c r="J180" s="763"/>
      <c r="K180" s="763"/>
      <c r="L180" s="763"/>
      <c r="M180" s="763"/>
      <c r="N180" s="763"/>
      <c r="O180" s="763"/>
      <c r="P180" s="763"/>
      <c r="Q180" s="763"/>
      <c r="R180" s="763"/>
      <c r="S180" s="763"/>
      <c r="T180" s="763"/>
      <c r="U180" s="763"/>
      <c r="V180" s="763"/>
      <c r="W180" s="763"/>
      <c r="X180" s="763"/>
      <c r="Y180" s="778"/>
      <c r="Z180" s="778"/>
      <c r="AA180" s="778"/>
      <c r="AB180" s="778"/>
      <c r="AC180" s="778"/>
      <c r="AD180" s="778"/>
      <c r="AE180" s="778"/>
      <c r="AF180" s="428"/>
      <c r="AG180" s="428"/>
      <c r="AH180" s="428"/>
      <c r="AI180" s="428"/>
      <c r="AJ180" s="428"/>
      <c r="AK180" s="428"/>
      <c r="AL180" s="428"/>
      <c r="AM180" s="326"/>
    </row>
    <row r="181" spans="1:39" ht="15" outlineLevel="1">
      <c r="A181" s="516">
        <v>11</v>
      </c>
      <c r="B181" s="327" t="s">
        <v>21</v>
      </c>
      <c r="C181" s="304" t="s">
        <v>25</v>
      </c>
      <c r="D181" s="308">
        <f>'7.  Persistence Report'!AR45</f>
        <v>35756.644886088456</v>
      </c>
      <c r="E181" s="308">
        <f>'7.  Persistence Report'!AS45</f>
        <v>35756.644886088456</v>
      </c>
      <c r="F181" s="308">
        <f>'7.  Persistence Report'!AT45</f>
        <v>34546.250534804873</v>
      </c>
      <c r="G181" s="308">
        <f>'7.  Persistence Report'!AU45</f>
        <v>20424.601744427779</v>
      </c>
      <c r="H181" s="308">
        <f>'7.  Persistence Report'!AV45</f>
        <v>20368.578208910258</v>
      </c>
      <c r="I181" s="308">
        <f>'7.  Persistence Report'!AW45</f>
        <v>4938.7299094636246</v>
      </c>
      <c r="J181" s="308">
        <f>'7.  Persistence Report'!AX45</f>
        <v>4938.7299094636246</v>
      </c>
      <c r="K181" s="308">
        <f>'7.  Persistence Report'!AY45</f>
        <v>4938.7299094636246</v>
      </c>
      <c r="L181" s="308">
        <f>'7.  Persistence Report'!AZ45</f>
        <v>4938.7299094636246</v>
      </c>
      <c r="M181" s="308">
        <f>'7.  Persistence Report'!BA45</f>
        <v>4938.7299094636246</v>
      </c>
      <c r="N181" s="308">
        <v>12</v>
      </c>
      <c r="O181" s="308">
        <f>'7.  Persistence Report'!M45</f>
        <v>8.8026296966164779</v>
      </c>
      <c r="P181" s="308">
        <f>'7.  Persistence Report'!N45</f>
        <v>8.8026296966164779</v>
      </c>
      <c r="Q181" s="308">
        <f>'7.  Persistence Report'!O45</f>
        <v>8.4510310491760983</v>
      </c>
      <c r="R181" s="308">
        <f>'7.  Persistence Report'!P45</f>
        <v>5.3782674460159923</v>
      </c>
      <c r="S181" s="308">
        <f>'7.  Persistence Report'!Q45</f>
        <v>5.3647882563434637</v>
      </c>
      <c r="T181" s="308">
        <f>'7.  Persistence Report'!R45</f>
        <v>1.2651971914062754</v>
      </c>
      <c r="U181" s="308">
        <f>'7.  Persistence Report'!S45</f>
        <v>1.2651971914062754</v>
      </c>
      <c r="V181" s="308">
        <f>'7.  Persistence Report'!T45</f>
        <v>1.2651971914062754</v>
      </c>
      <c r="W181" s="308">
        <f>'7.  Persistence Report'!U45</f>
        <v>1.2651971914062754</v>
      </c>
      <c r="X181" s="308">
        <f>'7.  Persistence Report'!V45</f>
        <v>1.2651971914062754</v>
      </c>
      <c r="Y181" s="777"/>
      <c r="Z181" s="788">
        <v>1</v>
      </c>
      <c r="AA181" s="777"/>
      <c r="AB181" s="777"/>
      <c r="AC181" s="777"/>
      <c r="AD181" s="777"/>
      <c r="AE181" s="777"/>
      <c r="AF181" s="427"/>
      <c r="AG181" s="427"/>
      <c r="AH181" s="427"/>
      <c r="AI181" s="427"/>
      <c r="AJ181" s="427"/>
      <c r="AK181" s="427"/>
      <c r="AL181" s="427"/>
      <c r="AM181" s="309">
        <f>SUM(Y181:AL181)</f>
        <v>1</v>
      </c>
    </row>
    <row r="182" spans="1:39" ht="15" outlineLevel="1">
      <c r="B182" s="307" t="s">
        <v>244</v>
      </c>
      <c r="C182" s="304" t="s">
        <v>163</v>
      </c>
      <c r="D182" s="308"/>
      <c r="E182" s="308"/>
      <c r="F182" s="308"/>
      <c r="G182" s="308"/>
      <c r="H182" s="308"/>
      <c r="I182" s="308"/>
      <c r="J182" s="308"/>
      <c r="K182" s="308"/>
      <c r="L182" s="308"/>
      <c r="M182" s="308"/>
      <c r="N182" s="308">
        <f>N181</f>
        <v>12</v>
      </c>
      <c r="O182" s="308"/>
      <c r="P182" s="308"/>
      <c r="Q182" s="308"/>
      <c r="R182" s="308"/>
      <c r="S182" s="308"/>
      <c r="T182" s="308"/>
      <c r="U182" s="308"/>
      <c r="V182" s="308"/>
      <c r="W182" s="308"/>
      <c r="X182" s="308"/>
      <c r="Y182" s="773">
        <f>Y181</f>
        <v>0</v>
      </c>
      <c r="Z182" s="773">
        <f>Z181</f>
        <v>1</v>
      </c>
      <c r="AA182" s="773">
        <f t="shared" ref="AA182:AE182" si="90">AA181</f>
        <v>0</v>
      </c>
      <c r="AB182" s="773">
        <f t="shared" si="90"/>
        <v>0</v>
      </c>
      <c r="AC182" s="773">
        <f t="shared" si="90"/>
        <v>0</v>
      </c>
      <c r="AD182" s="773">
        <f t="shared" si="90"/>
        <v>0</v>
      </c>
      <c r="AE182" s="773">
        <f t="shared" si="90"/>
        <v>0</v>
      </c>
      <c r="AF182" s="423">
        <f t="shared" ref="AF182:AL182" si="91">AF181</f>
        <v>0</v>
      </c>
      <c r="AG182" s="423">
        <f t="shared" si="91"/>
        <v>0</v>
      </c>
      <c r="AH182" s="423">
        <f t="shared" si="91"/>
        <v>0</v>
      </c>
      <c r="AI182" s="423">
        <f t="shared" si="91"/>
        <v>0</v>
      </c>
      <c r="AJ182" s="423">
        <f t="shared" si="91"/>
        <v>0</v>
      </c>
      <c r="AK182" s="423">
        <f t="shared" si="91"/>
        <v>0</v>
      </c>
      <c r="AL182" s="423">
        <f t="shared" si="91"/>
        <v>0</v>
      </c>
      <c r="AM182" s="512"/>
    </row>
    <row r="183" spans="1:39" ht="15" outlineLevel="1">
      <c r="B183" s="327"/>
      <c r="C183" s="325"/>
      <c r="D183" s="763"/>
      <c r="E183" s="763"/>
      <c r="F183" s="763"/>
      <c r="G183" s="763"/>
      <c r="H183" s="763"/>
      <c r="I183" s="763"/>
      <c r="J183" s="763"/>
      <c r="K183" s="763"/>
      <c r="L183" s="763"/>
      <c r="M183" s="763"/>
      <c r="N183" s="763"/>
      <c r="O183" s="763"/>
      <c r="P183" s="763"/>
      <c r="Q183" s="763"/>
      <c r="R183" s="763"/>
      <c r="S183" s="763"/>
      <c r="T183" s="763"/>
      <c r="U183" s="763"/>
      <c r="V183" s="763"/>
      <c r="W183" s="763"/>
      <c r="X183" s="763"/>
      <c r="Y183" s="778"/>
      <c r="Z183" s="779"/>
      <c r="AA183" s="778"/>
      <c r="AB183" s="778"/>
      <c r="AC183" s="778"/>
      <c r="AD183" s="778"/>
      <c r="AE183" s="778"/>
      <c r="AF183" s="428"/>
      <c r="AG183" s="428"/>
      <c r="AH183" s="428"/>
      <c r="AI183" s="428"/>
      <c r="AJ183" s="428"/>
      <c r="AK183" s="428"/>
      <c r="AL183" s="428"/>
      <c r="AM183" s="326"/>
    </row>
    <row r="184" spans="1:39" ht="15" outlineLevel="1">
      <c r="A184" s="516">
        <v>12</v>
      </c>
      <c r="B184" s="327" t="s">
        <v>23</v>
      </c>
      <c r="C184" s="304" t="s">
        <v>25</v>
      </c>
      <c r="D184" s="308"/>
      <c r="E184" s="308"/>
      <c r="F184" s="308"/>
      <c r="G184" s="308"/>
      <c r="H184" s="308"/>
      <c r="I184" s="308"/>
      <c r="J184" s="308"/>
      <c r="K184" s="308"/>
      <c r="L184" s="308"/>
      <c r="M184" s="308"/>
      <c r="N184" s="308">
        <v>3</v>
      </c>
      <c r="O184" s="308"/>
      <c r="P184" s="308"/>
      <c r="Q184" s="308"/>
      <c r="R184" s="308"/>
      <c r="S184" s="308"/>
      <c r="T184" s="308"/>
      <c r="U184" s="308"/>
      <c r="V184" s="308"/>
      <c r="W184" s="308"/>
      <c r="X184" s="308"/>
      <c r="Y184" s="777"/>
      <c r="Z184" s="777"/>
      <c r="AA184" s="777"/>
      <c r="AB184" s="777"/>
      <c r="AC184" s="777"/>
      <c r="AD184" s="777"/>
      <c r="AE184" s="777"/>
      <c r="AF184" s="427"/>
      <c r="AG184" s="427"/>
      <c r="AH184" s="427"/>
      <c r="AI184" s="427"/>
      <c r="AJ184" s="427"/>
      <c r="AK184" s="427"/>
      <c r="AL184" s="427"/>
      <c r="AM184" s="309">
        <f>SUM(Y184:AL184)</f>
        <v>0</v>
      </c>
    </row>
    <row r="185" spans="1:39" ht="15" outlineLevel="1">
      <c r="B185" s="307" t="s">
        <v>244</v>
      </c>
      <c r="C185" s="304" t="s">
        <v>163</v>
      </c>
      <c r="D185" s="308"/>
      <c r="E185" s="308"/>
      <c r="F185" s="308"/>
      <c r="G185" s="308"/>
      <c r="H185" s="308"/>
      <c r="I185" s="308"/>
      <c r="J185" s="308"/>
      <c r="K185" s="308"/>
      <c r="L185" s="308"/>
      <c r="M185" s="308"/>
      <c r="N185" s="308">
        <f>N184</f>
        <v>3</v>
      </c>
      <c r="O185" s="308"/>
      <c r="P185" s="308"/>
      <c r="Q185" s="308"/>
      <c r="R185" s="308"/>
      <c r="S185" s="308"/>
      <c r="T185" s="308"/>
      <c r="U185" s="308"/>
      <c r="V185" s="308"/>
      <c r="W185" s="308"/>
      <c r="X185" s="308"/>
      <c r="Y185" s="773">
        <f>Y184</f>
        <v>0</v>
      </c>
      <c r="Z185" s="773">
        <f>Z184</f>
        <v>0</v>
      </c>
      <c r="AA185" s="773">
        <f t="shared" ref="AA185:AE185" si="92">AA184</f>
        <v>0</v>
      </c>
      <c r="AB185" s="773">
        <f t="shared" si="92"/>
        <v>0</v>
      </c>
      <c r="AC185" s="773">
        <f t="shared" si="92"/>
        <v>0</v>
      </c>
      <c r="AD185" s="773">
        <f t="shared" si="92"/>
        <v>0</v>
      </c>
      <c r="AE185" s="773">
        <f t="shared" si="92"/>
        <v>0</v>
      </c>
      <c r="AF185" s="423">
        <f t="shared" ref="AF185:AL185" si="93">AF184</f>
        <v>0</v>
      </c>
      <c r="AG185" s="423">
        <f t="shared" si="93"/>
        <v>0</v>
      </c>
      <c r="AH185" s="423">
        <f t="shared" si="93"/>
        <v>0</v>
      </c>
      <c r="AI185" s="423">
        <f t="shared" si="93"/>
        <v>0</v>
      </c>
      <c r="AJ185" s="423">
        <f t="shared" si="93"/>
        <v>0</v>
      </c>
      <c r="AK185" s="423">
        <f t="shared" si="93"/>
        <v>0</v>
      </c>
      <c r="AL185" s="423">
        <f t="shared" si="93"/>
        <v>0</v>
      </c>
      <c r="AM185" s="512"/>
    </row>
    <row r="186" spans="1:39" ht="15" outlineLevel="1">
      <c r="B186" s="327"/>
      <c r="C186" s="325"/>
      <c r="D186" s="768"/>
      <c r="E186" s="768"/>
      <c r="F186" s="768"/>
      <c r="G186" s="768"/>
      <c r="H186" s="768"/>
      <c r="I186" s="768"/>
      <c r="J186" s="768"/>
      <c r="K186" s="768"/>
      <c r="L186" s="768"/>
      <c r="M186" s="768"/>
      <c r="N186" s="763"/>
      <c r="O186" s="768"/>
      <c r="P186" s="768"/>
      <c r="Q186" s="768"/>
      <c r="R186" s="768"/>
      <c r="S186" s="768"/>
      <c r="T186" s="768"/>
      <c r="U186" s="768"/>
      <c r="V186" s="768"/>
      <c r="W186" s="768"/>
      <c r="X186" s="768"/>
      <c r="Y186" s="778"/>
      <c r="Z186" s="779"/>
      <c r="AA186" s="778"/>
      <c r="AB186" s="778"/>
      <c r="AC186" s="778"/>
      <c r="AD186" s="778"/>
      <c r="AE186" s="778"/>
      <c r="AF186" s="428"/>
      <c r="AG186" s="428"/>
      <c r="AH186" s="428"/>
      <c r="AI186" s="428"/>
      <c r="AJ186" s="428"/>
      <c r="AK186" s="428"/>
      <c r="AL186" s="428"/>
      <c r="AM186" s="326"/>
    </row>
    <row r="187" spans="1:39" ht="15" outlineLevel="1">
      <c r="A187" s="516">
        <v>13</v>
      </c>
      <c r="B187" s="327" t="s">
        <v>24</v>
      </c>
      <c r="C187" s="304" t="s">
        <v>25</v>
      </c>
      <c r="D187" s="308"/>
      <c r="E187" s="308"/>
      <c r="F187" s="308"/>
      <c r="G187" s="308"/>
      <c r="H187" s="308"/>
      <c r="I187" s="308"/>
      <c r="J187" s="308"/>
      <c r="K187" s="308"/>
      <c r="L187" s="308"/>
      <c r="M187" s="308"/>
      <c r="N187" s="308">
        <v>12</v>
      </c>
      <c r="O187" s="308"/>
      <c r="P187" s="308"/>
      <c r="Q187" s="308"/>
      <c r="R187" s="308"/>
      <c r="S187" s="308"/>
      <c r="T187" s="308"/>
      <c r="U187" s="308"/>
      <c r="V187" s="308"/>
      <c r="W187" s="308"/>
      <c r="X187" s="308"/>
      <c r="Y187" s="777"/>
      <c r="Z187" s="777"/>
      <c r="AA187" s="777"/>
      <c r="AB187" s="777"/>
      <c r="AC187" s="777"/>
      <c r="AD187" s="777"/>
      <c r="AE187" s="777"/>
      <c r="AF187" s="427"/>
      <c r="AG187" s="427"/>
      <c r="AH187" s="427"/>
      <c r="AI187" s="427"/>
      <c r="AJ187" s="427"/>
      <c r="AK187" s="427"/>
      <c r="AL187" s="427"/>
      <c r="AM187" s="309">
        <f>SUM(Y187:AL187)</f>
        <v>0</v>
      </c>
    </row>
    <row r="188" spans="1:39" ht="15" outlineLevel="1">
      <c r="B188" s="307" t="s">
        <v>244</v>
      </c>
      <c r="C188" s="304" t="s">
        <v>163</v>
      </c>
      <c r="D188" s="308"/>
      <c r="E188" s="308"/>
      <c r="F188" s="308"/>
      <c r="G188" s="308"/>
      <c r="H188" s="308"/>
      <c r="I188" s="308"/>
      <c r="J188" s="308"/>
      <c r="K188" s="308"/>
      <c r="L188" s="308"/>
      <c r="M188" s="308"/>
      <c r="N188" s="308">
        <f>N187</f>
        <v>12</v>
      </c>
      <c r="O188" s="308"/>
      <c r="P188" s="308"/>
      <c r="Q188" s="308"/>
      <c r="R188" s="308"/>
      <c r="S188" s="308"/>
      <c r="T188" s="308"/>
      <c r="U188" s="308"/>
      <c r="V188" s="308"/>
      <c r="W188" s="308"/>
      <c r="X188" s="308"/>
      <c r="Y188" s="773">
        <f>Y187</f>
        <v>0</v>
      </c>
      <c r="Z188" s="773">
        <f>Z187</f>
        <v>0</v>
      </c>
      <c r="AA188" s="773">
        <f t="shared" ref="AA188:AE188" si="94">AA187</f>
        <v>0</v>
      </c>
      <c r="AB188" s="773">
        <f t="shared" si="94"/>
        <v>0</v>
      </c>
      <c r="AC188" s="773">
        <f t="shared" si="94"/>
        <v>0</v>
      </c>
      <c r="AD188" s="773">
        <f t="shared" si="94"/>
        <v>0</v>
      </c>
      <c r="AE188" s="773">
        <f t="shared" si="94"/>
        <v>0</v>
      </c>
      <c r="AF188" s="423">
        <f t="shared" ref="AF188:AL188" si="95">AF187</f>
        <v>0</v>
      </c>
      <c r="AG188" s="423">
        <f t="shared" si="95"/>
        <v>0</v>
      </c>
      <c r="AH188" s="423">
        <f t="shared" si="95"/>
        <v>0</v>
      </c>
      <c r="AI188" s="423">
        <f t="shared" si="95"/>
        <v>0</v>
      </c>
      <c r="AJ188" s="423">
        <f t="shared" si="95"/>
        <v>0</v>
      </c>
      <c r="AK188" s="423">
        <f t="shared" si="95"/>
        <v>0</v>
      </c>
      <c r="AL188" s="423">
        <f t="shared" si="95"/>
        <v>0</v>
      </c>
      <c r="AM188" s="512"/>
    </row>
    <row r="189" spans="1:39" ht="15" outlineLevel="1">
      <c r="B189" s="327"/>
      <c r="C189" s="325"/>
      <c r="D189" s="768"/>
      <c r="E189" s="768"/>
      <c r="F189" s="768"/>
      <c r="G189" s="768"/>
      <c r="H189" s="768"/>
      <c r="I189" s="768"/>
      <c r="J189" s="768"/>
      <c r="K189" s="768"/>
      <c r="L189" s="768"/>
      <c r="M189" s="768"/>
      <c r="N189" s="763"/>
      <c r="O189" s="768"/>
      <c r="P189" s="768"/>
      <c r="Q189" s="768"/>
      <c r="R189" s="768"/>
      <c r="S189" s="768"/>
      <c r="T189" s="768"/>
      <c r="U189" s="768"/>
      <c r="V189" s="768"/>
      <c r="W189" s="768"/>
      <c r="X189" s="768"/>
      <c r="Y189" s="778"/>
      <c r="Z189" s="778"/>
      <c r="AA189" s="778"/>
      <c r="AB189" s="778"/>
      <c r="AC189" s="778"/>
      <c r="AD189" s="778"/>
      <c r="AE189" s="778"/>
      <c r="AF189" s="428"/>
      <c r="AG189" s="428"/>
      <c r="AH189" s="428"/>
      <c r="AI189" s="428"/>
      <c r="AJ189" s="428"/>
      <c r="AK189" s="428"/>
      <c r="AL189" s="428"/>
      <c r="AM189" s="326"/>
    </row>
    <row r="190" spans="1:39" ht="15" outlineLevel="1">
      <c r="A190" s="516">
        <v>14</v>
      </c>
      <c r="B190" s="327" t="s">
        <v>20</v>
      </c>
      <c r="C190" s="304" t="s">
        <v>25</v>
      </c>
      <c r="D190" s="308"/>
      <c r="E190" s="308"/>
      <c r="F190" s="308"/>
      <c r="G190" s="308"/>
      <c r="H190" s="308"/>
      <c r="I190" s="308"/>
      <c r="J190" s="308"/>
      <c r="K190" s="308"/>
      <c r="L190" s="308"/>
      <c r="M190" s="308"/>
      <c r="N190" s="308">
        <v>12</v>
      </c>
      <c r="O190" s="308"/>
      <c r="P190" s="308"/>
      <c r="Q190" s="308"/>
      <c r="R190" s="308"/>
      <c r="S190" s="308"/>
      <c r="T190" s="308"/>
      <c r="U190" s="308"/>
      <c r="V190" s="308"/>
      <c r="W190" s="308"/>
      <c r="X190" s="308"/>
      <c r="Y190" s="777"/>
      <c r="Z190" s="777"/>
      <c r="AA190" s="777"/>
      <c r="AB190" s="777"/>
      <c r="AC190" s="777"/>
      <c r="AD190" s="777"/>
      <c r="AE190" s="777"/>
      <c r="AF190" s="427"/>
      <c r="AG190" s="427"/>
      <c r="AH190" s="427"/>
      <c r="AI190" s="427"/>
      <c r="AJ190" s="427"/>
      <c r="AK190" s="427"/>
      <c r="AL190" s="427"/>
      <c r="AM190" s="309">
        <f>SUM(Y190:AL190)</f>
        <v>0</v>
      </c>
    </row>
    <row r="191" spans="1:39" ht="15" outlineLevel="1">
      <c r="B191" s="307" t="s">
        <v>244</v>
      </c>
      <c r="C191" s="304" t="s">
        <v>163</v>
      </c>
      <c r="D191" s="308"/>
      <c r="E191" s="308"/>
      <c r="F191" s="308"/>
      <c r="G191" s="308"/>
      <c r="H191" s="308"/>
      <c r="I191" s="308"/>
      <c r="J191" s="308"/>
      <c r="K191" s="308"/>
      <c r="L191" s="308"/>
      <c r="M191" s="308"/>
      <c r="N191" s="308">
        <f>N190</f>
        <v>12</v>
      </c>
      <c r="O191" s="308"/>
      <c r="P191" s="308"/>
      <c r="Q191" s="308"/>
      <c r="R191" s="308"/>
      <c r="S191" s="308"/>
      <c r="T191" s="308"/>
      <c r="U191" s="308"/>
      <c r="V191" s="308"/>
      <c r="W191" s="308"/>
      <c r="X191" s="308"/>
      <c r="Y191" s="773">
        <f>Y190</f>
        <v>0</v>
      </c>
      <c r="Z191" s="773">
        <f>Z190</f>
        <v>0</v>
      </c>
      <c r="AA191" s="773">
        <f t="shared" ref="AA191:AE191" si="96">AA190</f>
        <v>0</v>
      </c>
      <c r="AB191" s="773">
        <f t="shared" si="96"/>
        <v>0</v>
      </c>
      <c r="AC191" s="773">
        <f t="shared" si="96"/>
        <v>0</v>
      </c>
      <c r="AD191" s="773">
        <f t="shared" si="96"/>
        <v>0</v>
      </c>
      <c r="AE191" s="773">
        <f t="shared" si="96"/>
        <v>0</v>
      </c>
      <c r="AF191" s="423">
        <f t="shared" ref="AF191:AL191" si="97">AF190</f>
        <v>0</v>
      </c>
      <c r="AG191" s="423">
        <f t="shared" si="97"/>
        <v>0</v>
      </c>
      <c r="AH191" s="423">
        <f t="shared" si="97"/>
        <v>0</v>
      </c>
      <c r="AI191" s="423">
        <f t="shared" si="97"/>
        <v>0</v>
      </c>
      <c r="AJ191" s="423">
        <f t="shared" si="97"/>
        <v>0</v>
      </c>
      <c r="AK191" s="423">
        <f t="shared" si="97"/>
        <v>0</v>
      </c>
      <c r="AL191" s="423">
        <f t="shared" si="97"/>
        <v>0</v>
      </c>
      <c r="AM191" s="512"/>
    </row>
    <row r="192" spans="1:39" ht="15" outlineLevel="1">
      <c r="B192" s="327"/>
      <c r="C192" s="325"/>
      <c r="D192" s="768"/>
      <c r="E192" s="768"/>
      <c r="F192" s="768"/>
      <c r="G192" s="768"/>
      <c r="H192" s="768"/>
      <c r="I192" s="768"/>
      <c r="J192" s="768"/>
      <c r="K192" s="768"/>
      <c r="L192" s="768"/>
      <c r="M192" s="768"/>
      <c r="N192" s="763"/>
      <c r="O192" s="768"/>
      <c r="P192" s="768"/>
      <c r="Q192" s="768"/>
      <c r="R192" s="768"/>
      <c r="S192" s="768"/>
      <c r="T192" s="768"/>
      <c r="U192" s="768"/>
      <c r="V192" s="768"/>
      <c r="W192" s="768"/>
      <c r="X192" s="768"/>
      <c r="Y192" s="778"/>
      <c r="Z192" s="779"/>
      <c r="AA192" s="778"/>
      <c r="AB192" s="778"/>
      <c r="AC192" s="778"/>
      <c r="AD192" s="778"/>
      <c r="AE192" s="778"/>
      <c r="AF192" s="428"/>
      <c r="AG192" s="428"/>
      <c r="AH192" s="428"/>
      <c r="AI192" s="428"/>
      <c r="AJ192" s="428"/>
      <c r="AK192" s="428"/>
      <c r="AL192" s="428"/>
      <c r="AM192" s="326"/>
    </row>
    <row r="193" spans="1:39" s="296" customFormat="1" ht="15" outlineLevel="1">
      <c r="A193" s="516">
        <v>15</v>
      </c>
      <c r="B193" s="327" t="s">
        <v>485</v>
      </c>
      <c r="C193" s="304" t="s">
        <v>25</v>
      </c>
      <c r="D193" s="308"/>
      <c r="E193" s="308"/>
      <c r="F193" s="308"/>
      <c r="G193" s="308"/>
      <c r="H193" s="308"/>
      <c r="I193" s="308"/>
      <c r="J193" s="308"/>
      <c r="K193" s="308"/>
      <c r="L193" s="308"/>
      <c r="M193" s="308"/>
      <c r="N193" s="763"/>
      <c r="O193" s="308"/>
      <c r="P193" s="308"/>
      <c r="Q193" s="308"/>
      <c r="R193" s="308"/>
      <c r="S193" s="308"/>
      <c r="T193" s="308"/>
      <c r="U193" s="308"/>
      <c r="V193" s="308"/>
      <c r="W193" s="308"/>
      <c r="X193" s="308"/>
      <c r="Y193" s="777"/>
      <c r="Z193" s="777"/>
      <c r="AA193" s="777"/>
      <c r="AB193" s="777"/>
      <c r="AC193" s="777"/>
      <c r="AD193" s="777"/>
      <c r="AE193" s="777"/>
      <c r="AF193" s="427"/>
      <c r="AG193" s="427"/>
      <c r="AH193" s="427"/>
      <c r="AI193" s="427"/>
      <c r="AJ193" s="427"/>
      <c r="AK193" s="427"/>
      <c r="AL193" s="427"/>
      <c r="AM193" s="309">
        <f>SUM(Y193:AL193)</f>
        <v>0</v>
      </c>
    </row>
    <row r="194" spans="1:39" s="296" customFormat="1" ht="15" outlineLevel="1">
      <c r="A194" s="516"/>
      <c r="B194" s="328" t="s">
        <v>244</v>
      </c>
      <c r="C194" s="304" t="s">
        <v>163</v>
      </c>
      <c r="D194" s="308"/>
      <c r="E194" s="308"/>
      <c r="F194" s="308"/>
      <c r="G194" s="308"/>
      <c r="H194" s="308"/>
      <c r="I194" s="308"/>
      <c r="J194" s="308"/>
      <c r="K194" s="308"/>
      <c r="L194" s="308"/>
      <c r="M194" s="308"/>
      <c r="N194" s="763"/>
      <c r="O194" s="308"/>
      <c r="P194" s="308"/>
      <c r="Q194" s="308"/>
      <c r="R194" s="308"/>
      <c r="S194" s="308"/>
      <c r="T194" s="308"/>
      <c r="U194" s="308"/>
      <c r="V194" s="308"/>
      <c r="W194" s="308"/>
      <c r="X194" s="308"/>
      <c r="Y194" s="773">
        <f>Y193</f>
        <v>0</v>
      </c>
      <c r="Z194" s="773">
        <f>Z193</f>
        <v>0</v>
      </c>
      <c r="AA194" s="773">
        <f t="shared" ref="AA194:AE194" si="98">AA193</f>
        <v>0</v>
      </c>
      <c r="AB194" s="773">
        <f t="shared" si="98"/>
        <v>0</v>
      </c>
      <c r="AC194" s="773">
        <f t="shared" si="98"/>
        <v>0</v>
      </c>
      <c r="AD194" s="773">
        <f t="shared" si="98"/>
        <v>0</v>
      </c>
      <c r="AE194" s="773">
        <f t="shared" si="98"/>
        <v>0</v>
      </c>
      <c r="AF194" s="423">
        <f t="shared" ref="AF194:AL194" si="99">AF193</f>
        <v>0</v>
      </c>
      <c r="AG194" s="423">
        <f t="shared" si="99"/>
        <v>0</v>
      </c>
      <c r="AH194" s="423">
        <f t="shared" si="99"/>
        <v>0</v>
      </c>
      <c r="AI194" s="423">
        <f t="shared" si="99"/>
        <v>0</v>
      </c>
      <c r="AJ194" s="423">
        <f t="shared" si="99"/>
        <v>0</v>
      </c>
      <c r="AK194" s="423">
        <f t="shared" si="99"/>
        <v>0</v>
      </c>
      <c r="AL194" s="423">
        <f t="shared" si="99"/>
        <v>0</v>
      </c>
      <c r="AM194" s="512"/>
    </row>
    <row r="195" spans="1:39" s="296" customFormat="1" ht="15" outlineLevel="1">
      <c r="A195" s="516"/>
      <c r="B195" s="327"/>
      <c r="C195" s="325"/>
      <c r="D195" s="768"/>
      <c r="E195" s="768"/>
      <c r="F195" s="768"/>
      <c r="G195" s="768"/>
      <c r="H195" s="768"/>
      <c r="I195" s="768"/>
      <c r="J195" s="768"/>
      <c r="K195" s="768"/>
      <c r="L195" s="768"/>
      <c r="M195" s="768"/>
      <c r="N195" s="763"/>
      <c r="O195" s="768"/>
      <c r="P195" s="768"/>
      <c r="Q195" s="768"/>
      <c r="R195" s="768"/>
      <c r="S195" s="768"/>
      <c r="T195" s="768"/>
      <c r="U195" s="768"/>
      <c r="V195" s="768"/>
      <c r="W195" s="768"/>
      <c r="X195" s="768"/>
      <c r="Y195" s="780"/>
      <c r="Z195" s="778"/>
      <c r="AA195" s="778"/>
      <c r="AB195" s="778"/>
      <c r="AC195" s="778"/>
      <c r="AD195" s="778"/>
      <c r="AE195" s="778"/>
      <c r="AF195" s="428"/>
      <c r="AG195" s="428"/>
      <c r="AH195" s="428"/>
      <c r="AI195" s="428"/>
      <c r="AJ195" s="428"/>
      <c r="AK195" s="428"/>
      <c r="AL195" s="428"/>
      <c r="AM195" s="326"/>
    </row>
    <row r="196" spans="1:39" s="296" customFormat="1" ht="30" outlineLevel="1">
      <c r="A196" s="516">
        <v>16</v>
      </c>
      <c r="B196" s="327" t="s">
        <v>486</v>
      </c>
      <c r="C196" s="304" t="s">
        <v>25</v>
      </c>
      <c r="D196" s="308"/>
      <c r="E196" s="308"/>
      <c r="F196" s="308"/>
      <c r="G196" s="308"/>
      <c r="H196" s="308"/>
      <c r="I196" s="308"/>
      <c r="J196" s="308"/>
      <c r="K196" s="308"/>
      <c r="L196" s="308"/>
      <c r="M196" s="308"/>
      <c r="N196" s="763"/>
      <c r="O196" s="308"/>
      <c r="P196" s="308"/>
      <c r="Q196" s="308"/>
      <c r="R196" s="308"/>
      <c r="S196" s="308"/>
      <c r="T196" s="308"/>
      <c r="U196" s="308"/>
      <c r="V196" s="308"/>
      <c r="W196" s="308"/>
      <c r="X196" s="308"/>
      <c r="Y196" s="777"/>
      <c r="Z196" s="777"/>
      <c r="AA196" s="777"/>
      <c r="AB196" s="777"/>
      <c r="AC196" s="777"/>
      <c r="AD196" s="777"/>
      <c r="AE196" s="777"/>
      <c r="AF196" s="427"/>
      <c r="AG196" s="427"/>
      <c r="AH196" s="427"/>
      <c r="AI196" s="427"/>
      <c r="AJ196" s="427"/>
      <c r="AK196" s="427"/>
      <c r="AL196" s="427"/>
      <c r="AM196" s="309">
        <f>SUM(Y196:AL196)</f>
        <v>0</v>
      </c>
    </row>
    <row r="197" spans="1:39" s="296" customFormat="1" ht="15" outlineLevel="1">
      <c r="A197" s="516"/>
      <c r="B197" s="328" t="s">
        <v>244</v>
      </c>
      <c r="C197" s="304" t="s">
        <v>163</v>
      </c>
      <c r="D197" s="308"/>
      <c r="E197" s="308"/>
      <c r="F197" s="308"/>
      <c r="G197" s="308"/>
      <c r="H197" s="308"/>
      <c r="I197" s="308"/>
      <c r="J197" s="308"/>
      <c r="K197" s="308"/>
      <c r="L197" s="308"/>
      <c r="M197" s="308"/>
      <c r="N197" s="763"/>
      <c r="O197" s="308"/>
      <c r="P197" s="308"/>
      <c r="Q197" s="308"/>
      <c r="R197" s="308"/>
      <c r="S197" s="308"/>
      <c r="T197" s="308"/>
      <c r="U197" s="308"/>
      <c r="V197" s="308"/>
      <c r="W197" s="308"/>
      <c r="X197" s="308"/>
      <c r="Y197" s="773">
        <f>Y196</f>
        <v>0</v>
      </c>
      <c r="Z197" s="773">
        <f>Z196</f>
        <v>0</v>
      </c>
      <c r="AA197" s="773">
        <f t="shared" ref="AA197:AE197" si="100">AA196</f>
        <v>0</v>
      </c>
      <c r="AB197" s="773">
        <f t="shared" si="100"/>
        <v>0</v>
      </c>
      <c r="AC197" s="773">
        <f t="shared" si="100"/>
        <v>0</v>
      </c>
      <c r="AD197" s="773">
        <f t="shared" si="100"/>
        <v>0</v>
      </c>
      <c r="AE197" s="773">
        <f t="shared" si="100"/>
        <v>0</v>
      </c>
      <c r="AF197" s="423">
        <f t="shared" ref="AF197:AL197" si="101">AF196</f>
        <v>0</v>
      </c>
      <c r="AG197" s="423">
        <f t="shared" si="101"/>
        <v>0</v>
      </c>
      <c r="AH197" s="423">
        <f t="shared" si="101"/>
        <v>0</v>
      </c>
      <c r="AI197" s="423">
        <f t="shared" si="101"/>
        <v>0</v>
      </c>
      <c r="AJ197" s="423">
        <f t="shared" si="101"/>
        <v>0</v>
      </c>
      <c r="AK197" s="423">
        <f t="shared" si="101"/>
        <v>0</v>
      </c>
      <c r="AL197" s="423">
        <f t="shared" si="101"/>
        <v>0</v>
      </c>
      <c r="AM197" s="512"/>
    </row>
    <row r="198" spans="1:39" s="296" customFormat="1" ht="15" outlineLevel="1">
      <c r="A198" s="516"/>
      <c r="B198" s="327"/>
      <c r="C198" s="325"/>
      <c r="D198" s="768"/>
      <c r="E198" s="768"/>
      <c r="F198" s="768"/>
      <c r="G198" s="768"/>
      <c r="H198" s="768"/>
      <c r="I198" s="768"/>
      <c r="J198" s="768"/>
      <c r="K198" s="768"/>
      <c r="L198" s="768"/>
      <c r="M198" s="768"/>
      <c r="N198" s="763"/>
      <c r="O198" s="768"/>
      <c r="P198" s="768"/>
      <c r="Q198" s="768"/>
      <c r="R198" s="768"/>
      <c r="S198" s="768"/>
      <c r="T198" s="768"/>
      <c r="U198" s="768"/>
      <c r="V198" s="768"/>
      <c r="W198" s="768"/>
      <c r="X198" s="768"/>
      <c r="Y198" s="780"/>
      <c r="Z198" s="778"/>
      <c r="AA198" s="778"/>
      <c r="AB198" s="778"/>
      <c r="AC198" s="778"/>
      <c r="AD198" s="778"/>
      <c r="AE198" s="778"/>
      <c r="AF198" s="428"/>
      <c r="AG198" s="428"/>
      <c r="AH198" s="428"/>
      <c r="AI198" s="428"/>
      <c r="AJ198" s="428"/>
      <c r="AK198" s="428"/>
      <c r="AL198" s="428"/>
      <c r="AM198" s="326"/>
    </row>
    <row r="199" spans="1:39" ht="15" outlineLevel="1">
      <c r="A199" s="516">
        <v>17</v>
      </c>
      <c r="B199" s="327" t="s">
        <v>9</v>
      </c>
      <c r="C199" s="304" t="s">
        <v>25</v>
      </c>
      <c r="D199" s="308"/>
      <c r="E199" s="308"/>
      <c r="F199" s="308"/>
      <c r="G199" s="308"/>
      <c r="H199" s="308"/>
      <c r="I199" s="308"/>
      <c r="J199" s="308"/>
      <c r="K199" s="308"/>
      <c r="L199" s="308"/>
      <c r="M199" s="308"/>
      <c r="N199" s="763"/>
      <c r="O199" s="308"/>
      <c r="P199" s="308"/>
      <c r="Q199" s="308"/>
      <c r="R199" s="308"/>
      <c r="S199" s="308"/>
      <c r="T199" s="308"/>
      <c r="U199" s="308"/>
      <c r="V199" s="308"/>
      <c r="W199" s="308"/>
      <c r="X199" s="308"/>
      <c r="Y199" s="777"/>
      <c r="Z199" s="777"/>
      <c r="AA199" s="777"/>
      <c r="AB199" s="777"/>
      <c r="AC199" s="777"/>
      <c r="AD199" s="777"/>
      <c r="AE199" s="777"/>
      <c r="AF199" s="427"/>
      <c r="AG199" s="427"/>
      <c r="AH199" s="427"/>
      <c r="AI199" s="427"/>
      <c r="AJ199" s="427"/>
      <c r="AK199" s="427"/>
      <c r="AL199" s="427"/>
      <c r="AM199" s="309">
        <f>SUM(Y199:AL199)</f>
        <v>0</v>
      </c>
    </row>
    <row r="200" spans="1:39" ht="15" outlineLevel="1">
      <c r="B200" s="307" t="s">
        <v>244</v>
      </c>
      <c r="C200" s="304" t="s">
        <v>163</v>
      </c>
      <c r="D200" s="308"/>
      <c r="E200" s="308"/>
      <c r="F200" s="308"/>
      <c r="G200" s="308"/>
      <c r="H200" s="308"/>
      <c r="I200" s="308"/>
      <c r="J200" s="308"/>
      <c r="K200" s="308"/>
      <c r="L200" s="308"/>
      <c r="M200" s="308"/>
      <c r="N200" s="763"/>
      <c r="O200" s="308"/>
      <c r="P200" s="308"/>
      <c r="Q200" s="308"/>
      <c r="R200" s="308"/>
      <c r="S200" s="308"/>
      <c r="T200" s="308"/>
      <c r="U200" s="308"/>
      <c r="V200" s="308"/>
      <c r="W200" s="308"/>
      <c r="X200" s="308"/>
      <c r="Y200" s="773">
        <f>Y199</f>
        <v>0</v>
      </c>
      <c r="Z200" s="773">
        <f>Z199</f>
        <v>0</v>
      </c>
      <c r="AA200" s="773">
        <f t="shared" ref="AA200:AE200" si="102">AA199</f>
        <v>0</v>
      </c>
      <c r="AB200" s="773">
        <f t="shared" si="102"/>
        <v>0</v>
      </c>
      <c r="AC200" s="773">
        <f t="shared" si="102"/>
        <v>0</v>
      </c>
      <c r="AD200" s="773">
        <f t="shared" si="102"/>
        <v>0</v>
      </c>
      <c r="AE200" s="773">
        <f t="shared" si="102"/>
        <v>0</v>
      </c>
      <c r="AF200" s="423">
        <f t="shared" ref="AF200:AL200" si="103">AF199</f>
        <v>0</v>
      </c>
      <c r="AG200" s="423">
        <f t="shared" si="103"/>
        <v>0</v>
      </c>
      <c r="AH200" s="423">
        <f t="shared" si="103"/>
        <v>0</v>
      </c>
      <c r="AI200" s="423">
        <f t="shared" si="103"/>
        <v>0</v>
      </c>
      <c r="AJ200" s="423">
        <f t="shared" si="103"/>
        <v>0</v>
      </c>
      <c r="AK200" s="423">
        <f t="shared" si="103"/>
        <v>0</v>
      </c>
      <c r="AL200" s="423">
        <f t="shared" si="103"/>
        <v>0</v>
      </c>
      <c r="AM200" s="512"/>
    </row>
    <row r="201" spans="1:39" ht="15" outlineLevel="1">
      <c r="B201" s="328"/>
      <c r="C201" s="318"/>
      <c r="D201" s="763"/>
      <c r="E201" s="763"/>
      <c r="F201" s="763"/>
      <c r="G201" s="763"/>
      <c r="H201" s="763"/>
      <c r="I201" s="763"/>
      <c r="J201" s="763"/>
      <c r="K201" s="763"/>
      <c r="L201" s="763"/>
      <c r="M201" s="763"/>
      <c r="N201" s="763"/>
      <c r="O201" s="763"/>
      <c r="P201" s="763"/>
      <c r="Q201" s="763"/>
      <c r="R201" s="763"/>
      <c r="S201" s="763"/>
      <c r="T201" s="763"/>
      <c r="U201" s="763"/>
      <c r="V201" s="763"/>
      <c r="W201" s="763"/>
      <c r="X201" s="763"/>
      <c r="Y201" s="781"/>
      <c r="Z201" s="782"/>
      <c r="AA201" s="782"/>
      <c r="AB201" s="782"/>
      <c r="AC201" s="782"/>
      <c r="AD201" s="782"/>
      <c r="AE201" s="782"/>
      <c r="AF201" s="430"/>
      <c r="AG201" s="430"/>
      <c r="AH201" s="430"/>
      <c r="AI201" s="430"/>
      <c r="AJ201" s="430"/>
      <c r="AK201" s="430"/>
      <c r="AL201" s="430"/>
      <c r="AM201" s="330"/>
    </row>
    <row r="202" spans="1:39" ht="15.6" outlineLevel="1">
      <c r="A202" s="517"/>
      <c r="B202" s="301" t="s">
        <v>10</v>
      </c>
      <c r="C202" s="302"/>
      <c r="D202" s="767"/>
      <c r="E202" s="767"/>
      <c r="F202" s="767"/>
      <c r="G202" s="767"/>
      <c r="H202" s="767"/>
      <c r="I202" s="767"/>
      <c r="J202" s="767"/>
      <c r="K202" s="767"/>
      <c r="L202" s="767"/>
      <c r="M202" s="767"/>
      <c r="N202" s="769"/>
      <c r="O202" s="767"/>
      <c r="P202" s="767"/>
      <c r="Q202" s="767"/>
      <c r="R202" s="767"/>
      <c r="S202" s="767"/>
      <c r="T202" s="767"/>
      <c r="U202" s="767"/>
      <c r="V202" s="767"/>
      <c r="W202" s="767"/>
      <c r="X202" s="767"/>
      <c r="Y202" s="776"/>
      <c r="Z202" s="776"/>
      <c r="AA202" s="776"/>
      <c r="AB202" s="776"/>
      <c r="AC202" s="776"/>
      <c r="AD202" s="776"/>
      <c r="AE202" s="776"/>
      <c r="AF202" s="426"/>
      <c r="AG202" s="426"/>
      <c r="AH202" s="426"/>
      <c r="AI202" s="426"/>
      <c r="AJ202" s="426"/>
      <c r="AK202" s="426"/>
      <c r="AL202" s="426"/>
      <c r="AM202" s="305"/>
    </row>
    <row r="203" spans="1:39" ht="15" outlineLevel="1">
      <c r="A203" s="516">
        <v>18</v>
      </c>
      <c r="B203" s="328" t="s">
        <v>11</v>
      </c>
      <c r="C203" s="304" t="s">
        <v>25</v>
      </c>
      <c r="D203" s="308"/>
      <c r="E203" s="308"/>
      <c r="F203" s="308"/>
      <c r="G203" s="308"/>
      <c r="H203" s="308"/>
      <c r="I203" s="308"/>
      <c r="J203" s="308"/>
      <c r="K203" s="308"/>
      <c r="L203" s="308"/>
      <c r="M203" s="308"/>
      <c r="N203" s="308">
        <v>12</v>
      </c>
      <c r="O203" s="308"/>
      <c r="P203" s="308"/>
      <c r="Q203" s="308"/>
      <c r="R203" s="308"/>
      <c r="S203" s="308"/>
      <c r="T203" s="308"/>
      <c r="U203" s="308"/>
      <c r="V203" s="308"/>
      <c r="W203" s="308"/>
      <c r="X203" s="308"/>
      <c r="Y203" s="789"/>
      <c r="Z203" s="777"/>
      <c r="AA203" s="777"/>
      <c r="AB203" s="777"/>
      <c r="AC203" s="777"/>
      <c r="AD203" s="777"/>
      <c r="AE203" s="777"/>
      <c r="AF203" s="427"/>
      <c r="AG203" s="427"/>
      <c r="AH203" s="427"/>
      <c r="AI203" s="427"/>
      <c r="AJ203" s="427"/>
      <c r="AK203" s="427"/>
      <c r="AL203" s="427"/>
      <c r="AM203" s="309">
        <f>SUM(Y203:AL203)</f>
        <v>0</v>
      </c>
    </row>
    <row r="204" spans="1:39" ht="15" outlineLevel="1">
      <c r="B204" s="307" t="s">
        <v>244</v>
      </c>
      <c r="C204" s="304" t="s">
        <v>163</v>
      </c>
      <c r="D204" s="308"/>
      <c r="E204" s="308"/>
      <c r="F204" s="308"/>
      <c r="G204" s="308"/>
      <c r="H204" s="308"/>
      <c r="I204" s="308"/>
      <c r="J204" s="308"/>
      <c r="K204" s="308"/>
      <c r="L204" s="308"/>
      <c r="M204" s="308"/>
      <c r="N204" s="308">
        <f>N203</f>
        <v>12</v>
      </c>
      <c r="O204" s="308"/>
      <c r="P204" s="308"/>
      <c r="Q204" s="308"/>
      <c r="R204" s="308"/>
      <c r="S204" s="308"/>
      <c r="T204" s="308"/>
      <c r="U204" s="308"/>
      <c r="V204" s="308"/>
      <c r="W204" s="308"/>
      <c r="X204" s="308"/>
      <c r="Y204" s="773">
        <f>Y203</f>
        <v>0</v>
      </c>
      <c r="Z204" s="773">
        <f>Z203</f>
        <v>0</v>
      </c>
      <c r="AA204" s="773">
        <f t="shared" ref="AA204:AE204" si="104">AA203</f>
        <v>0</v>
      </c>
      <c r="AB204" s="773">
        <f t="shared" si="104"/>
        <v>0</v>
      </c>
      <c r="AC204" s="773">
        <f t="shared" si="104"/>
        <v>0</v>
      </c>
      <c r="AD204" s="773">
        <f t="shared" si="104"/>
        <v>0</v>
      </c>
      <c r="AE204" s="773">
        <f t="shared" si="104"/>
        <v>0</v>
      </c>
      <c r="AF204" s="423">
        <f t="shared" ref="AF204:AL204" si="105">AF203</f>
        <v>0</v>
      </c>
      <c r="AG204" s="423">
        <f t="shared" si="105"/>
        <v>0</v>
      </c>
      <c r="AH204" s="423">
        <f t="shared" si="105"/>
        <v>0</v>
      </c>
      <c r="AI204" s="423">
        <f t="shared" si="105"/>
        <v>0</v>
      </c>
      <c r="AJ204" s="423">
        <f t="shared" si="105"/>
        <v>0</v>
      </c>
      <c r="AK204" s="423">
        <f t="shared" si="105"/>
        <v>0</v>
      </c>
      <c r="AL204" s="423">
        <f t="shared" si="105"/>
        <v>0</v>
      </c>
      <c r="AM204" s="512"/>
    </row>
    <row r="205" spans="1:39" ht="15" outlineLevel="1">
      <c r="A205" s="519"/>
      <c r="B205" s="328"/>
      <c r="C205" s="318"/>
      <c r="D205" s="763"/>
      <c r="E205" s="763"/>
      <c r="F205" s="763"/>
      <c r="G205" s="763"/>
      <c r="H205" s="763"/>
      <c r="I205" s="763"/>
      <c r="J205" s="763"/>
      <c r="K205" s="763"/>
      <c r="L205" s="763"/>
      <c r="M205" s="763"/>
      <c r="N205" s="763"/>
      <c r="O205" s="763"/>
      <c r="P205" s="763"/>
      <c r="Q205" s="763"/>
      <c r="R205" s="763"/>
      <c r="S205" s="763"/>
      <c r="T205" s="763"/>
      <c r="U205" s="763"/>
      <c r="V205" s="763"/>
      <c r="W205" s="763"/>
      <c r="X205" s="763"/>
      <c r="Y205" s="774"/>
      <c r="Z205" s="783"/>
      <c r="AA205" s="783"/>
      <c r="AB205" s="783"/>
      <c r="AC205" s="783"/>
      <c r="AD205" s="783"/>
      <c r="AE205" s="783"/>
      <c r="AF205" s="431"/>
      <c r="AG205" s="431"/>
      <c r="AH205" s="431"/>
      <c r="AI205" s="431"/>
      <c r="AJ205" s="431"/>
      <c r="AK205" s="431"/>
      <c r="AL205" s="431"/>
      <c r="AM205" s="319"/>
    </row>
    <row r="206" spans="1:39" ht="15" outlineLevel="1">
      <c r="A206" s="516">
        <v>19</v>
      </c>
      <c r="B206" s="328" t="s">
        <v>12</v>
      </c>
      <c r="C206" s="304" t="s">
        <v>25</v>
      </c>
      <c r="D206" s="308"/>
      <c r="E206" s="308"/>
      <c r="F206" s="308"/>
      <c r="G206" s="308"/>
      <c r="H206" s="308"/>
      <c r="I206" s="308"/>
      <c r="J206" s="308"/>
      <c r="K206" s="308"/>
      <c r="L206" s="308"/>
      <c r="M206" s="308"/>
      <c r="N206" s="308">
        <v>12</v>
      </c>
      <c r="O206" s="308"/>
      <c r="P206" s="308"/>
      <c r="Q206" s="308"/>
      <c r="R206" s="308"/>
      <c r="S206" s="308"/>
      <c r="T206" s="308"/>
      <c r="U206" s="308"/>
      <c r="V206" s="308"/>
      <c r="W206" s="308"/>
      <c r="X206" s="308"/>
      <c r="Y206" s="772"/>
      <c r="Z206" s="777"/>
      <c r="AA206" s="777"/>
      <c r="AB206" s="777"/>
      <c r="AC206" s="777"/>
      <c r="AD206" s="777"/>
      <c r="AE206" s="777"/>
      <c r="AF206" s="427"/>
      <c r="AG206" s="427"/>
      <c r="AH206" s="427"/>
      <c r="AI206" s="427"/>
      <c r="AJ206" s="427"/>
      <c r="AK206" s="427"/>
      <c r="AL206" s="427"/>
      <c r="AM206" s="309">
        <f>SUM(Y206:AL206)</f>
        <v>0</v>
      </c>
    </row>
    <row r="207" spans="1:39" ht="15" outlineLevel="1">
      <c r="B207" s="307" t="s">
        <v>244</v>
      </c>
      <c r="C207" s="304" t="s">
        <v>163</v>
      </c>
      <c r="D207" s="308"/>
      <c r="E207" s="308"/>
      <c r="F207" s="308"/>
      <c r="G207" s="308"/>
      <c r="H207" s="308"/>
      <c r="I207" s="308"/>
      <c r="J207" s="308"/>
      <c r="K207" s="308"/>
      <c r="L207" s="308"/>
      <c r="M207" s="308"/>
      <c r="N207" s="308">
        <f>N206</f>
        <v>12</v>
      </c>
      <c r="O207" s="308"/>
      <c r="P207" s="308"/>
      <c r="Q207" s="308"/>
      <c r="R207" s="308"/>
      <c r="S207" s="308"/>
      <c r="T207" s="308"/>
      <c r="U207" s="308"/>
      <c r="V207" s="308"/>
      <c r="W207" s="308"/>
      <c r="X207" s="308"/>
      <c r="Y207" s="773">
        <f>Y206</f>
        <v>0</v>
      </c>
      <c r="Z207" s="773">
        <f>Z206</f>
        <v>0</v>
      </c>
      <c r="AA207" s="773">
        <f t="shared" ref="AA207:AE207" si="106">AA206</f>
        <v>0</v>
      </c>
      <c r="AB207" s="773">
        <f t="shared" si="106"/>
        <v>0</v>
      </c>
      <c r="AC207" s="773">
        <f t="shared" si="106"/>
        <v>0</v>
      </c>
      <c r="AD207" s="773">
        <f t="shared" si="106"/>
        <v>0</v>
      </c>
      <c r="AE207" s="773">
        <f t="shared" si="106"/>
        <v>0</v>
      </c>
      <c r="AF207" s="423">
        <f t="shared" ref="AF207:AL207" si="107">AF206</f>
        <v>0</v>
      </c>
      <c r="AG207" s="423">
        <f t="shared" si="107"/>
        <v>0</v>
      </c>
      <c r="AH207" s="423">
        <f t="shared" si="107"/>
        <v>0</v>
      </c>
      <c r="AI207" s="423">
        <f t="shared" si="107"/>
        <v>0</v>
      </c>
      <c r="AJ207" s="423">
        <f t="shared" si="107"/>
        <v>0</v>
      </c>
      <c r="AK207" s="423">
        <f t="shared" si="107"/>
        <v>0</v>
      </c>
      <c r="AL207" s="423">
        <f t="shared" si="107"/>
        <v>0</v>
      </c>
      <c r="AM207" s="512"/>
    </row>
    <row r="208" spans="1:39" ht="15" outlineLevel="1">
      <c r="B208" s="328"/>
      <c r="C208" s="318"/>
      <c r="D208" s="763"/>
      <c r="E208" s="763"/>
      <c r="F208" s="763"/>
      <c r="G208" s="763"/>
      <c r="H208" s="763"/>
      <c r="I208" s="763"/>
      <c r="J208" s="763"/>
      <c r="K208" s="763"/>
      <c r="L208" s="763"/>
      <c r="M208" s="763"/>
      <c r="N208" s="763"/>
      <c r="O208" s="763"/>
      <c r="P208" s="763"/>
      <c r="Q208" s="763"/>
      <c r="R208" s="763"/>
      <c r="S208" s="763"/>
      <c r="T208" s="763"/>
      <c r="U208" s="763"/>
      <c r="V208" s="763"/>
      <c r="W208" s="763"/>
      <c r="X208" s="763"/>
      <c r="Y208" s="784"/>
      <c r="Z208" s="784"/>
      <c r="AA208" s="774"/>
      <c r="AB208" s="774"/>
      <c r="AC208" s="774"/>
      <c r="AD208" s="774"/>
      <c r="AE208" s="774"/>
      <c r="AF208" s="424"/>
      <c r="AG208" s="424"/>
      <c r="AH208" s="424"/>
      <c r="AI208" s="424"/>
      <c r="AJ208" s="424"/>
      <c r="AK208" s="424"/>
      <c r="AL208" s="424"/>
      <c r="AM208" s="319"/>
    </row>
    <row r="209" spans="1:39" ht="15" outlineLevel="1">
      <c r="A209" s="516">
        <v>20</v>
      </c>
      <c r="B209" s="328" t="s">
        <v>13</v>
      </c>
      <c r="C209" s="304" t="s">
        <v>25</v>
      </c>
      <c r="D209" s="308"/>
      <c r="E209" s="308"/>
      <c r="F209" s="308"/>
      <c r="G209" s="308"/>
      <c r="H209" s="308"/>
      <c r="I209" s="308"/>
      <c r="J209" s="308"/>
      <c r="K209" s="308"/>
      <c r="L209" s="308"/>
      <c r="M209" s="308"/>
      <c r="N209" s="308">
        <v>12</v>
      </c>
      <c r="O209" s="308"/>
      <c r="P209" s="308"/>
      <c r="Q209" s="308"/>
      <c r="R209" s="308"/>
      <c r="S209" s="308"/>
      <c r="T209" s="308"/>
      <c r="U209" s="308"/>
      <c r="V209" s="308"/>
      <c r="W209" s="308"/>
      <c r="X209" s="308"/>
      <c r="Y209" s="772"/>
      <c r="Z209" s="777"/>
      <c r="AA209" s="777"/>
      <c r="AB209" s="777"/>
      <c r="AC209" s="777"/>
      <c r="AD209" s="777"/>
      <c r="AE209" s="777"/>
      <c r="AF209" s="427"/>
      <c r="AG209" s="427"/>
      <c r="AH209" s="427"/>
      <c r="AI209" s="427"/>
      <c r="AJ209" s="427"/>
      <c r="AK209" s="427"/>
      <c r="AL209" s="427"/>
      <c r="AM209" s="309">
        <f>SUM(Y209:AL209)</f>
        <v>0</v>
      </c>
    </row>
    <row r="210" spans="1:39" ht="15" outlineLevel="1">
      <c r="B210" s="307" t="s">
        <v>244</v>
      </c>
      <c r="C210" s="304" t="s">
        <v>163</v>
      </c>
      <c r="D210" s="308"/>
      <c r="E210" s="308"/>
      <c r="F210" s="308"/>
      <c r="G210" s="308"/>
      <c r="H210" s="308"/>
      <c r="I210" s="308"/>
      <c r="J210" s="308"/>
      <c r="K210" s="308"/>
      <c r="L210" s="308"/>
      <c r="M210" s="308"/>
      <c r="N210" s="308">
        <f>N209</f>
        <v>12</v>
      </c>
      <c r="O210" s="308"/>
      <c r="P210" s="308"/>
      <c r="Q210" s="308"/>
      <c r="R210" s="308"/>
      <c r="S210" s="308"/>
      <c r="T210" s="308"/>
      <c r="U210" s="308"/>
      <c r="V210" s="308"/>
      <c r="W210" s="308"/>
      <c r="X210" s="308"/>
      <c r="Y210" s="773">
        <f>Y209</f>
        <v>0</v>
      </c>
      <c r="Z210" s="773">
        <f>Z209</f>
        <v>0</v>
      </c>
      <c r="AA210" s="773">
        <f t="shared" ref="AA210:AE210" si="108">AA209</f>
        <v>0</v>
      </c>
      <c r="AB210" s="773">
        <f t="shared" si="108"/>
        <v>0</v>
      </c>
      <c r="AC210" s="773">
        <f t="shared" si="108"/>
        <v>0</v>
      </c>
      <c r="AD210" s="773">
        <f t="shared" si="108"/>
        <v>0</v>
      </c>
      <c r="AE210" s="773">
        <f t="shared" si="108"/>
        <v>0</v>
      </c>
      <c r="AF210" s="423">
        <f t="shared" ref="AF210:AL210" si="109">AF209</f>
        <v>0</v>
      </c>
      <c r="AG210" s="423">
        <f t="shared" si="109"/>
        <v>0</v>
      </c>
      <c r="AH210" s="423">
        <f t="shared" si="109"/>
        <v>0</v>
      </c>
      <c r="AI210" s="423">
        <f t="shared" si="109"/>
        <v>0</v>
      </c>
      <c r="AJ210" s="423">
        <f t="shared" si="109"/>
        <v>0</v>
      </c>
      <c r="AK210" s="423">
        <f t="shared" si="109"/>
        <v>0</v>
      </c>
      <c r="AL210" s="423">
        <f t="shared" si="109"/>
        <v>0</v>
      </c>
      <c r="AM210" s="512"/>
    </row>
    <row r="211" spans="1:39" ht="15" outlineLevel="1">
      <c r="B211" s="328"/>
      <c r="C211" s="318"/>
      <c r="D211" s="763"/>
      <c r="E211" s="763"/>
      <c r="F211" s="763"/>
      <c r="G211" s="763"/>
      <c r="H211" s="763"/>
      <c r="I211" s="763"/>
      <c r="J211" s="763"/>
      <c r="K211" s="763"/>
      <c r="L211" s="763"/>
      <c r="M211" s="763"/>
      <c r="N211" s="770"/>
      <c r="O211" s="763"/>
      <c r="P211" s="763"/>
      <c r="Q211" s="763"/>
      <c r="R211" s="763"/>
      <c r="S211" s="763"/>
      <c r="T211" s="763"/>
      <c r="U211" s="763"/>
      <c r="V211" s="763"/>
      <c r="W211" s="763"/>
      <c r="X211" s="763"/>
      <c r="Y211" s="774"/>
      <c r="Z211" s="774"/>
      <c r="AA211" s="774"/>
      <c r="AB211" s="774"/>
      <c r="AC211" s="774"/>
      <c r="AD211" s="774"/>
      <c r="AE211" s="774"/>
      <c r="AF211" s="424"/>
      <c r="AG211" s="424"/>
      <c r="AH211" s="424"/>
      <c r="AI211" s="424"/>
      <c r="AJ211" s="424"/>
      <c r="AK211" s="424"/>
      <c r="AL211" s="424"/>
      <c r="AM211" s="319"/>
    </row>
    <row r="212" spans="1:39" ht="15" outlineLevel="1">
      <c r="A212" s="516">
        <v>21</v>
      </c>
      <c r="B212" s="328" t="s">
        <v>22</v>
      </c>
      <c r="C212" s="304" t="s">
        <v>25</v>
      </c>
      <c r="D212" s="308"/>
      <c r="E212" s="308"/>
      <c r="F212" s="308"/>
      <c r="G212" s="308"/>
      <c r="H212" s="308"/>
      <c r="I212" s="308"/>
      <c r="J212" s="308"/>
      <c r="K212" s="308"/>
      <c r="L212" s="308"/>
      <c r="M212" s="308"/>
      <c r="N212" s="308">
        <v>12</v>
      </c>
      <c r="O212" s="308"/>
      <c r="P212" s="308"/>
      <c r="Q212" s="308"/>
      <c r="R212" s="308"/>
      <c r="S212" s="308"/>
      <c r="T212" s="308"/>
      <c r="U212" s="308"/>
      <c r="V212" s="308"/>
      <c r="W212" s="308"/>
      <c r="X212" s="308"/>
      <c r="Y212" s="772"/>
      <c r="Z212" s="777"/>
      <c r="AA212" s="777"/>
      <c r="AB212" s="777"/>
      <c r="AC212" s="777"/>
      <c r="AD212" s="777"/>
      <c r="AE212" s="777"/>
      <c r="AF212" s="427"/>
      <c r="AG212" s="427"/>
      <c r="AH212" s="427"/>
      <c r="AI212" s="427"/>
      <c r="AJ212" s="427"/>
      <c r="AK212" s="427"/>
      <c r="AL212" s="427"/>
      <c r="AM212" s="309">
        <f>SUM(Y212:AL212)</f>
        <v>0</v>
      </c>
    </row>
    <row r="213" spans="1:39" ht="15" outlineLevel="1">
      <c r="B213" s="307" t="s">
        <v>244</v>
      </c>
      <c r="C213" s="304" t="s">
        <v>163</v>
      </c>
      <c r="D213" s="308"/>
      <c r="E213" s="308"/>
      <c r="F213" s="308"/>
      <c r="G213" s="308"/>
      <c r="H213" s="308"/>
      <c r="I213" s="308"/>
      <c r="J213" s="308"/>
      <c r="K213" s="308"/>
      <c r="L213" s="308"/>
      <c r="M213" s="308"/>
      <c r="N213" s="308">
        <f>N212</f>
        <v>12</v>
      </c>
      <c r="O213" s="308"/>
      <c r="P213" s="308"/>
      <c r="Q213" s="308"/>
      <c r="R213" s="308"/>
      <c r="S213" s="308"/>
      <c r="T213" s="308"/>
      <c r="U213" s="308"/>
      <c r="V213" s="308"/>
      <c r="W213" s="308"/>
      <c r="X213" s="308"/>
      <c r="Y213" s="773">
        <f>Y212</f>
        <v>0</v>
      </c>
      <c r="Z213" s="773">
        <f>Z212</f>
        <v>0</v>
      </c>
      <c r="AA213" s="773">
        <f t="shared" ref="AA213:AE213" si="110">AA212</f>
        <v>0</v>
      </c>
      <c r="AB213" s="773">
        <f t="shared" si="110"/>
        <v>0</v>
      </c>
      <c r="AC213" s="773">
        <f t="shared" si="110"/>
        <v>0</v>
      </c>
      <c r="AD213" s="773">
        <f t="shared" si="110"/>
        <v>0</v>
      </c>
      <c r="AE213" s="773">
        <f t="shared" si="110"/>
        <v>0</v>
      </c>
      <c r="AF213" s="423">
        <f t="shared" ref="AF213:AL213" si="111">AF212</f>
        <v>0</v>
      </c>
      <c r="AG213" s="423">
        <f t="shared" si="111"/>
        <v>0</v>
      </c>
      <c r="AH213" s="423">
        <f t="shared" si="111"/>
        <v>0</v>
      </c>
      <c r="AI213" s="423">
        <f t="shared" si="111"/>
        <v>0</v>
      </c>
      <c r="AJ213" s="423">
        <f t="shared" si="111"/>
        <v>0</v>
      </c>
      <c r="AK213" s="423">
        <f t="shared" si="111"/>
        <v>0</v>
      </c>
      <c r="AL213" s="423">
        <f t="shared" si="111"/>
        <v>0</v>
      </c>
      <c r="AM213" s="512"/>
    </row>
    <row r="214" spans="1:39" ht="15" outlineLevel="1">
      <c r="B214" s="328"/>
      <c r="C214" s="318"/>
      <c r="D214" s="763"/>
      <c r="E214" s="763"/>
      <c r="F214" s="763"/>
      <c r="G214" s="763"/>
      <c r="H214" s="763"/>
      <c r="I214" s="763"/>
      <c r="J214" s="763"/>
      <c r="K214" s="763"/>
      <c r="L214" s="763"/>
      <c r="M214" s="763"/>
      <c r="N214" s="763"/>
      <c r="O214" s="763"/>
      <c r="P214" s="763"/>
      <c r="Q214" s="763"/>
      <c r="R214" s="763"/>
      <c r="S214" s="763"/>
      <c r="T214" s="763"/>
      <c r="U214" s="763"/>
      <c r="V214" s="763"/>
      <c r="W214" s="763"/>
      <c r="X214" s="763"/>
      <c r="Y214" s="784"/>
      <c r="Z214" s="774"/>
      <c r="AA214" s="774"/>
      <c r="AB214" s="774"/>
      <c r="AC214" s="774"/>
      <c r="AD214" s="774"/>
      <c r="AE214" s="774"/>
      <c r="AF214" s="424"/>
      <c r="AG214" s="424"/>
      <c r="AH214" s="424"/>
      <c r="AI214" s="424"/>
      <c r="AJ214" s="424"/>
      <c r="AK214" s="424"/>
      <c r="AL214" s="424"/>
      <c r="AM214" s="319"/>
    </row>
    <row r="215" spans="1:39" ht="15" outlineLevel="1">
      <c r="A215" s="516">
        <v>22</v>
      </c>
      <c r="B215" s="328" t="s">
        <v>9</v>
      </c>
      <c r="C215" s="304" t="s">
        <v>25</v>
      </c>
      <c r="D215" s="308"/>
      <c r="E215" s="308"/>
      <c r="F215" s="308"/>
      <c r="G215" s="308"/>
      <c r="H215" s="308"/>
      <c r="I215" s="308"/>
      <c r="J215" s="308"/>
      <c r="K215" s="308"/>
      <c r="L215" s="308"/>
      <c r="M215" s="308"/>
      <c r="N215" s="763"/>
      <c r="O215" s="308"/>
      <c r="P215" s="308"/>
      <c r="Q215" s="308"/>
      <c r="R215" s="308"/>
      <c r="S215" s="308"/>
      <c r="T215" s="308"/>
      <c r="U215" s="308"/>
      <c r="V215" s="308"/>
      <c r="W215" s="308"/>
      <c r="X215" s="308"/>
      <c r="Y215" s="772"/>
      <c r="Z215" s="777"/>
      <c r="AA215" s="777"/>
      <c r="AB215" s="777"/>
      <c r="AC215" s="777"/>
      <c r="AD215" s="777"/>
      <c r="AE215" s="777"/>
      <c r="AF215" s="427"/>
      <c r="AG215" s="427"/>
      <c r="AH215" s="427"/>
      <c r="AI215" s="427"/>
      <c r="AJ215" s="427"/>
      <c r="AK215" s="427"/>
      <c r="AL215" s="427"/>
      <c r="AM215" s="309">
        <f>SUM(Y215:AL215)</f>
        <v>0</v>
      </c>
    </row>
    <row r="216" spans="1:39" ht="15" outlineLevel="1">
      <c r="B216" s="307" t="s">
        <v>244</v>
      </c>
      <c r="C216" s="304" t="s">
        <v>163</v>
      </c>
      <c r="D216" s="308"/>
      <c r="E216" s="308"/>
      <c r="F216" s="308"/>
      <c r="G216" s="308"/>
      <c r="H216" s="308"/>
      <c r="I216" s="308"/>
      <c r="J216" s="308"/>
      <c r="K216" s="308"/>
      <c r="L216" s="308"/>
      <c r="M216" s="308"/>
      <c r="N216" s="763"/>
      <c r="O216" s="308"/>
      <c r="P216" s="308"/>
      <c r="Q216" s="308"/>
      <c r="R216" s="308"/>
      <c r="S216" s="308"/>
      <c r="T216" s="308"/>
      <c r="U216" s="308"/>
      <c r="V216" s="308"/>
      <c r="W216" s="308"/>
      <c r="X216" s="308"/>
      <c r="Y216" s="773">
        <f>Y215</f>
        <v>0</v>
      </c>
      <c r="Z216" s="773">
        <f>Z215</f>
        <v>0</v>
      </c>
      <c r="AA216" s="773">
        <f t="shared" ref="AA216:AE216" si="112">AA215</f>
        <v>0</v>
      </c>
      <c r="AB216" s="773">
        <f t="shared" si="112"/>
        <v>0</v>
      </c>
      <c r="AC216" s="773">
        <f t="shared" si="112"/>
        <v>0</v>
      </c>
      <c r="AD216" s="773">
        <f t="shared" si="112"/>
        <v>0</v>
      </c>
      <c r="AE216" s="773">
        <f t="shared" si="112"/>
        <v>0</v>
      </c>
      <c r="AF216" s="423">
        <f t="shared" ref="AF216:AL216" si="113">AF215</f>
        <v>0</v>
      </c>
      <c r="AG216" s="423">
        <f t="shared" si="113"/>
        <v>0</v>
      </c>
      <c r="AH216" s="423">
        <f t="shared" si="113"/>
        <v>0</v>
      </c>
      <c r="AI216" s="423">
        <f t="shared" si="113"/>
        <v>0</v>
      </c>
      <c r="AJ216" s="423">
        <f t="shared" si="113"/>
        <v>0</v>
      </c>
      <c r="AK216" s="423">
        <f t="shared" si="113"/>
        <v>0</v>
      </c>
      <c r="AL216" s="423">
        <f t="shared" si="113"/>
        <v>0</v>
      </c>
      <c r="AM216" s="512"/>
    </row>
    <row r="217" spans="1:39" ht="15" outlineLevel="1">
      <c r="B217" s="328"/>
      <c r="C217" s="318"/>
      <c r="D217" s="763"/>
      <c r="E217" s="763"/>
      <c r="F217" s="763"/>
      <c r="G217" s="763"/>
      <c r="H217" s="763"/>
      <c r="I217" s="763"/>
      <c r="J217" s="763"/>
      <c r="K217" s="763"/>
      <c r="L217" s="763"/>
      <c r="M217" s="763"/>
      <c r="N217" s="763"/>
      <c r="O217" s="763"/>
      <c r="P217" s="763"/>
      <c r="Q217" s="763"/>
      <c r="R217" s="763"/>
      <c r="S217" s="763"/>
      <c r="T217" s="763"/>
      <c r="U217" s="763"/>
      <c r="V217" s="763"/>
      <c r="W217" s="763"/>
      <c r="X217" s="763"/>
      <c r="Y217" s="774"/>
      <c r="Z217" s="774"/>
      <c r="AA217" s="774"/>
      <c r="AB217" s="774"/>
      <c r="AC217" s="774"/>
      <c r="AD217" s="774"/>
      <c r="AE217" s="774"/>
      <c r="AF217" s="424"/>
      <c r="AG217" s="424"/>
      <c r="AH217" s="424"/>
      <c r="AI217" s="424"/>
      <c r="AJ217" s="424"/>
      <c r="AK217" s="424"/>
      <c r="AL217" s="424"/>
      <c r="AM217" s="319"/>
    </row>
    <row r="218" spans="1:39" ht="15.6" outlineLevel="1">
      <c r="A218" s="517"/>
      <c r="B218" s="301" t="s">
        <v>14</v>
      </c>
      <c r="C218" s="302"/>
      <c r="D218" s="769"/>
      <c r="E218" s="769"/>
      <c r="F218" s="769"/>
      <c r="G218" s="769"/>
      <c r="H218" s="769"/>
      <c r="I218" s="769"/>
      <c r="J218" s="769"/>
      <c r="K218" s="769"/>
      <c r="L218" s="769"/>
      <c r="M218" s="769"/>
      <c r="N218" s="769"/>
      <c r="O218" s="769"/>
      <c r="P218" s="769"/>
      <c r="Q218" s="769"/>
      <c r="R218" s="769"/>
      <c r="S218" s="769"/>
      <c r="T218" s="769"/>
      <c r="U218" s="769"/>
      <c r="V218" s="769"/>
      <c r="W218" s="769"/>
      <c r="X218" s="769"/>
      <c r="Y218" s="776"/>
      <c r="Z218" s="776"/>
      <c r="AA218" s="776"/>
      <c r="AB218" s="776"/>
      <c r="AC218" s="776"/>
      <c r="AD218" s="776"/>
      <c r="AE218" s="776"/>
      <c r="AF218" s="426"/>
      <c r="AG218" s="426"/>
      <c r="AH218" s="426"/>
      <c r="AI218" s="426"/>
      <c r="AJ218" s="426"/>
      <c r="AK218" s="426"/>
      <c r="AL218" s="426"/>
      <c r="AM218" s="305"/>
    </row>
    <row r="219" spans="1:39" ht="15" outlineLevel="1">
      <c r="A219" s="516">
        <v>23</v>
      </c>
      <c r="B219" s="328" t="s">
        <v>14</v>
      </c>
      <c r="C219" s="304" t="s">
        <v>25</v>
      </c>
      <c r="D219" s="308"/>
      <c r="E219" s="308"/>
      <c r="F219" s="308"/>
      <c r="G219" s="308"/>
      <c r="H219" s="308"/>
      <c r="I219" s="308"/>
      <c r="J219" s="308"/>
      <c r="K219" s="308"/>
      <c r="L219" s="308"/>
      <c r="M219" s="308"/>
      <c r="N219" s="763"/>
      <c r="O219" s="308"/>
      <c r="P219" s="308"/>
      <c r="Q219" s="308"/>
      <c r="R219" s="308"/>
      <c r="S219" s="308"/>
      <c r="T219" s="308"/>
      <c r="U219" s="308"/>
      <c r="V219" s="308"/>
      <c r="W219" s="308"/>
      <c r="X219" s="308"/>
      <c r="Y219" s="790"/>
      <c r="Z219" s="772"/>
      <c r="AA219" s="772"/>
      <c r="AB219" s="772"/>
      <c r="AC219" s="772"/>
      <c r="AD219" s="772"/>
      <c r="AE219" s="772"/>
      <c r="AF219" s="422"/>
      <c r="AG219" s="422"/>
      <c r="AH219" s="422"/>
      <c r="AI219" s="422"/>
      <c r="AJ219" s="422"/>
      <c r="AK219" s="422"/>
      <c r="AL219" s="422"/>
      <c r="AM219" s="309">
        <f>SUM(Y219:AL219)</f>
        <v>0</v>
      </c>
    </row>
    <row r="220" spans="1:39" ht="15" outlineLevel="1">
      <c r="B220" s="307" t="s">
        <v>244</v>
      </c>
      <c r="C220" s="304" t="s">
        <v>163</v>
      </c>
      <c r="D220" s="308"/>
      <c r="E220" s="308"/>
      <c r="F220" s="308"/>
      <c r="G220" s="308"/>
      <c r="H220" s="308"/>
      <c r="I220" s="308"/>
      <c r="J220" s="308"/>
      <c r="K220" s="308"/>
      <c r="L220" s="308"/>
      <c r="M220" s="308"/>
      <c r="N220" s="764"/>
      <c r="O220" s="308"/>
      <c r="P220" s="308"/>
      <c r="Q220" s="308"/>
      <c r="R220" s="308"/>
      <c r="S220" s="308"/>
      <c r="T220" s="308"/>
      <c r="U220" s="308"/>
      <c r="V220" s="308"/>
      <c r="W220" s="308"/>
      <c r="X220" s="308"/>
      <c r="Y220" s="773">
        <f>Y219</f>
        <v>0</v>
      </c>
      <c r="Z220" s="773">
        <f>Z219</f>
        <v>0</v>
      </c>
      <c r="AA220" s="773">
        <f t="shared" ref="AA220:AE220" si="114">AA219</f>
        <v>0</v>
      </c>
      <c r="AB220" s="773">
        <f t="shared" si="114"/>
        <v>0</v>
      </c>
      <c r="AC220" s="773">
        <f t="shared" si="114"/>
        <v>0</v>
      </c>
      <c r="AD220" s="773">
        <f t="shared" si="114"/>
        <v>0</v>
      </c>
      <c r="AE220" s="773">
        <f t="shared" si="114"/>
        <v>0</v>
      </c>
      <c r="AF220" s="423">
        <f t="shared" ref="AF220:AL220" si="115">AF219</f>
        <v>0</v>
      </c>
      <c r="AG220" s="423">
        <f t="shared" si="115"/>
        <v>0</v>
      </c>
      <c r="AH220" s="423">
        <f t="shared" si="115"/>
        <v>0</v>
      </c>
      <c r="AI220" s="423">
        <f t="shared" si="115"/>
        <v>0</v>
      </c>
      <c r="AJ220" s="423">
        <f t="shared" si="115"/>
        <v>0</v>
      </c>
      <c r="AK220" s="423">
        <f t="shared" si="115"/>
        <v>0</v>
      </c>
      <c r="AL220" s="423">
        <f t="shared" si="115"/>
        <v>0</v>
      </c>
      <c r="AM220" s="512"/>
    </row>
    <row r="221" spans="1:39" ht="15" outlineLevel="1">
      <c r="B221" s="328"/>
      <c r="C221" s="318"/>
      <c r="D221" s="763"/>
      <c r="E221" s="763"/>
      <c r="F221" s="763"/>
      <c r="G221" s="763"/>
      <c r="H221" s="763"/>
      <c r="I221" s="763"/>
      <c r="J221" s="763"/>
      <c r="K221" s="763"/>
      <c r="L221" s="763"/>
      <c r="M221" s="763"/>
      <c r="N221" s="763"/>
      <c r="O221" s="763"/>
      <c r="P221" s="763"/>
      <c r="Q221" s="763"/>
      <c r="R221" s="763"/>
      <c r="S221" s="763"/>
      <c r="T221" s="763"/>
      <c r="U221" s="763"/>
      <c r="V221" s="763"/>
      <c r="W221" s="763"/>
      <c r="X221" s="763"/>
      <c r="Y221" s="774"/>
      <c r="Z221" s="774"/>
      <c r="AA221" s="774"/>
      <c r="AB221" s="774"/>
      <c r="AC221" s="774"/>
      <c r="AD221" s="774"/>
      <c r="AE221" s="774"/>
      <c r="AF221" s="424"/>
      <c r="AG221" s="424"/>
      <c r="AH221" s="424"/>
      <c r="AI221" s="424"/>
      <c r="AJ221" s="424"/>
      <c r="AK221" s="424"/>
      <c r="AL221" s="424"/>
      <c r="AM221" s="319"/>
    </row>
    <row r="222" spans="1:39" s="306" customFormat="1" ht="15.6" outlineLevel="1">
      <c r="A222" s="517"/>
      <c r="B222" s="301" t="s">
        <v>487</v>
      </c>
      <c r="C222" s="302"/>
      <c r="D222" s="769"/>
      <c r="E222" s="769"/>
      <c r="F222" s="769"/>
      <c r="G222" s="769"/>
      <c r="H222" s="769"/>
      <c r="I222" s="769"/>
      <c r="J222" s="769"/>
      <c r="K222" s="769"/>
      <c r="L222" s="769"/>
      <c r="M222" s="769"/>
      <c r="N222" s="769"/>
      <c r="O222" s="769"/>
      <c r="P222" s="769"/>
      <c r="Q222" s="769"/>
      <c r="R222" s="769"/>
      <c r="S222" s="769"/>
      <c r="T222" s="769"/>
      <c r="U222" s="769"/>
      <c r="V222" s="769"/>
      <c r="W222" s="769"/>
      <c r="X222" s="769"/>
      <c r="Y222" s="776"/>
      <c r="Z222" s="776"/>
      <c r="AA222" s="776"/>
      <c r="AB222" s="776"/>
      <c r="AC222" s="776"/>
      <c r="AD222" s="776"/>
      <c r="AE222" s="776"/>
      <c r="AF222" s="426"/>
      <c r="AG222" s="426"/>
      <c r="AH222" s="426"/>
      <c r="AI222" s="426"/>
      <c r="AJ222" s="426"/>
      <c r="AK222" s="426"/>
      <c r="AL222" s="426"/>
      <c r="AM222" s="305"/>
    </row>
    <row r="223" spans="1:39" s="296" customFormat="1" ht="15" outlineLevel="1">
      <c r="A223" s="516">
        <v>24</v>
      </c>
      <c r="B223" s="328" t="s">
        <v>14</v>
      </c>
      <c r="C223" s="304" t="s">
        <v>25</v>
      </c>
      <c r="D223" s="308"/>
      <c r="E223" s="308"/>
      <c r="F223" s="308"/>
      <c r="G223" s="308"/>
      <c r="H223" s="308"/>
      <c r="I223" s="308"/>
      <c r="J223" s="308"/>
      <c r="K223" s="308"/>
      <c r="L223" s="308"/>
      <c r="M223" s="308"/>
      <c r="N223" s="763"/>
      <c r="O223" s="308"/>
      <c r="P223" s="308"/>
      <c r="Q223" s="308"/>
      <c r="R223" s="308"/>
      <c r="S223" s="308"/>
      <c r="T223" s="308"/>
      <c r="U223" s="308"/>
      <c r="V223" s="308"/>
      <c r="W223" s="308"/>
      <c r="X223" s="308"/>
      <c r="Y223" s="772"/>
      <c r="Z223" s="772"/>
      <c r="AA223" s="772"/>
      <c r="AB223" s="772"/>
      <c r="AC223" s="772"/>
      <c r="AD223" s="772"/>
      <c r="AE223" s="772"/>
      <c r="AF223" s="422"/>
      <c r="AG223" s="422"/>
      <c r="AH223" s="422"/>
      <c r="AI223" s="422"/>
      <c r="AJ223" s="422"/>
      <c r="AK223" s="422"/>
      <c r="AL223" s="422"/>
      <c r="AM223" s="309">
        <f>SUM(Y223:AL223)</f>
        <v>0</v>
      </c>
    </row>
    <row r="224" spans="1:39" s="296" customFormat="1" ht="15" outlineLevel="1">
      <c r="A224" s="516"/>
      <c r="B224" s="328" t="s">
        <v>244</v>
      </c>
      <c r="C224" s="304" t="s">
        <v>163</v>
      </c>
      <c r="D224" s="308"/>
      <c r="E224" s="308"/>
      <c r="F224" s="308"/>
      <c r="G224" s="308"/>
      <c r="H224" s="308"/>
      <c r="I224" s="308"/>
      <c r="J224" s="308"/>
      <c r="K224" s="308"/>
      <c r="L224" s="308"/>
      <c r="M224" s="308"/>
      <c r="N224" s="764"/>
      <c r="O224" s="308"/>
      <c r="P224" s="308"/>
      <c r="Q224" s="308"/>
      <c r="R224" s="308"/>
      <c r="S224" s="308"/>
      <c r="T224" s="308"/>
      <c r="U224" s="308"/>
      <c r="V224" s="308"/>
      <c r="W224" s="308"/>
      <c r="X224" s="308"/>
      <c r="Y224" s="773">
        <f>Y223</f>
        <v>0</v>
      </c>
      <c r="Z224" s="773">
        <f>Z223</f>
        <v>0</v>
      </c>
      <c r="AA224" s="773">
        <f t="shared" ref="AA224:AE224" si="116">AA223</f>
        <v>0</v>
      </c>
      <c r="AB224" s="773">
        <f t="shared" si="116"/>
        <v>0</v>
      </c>
      <c r="AC224" s="773">
        <f t="shared" si="116"/>
        <v>0</v>
      </c>
      <c r="AD224" s="773">
        <f t="shared" si="116"/>
        <v>0</v>
      </c>
      <c r="AE224" s="773">
        <f t="shared" si="116"/>
        <v>0</v>
      </c>
      <c r="AF224" s="423">
        <f t="shared" ref="AF224:AL224" si="117">AF223</f>
        <v>0</v>
      </c>
      <c r="AG224" s="423">
        <f t="shared" si="117"/>
        <v>0</v>
      </c>
      <c r="AH224" s="423">
        <f t="shared" si="117"/>
        <v>0</v>
      </c>
      <c r="AI224" s="423">
        <f t="shared" si="117"/>
        <v>0</v>
      </c>
      <c r="AJ224" s="423">
        <f t="shared" si="117"/>
        <v>0</v>
      </c>
      <c r="AK224" s="423">
        <f t="shared" si="117"/>
        <v>0</v>
      </c>
      <c r="AL224" s="423">
        <f t="shared" si="117"/>
        <v>0</v>
      </c>
      <c r="AM224" s="512"/>
    </row>
    <row r="225" spans="1:39" s="296" customFormat="1" ht="15" outlineLevel="1">
      <c r="A225" s="516"/>
      <c r="B225" s="328"/>
      <c r="C225" s="318"/>
      <c r="D225" s="763"/>
      <c r="E225" s="763"/>
      <c r="F225" s="763"/>
      <c r="G225" s="763"/>
      <c r="H225" s="763"/>
      <c r="I225" s="763"/>
      <c r="J225" s="763"/>
      <c r="K225" s="763"/>
      <c r="L225" s="763"/>
      <c r="M225" s="763"/>
      <c r="N225" s="763"/>
      <c r="O225" s="763"/>
      <c r="P225" s="763"/>
      <c r="Q225" s="763"/>
      <c r="R225" s="763"/>
      <c r="S225" s="763"/>
      <c r="T225" s="763"/>
      <c r="U225" s="763"/>
      <c r="V225" s="763"/>
      <c r="W225" s="763"/>
      <c r="X225" s="763"/>
      <c r="Y225" s="774"/>
      <c r="Z225" s="774"/>
      <c r="AA225" s="774"/>
      <c r="AB225" s="774"/>
      <c r="AC225" s="774"/>
      <c r="AD225" s="774"/>
      <c r="AE225" s="774"/>
      <c r="AF225" s="424"/>
      <c r="AG225" s="424"/>
      <c r="AH225" s="424"/>
      <c r="AI225" s="424"/>
      <c r="AJ225" s="424"/>
      <c r="AK225" s="424"/>
      <c r="AL225" s="424"/>
      <c r="AM225" s="319"/>
    </row>
    <row r="226" spans="1:39" s="296" customFormat="1" ht="15" outlineLevel="1">
      <c r="A226" s="516">
        <v>25</v>
      </c>
      <c r="B226" s="327" t="s">
        <v>21</v>
      </c>
      <c r="C226" s="304" t="s">
        <v>25</v>
      </c>
      <c r="D226" s="308"/>
      <c r="E226" s="308"/>
      <c r="F226" s="308"/>
      <c r="G226" s="308"/>
      <c r="H226" s="308"/>
      <c r="I226" s="308"/>
      <c r="J226" s="308"/>
      <c r="K226" s="308"/>
      <c r="L226" s="308"/>
      <c r="M226" s="308"/>
      <c r="N226" s="308">
        <v>0</v>
      </c>
      <c r="O226" s="308"/>
      <c r="P226" s="308"/>
      <c r="Q226" s="308"/>
      <c r="R226" s="308"/>
      <c r="S226" s="308"/>
      <c r="T226" s="308"/>
      <c r="U226" s="308"/>
      <c r="V226" s="308"/>
      <c r="W226" s="308"/>
      <c r="X226" s="308"/>
      <c r="Y226" s="777"/>
      <c r="Z226" s="777"/>
      <c r="AA226" s="777"/>
      <c r="AB226" s="777"/>
      <c r="AC226" s="777"/>
      <c r="AD226" s="777"/>
      <c r="AE226" s="777"/>
      <c r="AF226" s="427"/>
      <c r="AG226" s="427"/>
      <c r="AH226" s="427"/>
      <c r="AI226" s="427"/>
      <c r="AJ226" s="427"/>
      <c r="AK226" s="427"/>
      <c r="AL226" s="427"/>
      <c r="AM226" s="309">
        <f>SUM(Y226:AL226)</f>
        <v>0</v>
      </c>
    </row>
    <row r="227" spans="1:39" s="296" customFormat="1" ht="15" outlineLevel="1">
      <c r="A227" s="516"/>
      <c r="B227" s="328" t="s">
        <v>244</v>
      </c>
      <c r="C227" s="304" t="s">
        <v>163</v>
      </c>
      <c r="D227" s="308"/>
      <c r="E227" s="308"/>
      <c r="F227" s="308"/>
      <c r="G227" s="308"/>
      <c r="H227" s="308"/>
      <c r="I227" s="308"/>
      <c r="J227" s="308"/>
      <c r="K227" s="308"/>
      <c r="L227" s="308"/>
      <c r="M227" s="308"/>
      <c r="N227" s="308">
        <f>N226</f>
        <v>0</v>
      </c>
      <c r="O227" s="308"/>
      <c r="P227" s="308"/>
      <c r="Q227" s="308"/>
      <c r="R227" s="308"/>
      <c r="S227" s="308"/>
      <c r="T227" s="308"/>
      <c r="U227" s="308"/>
      <c r="V227" s="308"/>
      <c r="W227" s="308"/>
      <c r="X227" s="308"/>
      <c r="Y227" s="773">
        <f>Y226</f>
        <v>0</v>
      </c>
      <c r="Z227" s="773">
        <f>Z226</f>
        <v>0</v>
      </c>
      <c r="AA227" s="773">
        <f t="shared" ref="AA227:AE227" si="118">AA226</f>
        <v>0</v>
      </c>
      <c r="AB227" s="773">
        <f t="shared" si="118"/>
        <v>0</v>
      </c>
      <c r="AC227" s="773">
        <f t="shared" si="118"/>
        <v>0</v>
      </c>
      <c r="AD227" s="773">
        <f t="shared" si="118"/>
        <v>0</v>
      </c>
      <c r="AE227" s="773">
        <f t="shared" si="118"/>
        <v>0</v>
      </c>
      <c r="AF227" s="423">
        <f t="shared" ref="AF227:AL227" si="119">AF226</f>
        <v>0</v>
      </c>
      <c r="AG227" s="423">
        <f t="shared" si="119"/>
        <v>0</v>
      </c>
      <c r="AH227" s="423">
        <f t="shared" si="119"/>
        <v>0</v>
      </c>
      <c r="AI227" s="423">
        <f t="shared" si="119"/>
        <v>0</v>
      </c>
      <c r="AJ227" s="423">
        <f t="shared" si="119"/>
        <v>0</v>
      </c>
      <c r="AK227" s="423">
        <f t="shared" si="119"/>
        <v>0</v>
      </c>
      <c r="AL227" s="423">
        <f t="shared" si="119"/>
        <v>0</v>
      </c>
      <c r="AM227" s="512"/>
    </row>
    <row r="228" spans="1:39" s="296" customFormat="1" ht="15" outlineLevel="1">
      <c r="A228" s="516"/>
      <c r="B228" s="327"/>
      <c r="C228" s="325"/>
      <c r="D228" s="763"/>
      <c r="E228" s="763"/>
      <c r="F228" s="763"/>
      <c r="G228" s="763"/>
      <c r="H228" s="763"/>
      <c r="I228" s="763"/>
      <c r="J228" s="763"/>
      <c r="K228" s="763"/>
      <c r="L228" s="763"/>
      <c r="M228" s="763"/>
      <c r="N228" s="763"/>
      <c r="O228" s="763"/>
      <c r="P228" s="763"/>
      <c r="Q228" s="763"/>
      <c r="R228" s="763"/>
      <c r="S228" s="763"/>
      <c r="T228" s="763"/>
      <c r="U228" s="763"/>
      <c r="V228" s="763"/>
      <c r="W228" s="763"/>
      <c r="X228" s="763"/>
      <c r="Y228" s="778"/>
      <c r="Z228" s="779"/>
      <c r="AA228" s="778"/>
      <c r="AB228" s="778"/>
      <c r="AC228" s="778"/>
      <c r="AD228" s="778"/>
      <c r="AE228" s="778"/>
      <c r="AF228" s="428"/>
      <c r="AG228" s="428"/>
      <c r="AH228" s="428"/>
      <c r="AI228" s="428"/>
      <c r="AJ228" s="428"/>
      <c r="AK228" s="428"/>
      <c r="AL228" s="428"/>
      <c r="AM228" s="326"/>
    </row>
    <row r="229" spans="1:39" ht="15.6" outlineLevel="1">
      <c r="A229" s="517"/>
      <c r="B229" s="301" t="s">
        <v>15</v>
      </c>
      <c r="C229" s="332"/>
      <c r="D229" s="769"/>
      <c r="E229" s="769"/>
      <c r="F229" s="769"/>
      <c r="G229" s="769"/>
      <c r="H229" s="769"/>
      <c r="I229" s="769"/>
      <c r="J229" s="769"/>
      <c r="K229" s="769"/>
      <c r="L229" s="769"/>
      <c r="M229" s="769"/>
      <c r="N229" s="763"/>
      <c r="O229" s="769"/>
      <c r="P229" s="769"/>
      <c r="Q229" s="769"/>
      <c r="R229" s="769"/>
      <c r="S229" s="769"/>
      <c r="T229" s="769"/>
      <c r="U229" s="769"/>
      <c r="V229" s="769"/>
      <c r="W229" s="769"/>
      <c r="X229" s="769"/>
      <c r="Y229" s="776"/>
      <c r="Z229" s="776"/>
      <c r="AA229" s="776"/>
      <c r="AB229" s="776"/>
      <c r="AC229" s="776"/>
      <c r="AD229" s="776"/>
      <c r="AE229" s="776"/>
      <c r="AF229" s="426"/>
      <c r="AG229" s="426"/>
      <c r="AH229" s="426"/>
      <c r="AI229" s="426"/>
      <c r="AJ229" s="426"/>
      <c r="AK229" s="426"/>
      <c r="AL229" s="426"/>
      <c r="AM229" s="305"/>
    </row>
    <row r="230" spans="1:39" ht="15" outlineLevel="1">
      <c r="A230" s="516">
        <v>26</v>
      </c>
      <c r="B230" s="333" t="s">
        <v>16</v>
      </c>
      <c r="C230" s="304" t="s">
        <v>25</v>
      </c>
      <c r="D230" s="308"/>
      <c r="E230" s="308"/>
      <c r="F230" s="308"/>
      <c r="G230" s="308"/>
      <c r="H230" s="308"/>
      <c r="I230" s="308"/>
      <c r="J230" s="308"/>
      <c r="K230" s="308"/>
      <c r="L230" s="308"/>
      <c r="M230" s="308"/>
      <c r="N230" s="308">
        <v>12</v>
      </c>
      <c r="O230" s="308"/>
      <c r="P230" s="308"/>
      <c r="Q230" s="308"/>
      <c r="R230" s="308"/>
      <c r="S230" s="308"/>
      <c r="T230" s="308"/>
      <c r="U230" s="308"/>
      <c r="V230" s="308"/>
      <c r="W230" s="308"/>
      <c r="X230" s="308"/>
      <c r="Y230" s="789"/>
      <c r="Z230" s="777"/>
      <c r="AA230" s="788"/>
      <c r="AB230" s="777"/>
      <c r="AC230" s="777"/>
      <c r="AD230" s="777"/>
      <c r="AE230" s="777"/>
      <c r="AF230" s="427"/>
      <c r="AG230" s="427"/>
      <c r="AH230" s="427"/>
      <c r="AI230" s="427"/>
      <c r="AJ230" s="427"/>
      <c r="AK230" s="427"/>
      <c r="AL230" s="427"/>
      <c r="AM230" s="309">
        <f>SUM(Y230:AL230)</f>
        <v>0</v>
      </c>
    </row>
    <row r="231" spans="1:39" ht="15" outlineLevel="1">
      <c r="B231" s="307" t="s">
        <v>244</v>
      </c>
      <c r="C231" s="304" t="s">
        <v>163</v>
      </c>
      <c r="D231" s="308"/>
      <c r="E231" s="308"/>
      <c r="F231" s="308"/>
      <c r="G231" s="308"/>
      <c r="H231" s="308"/>
      <c r="I231" s="308"/>
      <c r="J231" s="308"/>
      <c r="K231" s="308"/>
      <c r="L231" s="308"/>
      <c r="M231" s="308"/>
      <c r="N231" s="308">
        <f>N230</f>
        <v>12</v>
      </c>
      <c r="O231" s="308"/>
      <c r="P231" s="308"/>
      <c r="Q231" s="308"/>
      <c r="R231" s="308"/>
      <c r="S231" s="308"/>
      <c r="T231" s="308"/>
      <c r="U231" s="308"/>
      <c r="V231" s="308"/>
      <c r="W231" s="308"/>
      <c r="X231" s="308"/>
      <c r="Y231" s="773">
        <f>Y230</f>
        <v>0</v>
      </c>
      <c r="Z231" s="773">
        <f>Z230</f>
        <v>0</v>
      </c>
      <c r="AA231" s="773">
        <f t="shared" ref="AA231:AE231" si="120">AA230</f>
        <v>0</v>
      </c>
      <c r="AB231" s="773">
        <f t="shared" si="120"/>
        <v>0</v>
      </c>
      <c r="AC231" s="773">
        <f t="shared" si="120"/>
        <v>0</v>
      </c>
      <c r="AD231" s="773">
        <f t="shared" si="120"/>
        <v>0</v>
      </c>
      <c r="AE231" s="773">
        <f t="shared" si="120"/>
        <v>0</v>
      </c>
      <c r="AF231" s="423">
        <f t="shared" ref="AF231:AL231" si="121">AF230</f>
        <v>0</v>
      </c>
      <c r="AG231" s="423">
        <f t="shared" si="121"/>
        <v>0</v>
      </c>
      <c r="AH231" s="423">
        <f t="shared" si="121"/>
        <v>0</v>
      </c>
      <c r="AI231" s="423">
        <f t="shared" si="121"/>
        <v>0</v>
      </c>
      <c r="AJ231" s="423">
        <f t="shared" si="121"/>
        <v>0</v>
      </c>
      <c r="AK231" s="423">
        <f t="shared" si="121"/>
        <v>0</v>
      </c>
      <c r="AL231" s="423">
        <f t="shared" si="121"/>
        <v>0</v>
      </c>
      <c r="AM231" s="512"/>
    </row>
    <row r="232" spans="1:39" ht="15" outlineLevel="1">
      <c r="A232" s="519"/>
      <c r="B232" s="334"/>
      <c r="C232" s="304"/>
      <c r="D232" s="763"/>
      <c r="E232" s="763"/>
      <c r="F232" s="763"/>
      <c r="G232" s="763"/>
      <c r="H232" s="763"/>
      <c r="I232" s="763"/>
      <c r="J232" s="763"/>
      <c r="K232" s="763"/>
      <c r="L232" s="763"/>
      <c r="M232" s="763"/>
      <c r="N232" s="763"/>
      <c r="O232" s="763"/>
      <c r="P232" s="763"/>
      <c r="Q232" s="763"/>
      <c r="R232" s="763"/>
      <c r="S232" s="763"/>
      <c r="T232" s="763"/>
      <c r="U232" s="763"/>
      <c r="V232" s="763"/>
      <c r="W232" s="763"/>
      <c r="X232" s="763"/>
      <c r="Y232" s="785"/>
      <c r="Z232" s="786"/>
      <c r="AA232" s="786"/>
      <c r="AB232" s="786"/>
      <c r="AC232" s="786"/>
      <c r="AD232" s="786"/>
      <c r="AE232" s="786"/>
      <c r="AF232" s="434"/>
      <c r="AG232" s="434"/>
      <c r="AH232" s="434"/>
      <c r="AI232" s="434"/>
      <c r="AJ232" s="434"/>
      <c r="AK232" s="434"/>
      <c r="AL232" s="434"/>
      <c r="AM232" s="310"/>
    </row>
    <row r="233" spans="1:39" ht="15" outlineLevel="1">
      <c r="A233" s="516">
        <v>27</v>
      </c>
      <c r="B233" s="333" t="s">
        <v>17</v>
      </c>
      <c r="C233" s="304" t="s">
        <v>25</v>
      </c>
      <c r="D233" s="308">
        <f>'7.  Persistence Report'!AR54</f>
        <v>599.36740550133084</v>
      </c>
      <c r="E233" s="308">
        <f>'7.  Persistence Report'!AS54</f>
        <v>599.36740550133084</v>
      </c>
      <c r="F233" s="308">
        <f>'7.  Persistence Report'!AT54</f>
        <v>599.36740550133084</v>
      </c>
      <c r="G233" s="308">
        <f>'7.  Persistence Report'!AU54</f>
        <v>599.36740550133084</v>
      </c>
      <c r="H233" s="308">
        <f>'7.  Persistence Report'!AV54</f>
        <v>599.36740550133084</v>
      </c>
      <c r="I233" s="308">
        <f>'7.  Persistence Report'!AW54</f>
        <v>599.36740550133084</v>
      </c>
      <c r="J233" s="308">
        <f>'7.  Persistence Report'!AX54</f>
        <v>599.36740550133084</v>
      </c>
      <c r="K233" s="308">
        <f>'7.  Persistence Report'!AY54</f>
        <v>599.36740550133084</v>
      </c>
      <c r="L233" s="308">
        <f>'7.  Persistence Report'!AZ54</f>
        <v>599.36740550133084</v>
      </c>
      <c r="M233" s="308">
        <f>'7.  Persistence Report'!BA54</f>
        <v>599.36740550133084</v>
      </c>
      <c r="N233" s="308">
        <v>12</v>
      </c>
      <c r="O233" s="308">
        <f>'7.  Persistence Report'!M54</f>
        <v>0.61864673722831787</v>
      </c>
      <c r="P233" s="308">
        <f>'7.  Persistence Report'!N54</f>
        <v>0.61864673722831787</v>
      </c>
      <c r="Q233" s="308">
        <f>'7.  Persistence Report'!O54</f>
        <v>0.61864673722831787</v>
      </c>
      <c r="R233" s="308">
        <f>'7.  Persistence Report'!P54</f>
        <v>0.61864673722831787</v>
      </c>
      <c r="S233" s="308">
        <f>'7.  Persistence Report'!Q54</f>
        <v>0.61864673722831787</v>
      </c>
      <c r="T233" s="308">
        <f>'7.  Persistence Report'!R54</f>
        <v>0.61864673722831787</v>
      </c>
      <c r="U233" s="308">
        <f>'7.  Persistence Report'!S54</f>
        <v>0.61864673722831787</v>
      </c>
      <c r="V233" s="308">
        <f>'7.  Persistence Report'!T54</f>
        <v>0.61864673722831787</v>
      </c>
      <c r="W233" s="308">
        <f>'7.  Persistence Report'!U54</f>
        <v>0.61864673722831787</v>
      </c>
      <c r="X233" s="308">
        <f>'7.  Persistence Report'!V54</f>
        <v>0.61864673722831787</v>
      </c>
      <c r="Y233" s="789"/>
      <c r="Z233" s="777"/>
      <c r="AA233" s="777"/>
      <c r="AB233" s="777">
        <v>1</v>
      </c>
      <c r="AC233" s="777"/>
      <c r="AD233" s="777"/>
      <c r="AE233" s="777"/>
      <c r="AF233" s="427"/>
      <c r="AG233" s="427"/>
      <c r="AH233" s="427"/>
      <c r="AI233" s="427"/>
      <c r="AJ233" s="427"/>
      <c r="AK233" s="427"/>
      <c r="AL233" s="427"/>
      <c r="AM233" s="309">
        <f>SUM(Y233:AL233)</f>
        <v>1</v>
      </c>
    </row>
    <row r="234" spans="1:39" ht="15" outlineLevel="1">
      <c r="B234" s="307" t="s">
        <v>244</v>
      </c>
      <c r="C234" s="304" t="s">
        <v>163</v>
      </c>
      <c r="D234" s="308"/>
      <c r="E234" s="308"/>
      <c r="F234" s="308"/>
      <c r="G234" s="308"/>
      <c r="H234" s="308"/>
      <c r="I234" s="308"/>
      <c r="J234" s="308"/>
      <c r="K234" s="308"/>
      <c r="L234" s="308"/>
      <c r="M234" s="308"/>
      <c r="N234" s="308">
        <f>N233</f>
        <v>12</v>
      </c>
      <c r="O234" s="308"/>
      <c r="P234" s="308"/>
      <c r="Q234" s="308"/>
      <c r="R234" s="308"/>
      <c r="S234" s="308"/>
      <c r="T234" s="308"/>
      <c r="U234" s="308"/>
      <c r="V234" s="308"/>
      <c r="W234" s="308"/>
      <c r="X234" s="308"/>
      <c r="Y234" s="773">
        <f>Y233</f>
        <v>0</v>
      </c>
      <c r="Z234" s="773">
        <f>Z233</f>
        <v>0</v>
      </c>
      <c r="AA234" s="773">
        <f t="shared" ref="AA234:AE234" si="122">AA233</f>
        <v>0</v>
      </c>
      <c r="AB234" s="773">
        <f t="shared" si="122"/>
        <v>1</v>
      </c>
      <c r="AC234" s="773">
        <f t="shared" si="122"/>
        <v>0</v>
      </c>
      <c r="AD234" s="773">
        <f t="shared" si="122"/>
        <v>0</v>
      </c>
      <c r="AE234" s="773">
        <f t="shared" si="122"/>
        <v>0</v>
      </c>
      <c r="AF234" s="423">
        <f t="shared" ref="AF234:AL234" si="123">AF233</f>
        <v>0</v>
      </c>
      <c r="AG234" s="423">
        <f t="shared" si="123"/>
        <v>0</v>
      </c>
      <c r="AH234" s="423">
        <f t="shared" si="123"/>
        <v>0</v>
      </c>
      <c r="AI234" s="423">
        <f t="shared" si="123"/>
        <v>0</v>
      </c>
      <c r="AJ234" s="423">
        <f t="shared" si="123"/>
        <v>0</v>
      </c>
      <c r="AK234" s="423">
        <f t="shared" si="123"/>
        <v>0</v>
      </c>
      <c r="AL234" s="423">
        <f t="shared" si="123"/>
        <v>0</v>
      </c>
      <c r="AM234" s="512"/>
    </row>
    <row r="235" spans="1:39" ht="15.6" outlineLevel="1">
      <c r="A235" s="519"/>
      <c r="B235" s="335"/>
      <c r="C235" s="313"/>
      <c r="D235" s="763"/>
      <c r="E235" s="763"/>
      <c r="F235" s="763"/>
      <c r="G235" s="763"/>
      <c r="H235" s="763"/>
      <c r="I235" s="763"/>
      <c r="J235" s="763"/>
      <c r="K235" s="763"/>
      <c r="L235" s="763"/>
      <c r="M235" s="763"/>
      <c r="N235" s="771"/>
      <c r="O235" s="763"/>
      <c r="P235" s="763"/>
      <c r="Q235" s="763"/>
      <c r="R235" s="763"/>
      <c r="S235" s="763"/>
      <c r="T235" s="763"/>
      <c r="U235" s="763"/>
      <c r="V235" s="763"/>
      <c r="W235" s="763"/>
      <c r="X235" s="763"/>
      <c r="Y235" s="774"/>
      <c r="Z235" s="774"/>
      <c r="AA235" s="774"/>
      <c r="AB235" s="774"/>
      <c r="AC235" s="774"/>
      <c r="AD235" s="774"/>
      <c r="AE235" s="774"/>
      <c r="AF235" s="424"/>
      <c r="AG235" s="424"/>
      <c r="AH235" s="424"/>
      <c r="AI235" s="424"/>
      <c r="AJ235" s="424"/>
      <c r="AK235" s="424"/>
      <c r="AL235" s="424"/>
      <c r="AM235" s="319"/>
    </row>
    <row r="236" spans="1:39" ht="15" outlineLevel="1">
      <c r="A236" s="516">
        <v>28</v>
      </c>
      <c r="B236" s="333" t="s">
        <v>18</v>
      </c>
      <c r="C236" s="304" t="s">
        <v>25</v>
      </c>
      <c r="D236" s="308"/>
      <c r="E236" s="308"/>
      <c r="F236" s="308"/>
      <c r="G236" s="308"/>
      <c r="H236" s="308"/>
      <c r="I236" s="308"/>
      <c r="J236" s="308"/>
      <c r="K236" s="308"/>
      <c r="L236" s="308"/>
      <c r="M236" s="308"/>
      <c r="N236" s="308">
        <v>0</v>
      </c>
      <c r="O236" s="308"/>
      <c r="P236" s="308"/>
      <c r="Q236" s="308"/>
      <c r="R236" s="308"/>
      <c r="S236" s="308"/>
      <c r="T236" s="308"/>
      <c r="U236" s="308"/>
      <c r="V236" s="308"/>
      <c r="W236" s="308"/>
      <c r="X236" s="308"/>
      <c r="Y236" s="789"/>
      <c r="Z236" s="777"/>
      <c r="AA236" s="777"/>
      <c r="AB236" s="777"/>
      <c r="AC236" s="777"/>
      <c r="AD236" s="777"/>
      <c r="AE236" s="777"/>
      <c r="AF236" s="427"/>
      <c r="AG236" s="427"/>
      <c r="AH236" s="427"/>
      <c r="AI236" s="427"/>
      <c r="AJ236" s="427"/>
      <c r="AK236" s="427"/>
      <c r="AL236" s="427"/>
      <c r="AM236" s="309">
        <f>SUM(Y236:AL236)</f>
        <v>0</v>
      </c>
    </row>
    <row r="237" spans="1:39" ht="15" outlineLevel="1">
      <c r="B237" s="307" t="s">
        <v>244</v>
      </c>
      <c r="C237" s="304" t="s">
        <v>163</v>
      </c>
      <c r="D237" s="308"/>
      <c r="E237" s="308"/>
      <c r="F237" s="308"/>
      <c r="G237" s="308"/>
      <c r="H237" s="308"/>
      <c r="I237" s="308"/>
      <c r="J237" s="308"/>
      <c r="K237" s="308"/>
      <c r="L237" s="308"/>
      <c r="M237" s="308"/>
      <c r="N237" s="308">
        <f>N236</f>
        <v>0</v>
      </c>
      <c r="O237" s="308"/>
      <c r="P237" s="308"/>
      <c r="Q237" s="308"/>
      <c r="R237" s="308"/>
      <c r="S237" s="308"/>
      <c r="T237" s="308"/>
      <c r="U237" s="308"/>
      <c r="V237" s="308"/>
      <c r="W237" s="308"/>
      <c r="X237" s="308"/>
      <c r="Y237" s="773">
        <f>Y236</f>
        <v>0</v>
      </c>
      <c r="Z237" s="773">
        <f>Z236</f>
        <v>0</v>
      </c>
      <c r="AA237" s="773">
        <f t="shared" ref="AA237:AE237" si="124">AA236</f>
        <v>0</v>
      </c>
      <c r="AB237" s="773">
        <f t="shared" si="124"/>
        <v>0</v>
      </c>
      <c r="AC237" s="773">
        <f t="shared" si="124"/>
        <v>0</v>
      </c>
      <c r="AD237" s="773">
        <f t="shared" si="124"/>
        <v>0</v>
      </c>
      <c r="AE237" s="773">
        <f t="shared" si="124"/>
        <v>0</v>
      </c>
      <c r="AF237" s="423">
        <f t="shared" ref="AF237:AL237" si="125">AF236</f>
        <v>0</v>
      </c>
      <c r="AG237" s="423">
        <f t="shared" si="125"/>
        <v>0</v>
      </c>
      <c r="AH237" s="423">
        <f t="shared" si="125"/>
        <v>0</v>
      </c>
      <c r="AI237" s="423">
        <f t="shared" si="125"/>
        <v>0</v>
      </c>
      <c r="AJ237" s="423">
        <f t="shared" si="125"/>
        <v>0</v>
      </c>
      <c r="AK237" s="423">
        <f t="shared" si="125"/>
        <v>0</v>
      </c>
      <c r="AL237" s="423">
        <f t="shared" si="125"/>
        <v>0</v>
      </c>
      <c r="AM237" s="512"/>
    </row>
    <row r="238" spans="1:39" ht="15" outlineLevel="1">
      <c r="A238" s="519"/>
      <c r="B238" s="334"/>
      <c r="C238" s="304"/>
      <c r="D238" s="763"/>
      <c r="E238" s="763"/>
      <c r="F238" s="763"/>
      <c r="G238" s="763"/>
      <c r="H238" s="763"/>
      <c r="I238" s="763"/>
      <c r="J238" s="763"/>
      <c r="K238" s="763"/>
      <c r="L238" s="763"/>
      <c r="M238" s="763"/>
      <c r="N238" s="763"/>
      <c r="O238" s="763"/>
      <c r="P238" s="763"/>
      <c r="Q238" s="763"/>
      <c r="R238" s="763"/>
      <c r="S238" s="763"/>
      <c r="T238" s="763"/>
      <c r="U238" s="763"/>
      <c r="V238" s="763"/>
      <c r="W238" s="763"/>
      <c r="X238" s="763"/>
      <c r="Y238" s="774"/>
      <c r="Z238" s="774"/>
      <c r="AA238" s="774"/>
      <c r="AB238" s="774"/>
      <c r="AC238" s="774"/>
      <c r="AD238" s="774"/>
      <c r="AE238" s="774"/>
      <c r="AF238" s="424"/>
      <c r="AG238" s="424"/>
      <c r="AH238" s="424"/>
      <c r="AI238" s="424"/>
      <c r="AJ238" s="424"/>
      <c r="AK238" s="424"/>
      <c r="AL238" s="424"/>
      <c r="AM238" s="319"/>
    </row>
    <row r="239" spans="1:39" ht="15" outlineLevel="1">
      <c r="A239" s="516">
        <v>29</v>
      </c>
      <c r="B239" s="336" t="s">
        <v>19</v>
      </c>
      <c r="C239" s="304" t="s">
        <v>25</v>
      </c>
      <c r="D239" s="308"/>
      <c r="E239" s="308"/>
      <c r="F239" s="308"/>
      <c r="G239" s="308"/>
      <c r="H239" s="308"/>
      <c r="I239" s="308"/>
      <c r="J239" s="308"/>
      <c r="K239" s="308"/>
      <c r="L239" s="308"/>
      <c r="M239" s="308"/>
      <c r="N239" s="308">
        <v>0</v>
      </c>
      <c r="O239" s="308"/>
      <c r="P239" s="308"/>
      <c r="Q239" s="308"/>
      <c r="R239" s="308"/>
      <c r="S239" s="308"/>
      <c r="T239" s="308"/>
      <c r="U239" s="308"/>
      <c r="V239" s="308"/>
      <c r="W239" s="308"/>
      <c r="X239" s="308"/>
      <c r="Y239" s="789"/>
      <c r="Z239" s="777"/>
      <c r="AA239" s="777"/>
      <c r="AB239" s="777"/>
      <c r="AC239" s="777"/>
      <c r="AD239" s="777"/>
      <c r="AE239" s="777"/>
      <c r="AF239" s="427"/>
      <c r="AG239" s="427"/>
      <c r="AH239" s="427"/>
      <c r="AI239" s="427"/>
      <c r="AJ239" s="427"/>
      <c r="AK239" s="427"/>
      <c r="AL239" s="427"/>
      <c r="AM239" s="309">
        <f>SUM(Y239:AL239)</f>
        <v>0</v>
      </c>
    </row>
    <row r="240" spans="1:39" ht="15" outlineLevel="1">
      <c r="B240" s="336" t="s">
        <v>244</v>
      </c>
      <c r="C240" s="304" t="s">
        <v>163</v>
      </c>
      <c r="D240" s="308"/>
      <c r="E240" s="308"/>
      <c r="F240" s="308"/>
      <c r="G240" s="308"/>
      <c r="H240" s="308"/>
      <c r="I240" s="308"/>
      <c r="J240" s="308"/>
      <c r="K240" s="308"/>
      <c r="L240" s="308"/>
      <c r="M240" s="308"/>
      <c r="N240" s="308">
        <f>N239</f>
        <v>0</v>
      </c>
      <c r="O240" s="308"/>
      <c r="P240" s="308"/>
      <c r="Q240" s="308"/>
      <c r="R240" s="308"/>
      <c r="S240" s="308"/>
      <c r="T240" s="308"/>
      <c r="U240" s="308"/>
      <c r="V240" s="308"/>
      <c r="W240" s="308"/>
      <c r="X240" s="308"/>
      <c r="Y240" s="773">
        <f>Y239</f>
        <v>0</v>
      </c>
      <c r="Z240" s="773">
        <f t="shared" ref="Z240:AE240" si="126">Z239</f>
        <v>0</v>
      </c>
      <c r="AA240" s="773">
        <f t="shared" si="126"/>
        <v>0</v>
      </c>
      <c r="AB240" s="773">
        <f t="shared" si="126"/>
        <v>0</v>
      </c>
      <c r="AC240" s="773">
        <f t="shared" si="126"/>
        <v>0</v>
      </c>
      <c r="AD240" s="773">
        <f t="shared" si="126"/>
        <v>0</v>
      </c>
      <c r="AE240" s="773">
        <f t="shared" si="126"/>
        <v>0</v>
      </c>
      <c r="AF240" s="423">
        <f t="shared" ref="AF240:AL240" si="127">AF239</f>
        <v>0</v>
      </c>
      <c r="AG240" s="423">
        <f t="shared" si="127"/>
        <v>0</v>
      </c>
      <c r="AH240" s="423">
        <f t="shared" si="127"/>
        <v>0</v>
      </c>
      <c r="AI240" s="423">
        <f t="shared" si="127"/>
        <v>0</v>
      </c>
      <c r="AJ240" s="423">
        <f t="shared" si="127"/>
        <v>0</v>
      </c>
      <c r="AK240" s="423">
        <f t="shared" si="127"/>
        <v>0</v>
      </c>
      <c r="AL240" s="423">
        <f t="shared" si="127"/>
        <v>0</v>
      </c>
      <c r="AM240" s="512"/>
    </row>
    <row r="241" spans="1:39" ht="15" outlineLevel="1">
      <c r="B241" s="336"/>
      <c r="C241" s="304"/>
      <c r="D241" s="763"/>
      <c r="E241" s="763"/>
      <c r="F241" s="763"/>
      <c r="G241" s="763"/>
      <c r="H241" s="763"/>
      <c r="I241" s="763"/>
      <c r="J241" s="763"/>
      <c r="K241" s="763"/>
      <c r="L241" s="763"/>
      <c r="M241" s="763"/>
      <c r="N241" s="763"/>
      <c r="O241" s="763"/>
      <c r="P241" s="763"/>
      <c r="Q241" s="763"/>
      <c r="R241" s="763"/>
      <c r="S241" s="763"/>
      <c r="T241" s="763"/>
      <c r="U241" s="763"/>
      <c r="V241" s="763"/>
      <c r="W241" s="763"/>
      <c r="X241" s="763"/>
      <c r="Y241" s="785"/>
      <c r="Z241" s="785"/>
      <c r="AA241" s="785"/>
      <c r="AB241" s="785"/>
      <c r="AC241" s="785"/>
      <c r="AD241" s="785"/>
      <c r="AE241" s="785"/>
      <c r="AF241" s="433"/>
      <c r="AG241" s="433"/>
      <c r="AH241" s="433"/>
      <c r="AI241" s="433"/>
      <c r="AJ241" s="433"/>
      <c r="AK241" s="433"/>
      <c r="AL241" s="433"/>
      <c r="AM241" s="326"/>
    </row>
    <row r="242" spans="1:39" s="296" customFormat="1" ht="15" outlineLevel="1">
      <c r="A242" s="516">
        <v>30</v>
      </c>
      <c r="B242" s="336" t="s">
        <v>488</v>
      </c>
      <c r="C242" s="304" t="s">
        <v>25</v>
      </c>
      <c r="D242" s="308"/>
      <c r="E242" s="308"/>
      <c r="F242" s="308"/>
      <c r="G242" s="308"/>
      <c r="H242" s="308"/>
      <c r="I242" s="308"/>
      <c r="J242" s="308"/>
      <c r="K242" s="308"/>
      <c r="L242" s="308"/>
      <c r="M242" s="308"/>
      <c r="N242" s="308">
        <v>0</v>
      </c>
      <c r="O242" s="308"/>
      <c r="P242" s="308"/>
      <c r="Q242" s="308"/>
      <c r="R242" s="308"/>
      <c r="S242" s="308"/>
      <c r="T242" s="308"/>
      <c r="U242" s="308"/>
      <c r="V242" s="308"/>
      <c r="W242" s="308"/>
      <c r="X242" s="308"/>
      <c r="Y242" s="772"/>
      <c r="Z242" s="772"/>
      <c r="AA242" s="772"/>
      <c r="AB242" s="772"/>
      <c r="AC242" s="772"/>
      <c r="AD242" s="772"/>
      <c r="AE242" s="772"/>
      <c r="AF242" s="422"/>
      <c r="AG242" s="422"/>
      <c r="AH242" s="422"/>
      <c r="AI242" s="422"/>
      <c r="AJ242" s="422"/>
      <c r="AK242" s="422"/>
      <c r="AL242" s="422"/>
      <c r="AM242" s="309">
        <f>SUM(Y242:AL242)</f>
        <v>0</v>
      </c>
    </row>
    <row r="243" spans="1:39" s="296" customFormat="1" ht="15" outlineLevel="1">
      <c r="A243" s="516"/>
      <c r="B243" s="336" t="s">
        <v>244</v>
      </c>
      <c r="C243" s="304" t="s">
        <v>163</v>
      </c>
      <c r="D243" s="308"/>
      <c r="E243" s="308"/>
      <c r="F243" s="308"/>
      <c r="G243" s="308"/>
      <c r="H243" s="308"/>
      <c r="I243" s="308"/>
      <c r="J243" s="308"/>
      <c r="K243" s="308"/>
      <c r="L243" s="308"/>
      <c r="M243" s="308"/>
      <c r="N243" s="308">
        <f>N242</f>
        <v>0</v>
      </c>
      <c r="O243" s="308"/>
      <c r="P243" s="308"/>
      <c r="Q243" s="308"/>
      <c r="R243" s="308"/>
      <c r="S243" s="308"/>
      <c r="T243" s="308"/>
      <c r="U243" s="308"/>
      <c r="V243" s="308"/>
      <c r="W243" s="308"/>
      <c r="X243" s="308"/>
      <c r="Y243" s="773">
        <f>Y242</f>
        <v>0</v>
      </c>
      <c r="Z243" s="773">
        <f t="shared" ref="Z243:AE243" si="128">Z242</f>
        <v>0</v>
      </c>
      <c r="AA243" s="773">
        <f t="shared" si="128"/>
        <v>0</v>
      </c>
      <c r="AB243" s="773">
        <f t="shared" si="128"/>
        <v>0</v>
      </c>
      <c r="AC243" s="773">
        <f t="shared" si="128"/>
        <v>0</v>
      </c>
      <c r="AD243" s="773">
        <f t="shared" si="128"/>
        <v>0</v>
      </c>
      <c r="AE243" s="773">
        <f t="shared" si="128"/>
        <v>0</v>
      </c>
      <c r="AF243" s="423">
        <f t="shared" ref="AF243:AL243" si="129">AF242</f>
        <v>0</v>
      </c>
      <c r="AG243" s="423">
        <f t="shared" si="129"/>
        <v>0</v>
      </c>
      <c r="AH243" s="423">
        <f t="shared" si="129"/>
        <v>0</v>
      </c>
      <c r="AI243" s="423">
        <f t="shared" si="129"/>
        <v>0</v>
      </c>
      <c r="AJ243" s="423">
        <f t="shared" si="129"/>
        <v>0</v>
      </c>
      <c r="AK243" s="423">
        <f t="shared" si="129"/>
        <v>0</v>
      </c>
      <c r="AL243" s="423">
        <f t="shared" si="129"/>
        <v>0</v>
      </c>
      <c r="AM243" s="512"/>
    </row>
    <row r="244" spans="1:39" s="296" customFormat="1" ht="15" outlineLevel="1">
      <c r="A244" s="516"/>
      <c r="B244" s="336"/>
      <c r="C244" s="304"/>
      <c r="D244" s="763"/>
      <c r="E244" s="763"/>
      <c r="F244" s="763"/>
      <c r="G244" s="763"/>
      <c r="H244" s="763"/>
      <c r="I244" s="763"/>
      <c r="J244" s="763"/>
      <c r="K244" s="763"/>
      <c r="L244" s="763"/>
      <c r="M244" s="763"/>
      <c r="N244" s="763"/>
      <c r="O244" s="763"/>
      <c r="P244" s="763"/>
      <c r="Q244" s="763"/>
      <c r="R244" s="763"/>
      <c r="S244" s="763"/>
      <c r="T244" s="763"/>
      <c r="U244" s="763"/>
      <c r="V244" s="763"/>
      <c r="W244" s="763"/>
      <c r="X244" s="763"/>
      <c r="Y244" s="774"/>
      <c r="Z244" s="774"/>
      <c r="AA244" s="774"/>
      <c r="AB244" s="774"/>
      <c r="AC244" s="774"/>
      <c r="AD244" s="774"/>
      <c r="AE244" s="774"/>
      <c r="AF244" s="424"/>
      <c r="AG244" s="424"/>
      <c r="AH244" s="424"/>
      <c r="AI244" s="424"/>
      <c r="AJ244" s="424"/>
      <c r="AK244" s="424"/>
      <c r="AL244" s="424"/>
      <c r="AM244" s="326"/>
    </row>
    <row r="245" spans="1:39" s="296" customFormat="1" ht="15.6" outlineLevel="1">
      <c r="A245" s="516"/>
      <c r="B245" s="301" t="s">
        <v>489</v>
      </c>
      <c r="C245" s="304"/>
      <c r="D245" s="763"/>
      <c r="E245" s="763"/>
      <c r="F245" s="763"/>
      <c r="G245" s="763"/>
      <c r="H245" s="763"/>
      <c r="I245" s="763"/>
      <c r="J245" s="763"/>
      <c r="K245" s="763"/>
      <c r="L245" s="763"/>
      <c r="M245" s="763"/>
      <c r="N245" s="763"/>
      <c r="O245" s="763"/>
      <c r="P245" s="763"/>
      <c r="Q245" s="763"/>
      <c r="R245" s="763"/>
      <c r="S245" s="763"/>
      <c r="T245" s="763"/>
      <c r="U245" s="763"/>
      <c r="V245" s="763"/>
      <c r="W245" s="763"/>
      <c r="X245" s="763"/>
      <c r="Y245" s="774"/>
      <c r="Z245" s="774"/>
      <c r="AA245" s="774"/>
      <c r="AB245" s="774"/>
      <c r="AC245" s="774"/>
      <c r="AD245" s="774"/>
      <c r="AE245" s="774"/>
      <c r="AF245" s="424"/>
      <c r="AG245" s="424"/>
      <c r="AH245" s="424"/>
      <c r="AI245" s="424"/>
      <c r="AJ245" s="424"/>
      <c r="AK245" s="424"/>
      <c r="AL245" s="424"/>
      <c r="AM245" s="326"/>
    </row>
    <row r="246" spans="1:39" s="296" customFormat="1" ht="15" outlineLevel="1">
      <c r="A246" s="516">
        <v>31</v>
      </c>
      <c r="B246" s="336" t="s">
        <v>490</v>
      </c>
      <c r="C246" s="304" t="s">
        <v>25</v>
      </c>
      <c r="D246" s="308"/>
      <c r="E246" s="308"/>
      <c r="F246" s="308"/>
      <c r="G246" s="308"/>
      <c r="H246" s="308"/>
      <c r="I246" s="308"/>
      <c r="J246" s="308"/>
      <c r="K246" s="308"/>
      <c r="L246" s="308"/>
      <c r="M246" s="308"/>
      <c r="N246" s="308">
        <v>0</v>
      </c>
      <c r="O246" s="308"/>
      <c r="P246" s="308"/>
      <c r="Q246" s="308"/>
      <c r="R246" s="308"/>
      <c r="S246" s="308"/>
      <c r="T246" s="308"/>
      <c r="U246" s="308"/>
      <c r="V246" s="308"/>
      <c r="W246" s="308"/>
      <c r="X246" s="308"/>
      <c r="Y246" s="772"/>
      <c r="Z246" s="772"/>
      <c r="AA246" s="772"/>
      <c r="AB246" s="772"/>
      <c r="AC246" s="772"/>
      <c r="AD246" s="772"/>
      <c r="AE246" s="772"/>
      <c r="AF246" s="422"/>
      <c r="AG246" s="422"/>
      <c r="AH246" s="422"/>
      <c r="AI246" s="422"/>
      <c r="AJ246" s="422"/>
      <c r="AK246" s="422"/>
      <c r="AL246" s="422"/>
      <c r="AM246" s="309">
        <f>SUM(Y246:AL246)</f>
        <v>0</v>
      </c>
    </row>
    <row r="247" spans="1:39" s="296" customFormat="1" ht="15" outlineLevel="1">
      <c r="A247" s="516"/>
      <c r="B247" s="336" t="s">
        <v>244</v>
      </c>
      <c r="C247" s="304" t="s">
        <v>163</v>
      </c>
      <c r="D247" s="308"/>
      <c r="E247" s="308"/>
      <c r="F247" s="308"/>
      <c r="G247" s="308"/>
      <c r="H247" s="308"/>
      <c r="I247" s="308"/>
      <c r="J247" s="308"/>
      <c r="K247" s="308"/>
      <c r="L247" s="308"/>
      <c r="M247" s="308"/>
      <c r="N247" s="308">
        <f>N246</f>
        <v>0</v>
      </c>
      <c r="O247" s="308"/>
      <c r="P247" s="308"/>
      <c r="Q247" s="308"/>
      <c r="R247" s="308"/>
      <c r="S247" s="308"/>
      <c r="T247" s="308"/>
      <c r="U247" s="308"/>
      <c r="V247" s="308"/>
      <c r="W247" s="308"/>
      <c r="X247" s="308"/>
      <c r="Y247" s="773">
        <f>Y246</f>
        <v>0</v>
      </c>
      <c r="Z247" s="773">
        <f t="shared" ref="Z247:AE247" si="130">Z246</f>
        <v>0</v>
      </c>
      <c r="AA247" s="773">
        <f t="shared" si="130"/>
        <v>0</v>
      </c>
      <c r="AB247" s="773">
        <f t="shared" si="130"/>
        <v>0</v>
      </c>
      <c r="AC247" s="773">
        <f t="shared" si="130"/>
        <v>0</v>
      </c>
      <c r="AD247" s="773">
        <f t="shared" si="130"/>
        <v>0</v>
      </c>
      <c r="AE247" s="773">
        <f t="shared" si="130"/>
        <v>0</v>
      </c>
      <c r="AF247" s="423">
        <f t="shared" ref="AF247:AL247" si="131">AF246</f>
        <v>0</v>
      </c>
      <c r="AG247" s="423">
        <f t="shared" si="131"/>
        <v>0</v>
      </c>
      <c r="AH247" s="423">
        <f t="shared" si="131"/>
        <v>0</v>
      </c>
      <c r="AI247" s="423">
        <f t="shared" si="131"/>
        <v>0</v>
      </c>
      <c r="AJ247" s="423">
        <f t="shared" si="131"/>
        <v>0</v>
      </c>
      <c r="AK247" s="423">
        <f t="shared" si="131"/>
        <v>0</v>
      </c>
      <c r="AL247" s="423">
        <f t="shared" si="131"/>
        <v>0</v>
      </c>
      <c r="AM247" s="512"/>
    </row>
    <row r="248" spans="1:39" s="296" customFormat="1" ht="15" outlineLevel="1">
      <c r="A248" s="516"/>
      <c r="B248" s="336"/>
      <c r="C248" s="304"/>
      <c r="D248" s="763"/>
      <c r="E248" s="763"/>
      <c r="F248" s="763"/>
      <c r="G248" s="763"/>
      <c r="H248" s="763"/>
      <c r="I248" s="763"/>
      <c r="J248" s="763"/>
      <c r="K248" s="763"/>
      <c r="L248" s="763"/>
      <c r="M248" s="763"/>
      <c r="N248" s="763"/>
      <c r="O248" s="763"/>
      <c r="P248" s="763"/>
      <c r="Q248" s="763"/>
      <c r="R248" s="763"/>
      <c r="S248" s="763"/>
      <c r="T248" s="763"/>
      <c r="U248" s="763"/>
      <c r="V248" s="763"/>
      <c r="W248" s="763"/>
      <c r="X248" s="763"/>
      <c r="Y248" s="774"/>
      <c r="Z248" s="774"/>
      <c r="AA248" s="774"/>
      <c r="AB248" s="774"/>
      <c r="AC248" s="774"/>
      <c r="AD248" s="774"/>
      <c r="AE248" s="774"/>
      <c r="AF248" s="424"/>
      <c r="AG248" s="424"/>
      <c r="AH248" s="424"/>
      <c r="AI248" s="424"/>
      <c r="AJ248" s="424"/>
      <c r="AK248" s="424"/>
      <c r="AL248" s="424"/>
      <c r="AM248" s="326"/>
    </row>
    <row r="249" spans="1:39" s="296" customFormat="1" ht="15" outlineLevel="1">
      <c r="A249" s="516">
        <v>32</v>
      </c>
      <c r="B249" s="336" t="s">
        <v>491</v>
      </c>
      <c r="C249" s="304" t="s">
        <v>25</v>
      </c>
      <c r="D249" s="308"/>
      <c r="E249" s="308"/>
      <c r="F249" s="308"/>
      <c r="G249" s="308"/>
      <c r="H249" s="308"/>
      <c r="I249" s="308"/>
      <c r="J249" s="308"/>
      <c r="K249" s="308"/>
      <c r="L249" s="308"/>
      <c r="M249" s="308"/>
      <c r="N249" s="308">
        <v>0</v>
      </c>
      <c r="O249" s="308"/>
      <c r="P249" s="308"/>
      <c r="Q249" s="308"/>
      <c r="R249" s="308"/>
      <c r="S249" s="308"/>
      <c r="T249" s="308"/>
      <c r="U249" s="308"/>
      <c r="V249" s="308"/>
      <c r="W249" s="308"/>
      <c r="X249" s="308"/>
      <c r="Y249" s="772"/>
      <c r="Z249" s="772"/>
      <c r="AA249" s="772"/>
      <c r="AB249" s="772"/>
      <c r="AC249" s="772"/>
      <c r="AD249" s="772"/>
      <c r="AE249" s="772"/>
      <c r="AF249" s="422"/>
      <c r="AG249" s="422"/>
      <c r="AH249" s="422"/>
      <c r="AI249" s="422"/>
      <c r="AJ249" s="422"/>
      <c r="AK249" s="422"/>
      <c r="AL249" s="422"/>
      <c r="AM249" s="309">
        <f>SUM(Y249:AL249)</f>
        <v>0</v>
      </c>
    </row>
    <row r="250" spans="1:39" s="296" customFormat="1" ht="15" outlineLevel="1">
      <c r="A250" s="516"/>
      <c r="B250" s="336" t="s">
        <v>244</v>
      </c>
      <c r="C250" s="304" t="s">
        <v>163</v>
      </c>
      <c r="D250" s="308"/>
      <c r="E250" s="308"/>
      <c r="F250" s="308"/>
      <c r="G250" s="308"/>
      <c r="H250" s="308"/>
      <c r="I250" s="308"/>
      <c r="J250" s="308"/>
      <c r="K250" s="308"/>
      <c r="L250" s="308"/>
      <c r="M250" s="308"/>
      <c r="N250" s="308">
        <f>N249</f>
        <v>0</v>
      </c>
      <c r="O250" s="308"/>
      <c r="P250" s="308"/>
      <c r="Q250" s="308"/>
      <c r="R250" s="308"/>
      <c r="S250" s="308"/>
      <c r="T250" s="308"/>
      <c r="U250" s="308"/>
      <c r="V250" s="308"/>
      <c r="W250" s="308"/>
      <c r="X250" s="308"/>
      <c r="Y250" s="773">
        <f>Y249</f>
        <v>0</v>
      </c>
      <c r="Z250" s="773">
        <f t="shared" ref="Z250:AE250" si="132">Z249</f>
        <v>0</v>
      </c>
      <c r="AA250" s="773">
        <f t="shared" si="132"/>
        <v>0</v>
      </c>
      <c r="AB250" s="773">
        <f t="shared" si="132"/>
        <v>0</v>
      </c>
      <c r="AC250" s="773">
        <f t="shared" si="132"/>
        <v>0</v>
      </c>
      <c r="AD250" s="773">
        <f t="shared" si="132"/>
        <v>0</v>
      </c>
      <c r="AE250" s="773">
        <f t="shared" si="132"/>
        <v>0</v>
      </c>
      <c r="AF250" s="423">
        <f t="shared" ref="AF250:AL250" si="133">AF249</f>
        <v>0</v>
      </c>
      <c r="AG250" s="423">
        <f t="shared" si="133"/>
        <v>0</v>
      </c>
      <c r="AH250" s="423">
        <f t="shared" si="133"/>
        <v>0</v>
      </c>
      <c r="AI250" s="423">
        <f t="shared" si="133"/>
        <v>0</v>
      </c>
      <c r="AJ250" s="423">
        <f t="shared" si="133"/>
        <v>0</v>
      </c>
      <c r="AK250" s="423">
        <f t="shared" si="133"/>
        <v>0</v>
      </c>
      <c r="AL250" s="423">
        <f t="shared" si="133"/>
        <v>0</v>
      </c>
      <c r="AM250" s="512"/>
    </row>
    <row r="251" spans="1:39" s="296" customFormat="1" ht="15" outlineLevel="1">
      <c r="A251" s="516"/>
      <c r="B251" s="336"/>
      <c r="C251" s="304"/>
      <c r="D251" s="763"/>
      <c r="E251" s="763"/>
      <c r="F251" s="763"/>
      <c r="G251" s="763"/>
      <c r="H251" s="763"/>
      <c r="I251" s="763"/>
      <c r="J251" s="763"/>
      <c r="K251" s="763"/>
      <c r="L251" s="763"/>
      <c r="M251" s="763"/>
      <c r="N251" s="763"/>
      <c r="O251" s="763"/>
      <c r="P251" s="763"/>
      <c r="Q251" s="763"/>
      <c r="R251" s="763"/>
      <c r="S251" s="763"/>
      <c r="T251" s="763"/>
      <c r="U251" s="763"/>
      <c r="V251" s="763"/>
      <c r="W251" s="763"/>
      <c r="X251" s="763"/>
      <c r="Y251" s="774"/>
      <c r="Z251" s="774"/>
      <c r="AA251" s="774"/>
      <c r="AB251" s="774"/>
      <c r="AC251" s="774"/>
      <c r="AD251" s="774"/>
      <c r="AE251" s="774"/>
      <c r="AF251" s="424"/>
      <c r="AG251" s="424"/>
      <c r="AH251" s="424"/>
      <c r="AI251" s="424"/>
      <c r="AJ251" s="424"/>
      <c r="AK251" s="424"/>
      <c r="AL251" s="424"/>
      <c r="AM251" s="326"/>
    </row>
    <row r="252" spans="1:39" s="296" customFormat="1" ht="15" outlineLevel="1">
      <c r="A252" s="516">
        <v>33</v>
      </c>
      <c r="B252" s="336" t="s">
        <v>492</v>
      </c>
      <c r="C252" s="304" t="s">
        <v>25</v>
      </c>
      <c r="D252" s="308"/>
      <c r="E252" s="308"/>
      <c r="F252" s="308"/>
      <c r="G252" s="308"/>
      <c r="H252" s="308"/>
      <c r="I252" s="308"/>
      <c r="J252" s="308"/>
      <c r="K252" s="308"/>
      <c r="L252" s="308"/>
      <c r="M252" s="308"/>
      <c r="N252" s="308">
        <v>12</v>
      </c>
      <c r="O252" s="308"/>
      <c r="P252" s="308"/>
      <c r="Q252" s="308"/>
      <c r="R252" s="308"/>
      <c r="S252" s="308"/>
      <c r="T252" s="308"/>
      <c r="U252" s="308"/>
      <c r="V252" s="308"/>
      <c r="W252" s="308"/>
      <c r="X252" s="308"/>
      <c r="Y252" s="772"/>
      <c r="Z252" s="772"/>
      <c r="AA252" s="772"/>
      <c r="AB252" s="772"/>
      <c r="AC252" s="772"/>
      <c r="AD252" s="772"/>
      <c r="AE252" s="772"/>
      <c r="AF252" s="422"/>
      <c r="AG252" s="422"/>
      <c r="AH252" s="422"/>
      <c r="AI252" s="422"/>
      <c r="AJ252" s="422"/>
      <c r="AK252" s="422"/>
      <c r="AL252" s="422"/>
      <c r="AM252" s="309">
        <f>SUM(Y252:AL252)</f>
        <v>0</v>
      </c>
    </row>
    <row r="253" spans="1:39" s="296" customFormat="1" ht="15" outlineLevel="1">
      <c r="A253" s="516"/>
      <c r="B253" s="336" t="s">
        <v>244</v>
      </c>
      <c r="C253" s="304" t="s">
        <v>163</v>
      </c>
      <c r="D253" s="308"/>
      <c r="E253" s="308"/>
      <c r="F253" s="308"/>
      <c r="G253" s="308"/>
      <c r="H253" s="308"/>
      <c r="I253" s="308"/>
      <c r="J253" s="308"/>
      <c r="K253" s="308"/>
      <c r="L253" s="308"/>
      <c r="M253" s="308"/>
      <c r="N253" s="308">
        <f>N252</f>
        <v>12</v>
      </c>
      <c r="O253" s="308"/>
      <c r="P253" s="308"/>
      <c r="Q253" s="308"/>
      <c r="R253" s="308"/>
      <c r="S253" s="308"/>
      <c r="T253" s="308"/>
      <c r="U253" s="308"/>
      <c r="V253" s="308"/>
      <c r="W253" s="308"/>
      <c r="X253" s="308"/>
      <c r="Y253" s="773">
        <f>Y252</f>
        <v>0</v>
      </c>
      <c r="Z253" s="773">
        <f t="shared" ref="Z253:AE253" si="134">Z252</f>
        <v>0</v>
      </c>
      <c r="AA253" s="773">
        <f t="shared" si="134"/>
        <v>0</v>
      </c>
      <c r="AB253" s="773">
        <f t="shared" si="134"/>
        <v>0</v>
      </c>
      <c r="AC253" s="773">
        <f t="shared" si="134"/>
        <v>0</v>
      </c>
      <c r="AD253" s="773">
        <f t="shared" si="134"/>
        <v>0</v>
      </c>
      <c r="AE253" s="773">
        <f t="shared" si="134"/>
        <v>0</v>
      </c>
      <c r="AF253" s="423">
        <f t="shared" ref="AF253:AL253" si="135">AF252</f>
        <v>0</v>
      </c>
      <c r="AG253" s="423">
        <f t="shared" si="135"/>
        <v>0</v>
      </c>
      <c r="AH253" s="423">
        <f t="shared" si="135"/>
        <v>0</v>
      </c>
      <c r="AI253" s="423">
        <f t="shared" si="135"/>
        <v>0</v>
      </c>
      <c r="AJ253" s="423">
        <f t="shared" si="135"/>
        <v>0</v>
      </c>
      <c r="AK253" s="423">
        <f t="shared" si="135"/>
        <v>0</v>
      </c>
      <c r="AL253" s="423">
        <f t="shared" si="135"/>
        <v>0</v>
      </c>
      <c r="AM253" s="512"/>
    </row>
    <row r="254" spans="1:39" ht="15" outlineLevel="1">
      <c r="B254" s="328"/>
      <c r="C254" s="337"/>
      <c r="D254" s="338"/>
      <c r="E254" s="338"/>
      <c r="F254" s="338"/>
      <c r="G254" s="338"/>
      <c r="H254" s="338"/>
      <c r="I254" s="338"/>
      <c r="J254" s="338"/>
      <c r="K254" s="338"/>
      <c r="L254" s="338"/>
      <c r="M254" s="338"/>
      <c r="N254" s="338"/>
      <c r="O254" s="338"/>
      <c r="P254" s="338"/>
      <c r="Q254" s="338"/>
      <c r="R254" s="338"/>
      <c r="S254" s="338"/>
      <c r="T254" s="338"/>
      <c r="U254" s="338"/>
      <c r="V254" s="338"/>
      <c r="W254" s="338"/>
      <c r="X254" s="338"/>
      <c r="Y254" s="314"/>
      <c r="Z254" s="314"/>
      <c r="AA254" s="314"/>
      <c r="AB254" s="314"/>
      <c r="AC254" s="314"/>
      <c r="AD254" s="314"/>
      <c r="AE254" s="314"/>
      <c r="AF254" s="314"/>
      <c r="AG254" s="314"/>
      <c r="AH254" s="314"/>
      <c r="AI254" s="314"/>
      <c r="AJ254" s="314"/>
      <c r="AK254" s="314"/>
      <c r="AL254" s="314"/>
      <c r="AM254" s="319"/>
    </row>
    <row r="255" spans="1:39" ht="15.6">
      <c r="B255" s="339" t="s">
        <v>245</v>
      </c>
      <c r="C255" s="341"/>
      <c r="D255" s="341">
        <f>SUM(D150:D253)</f>
        <v>2233807.0957318274</v>
      </c>
      <c r="E255" s="341"/>
      <c r="F255" s="341"/>
      <c r="G255" s="341"/>
      <c r="H255" s="341"/>
      <c r="I255" s="341"/>
      <c r="J255" s="341"/>
      <c r="K255" s="341"/>
      <c r="L255" s="341"/>
      <c r="M255" s="341"/>
      <c r="N255" s="341"/>
      <c r="O255" s="341">
        <f>SUM(O150:O253)</f>
        <v>397.01714442750136</v>
      </c>
      <c r="P255" s="341"/>
      <c r="Q255" s="341"/>
      <c r="R255" s="341"/>
      <c r="S255" s="341"/>
      <c r="T255" s="341"/>
      <c r="U255" s="341"/>
      <c r="V255" s="341"/>
      <c r="W255" s="341"/>
      <c r="X255" s="341"/>
      <c r="Y255" s="341">
        <f>IF(Y149="kWh",SUMPRODUCT(D150:D253,Y150:Y253))</f>
        <v>361688.09608090564</v>
      </c>
      <c r="Z255" s="341">
        <f>IF(Z149="kWh",SUMPRODUCT(D150:D253,Z150:Z253))</f>
        <v>262473.37382496591</v>
      </c>
      <c r="AA255" s="341">
        <f>IF(AA149="kW",SUMPRODUCT(N150:N253,O150:O253,AA150:AA253),SUMPRODUCT(D150:D253,AA150:AA253))</f>
        <v>1119.5469090494171</v>
      </c>
      <c r="AB255" s="341">
        <f>IF(AB149="kW",SUMPRODUCT(N150:N253,O150:O253,AB150:AB253),SUMPRODUCT(D150:D253,AB150:AB253))</f>
        <v>1786.2888999735701</v>
      </c>
      <c r="AC255" s="341">
        <f>IF(AC149="kW",SUMPRODUCT(N150:N253,O150:O253,AC150:AC253),SUMPRODUCT(D150:D253,AC150:AC253))</f>
        <v>0</v>
      </c>
      <c r="AD255" s="341">
        <f>IF(AD149="kW",SUMPRODUCT(N150:N253,O150:O253,AD150:AD253),SUMPRODUCT(D150:D253,AD150:AD253))</f>
        <v>0</v>
      </c>
      <c r="AE255" s="341">
        <f>IF(AE149="kW",SUMPRODUCT(N150:N253,O150:O253,AE150:AE253),SUMPRODUCT(D150:D253,AE150:AE253))</f>
        <v>0</v>
      </c>
      <c r="AF255" s="341">
        <f>IF(AF149="kW",SUMPRODUCT(N150:N253,O150:O253,AF150:AF253),SUMPRODUCT(D150:D253,AF150:AF253))</f>
        <v>0</v>
      </c>
      <c r="AG255" s="341">
        <f>IF(AG149="kW",SUMPRODUCT(N150:N253,O150:O253,AG150:AG253),SUMPRODUCT(D150:D253,AG150:AG253))</f>
        <v>0</v>
      </c>
      <c r="AH255" s="341">
        <f>IF(AH149="kW",SUMPRODUCT(N150:N253,O150:O253,AH150:AH253),SUMPRODUCT(D150:D253,AH150:AH253))</f>
        <v>0</v>
      </c>
      <c r="AI255" s="341">
        <f>IF(AI149="kW",SUMPRODUCT(N150:N253,O150:O253,AI150:AI253),SUMPRODUCT(D150:D253,AI150:AI253))</f>
        <v>0</v>
      </c>
      <c r="AJ255" s="341">
        <f>IF(AJ149="kW",SUMPRODUCT(N150:N253,O150:O253,AJ150:AJ253),SUMPRODUCT(D150:D253,AJ150:AJ253))</f>
        <v>0</v>
      </c>
      <c r="AK255" s="341">
        <f>IF(AK149="kW",SUMPRODUCT(N150:N253,O150:O253,AK150:AK253),SUMPRODUCT(D150:D253,AK150:AK253))</f>
        <v>0</v>
      </c>
      <c r="AL255" s="341">
        <f>IF(AL149="kW",SUMPRODUCT(N150:N253,O150:O253,AL150:AL253),SUMPRODUCT(D150:D253,AL150:AL253))</f>
        <v>0</v>
      </c>
      <c r="AM255" s="342"/>
    </row>
    <row r="256" spans="1:39" ht="15.6">
      <c r="B256" s="343" t="s">
        <v>246</v>
      </c>
      <c r="C256" s="340"/>
      <c r="D256" s="340"/>
      <c r="E256" s="340"/>
      <c r="F256" s="340"/>
      <c r="G256" s="340"/>
      <c r="H256" s="340"/>
      <c r="I256" s="340"/>
      <c r="J256" s="340"/>
      <c r="K256" s="340"/>
      <c r="L256" s="340"/>
      <c r="M256" s="340"/>
      <c r="N256" s="340"/>
      <c r="O256" s="340"/>
      <c r="P256" s="340"/>
      <c r="Q256" s="340"/>
      <c r="R256" s="340"/>
      <c r="S256" s="340"/>
      <c r="T256" s="340"/>
      <c r="U256" s="340"/>
      <c r="V256" s="340"/>
      <c r="W256" s="340"/>
      <c r="X256" s="340"/>
      <c r="Y256" s="340">
        <f>HLOOKUP(Y148,'2. LRAMVA Threshold'!$B$42:$Q$53,4,FALSE)</f>
        <v>0</v>
      </c>
      <c r="Z256" s="340">
        <f>HLOOKUP(Z148,'2. LRAMVA Threshold'!$B$42:$Q$53,4,FALSE)</f>
        <v>0</v>
      </c>
      <c r="AA256" s="340">
        <f>HLOOKUP(AA148,'2. LRAMVA Threshold'!$B$42:$Q$53,4,FALSE)</f>
        <v>0</v>
      </c>
      <c r="AB256" s="340">
        <f>HLOOKUP(AB148,'2. LRAMVA Threshold'!$B$42:$Q$53,4,FALSE)</f>
        <v>0</v>
      </c>
      <c r="AC256" s="340">
        <f>HLOOKUP(AC148,'2. LRAMVA Threshold'!$B$42:$Q$53,4,FALSE)</f>
        <v>0</v>
      </c>
      <c r="AD256" s="340">
        <f>HLOOKUP(AD148,'2. LRAMVA Threshold'!$B$42:$Q$53,4,FALSE)</f>
        <v>0</v>
      </c>
      <c r="AE256" s="340">
        <f>HLOOKUP(AE148,'2. LRAMVA Threshold'!$B$42:$Q$53,4,FALSE)</f>
        <v>0</v>
      </c>
      <c r="AF256" s="340">
        <f>HLOOKUP(AF148,'2. LRAMVA Threshold'!$B$42:$Q$53,4,FALSE)</f>
        <v>0</v>
      </c>
      <c r="AG256" s="340">
        <f>HLOOKUP(AG148,'2. LRAMVA Threshold'!$B$42:$Q$53,4,FALSE)</f>
        <v>0</v>
      </c>
      <c r="AH256" s="340">
        <f>HLOOKUP(AH148,'2. LRAMVA Threshold'!$B$42:$Q$53,4,FALSE)</f>
        <v>0</v>
      </c>
      <c r="AI256" s="340">
        <f>HLOOKUP(AI148,'2. LRAMVA Threshold'!$B$42:$Q$53,4,FALSE)</f>
        <v>0</v>
      </c>
      <c r="AJ256" s="340">
        <f>HLOOKUP(AJ148,'2. LRAMVA Threshold'!$B$42:$Q$53,4,FALSE)</f>
        <v>0</v>
      </c>
      <c r="AK256" s="340">
        <f>HLOOKUP(AK148,'2. LRAMVA Threshold'!$B$42:$Q$53,4,FALSE)</f>
        <v>0</v>
      </c>
      <c r="AL256" s="340">
        <f>HLOOKUP(AL148,'2. LRAMVA Threshold'!$B$42:$Q$53,4,FALSE)</f>
        <v>0</v>
      </c>
      <c r="AM256" s="344"/>
    </row>
    <row r="257" spans="1:41" ht="15">
      <c r="B257" s="336"/>
      <c r="C257" s="345"/>
      <c r="D257" s="346"/>
      <c r="E257" s="346"/>
      <c r="F257" s="346"/>
      <c r="G257" s="346"/>
      <c r="H257" s="346"/>
      <c r="I257" s="346"/>
      <c r="J257" s="346"/>
      <c r="K257" s="346"/>
      <c r="L257" s="346"/>
      <c r="M257" s="346"/>
      <c r="N257" s="346"/>
      <c r="O257" s="347"/>
      <c r="P257" s="346"/>
      <c r="Q257" s="346"/>
      <c r="R257" s="346"/>
      <c r="S257" s="348"/>
      <c r="T257" s="348"/>
      <c r="U257" s="348"/>
      <c r="V257" s="348"/>
      <c r="W257" s="346"/>
      <c r="X257" s="346"/>
      <c r="Y257" s="313"/>
      <c r="Z257" s="313"/>
      <c r="AA257" s="313"/>
      <c r="AB257" s="313"/>
      <c r="AC257" s="313"/>
      <c r="AD257" s="313"/>
      <c r="AE257" s="313"/>
      <c r="AF257" s="313"/>
      <c r="AG257" s="313"/>
      <c r="AH257" s="313"/>
      <c r="AI257" s="313"/>
      <c r="AJ257" s="313"/>
      <c r="AK257" s="313"/>
      <c r="AL257" s="313"/>
      <c r="AM257" s="349"/>
    </row>
    <row r="258" spans="1:41" ht="15">
      <c r="B258" s="336" t="s">
        <v>165</v>
      </c>
      <c r="C258" s="350"/>
      <c r="D258" s="350"/>
      <c r="E258" s="388"/>
      <c r="F258" s="388"/>
      <c r="G258" s="388"/>
      <c r="H258" s="388"/>
      <c r="I258" s="388"/>
      <c r="J258" s="388"/>
      <c r="K258" s="388"/>
      <c r="L258" s="388"/>
      <c r="M258" s="388"/>
      <c r="N258" s="388"/>
      <c r="O258" s="304"/>
      <c r="P258" s="352"/>
      <c r="Q258" s="352"/>
      <c r="R258" s="352"/>
      <c r="S258" s="351"/>
      <c r="T258" s="351"/>
      <c r="U258" s="351"/>
      <c r="V258" s="351"/>
      <c r="W258" s="352"/>
      <c r="X258" s="352"/>
      <c r="Y258" s="353">
        <f>HLOOKUP(Y$20,'3.  Distribution Rates'!$C$122:$P$133,4,FALSE)</f>
        <v>0</v>
      </c>
      <c r="Z258" s="353">
        <f>HLOOKUP(Z$20,'3.  Distribution Rates'!$C$122:$P$133,4,FALSE)</f>
        <v>0</v>
      </c>
      <c r="AA258" s="353">
        <f>HLOOKUP(AA$20,'3.  Distribution Rates'!$C$122:$P$133,4,FALSE)</f>
        <v>0</v>
      </c>
      <c r="AB258" s="353">
        <f>HLOOKUP(AB$20,'3.  Distribution Rates'!$C$122:$P$133,4,FALSE)</f>
        <v>0</v>
      </c>
      <c r="AC258" s="353">
        <f>HLOOKUP(AC$20,'3.  Distribution Rates'!$C$122:$P$133,4,FALSE)</f>
        <v>0</v>
      </c>
      <c r="AD258" s="353">
        <f>HLOOKUP(AD$20,'3.  Distribution Rates'!$C$122:$P$133,4,FALSE)</f>
        <v>0</v>
      </c>
      <c r="AE258" s="353">
        <f>HLOOKUP(AE$20,'3.  Distribution Rates'!$C$122:$P$133,4,FALSE)</f>
        <v>0</v>
      </c>
      <c r="AF258" s="353">
        <f>HLOOKUP(AF$20,'3.  Distribution Rates'!$C$122:$P$133,4,FALSE)</f>
        <v>0</v>
      </c>
      <c r="AG258" s="353">
        <f>HLOOKUP(AG$20,'3.  Distribution Rates'!$C$122:$P$133,4,FALSE)</f>
        <v>0</v>
      </c>
      <c r="AH258" s="353">
        <f>HLOOKUP(AH$20,'3.  Distribution Rates'!$C$122:$P$133,4,FALSE)</f>
        <v>0</v>
      </c>
      <c r="AI258" s="353">
        <f>HLOOKUP(AI$20,'3.  Distribution Rates'!$C$122:$P$133,4,FALSE)</f>
        <v>0</v>
      </c>
      <c r="AJ258" s="353">
        <f>HLOOKUP(AJ$20,'3.  Distribution Rates'!$C$122:$P$133,4,FALSE)</f>
        <v>0</v>
      </c>
      <c r="AK258" s="353">
        <f>HLOOKUP(AK$20,'3.  Distribution Rates'!$C$122:$P$133,4,FALSE)</f>
        <v>0</v>
      </c>
      <c r="AL258" s="353">
        <f>HLOOKUP(AL$20,'3.  Distribution Rates'!$C$122:$P$133,4,FALSE)</f>
        <v>0</v>
      </c>
      <c r="AM258" s="389"/>
    </row>
    <row r="259" spans="1:41" ht="15">
      <c r="B259" s="307" t="s">
        <v>154</v>
      </c>
      <c r="C259" s="357"/>
      <c r="D259" s="322"/>
      <c r="E259" s="292"/>
      <c r="F259" s="292"/>
      <c r="G259" s="292"/>
      <c r="H259" s="292"/>
      <c r="I259" s="292"/>
      <c r="J259" s="292"/>
      <c r="K259" s="292"/>
      <c r="L259" s="292"/>
      <c r="M259" s="292"/>
      <c r="N259" s="292"/>
      <c r="O259" s="304"/>
      <c r="P259" s="292"/>
      <c r="Q259" s="292"/>
      <c r="R259" s="292"/>
      <c r="S259" s="322"/>
      <c r="T259" s="322"/>
      <c r="U259" s="322"/>
      <c r="V259" s="322"/>
      <c r="W259" s="292"/>
      <c r="X259" s="292"/>
      <c r="Y259" s="390">
        <f t="shared" ref="Y259:AL259" si="136">Y135*Y258</f>
        <v>0</v>
      </c>
      <c r="Z259" s="390">
        <f t="shared" si="136"/>
        <v>0</v>
      </c>
      <c r="AA259" s="390">
        <f t="shared" si="136"/>
        <v>0</v>
      </c>
      <c r="AB259" s="390">
        <f t="shared" si="136"/>
        <v>0</v>
      </c>
      <c r="AC259" s="390">
        <f t="shared" si="136"/>
        <v>0</v>
      </c>
      <c r="AD259" s="390">
        <f t="shared" si="136"/>
        <v>0</v>
      </c>
      <c r="AE259" s="390">
        <f t="shared" si="136"/>
        <v>0</v>
      </c>
      <c r="AF259" s="390">
        <f t="shared" si="136"/>
        <v>0</v>
      </c>
      <c r="AG259" s="390">
        <f t="shared" si="136"/>
        <v>0</v>
      </c>
      <c r="AH259" s="390">
        <f t="shared" si="136"/>
        <v>0</v>
      </c>
      <c r="AI259" s="390">
        <f t="shared" si="136"/>
        <v>0</v>
      </c>
      <c r="AJ259" s="390">
        <f t="shared" si="136"/>
        <v>0</v>
      </c>
      <c r="AK259" s="390">
        <f t="shared" si="136"/>
        <v>0</v>
      </c>
      <c r="AL259" s="390">
        <f t="shared" si="136"/>
        <v>0</v>
      </c>
      <c r="AM259" s="635">
        <f>SUM(Y259:AL259)</f>
        <v>0</v>
      </c>
    </row>
    <row r="260" spans="1:41" ht="15">
      <c r="B260" s="307" t="s">
        <v>155</v>
      </c>
      <c r="C260" s="357"/>
      <c r="D260" s="322"/>
      <c r="E260" s="292"/>
      <c r="F260" s="292"/>
      <c r="G260" s="292"/>
      <c r="H260" s="292"/>
      <c r="I260" s="292"/>
      <c r="J260" s="292"/>
      <c r="K260" s="292"/>
      <c r="L260" s="292"/>
      <c r="M260" s="292"/>
      <c r="N260" s="292"/>
      <c r="O260" s="304"/>
      <c r="P260" s="292"/>
      <c r="Q260" s="292"/>
      <c r="R260" s="292"/>
      <c r="S260" s="322"/>
      <c r="T260" s="322"/>
      <c r="U260" s="322"/>
      <c r="V260" s="322"/>
      <c r="W260" s="292"/>
      <c r="X260" s="292"/>
      <c r="Y260" s="390">
        <f t="shared" ref="Y260:AE260" si="137">Y255*Y258</f>
        <v>0</v>
      </c>
      <c r="Z260" s="390">
        <f t="shared" si="137"/>
        <v>0</v>
      </c>
      <c r="AA260" s="391">
        <f t="shared" si="137"/>
        <v>0</v>
      </c>
      <c r="AB260" s="391">
        <f t="shared" si="137"/>
        <v>0</v>
      </c>
      <c r="AC260" s="391">
        <f t="shared" si="137"/>
        <v>0</v>
      </c>
      <c r="AD260" s="391">
        <f t="shared" si="137"/>
        <v>0</v>
      </c>
      <c r="AE260" s="391">
        <f t="shared" si="137"/>
        <v>0</v>
      </c>
      <c r="AF260" s="391">
        <f t="shared" ref="AF260:AL260" si="138">AF255*AF258</f>
        <v>0</v>
      </c>
      <c r="AG260" s="391">
        <f t="shared" si="138"/>
        <v>0</v>
      </c>
      <c r="AH260" s="391">
        <f t="shared" si="138"/>
        <v>0</v>
      </c>
      <c r="AI260" s="391">
        <f t="shared" si="138"/>
        <v>0</v>
      </c>
      <c r="AJ260" s="391">
        <f t="shared" si="138"/>
        <v>0</v>
      </c>
      <c r="AK260" s="391">
        <f t="shared" si="138"/>
        <v>0</v>
      </c>
      <c r="AL260" s="391">
        <f t="shared" si="138"/>
        <v>0</v>
      </c>
      <c r="AM260" s="635">
        <f>SUM(Y260:AL260)</f>
        <v>0</v>
      </c>
    </row>
    <row r="261" spans="1:41" s="392" customFormat="1" ht="15.6">
      <c r="A261" s="518"/>
      <c r="B261" s="361" t="s">
        <v>254</v>
      </c>
      <c r="C261" s="357"/>
      <c r="D261" s="348"/>
      <c r="E261" s="346"/>
      <c r="F261" s="346"/>
      <c r="G261" s="346"/>
      <c r="H261" s="346"/>
      <c r="I261" s="346"/>
      <c r="J261" s="346"/>
      <c r="K261" s="346"/>
      <c r="L261" s="346"/>
      <c r="M261" s="346"/>
      <c r="N261" s="346"/>
      <c r="O261" s="313"/>
      <c r="P261" s="346"/>
      <c r="Q261" s="346"/>
      <c r="R261" s="346"/>
      <c r="S261" s="348"/>
      <c r="T261" s="348"/>
      <c r="U261" s="348"/>
      <c r="V261" s="348"/>
      <c r="W261" s="346"/>
      <c r="X261" s="346"/>
      <c r="Y261" s="358">
        <f>SUM(Y259:Y260)</f>
        <v>0</v>
      </c>
      <c r="Z261" s="358">
        <f t="shared" ref="Z261:AE261" si="139">SUM(Z259:Z260)</f>
        <v>0</v>
      </c>
      <c r="AA261" s="358">
        <f t="shared" si="139"/>
        <v>0</v>
      </c>
      <c r="AB261" s="358">
        <f t="shared" si="139"/>
        <v>0</v>
      </c>
      <c r="AC261" s="358">
        <f t="shared" si="139"/>
        <v>0</v>
      </c>
      <c r="AD261" s="358">
        <f t="shared" si="139"/>
        <v>0</v>
      </c>
      <c r="AE261" s="358">
        <f t="shared" si="139"/>
        <v>0</v>
      </c>
      <c r="AF261" s="358">
        <f t="shared" ref="AF261:AL261" si="140">SUM(AF259:AF260)</f>
        <v>0</v>
      </c>
      <c r="AG261" s="358">
        <f t="shared" si="140"/>
        <v>0</v>
      </c>
      <c r="AH261" s="358">
        <f t="shared" si="140"/>
        <v>0</v>
      </c>
      <c r="AI261" s="358">
        <f t="shared" si="140"/>
        <v>0</v>
      </c>
      <c r="AJ261" s="358">
        <f t="shared" si="140"/>
        <v>0</v>
      </c>
      <c r="AK261" s="358">
        <f t="shared" si="140"/>
        <v>0</v>
      </c>
      <c r="AL261" s="358">
        <f t="shared" si="140"/>
        <v>0</v>
      </c>
      <c r="AM261" s="419">
        <f>SUM(AM259:AM260)</f>
        <v>0</v>
      </c>
    </row>
    <row r="262" spans="1:41" s="392" customFormat="1" ht="15.6">
      <c r="A262" s="518"/>
      <c r="B262" s="361" t="s">
        <v>247</v>
      </c>
      <c r="C262" s="357"/>
      <c r="D262" s="362"/>
      <c r="E262" s="346"/>
      <c r="F262" s="346"/>
      <c r="G262" s="346"/>
      <c r="H262" s="346"/>
      <c r="I262" s="346"/>
      <c r="J262" s="346"/>
      <c r="K262" s="346"/>
      <c r="L262" s="346"/>
      <c r="M262" s="346"/>
      <c r="N262" s="346"/>
      <c r="O262" s="313"/>
      <c r="P262" s="346"/>
      <c r="Q262" s="346"/>
      <c r="R262" s="346"/>
      <c r="S262" s="348"/>
      <c r="T262" s="348"/>
      <c r="U262" s="348"/>
      <c r="V262" s="348"/>
      <c r="W262" s="346"/>
      <c r="X262" s="346"/>
      <c r="Y262" s="359">
        <f t="shared" ref="Y262:AE262" si="141">Y256*Y258</f>
        <v>0</v>
      </c>
      <c r="Z262" s="359">
        <f t="shared" si="141"/>
        <v>0</v>
      </c>
      <c r="AA262" s="359">
        <f t="shared" si="141"/>
        <v>0</v>
      </c>
      <c r="AB262" s="359">
        <f t="shared" si="141"/>
        <v>0</v>
      </c>
      <c r="AC262" s="359">
        <f t="shared" si="141"/>
        <v>0</v>
      </c>
      <c r="AD262" s="359">
        <f t="shared" si="141"/>
        <v>0</v>
      </c>
      <c r="AE262" s="359">
        <f t="shared" si="141"/>
        <v>0</v>
      </c>
      <c r="AF262" s="359">
        <f t="shared" ref="AF262:AL262" si="142">AF256*AF258</f>
        <v>0</v>
      </c>
      <c r="AG262" s="359">
        <f t="shared" si="142"/>
        <v>0</v>
      </c>
      <c r="AH262" s="359">
        <f t="shared" si="142"/>
        <v>0</v>
      </c>
      <c r="AI262" s="359">
        <f t="shared" si="142"/>
        <v>0</v>
      </c>
      <c r="AJ262" s="359">
        <f t="shared" si="142"/>
        <v>0</v>
      </c>
      <c r="AK262" s="359">
        <f t="shared" si="142"/>
        <v>0</v>
      </c>
      <c r="AL262" s="359">
        <f t="shared" si="142"/>
        <v>0</v>
      </c>
      <c r="AM262" s="419">
        <f>SUM(Y262:AL262)</f>
        <v>0</v>
      </c>
    </row>
    <row r="263" spans="1:41" s="392" customFormat="1" ht="15.6">
      <c r="A263" s="518"/>
      <c r="B263" s="361" t="s">
        <v>255</v>
      </c>
      <c r="C263" s="357"/>
      <c r="D263" s="362"/>
      <c r="E263" s="346"/>
      <c r="F263" s="346"/>
      <c r="G263" s="346"/>
      <c r="H263" s="346"/>
      <c r="I263" s="346"/>
      <c r="J263" s="346"/>
      <c r="K263" s="346"/>
      <c r="L263" s="346"/>
      <c r="M263" s="346"/>
      <c r="N263" s="346"/>
      <c r="O263" s="313"/>
      <c r="P263" s="346"/>
      <c r="Q263" s="346"/>
      <c r="R263" s="346"/>
      <c r="S263" s="362"/>
      <c r="T263" s="362"/>
      <c r="U263" s="362"/>
      <c r="V263" s="362"/>
      <c r="W263" s="346"/>
      <c r="X263" s="346"/>
      <c r="AM263" s="419">
        <f>AM261-AM262</f>
        <v>0</v>
      </c>
    </row>
    <row r="264" spans="1:41" ht="15">
      <c r="B264" s="336"/>
      <c r="C264" s="362"/>
      <c r="D264" s="362"/>
      <c r="E264" s="346"/>
      <c r="F264" s="346"/>
      <c r="G264" s="346"/>
      <c r="H264" s="346"/>
      <c r="I264" s="346"/>
      <c r="J264" s="346"/>
      <c r="K264" s="346"/>
      <c r="L264" s="346"/>
      <c r="M264" s="346"/>
      <c r="N264" s="346"/>
      <c r="O264" s="313"/>
      <c r="P264" s="346"/>
      <c r="Q264" s="346"/>
      <c r="R264" s="346"/>
      <c r="S264" s="362"/>
      <c r="T264" s="357"/>
      <c r="U264" s="362"/>
      <c r="V264" s="362"/>
      <c r="W264" s="346"/>
      <c r="X264" s="346"/>
      <c r="AM264" s="360"/>
    </row>
    <row r="265" spans="1:41" ht="15">
      <c r="B265" s="307" t="s">
        <v>70</v>
      </c>
      <c r="C265" s="368"/>
      <c r="D265" s="292"/>
      <c r="E265" s="292"/>
      <c r="F265" s="292"/>
      <c r="G265" s="292"/>
      <c r="H265" s="292"/>
      <c r="I265" s="292"/>
      <c r="J265" s="292"/>
      <c r="K265" s="292"/>
      <c r="L265" s="292"/>
      <c r="M265" s="292"/>
      <c r="N265" s="292"/>
      <c r="O265" s="369"/>
      <c r="P265" s="292"/>
      <c r="Q265" s="292"/>
      <c r="R265" s="292"/>
      <c r="S265" s="317"/>
      <c r="T265" s="322"/>
      <c r="U265" s="322"/>
      <c r="V265" s="292"/>
      <c r="W265" s="292"/>
      <c r="X265" s="322"/>
      <c r="Y265" s="304">
        <f>SUMPRODUCT(E150:E253,Y150:Y253)</f>
        <v>361688.09608090564</v>
      </c>
      <c r="Z265" s="304">
        <f>SUMPRODUCT(E150:E253,Z150:Z253)</f>
        <v>262473.37382496591</v>
      </c>
      <c r="AA265" s="304">
        <f>IF(AA149="kW",SUMPRODUCT(N150:N253,P150:P253,AA150:AA253),SUMPRODUCT(E150:E253,AA150:AA253))</f>
        <v>1119.5469090494171</v>
      </c>
      <c r="AB265" s="304">
        <f>IF(AB149="kW",SUMPRODUCT(N150:N253,P150:P253,AB150:AB253),SUMPRODUCT(E150:E253,AB150:AB253))</f>
        <v>1786.2888999735701</v>
      </c>
      <c r="AC265" s="304">
        <f>IF(AC149="kW",SUMPRODUCT(N150:N253,P150:P253,AC150:AC253),SUMPRODUCT(E150:E253,AC150:AC253))</f>
        <v>0</v>
      </c>
      <c r="AD265" s="304">
        <f>IF(AD149="kW",SUMPRODUCT(N150:N253,P150:P253,AD150:AD253),SUMPRODUCT(E150:E253,AD150:AD253))</f>
        <v>0</v>
      </c>
      <c r="AE265" s="304">
        <f>IF(AE149="kW",SUMPRODUCT(N150:N253,P150:P253,AE150:AE253),SUMPRODUCT(E150:E253,AE150:AE253))</f>
        <v>0</v>
      </c>
      <c r="AF265" s="304">
        <f>IF(AF149="kW",SUMPRODUCT(N150:N253,P150:P253,AF150:AF253),SUMPRODUCT(E150:E253,AF150:AF253))</f>
        <v>0</v>
      </c>
      <c r="AG265" s="304">
        <f>IF(AG149="kW",SUMPRODUCT(N150:N253,P150:P253,AG150:AG253),SUMPRODUCT(E150:E253,AG150:AG253))</f>
        <v>0</v>
      </c>
      <c r="AH265" s="304">
        <f>IF(AH149="kW",SUMPRODUCT(N150:N253,P150:P253,AH150:AH253),SUMPRODUCT(E150:E253,AH150:AH253))</f>
        <v>0</v>
      </c>
      <c r="AI265" s="304">
        <f>IF(AI149="kW",SUMPRODUCT(N150:N253,P150:P253,AI150:AI253),SUMPRODUCT(E150:E253,AI150:AI253))</f>
        <v>0</v>
      </c>
      <c r="AJ265" s="304">
        <f>IF(AJ149="kW",SUMPRODUCT(N150:N253,P150:P253,AJ150:AJ253),SUMPRODUCT(E150:E253,AJ150:AJ253))</f>
        <v>0</v>
      </c>
      <c r="AK265" s="304">
        <f>IF(AK149="kW",SUMPRODUCT(N150:N253,P150:P253,AK150:AK253),SUMPRODUCT(E150:E253,AK150:AK253))</f>
        <v>0</v>
      </c>
      <c r="AL265" s="304">
        <f>IF(AL149="kW",SUMPRODUCT(N150:N253,P150:P253,AL150:AL253),SUMPRODUCT(E150:E253,AL150:AL253))</f>
        <v>0</v>
      </c>
      <c r="AM265" s="360"/>
      <c r="AO265" s="296"/>
    </row>
    <row r="266" spans="1:41" ht="15">
      <c r="B266" s="307" t="s">
        <v>71</v>
      </c>
      <c r="C266" s="368"/>
      <c r="D266" s="292"/>
      <c r="E266" s="292"/>
      <c r="F266" s="292"/>
      <c r="G266" s="292"/>
      <c r="H266" s="292"/>
      <c r="I266" s="292"/>
      <c r="J266" s="292"/>
      <c r="K266" s="292"/>
      <c r="L266" s="292"/>
      <c r="M266" s="292"/>
      <c r="N266" s="292"/>
      <c r="O266" s="369"/>
      <c r="P266" s="292"/>
      <c r="Q266" s="292"/>
      <c r="R266" s="292"/>
      <c r="S266" s="317"/>
      <c r="T266" s="322"/>
      <c r="U266" s="322"/>
      <c r="V266" s="292"/>
      <c r="W266" s="292"/>
      <c r="X266" s="322"/>
      <c r="Y266" s="304">
        <f>SUMPRODUCT(F150:F253,Y150:Y253)</f>
        <v>361688.09608090564</v>
      </c>
      <c r="Z266" s="304">
        <f>SUMPRODUCT(F150:F253,Z150:Z253)</f>
        <v>261262.97947368235</v>
      </c>
      <c r="AA266" s="304">
        <f>IF(AA149="kW",SUMPRODUCT(N150:N253,Q150:Q253,AA150:AA253),SUMPRODUCT(F150:F253,AA150:AA253))</f>
        <v>1119.5469090494171</v>
      </c>
      <c r="AB266" s="304">
        <f>IF(AB149="kW",SUMPRODUCT(N150:N253,Q150:Q253,AB150:AB253),SUMPRODUCT(F150:F253,AB150:AB253))</f>
        <v>1786.2888999735701</v>
      </c>
      <c r="AC266" s="304">
        <f>IF(AC149="kW",SUMPRODUCT(N150:N253,Q150:Q253,AC150:AC253),SUMPRODUCT(F150:F253,AC150:AC253))</f>
        <v>0</v>
      </c>
      <c r="AD266" s="304">
        <f>IF(AD149="kW",SUMPRODUCT(N150:N253,Q150:Q253,AD150:AD253),SUMPRODUCT(F150:F253,AD150:AD253))</f>
        <v>0</v>
      </c>
      <c r="AE266" s="304">
        <f>IF(AE149="kW",SUMPRODUCT(N150:N253,Q150:Q253,AE150:AE253),SUMPRODUCT(F150:F253,AE150:AE253))</f>
        <v>0</v>
      </c>
      <c r="AF266" s="304">
        <f>IF(AF149="kW",SUMPRODUCT(N150:N253,Q150:Q253,AF150:AF253),SUMPRODUCT(F150:F253,AF150:AF253))</f>
        <v>0</v>
      </c>
      <c r="AG266" s="304">
        <f>IF(AG149="kW",SUMPRODUCT(N150:N253,Q150:Q253,AG150:AG253),SUMPRODUCT(F150:F253,AG150:AG253))</f>
        <v>0</v>
      </c>
      <c r="AH266" s="304">
        <f>IF(AH149="kW",SUMPRODUCT(N150:N253,Q150:Q253,AH150:AH253),SUMPRODUCT(F150:F253,AH150:AH253))</f>
        <v>0</v>
      </c>
      <c r="AI266" s="304">
        <f>IF(AI149="kW",SUMPRODUCT(N150:N253,Q150:Q253,AI150:AI253),SUMPRODUCT(F150:F253,AI150:AI253))</f>
        <v>0</v>
      </c>
      <c r="AJ266" s="304">
        <f>IF(AJ149="kW",SUMPRODUCT(N150:N253,Q150:Q253,AJ150:AJ253),SUMPRODUCT(F150:F253,AJ150:AJ253))</f>
        <v>0</v>
      </c>
      <c r="AK266" s="304">
        <f>IF(AK149="kW",SUMPRODUCT(N150:N253,Q150:Q253,AK150:AK253),SUMPRODUCT(F150:F253,AK150:AK253))</f>
        <v>0</v>
      </c>
      <c r="AL266" s="304">
        <f>IF(AL149="kW",SUMPRODUCT(N150:N253,Q150:Q253,AL150:AL253),SUMPRODUCT(F150:F253,AL150:AL253))</f>
        <v>0</v>
      </c>
      <c r="AM266" s="349"/>
    </row>
    <row r="267" spans="1:41" ht="15">
      <c r="B267" s="336" t="s">
        <v>189</v>
      </c>
      <c r="C267" s="368"/>
      <c r="D267" s="292"/>
      <c r="E267" s="292"/>
      <c r="F267" s="292"/>
      <c r="G267" s="292"/>
      <c r="H267" s="292"/>
      <c r="I267" s="292"/>
      <c r="J267" s="292"/>
      <c r="K267" s="292"/>
      <c r="L267" s="292"/>
      <c r="M267" s="292"/>
      <c r="N267" s="292"/>
      <c r="O267" s="369"/>
      <c r="P267" s="292"/>
      <c r="Q267" s="292"/>
      <c r="R267" s="292"/>
      <c r="S267" s="317"/>
      <c r="T267" s="322"/>
      <c r="U267" s="322"/>
      <c r="V267" s="292"/>
      <c r="W267" s="292"/>
      <c r="X267" s="322"/>
      <c r="Y267" s="304">
        <f>SUMPRODUCT(G150:G253,Y150:Y253)</f>
        <v>361677.68806725845</v>
      </c>
      <c r="Z267" s="304">
        <f>SUMPRODUCT(G150:G253,Z150:Z253)</f>
        <v>247141.33068330525</v>
      </c>
      <c r="AA267" s="304">
        <f>IF(AA149="kW",SUMPRODUCT(N150:N253,R150:R253,AA150:AA253),SUMPRODUCT(G150:G253,AA150:AA253))</f>
        <v>1119.5469090494171</v>
      </c>
      <c r="AB267" s="304">
        <f>IF(AB149="kW",SUMPRODUCT(N150:N253,R150:R253,AB150:AB253),SUMPRODUCT(G150:G253,AB150:AB253))</f>
        <v>1786.2888999735701</v>
      </c>
      <c r="AC267" s="304">
        <f>IF(AC149="kW",SUMPRODUCT(N150:N253,R150:R253,AC150:AC253),SUMPRODUCT(G150:G253,AC150:AC253))</f>
        <v>0</v>
      </c>
      <c r="AD267" s="304">
        <f>IF(AD149="kW",SUMPRODUCT(N150:N253,R150:R253,AD150:AD253),SUMPRODUCT(G150:G253,AD150:AD253))</f>
        <v>0</v>
      </c>
      <c r="AE267" s="304">
        <f>IF(AE149="kW",SUMPRODUCT(N150:N253,R150:R253,AE150:AE253),SUMPRODUCT(G150:G253,AE150:AE253))</f>
        <v>0</v>
      </c>
      <c r="AF267" s="304">
        <f>IF(AF149="kW",SUMPRODUCT(N150:N253,R150:R253,AF150:AF253),SUMPRODUCT(G150:G253,AF150:AF253))</f>
        <v>0</v>
      </c>
      <c r="AG267" s="304">
        <f>IF(AG149="kW",SUMPRODUCT(N150:N253,R150:R253,AG150:AG253),SUMPRODUCT(G150:G253,AG150:AG253))</f>
        <v>0</v>
      </c>
      <c r="AH267" s="304">
        <f>IF(AH149="kW",SUMPRODUCT(N150:N253,R150:R253,AH150:AH253),SUMPRODUCT(G150:G253,AH150:AH253))</f>
        <v>0</v>
      </c>
      <c r="AI267" s="304">
        <f>IF(AI149="kW",SUMPRODUCT(N150:N253,R150:R253,AI150:AI253),SUMPRODUCT(G150:G253,AI150:AI253))</f>
        <v>0</v>
      </c>
      <c r="AJ267" s="304">
        <f>IF(AJ149="kW",SUMPRODUCT(N150:N253,R150:R253,AJ150:AJ253),SUMPRODUCT(G150:G253,AJ150:AJ253))</f>
        <v>0</v>
      </c>
      <c r="AK267" s="304">
        <f>IF(AK149="kW",SUMPRODUCT(N150:N253,R150:R253,AK150:AK253),SUMPRODUCT(G150:G253,AK150:AK253))</f>
        <v>0</v>
      </c>
      <c r="AL267" s="304">
        <f>IF(AL149="kW",SUMPRODUCT(N150:N253,R150:R253,AL150:AL253),SUMPRODUCT(G150:G253,AL150:AL253))</f>
        <v>0</v>
      </c>
      <c r="AM267" s="349"/>
    </row>
    <row r="268" spans="1:41" ht="15">
      <c r="B268" s="336" t="s">
        <v>190</v>
      </c>
      <c r="C268" s="368"/>
      <c r="D268" s="292"/>
      <c r="E268" s="292"/>
      <c r="F268" s="292"/>
      <c r="G268" s="292"/>
      <c r="H268" s="292"/>
      <c r="I268" s="292"/>
      <c r="J268" s="292"/>
      <c r="K268" s="292"/>
      <c r="L268" s="292"/>
      <c r="M268" s="292"/>
      <c r="N268" s="292"/>
      <c r="O268" s="369"/>
      <c r="P268" s="292"/>
      <c r="Q268" s="292"/>
      <c r="R268" s="292"/>
      <c r="S268" s="317"/>
      <c r="T268" s="322"/>
      <c r="U268" s="322"/>
      <c r="V268" s="292"/>
      <c r="W268" s="292"/>
      <c r="X268" s="322"/>
      <c r="Y268" s="304"/>
      <c r="Z268" s="304"/>
      <c r="AA268" s="304"/>
      <c r="AB268" s="304"/>
      <c r="AC268" s="304"/>
      <c r="AD268" s="304"/>
      <c r="AE268" s="304"/>
      <c r="AF268" s="304"/>
      <c r="AG268" s="304"/>
      <c r="AH268" s="304"/>
      <c r="AI268" s="304"/>
      <c r="AJ268" s="304"/>
      <c r="AK268" s="304"/>
      <c r="AL268" s="304"/>
      <c r="AM268" s="349"/>
    </row>
    <row r="269" spans="1:41" ht="15">
      <c r="B269" s="336" t="s">
        <v>191</v>
      </c>
      <c r="C269" s="368"/>
      <c r="D269" s="292"/>
      <c r="E269" s="292"/>
      <c r="F269" s="292"/>
      <c r="G269" s="292"/>
      <c r="H269" s="292"/>
      <c r="I269" s="292"/>
      <c r="J269" s="292"/>
      <c r="K269" s="292"/>
      <c r="L269" s="292"/>
      <c r="M269" s="292"/>
      <c r="N269" s="292"/>
      <c r="O269" s="369"/>
      <c r="P269" s="292"/>
      <c r="Q269" s="292"/>
      <c r="R269" s="292"/>
      <c r="S269" s="317"/>
      <c r="T269" s="322"/>
      <c r="U269" s="322"/>
      <c r="V269" s="292"/>
      <c r="W269" s="292"/>
      <c r="X269" s="322"/>
      <c r="Y269" s="304"/>
      <c r="Z269" s="304"/>
      <c r="AA269" s="304"/>
      <c r="AB269" s="304"/>
      <c r="AC269" s="304"/>
      <c r="AD269" s="304"/>
      <c r="AE269" s="304"/>
      <c r="AF269" s="304"/>
      <c r="AG269" s="304"/>
      <c r="AH269" s="304"/>
      <c r="AI269" s="304"/>
      <c r="AJ269" s="304"/>
      <c r="AK269" s="304"/>
      <c r="AL269" s="304"/>
      <c r="AM269" s="349"/>
    </row>
    <row r="270" spans="1:41" ht="15">
      <c r="B270" s="336" t="s">
        <v>192</v>
      </c>
      <c r="C270" s="368"/>
      <c r="D270" s="322"/>
      <c r="E270" s="322"/>
      <c r="F270" s="322"/>
      <c r="G270" s="322"/>
      <c r="H270" s="322"/>
      <c r="I270" s="322"/>
      <c r="J270" s="322"/>
      <c r="K270" s="322"/>
      <c r="L270" s="322"/>
      <c r="M270" s="322"/>
      <c r="N270" s="322"/>
      <c r="O270" s="369"/>
      <c r="P270" s="322"/>
      <c r="Q270" s="322"/>
      <c r="R270" s="322"/>
      <c r="S270" s="317"/>
      <c r="T270" s="322"/>
      <c r="U270" s="322"/>
      <c r="V270" s="322"/>
      <c r="W270" s="322"/>
      <c r="X270" s="322"/>
      <c r="Y270" s="304"/>
      <c r="Z270" s="304"/>
      <c r="AA270" s="304"/>
      <c r="AB270" s="304"/>
      <c r="AC270" s="304"/>
      <c r="AD270" s="304"/>
      <c r="AE270" s="304"/>
      <c r="AF270" s="304"/>
      <c r="AG270" s="304"/>
      <c r="AH270" s="304"/>
      <c r="AI270" s="304"/>
      <c r="AJ270" s="304"/>
      <c r="AK270" s="304"/>
      <c r="AL270" s="304"/>
      <c r="AM270" s="349"/>
    </row>
    <row r="271" spans="1:41" ht="15">
      <c r="B271" s="336" t="s">
        <v>193</v>
      </c>
      <c r="C271" s="368"/>
      <c r="D271" s="347"/>
      <c r="E271" s="347"/>
      <c r="F271" s="347"/>
      <c r="G271" s="347"/>
      <c r="H271" s="347"/>
      <c r="I271" s="347"/>
      <c r="J271" s="347"/>
      <c r="K271" s="347"/>
      <c r="L271" s="347"/>
      <c r="M271" s="347"/>
      <c r="N271" s="347"/>
      <c r="O271" s="322"/>
      <c r="P271" s="292"/>
      <c r="Q271" s="292"/>
      <c r="R271" s="322"/>
      <c r="S271" s="317"/>
      <c r="T271" s="322"/>
      <c r="U271" s="322"/>
      <c r="V271" s="369"/>
      <c r="W271" s="369"/>
      <c r="X271" s="322"/>
      <c r="Y271" s="304"/>
      <c r="Z271" s="304"/>
      <c r="AA271" s="304"/>
      <c r="AB271" s="304"/>
      <c r="AC271" s="304"/>
      <c r="AD271" s="304"/>
      <c r="AE271" s="304"/>
      <c r="AF271" s="304"/>
      <c r="AG271" s="304"/>
      <c r="AH271" s="304"/>
      <c r="AI271" s="304"/>
      <c r="AJ271" s="304"/>
      <c r="AK271" s="304"/>
      <c r="AL271" s="304"/>
      <c r="AM271" s="349"/>
    </row>
    <row r="272" spans="1:41" ht="15">
      <c r="B272" s="393" t="s">
        <v>194</v>
      </c>
      <c r="C272" s="371"/>
      <c r="D272" s="394"/>
      <c r="E272" s="394"/>
      <c r="F272" s="394"/>
      <c r="G272" s="394"/>
      <c r="H272" s="394"/>
      <c r="I272" s="394"/>
      <c r="J272" s="394"/>
      <c r="K272" s="394"/>
      <c r="L272" s="394"/>
      <c r="M272" s="394"/>
      <c r="N272" s="394"/>
      <c r="O272" s="395"/>
      <c r="P272" s="396"/>
      <c r="Q272" s="396"/>
      <c r="R272" s="397"/>
      <c r="S272" s="376"/>
      <c r="T272" s="397"/>
      <c r="U272" s="397"/>
      <c r="V272" s="395"/>
      <c r="W272" s="395"/>
      <c r="X272" s="397"/>
      <c r="Y272" s="338"/>
      <c r="Z272" s="338"/>
      <c r="AA272" s="338"/>
      <c r="AB272" s="338"/>
      <c r="AC272" s="338"/>
      <c r="AD272" s="338"/>
      <c r="AE272" s="338"/>
      <c r="AF272" s="338"/>
      <c r="AG272" s="338"/>
      <c r="AH272" s="338"/>
      <c r="AI272" s="338"/>
      <c r="AJ272" s="338"/>
      <c r="AK272" s="338"/>
      <c r="AL272" s="338"/>
      <c r="AM272" s="398"/>
    </row>
    <row r="273" spans="1:39" ht="18.75" customHeight="1">
      <c r="B273" s="380" t="s">
        <v>586</v>
      </c>
      <c r="C273" s="399"/>
      <c r="D273" s="400"/>
      <c r="E273" s="400"/>
      <c r="F273" s="400"/>
      <c r="G273" s="400"/>
      <c r="H273" s="400"/>
      <c r="I273" s="400"/>
      <c r="J273" s="400"/>
      <c r="K273" s="400"/>
      <c r="L273" s="400"/>
      <c r="M273" s="400"/>
      <c r="N273" s="400"/>
      <c r="O273" s="400"/>
      <c r="P273" s="400"/>
      <c r="Q273" s="400"/>
      <c r="R273" s="400"/>
      <c r="S273" s="383"/>
      <c r="T273" s="384"/>
      <c r="U273" s="400"/>
      <c r="V273" s="400"/>
      <c r="W273" s="400"/>
      <c r="X273" s="400"/>
      <c r="Y273" s="401"/>
      <c r="Z273" s="401"/>
      <c r="AA273" s="401"/>
      <c r="AB273" s="401"/>
      <c r="AC273" s="401"/>
      <c r="AD273" s="401"/>
      <c r="AE273" s="401"/>
      <c r="AF273" s="401"/>
      <c r="AG273" s="401"/>
      <c r="AH273" s="401"/>
      <c r="AI273" s="401"/>
      <c r="AJ273" s="401"/>
      <c r="AK273" s="401"/>
      <c r="AL273" s="401"/>
      <c r="AM273" s="401"/>
    </row>
    <row r="274" spans="1:39">
      <c r="E274" s="402"/>
      <c r="F274" s="402"/>
      <c r="G274" s="402"/>
      <c r="H274" s="402"/>
      <c r="I274" s="402"/>
      <c r="J274" s="402"/>
      <c r="K274" s="402"/>
      <c r="L274" s="402"/>
      <c r="M274" s="402"/>
      <c r="N274" s="402"/>
      <c r="O274" s="402"/>
      <c r="P274" s="402"/>
      <c r="Q274" s="402"/>
      <c r="R274" s="402"/>
      <c r="S274" s="402"/>
      <c r="T274" s="402"/>
      <c r="U274" s="402"/>
      <c r="V274" s="402"/>
      <c r="W274" s="402"/>
      <c r="X274" s="402"/>
      <c r="Y274" s="269"/>
      <c r="Z274" s="269"/>
      <c r="AA274" s="269"/>
      <c r="AB274" s="269"/>
      <c r="AC274" s="269"/>
      <c r="AD274" s="269"/>
      <c r="AE274" s="269"/>
      <c r="AF274" s="269"/>
      <c r="AG274" s="269"/>
      <c r="AH274" s="269"/>
      <c r="AI274" s="269"/>
      <c r="AJ274" s="269"/>
      <c r="AK274" s="269"/>
      <c r="AL274" s="269"/>
    </row>
    <row r="275" spans="1:39" ht="15.6">
      <c r="B275" s="293" t="s">
        <v>248</v>
      </c>
      <c r="C275" s="294"/>
      <c r="D275" s="598" t="s">
        <v>525</v>
      </c>
      <c r="E275" s="596"/>
      <c r="O275" s="294"/>
      <c r="Y275" s="283"/>
      <c r="Z275" s="280"/>
      <c r="AA275" s="280"/>
      <c r="AB275" s="280"/>
      <c r="AC275" s="280"/>
      <c r="AD275" s="280"/>
      <c r="AE275" s="280"/>
      <c r="AF275" s="280"/>
      <c r="AG275" s="280"/>
      <c r="AH275" s="280"/>
      <c r="AI275" s="280"/>
      <c r="AJ275" s="280"/>
      <c r="AK275" s="280"/>
      <c r="AL275" s="280"/>
      <c r="AM275" s="295"/>
    </row>
    <row r="276" spans="1:39" ht="33" customHeight="1">
      <c r="B276" s="901" t="s">
        <v>211</v>
      </c>
      <c r="C276" s="903" t="s">
        <v>33</v>
      </c>
      <c r="D276" s="297" t="s">
        <v>421</v>
      </c>
      <c r="E276" s="905" t="s">
        <v>209</v>
      </c>
      <c r="F276" s="906"/>
      <c r="G276" s="906"/>
      <c r="H276" s="906"/>
      <c r="I276" s="906"/>
      <c r="J276" s="906"/>
      <c r="K276" s="906"/>
      <c r="L276" s="906"/>
      <c r="M276" s="907"/>
      <c r="N276" s="911" t="s">
        <v>213</v>
      </c>
      <c r="O276" s="297" t="s">
        <v>422</v>
      </c>
      <c r="P276" s="905" t="s">
        <v>212</v>
      </c>
      <c r="Q276" s="906"/>
      <c r="R276" s="906"/>
      <c r="S276" s="906"/>
      <c r="T276" s="906"/>
      <c r="U276" s="906"/>
      <c r="V276" s="906"/>
      <c r="W276" s="906"/>
      <c r="X276" s="907"/>
      <c r="Y276" s="908" t="s">
        <v>243</v>
      </c>
      <c r="Z276" s="909"/>
      <c r="AA276" s="909"/>
      <c r="AB276" s="909"/>
      <c r="AC276" s="909"/>
      <c r="AD276" s="909"/>
      <c r="AE276" s="909"/>
      <c r="AF276" s="909"/>
      <c r="AG276" s="909"/>
      <c r="AH276" s="909"/>
      <c r="AI276" s="909"/>
      <c r="AJ276" s="909"/>
      <c r="AK276" s="909"/>
      <c r="AL276" s="909"/>
      <c r="AM276" s="910"/>
    </row>
    <row r="277" spans="1:39" ht="60.75" customHeight="1">
      <c r="B277" s="902"/>
      <c r="C277" s="904"/>
      <c r="D277" s="298">
        <v>2013</v>
      </c>
      <c r="E277" s="298">
        <v>2014</v>
      </c>
      <c r="F277" s="298">
        <v>2015</v>
      </c>
      <c r="G277" s="298">
        <v>2016</v>
      </c>
      <c r="H277" s="298">
        <v>2017</v>
      </c>
      <c r="I277" s="298">
        <v>2018</v>
      </c>
      <c r="J277" s="298">
        <v>2019</v>
      </c>
      <c r="K277" s="298">
        <v>2020</v>
      </c>
      <c r="L277" s="298">
        <v>2021</v>
      </c>
      <c r="M277" s="298">
        <v>2022</v>
      </c>
      <c r="N277" s="912"/>
      <c r="O277" s="298">
        <v>2013</v>
      </c>
      <c r="P277" s="298">
        <v>2014</v>
      </c>
      <c r="Q277" s="298">
        <v>2015</v>
      </c>
      <c r="R277" s="298">
        <v>2016</v>
      </c>
      <c r="S277" s="298">
        <v>2017</v>
      </c>
      <c r="T277" s="298">
        <v>2018</v>
      </c>
      <c r="U277" s="298">
        <v>2019</v>
      </c>
      <c r="V277" s="298">
        <v>2020</v>
      </c>
      <c r="W277" s="298">
        <v>2021</v>
      </c>
      <c r="X277" s="298">
        <v>2022</v>
      </c>
      <c r="Y277" s="298" t="str">
        <f>'1.  LRAMVA Summary'!D52</f>
        <v>Residential</v>
      </c>
      <c r="Z277" s="298" t="str">
        <f>'1.  LRAMVA Summary'!E52</f>
        <v>GS&lt;50 kW</v>
      </c>
      <c r="AA277" s="298" t="str">
        <f>'1.  LRAMVA Summary'!F52</f>
        <v>GS 50 - 999 kW</v>
      </c>
      <c r="AB277" s="298" t="str">
        <f>'1.  LRAMVA Summary'!G52</f>
        <v>GS 1,000 - 4,999 kW</v>
      </c>
      <c r="AC277" s="298" t="str">
        <f>'1.  LRAMVA Summary'!H52</f>
        <v>USL</v>
      </c>
      <c r="AD277" s="298" t="str">
        <f>'1.  LRAMVA Summary'!I52</f>
        <v>Sentinel Lighting</v>
      </c>
      <c r="AE277" s="298" t="str">
        <f>'1.  LRAMVA Summary'!J52</f>
        <v>Street Lighting</v>
      </c>
      <c r="AF277" s="298" t="str">
        <f>'1.  LRAMVA Summary'!K52</f>
        <v/>
      </c>
      <c r="AG277" s="298" t="str">
        <f>'1.  LRAMVA Summary'!L52</f>
        <v/>
      </c>
      <c r="AH277" s="298" t="str">
        <f>'1.  LRAMVA Summary'!M52</f>
        <v/>
      </c>
      <c r="AI277" s="298" t="str">
        <f>'1.  LRAMVA Summary'!N52</f>
        <v/>
      </c>
      <c r="AJ277" s="298" t="str">
        <f>'1.  LRAMVA Summary'!O52</f>
        <v/>
      </c>
      <c r="AK277" s="298" t="str">
        <f>'1.  LRAMVA Summary'!P52</f>
        <v/>
      </c>
      <c r="AL277" s="298" t="str">
        <f>'1.  LRAMVA Summary'!Q52</f>
        <v/>
      </c>
      <c r="AM277" s="300" t="str">
        <f>'1.  LRAMVA Summary'!R52</f>
        <v>Total</v>
      </c>
    </row>
    <row r="278" spans="1:39" ht="15" customHeight="1">
      <c r="A278" s="517"/>
      <c r="B278" s="301" t="s">
        <v>0</v>
      </c>
      <c r="C278" s="302"/>
      <c r="D278" s="302"/>
      <c r="E278" s="302"/>
      <c r="F278" s="302"/>
      <c r="G278" s="302"/>
      <c r="H278" s="302"/>
      <c r="I278" s="302"/>
      <c r="J278" s="302"/>
      <c r="K278" s="302"/>
      <c r="L278" s="302"/>
      <c r="M278" s="302"/>
      <c r="N278" s="303"/>
      <c r="O278" s="302"/>
      <c r="P278" s="302"/>
      <c r="Q278" s="302"/>
      <c r="R278" s="302"/>
      <c r="S278" s="302"/>
      <c r="T278" s="302"/>
      <c r="U278" s="302"/>
      <c r="V278" s="302"/>
      <c r="W278" s="302"/>
      <c r="X278" s="302"/>
      <c r="Y278" s="304" t="str">
        <f>'1.  LRAMVA Summary'!D53</f>
        <v>kWh</v>
      </c>
      <c r="Z278" s="304" t="str">
        <f>'1.  LRAMVA Summary'!E53</f>
        <v>kWh</v>
      </c>
      <c r="AA278" s="304" t="str">
        <f>'1.  LRAMVA Summary'!F53</f>
        <v>kW</v>
      </c>
      <c r="AB278" s="304" t="str">
        <f>'1.  LRAMVA Summary'!G53</f>
        <v>kW</v>
      </c>
      <c r="AC278" s="304" t="str">
        <f>'1.  LRAMVA Summary'!H53</f>
        <v>kWh</v>
      </c>
      <c r="AD278" s="304" t="str">
        <f>'1.  LRAMVA Summary'!I53</f>
        <v>kW</v>
      </c>
      <c r="AE278" s="304" t="str">
        <f>'1.  LRAMVA Summary'!J53</f>
        <v>kW</v>
      </c>
      <c r="AF278" s="304">
        <f>'1.  LRAMVA Summary'!K53</f>
        <v>0</v>
      </c>
      <c r="AG278" s="304">
        <f>'1.  LRAMVA Summary'!L53</f>
        <v>0</v>
      </c>
      <c r="AH278" s="304">
        <f>'1.  LRAMVA Summary'!M53</f>
        <v>0</v>
      </c>
      <c r="AI278" s="304">
        <f>'1.  LRAMVA Summary'!N53</f>
        <v>0</v>
      </c>
      <c r="AJ278" s="304">
        <f>'1.  LRAMVA Summary'!O53</f>
        <v>0</v>
      </c>
      <c r="AK278" s="304">
        <f>'1.  LRAMVA Summary'!P53</f>
        <v>0</v>
      </c>
      <c r="AL278" s="304">
        <f>'1.  LRAMVA Summary'!Q53</f>
        <v>0</v>
      </c>
      <c r="AM278" s="305"/>
    </row>
    <row r="279" spans="1:39" ht="15" outlineLevel="1">
      <c r="A279" s="516">
        <v>1</v>
      </c>
      <c r="B279" s="307" t="s">
        <v>1</v>
      </c>
      <c r="C279" s="304" t="s">
        <v>25</v>
      </c>
      <c r="D279" s="308">
        <f>'7.  Persistence Report'!AS73+'7.  Persistence Report'!AS78</f>
        <v>25479.396168512572</v>
      </c>
      <c r="E279" s="308">
        <f>'7.  Persistence Report'!AT73+'7.  Persistence Report'!AT78</f>
        <v>25479.396168512572</v>
      </c>
      <c r="F279" s="308">
        <f>'7.  Persistence Report'!AU73+'7.  Persistence Report'!AU78</f>
        <v>25479.396168512572</v>
      </c>
      <c r="G279" s="308">
        <f>'7.  Persistence Report'!AV73+'7.  Persistence Report'!AV78</f>
        <v>25376.851650179571</v>
      </c>
      <c r="H279" s="308">
        <f>'7.  Persistence Report'!AW73+'7.  Persistence Report'!AW78</f>
        <v>13644.42287125954</v>
      </c>
      <c r="I279" s="308">
        <f>'7.  Persistence Report'!AX73+'7.  Persistence Report'!AX78</f>
        <v>0</v>
      </c>
      <c r="J279" s="308">
        <f>'7.  Persistence Report'!AY73+'7.  Persistence Report'!AY78</f>
        <v>0</v>
      </c>
      <c r="K279" s="308">
        <f>'7.  Persistence Report'!AZ73+'7.  Persistence Report'!AZ78</f>
        <v>0</v>
      </c>
      <c r="L279" s="308">
        <f>'7.  Persistence Report'!BA73+'7.  Persistence Report'!BA78</f>
        <v>0</v>
      </c>
      <c r="M279" s="308">
        <f>'7.  Persistence Report'!BB73+'7.  Persistence Report'!BB78</f>
        <v>0</v>
      </c>
      <c r="N279" s="763"/>
      <c r="O279" s="308">
        <f>'7.  Persistence Report'!N73+'7.  Persistence Report'!N78</f>
        <v>3.7304624550065792</v>
      </c>
      <c r="P279" s="308">
        <f>'7.  Persistence Report'!O73+'7.  Persistence Report'!O78</f>
        <v>3.7304624550065792</v>
      </c>
      <c r="Q279" s="308">
        <f>'7.  Persistence Report'!P73+'7.  Persistence Report'!P78</f>
        <v>3.7304624550065792</v>
      </c>
      <c r="R279" s="308">
        <f>'7.  Persistence Report'!Q73+'7.  Persistence Report'!Q78</f>
        <v>3.6256784250065794</v>
      </c>
      <c r="S279" s="308">
        <f>'7.  Persistence Report'!R73+'7.  Persistence Report'!R78</f>
        <v>2.0053044616894362</v>
      </c>
      <c r="T279" s="308">
        <f>'7.  Persistence Report'!S73+'7.  Persistence Report'!S78</f>
        <v>0</v>
      </c>
      <c r="U279" s="308">
        <f>'7.  Persistence Report'!T73+'7.  Persistence Report'!T78</f>
        <v>0</v>
      </c>
      <c r="V279" s="308">
        <f>'7.  Persistence Report'!U73+'7.  Persistence Report'!U78</f>
        <v>0</v>
      </c>
      <c r="W279" s="308">
        <f>'7.  Persistence Report'!V73+'7.  Persistence Report'!V78</f>
        <v>0</v>
      </c>
      <c r="X279" s="308">
        <f>'7.  Persistence Report'!W73+'7.  Persistence Report'!W78</f>
        <v>0</v>
      </c>
      <c r="Y279" s="772">
        <v>1</v>
      </c>
      <c r="Z279" s="772"/>
      <c r="AA279" s="772"/>
      <c r="AB279" s="772"/>
      <c r="AC279" s="772"/>
      <c r="AD279" s="772"/>
      <c r="AE279" s="772"/>
      <c r="AF279" s="422"/>
      <c r="AG279" s="422"/>
      <c r="AH279" s="422"/>
      <c r="AI279" s="422"/>
      <c r="AJ279" s="422"/>
      <c r="AK279" s="422"/>
      <c r="AL279" s="422"/>
      <c r="AM279" s="309">
        <f>SUM(Y279:AL279)</f>
        <v>1</v>
      </c>
    </row>
    <row r="280" spans="1:39" ht="15" outlineLevel="1">
      <c r="B280" s="307" t="s">
        <v>249</v>
      </c>
      <c r="C280" s="304" t="s">
        <v>163</v>
      </c>
      <c r="D280" s="308"/>
      <c r="E280" s="308"/>
      <c r="F280" s="308"/>
      <c r="G280" s="308"/>
      <c r="H280" s="308"/>
      <c r="I280" s="308"/>
      <c r="J280" s="308"/>
      <c r="K280" s="308"/>
      <c r="L280" s="308"/>
      <c r="M280" s="308"/>
      <c r="N280" s="764"/>
      <c r="O280" s="308"/>
      <c r="P280" s="308"/>
      <c r="Q280" s="308"/>
      <c r="R280" s="308"/>
      <c r="S280" s="308"/>
      <c r="T280" s="308"/>
      <c r="U280" s="308"/>
      <c r="V280" s="308"/>
      <c r="W280" s="308"/>
      <c r="X280" s="308"/>
      <c r="Y280" s="773">
        <f>Y279</f>
        <v>1</v>
      </c>
      <c r="Z280" s="773">
        <f>Z279</f>
        <v>0</v>
      </c>
      <c r="AA280" s="773">
        <f t="shared" ref="AA280:AE280" si="143">AA279</f>
        <v>0</v>
      </c>
      <c r="AB280" s="773">
        <f t="shared" si="143"/>
        <v>0</v>
      </c>
      <c r="AC280" s="773">
        <f t="shared" si="143"/>
        <v>0</v>
      </c>
      <c r="AD280" s="773">
        <f t="shared" si="143"/>
        <v>0</v>
      </c>
      <c r="AE280" s="773">
        <f t="shared" si="143"/>
        <v>0</v>
      </c>
      <c r="AF280" s="423">
        <f t="shared" ref="AF280:AL280" si="144">AF279</f>
        <v>0</v>
      </c>
      <c r="AG280" s="423">
        <f t="shared" si="144"/>
        <v>0</v>
      </c>
      <c r="AH280" s="423">
        <f t="shared" si="144"/>
        <v>0</v>
      </c>
      <c r="AI280" s="423">
        <f t="shared" si="144"/>
        <v>0</v>
      </c>
      <c r="AJ280" s="423">
        <f t="shared" si="144"/>
        <v>0</v>
      </c>
      <c r="AK280" s="423">
        <f t="shared" si="144"/>
        <v>0</v>
      </c>
      <c r="AL280" s="423">
        <f t="shared" si="144"/>
        <v>0</v>
      </c>
      <c r="AM280" s="310"/>
    </row>
    <row r="281" spans="1:39" ht="15.6" outlineLevel="1">
      <c r="A281" s="518"/>
      <c r="B281" s="311"/>
      <c r="C281" s="312"/>
      <c r="D281" s="765"/>
      <c r="E281" s="765"/>
      <c r="F281" s="765"/>
      <c r="G281" s="765"/>
      <c r="H281" s="765"/>
      <c r="I281" s="765"/>
      <c r="J281" s="765"/>
      <c r="K281" s="765"/>
      <c r="L281" s="765"/>
      <c r="M281" s="765"/>
      <c r="N281" s="316"/>
      <c r="O281" s="765"/>
      <c r="P281" s="765"/>
      <c r="Q281" s="765"/>
      <c r="R281" s="765"/>
      <c r="S281" s="765"/>
      <c r="T281" s="765"/>
      <c r="U281" s="765"/>
      <c r="V281" s="765"/>
      <c r="W281" s="765"/>
      <c r="X281" s="765"/>
      <c r="Y281" s="774"/>
      <c r="Z281" s="775"/>
      <c r="AA281" s="775"/>
      <c r="AB281" s="775"/>
      <c r="AC281" s="775"/>
      <c r="AD281" s="775"/>
      <c r="AE281" s="775"/>
      <c r="AF281" s="425"/>
      <c r="AG281" s="425"/>
      <c r="AH281" s="425"/>
      <c r="AI281" s="425"/>
      <c r="AJ281" s="425"/>
      <c r="AK281" s="425"/>
      <c r="AL281" s="425"/>
      <c r="AM281" s="315"/>
    </row>
    <row r="282" spans="1:39" ht="15" outlineLevel="1">
      <c r="A282" s="516">
        <v>2</v>
      </c>
      <c r="B282" s="307" t="s">
        <v>2</v>
      </c>
      <c r="C282" s="304" t="s">
        <v>25</v>
      </c>
      <c r="D282" s="308">
        <f>'7.  Persistence Report'!AS72</f>
        <v>7758.2374369999998</v>
      </c>
      <c r="E282" s="308">
        <f>'7.  Persistence Report'!AT72</f>
        <v>7758.2374369999998</v>
      </c>
      <c r="F282" s="308">
        <f>'7.  Persistence Report'!AU72</f>
        <v>7758.2374369999998</v>
      </c>
      <c r="G282" s="308">
        <f>'7.  Persistence Report'!AV72</f>
        <v>7758.2374369999998</v>
      </c>
      <c r="H282" s="308">
        <f>'7.  Persistence Report'!AW72</f>
        <v>0</v>
      </c>
      <c r="I282" s="308">
        <f>'7.  Persistence Report'!AX72</f>
        <v>0</v>
      </c>
      <c r="J282" s="308">
        <f>'7.  Persistence Report'!AY72</f>
        <v>0</v>
      </c>
      <c r="K282" s="308">
        <f>'7.  Persistence Report'!AZ72</f>
        <v>0</v>
      </c>
      <c r="L282" s="308">
        <f>'7.  Persistence Report'!BA72</f>
        <v>0</v>
      </c>
      <c r="M282" s="308">
        <f>'7.  Persistence Report'!BB72</f>
        <v>0</v>
      </c>
      <c r="N282" s="763"/>
      <c r="O282" s="308">
        <f>'7.  Persistence Report'!N72</f>
        <v>4.3510760800000003</v>
      </c>
      <c r="P282" s="308">
        <f>'7.  Persistence Report'!O72</f>
        <v>4.3510760800000003</v>
      </c>
      <c r="Q282" s="308">
        <f>'7.  Persistence Report'!P72</f>
        <v>4.3510760800000003</v>
      </c>
      <c r="R282" s="308">
        <f>'7.  Persistence Report'!Q72</f>
        <v>4.3510760800000003</v>
      </c>
      <c r="S282" s="308">
        <f>'7.  Persistence Report'!R72</f>
        <v>0</v>
      </c>
      <c r="T282" s="308">
        <f>'7.  Persistence Report'!S72</f>
        <v>0</v>
      </c>
      <c r="U282" s="308">
        <f>'7.  Persistence Report'!T72</f>
        <v>0</v>
      </c>
      <c r="V282" s="308">
        <f>'7.  Persistence Report'!U72</f>
        <v>0</v>
      </c>
      <c r="W282" s="308">
        <f>'7.  Persistence Report'!V72</f>
        <v>0</v>
      </c>
      <c r="X282" s="308">
        <f>'7.  Persistence Report'!W72</f>
        <v>0</v>
      </c>
      <c r="Y282" s="772">
        <v>1</v>
      </c>
      <c r="Z282" s="772"/>
      <c r="AA282" s="772"/>
      <c r="AB282" s="772"/>
      <c r="AC282" s="772"/>
      <c r="AD282" s="772"/>
      <c r="AE282" s="772"/>
      <c r="AF282" s="422"/>
      <c r="AG282" s="422"/>
      <c r="AH282" s="422"/>
      <c r="AI282" s="422"/>
      <c r="AJ282" s="422"/>
      <c r="AK282" s="422"/>
      <c r="AL282" s="422"/>
      <c r="AM282" s="309">
        <f>SUM(Y282:AL282)</f>
        <v>1</v>
      </c>
    </row>
    <row r="283" spans="1:39" ht="15" outlineLevel="1">
      <c r="B283" s="307" t="s">
        <v>249</v>
      </c>
      <c r="C283" s="304" t="s">
        <v>163</v>
      </c>
      <c r="D283" s="308"/>
      <c r="E283" s="308"/>
      <c r="F283" s="308"/>
      <c r="G283" s="308"/>
      <c r="H283" s="308"/>
      <c r="I283" s="308"/>
      <c r="J283" s="308"/>
      <c r="K283" s="308"/>
      <c r="L283" s="308"/>
      <c r="M283" s="308"/>
      <c r="N283" s="764"/>
      <c r="O283" s="308"/>
      <c r="P283" s="308"/>
      <c r="Q283" s="308"/>
      <c r="R283" s="308"/>
      <c r="S283" s="308"/>
      <c r="T283" s="308"/>
      <c r="U283" s="308"/>
      <c r="V283" s="308"/>
      <c r="W283" s="308"/>
      <c r="X283" s="308"/>
      <c r="Y283" s="773">
        <f>Y282</f>
        <v>1</v>
      </c>
      <c r="Z283" s="773">
        <f>Z282</f>
        <v>0</v>
      </c>
      <c r="AA283" s="773">
        <f t="shared" ref="AA283:AE283" si="145">AA282</f>
        <v>0</v>
      </c>
      <c r="AB283" s="773">
        <f t="shared" si="145"/>
        <v>0</v>
      </c>
      <c r="AC283" s="773">
        <f t="shared" si="145"/>
        <v>0</v>
      </c>
      <c r="AD283" s="773">
        <f t="shared" si="145"/>
        <v>0</v>
      </c>
      <c r="AE283" s="773">
        <f t="shared" si="145"/>
        <v>0</v>
      </c>
      <c r="AF283" s="423">
        <f t="shared" ref="AF283:AL283" si="146">AF282</f>
        <v>0</v>
      </c>
      <c r="AG283" s="423">
        <f t="shared" si="146"/>
        <v>0</v>
      </c>
      <c r="AH283" s="423">
        <f t="shared" si="146"/>
        <v>0</v>
      </c>
      <c r="AI283" s="423">
        <f t="shared" si="146"/>
        <v>0</v>
      </c>
      <c r="AJ283" s="423">
        <f t="shared" si="146"/>
        <v>0</v>
      </c>
      <c r="AK283" s="423">
        <f t="shared" si="146"/>
        <v>0</v>
      </c>
      <c r="AL283" s="423">
        <f t="shared" si="146"/>
        <v>0</v>
      </c>
      <c r="AM283" s="310"/>
    </row>
    <row r="284" spans="1:39" ht="15.6" outlineLevel="1">
      <c r="A284" s="518"/>
      <c r="B284" s="311"/>
      <c r="C284" s="312"/>
      <c r="D284" s="766"/>
      <c r="E284" s="766"/>
      <c r="F284" s="766"/>
      <c r="G284" s="766"/>
      <c r="H284" s="766"/>
      <c r="I284" s="766"/>
      <c r="J284" s="766"/>
      <c r="K284" s="766"/>
      <c r="L284" s="766"/>
      <c r="M284" s="766"/>
      <c r="N284" s="316"/>
      <c r="O284" s="766"/>
      <c r="P284" s="766"/>
      <c r="Q284" s="766"/>
      <c r="R284" s="766"/>
      <c r="S284" s="766"/>
      <c r="T284" s="766"/>
      <c r="U284" s="766"/>
      <c r="V284" s="766"/>
      <c r="W284" s="766"/>
      <c r="X284" s="766"/>
      <c r="Y284" s="774"/>
      <c r="Z284" s="775"/>
      <c r="AA284" s="775"/>
      <c r="AB284" s="775"/>
      <c r="AC284" s="775"/>
      <c r="AD284" s="775"/>
      <c r="AE284" s="775"/>
      <c r="AF284" s="425"/>
      <c r="AG284" s="425"/>
      <c r="AH284" s="425"/>
      <c r="AI284" s="425"/>
      <c r="AJ284" s="425"/>
      <c r="AK284" s="425"/>
      <c r="AL284" s="425"/>
      <c r="AM284" s="315"/>
    </row>
    <row r="285" spans="1:39" ht="15" outlineLevel="1">
      <c r="A285" s="516">
        <v>3</v>
      </c>
      <c r="B285" s="307" t="s">
        <v>3</v>
      </c>
      <c r="C285" s="304" t="s">
        <v>25</v>
      </c>
      <c r="D285" s="308">
        <f>'7.  Persistence Report'!AS76</f>
        <v>164882.60492727099</v>
      </c>
      <c r="E285" s="308">
        <f>'7.  Persistence Report'!AT76</f>
        <v>164882.60492727099</v>
      </c>
      <c r="F285" s="308">
        <f>'7.  Persistence Report'!AU76</f>
        <v>164882.60492727099</v>
      </c>
      <c r="G285" s="308">
        <f>'7.  Persistence Report'!AV76</f>
        <v>164882.60492727099</v>
      </c>
      <c r="H285" s="308">
        <f>'7.  Persistence Report'!AW76</f>
        <v>164882.60492727099</v>
      </c>
      <c r="I285" s="308">
        <f>'7.  Persistence Report'!AX76</f>
        <v>164882.60492727099</v>
      </c>
      <c r="J285" s="308">
        <f>'7.  Persistence Report'!AY76</f>
        <v>164882.60492727099</v>
      </c>
      <c r="K285" s="308">
        <f>'7.  Persistence Report'!AZ76</f>
        <v>164882.60492727099</v>
      </c>
      <c r="L285" s="308">
        <f>'7.  Persistence Report'!BA76</f>
        <v>164882.60492727099</v>
      </c>
      <c r="M285" s="308">
        <f>'7.  Persistence Report'!BB76</f>
        <v>164882.60492727099</v>
      </c>
      <c r="N285" s="763"/>
      <c r="O285" s="308">
        <f>'7.  Persistence Report'!N76</f>
        <v>97.219324766</v>
      </c>
      <c r="P285" s="308">
        <f>'7.  Persistence Report'!O76</f>
        <v>97.219324766</v>
      </c>
      <c r="Q285" s="308">
        <f>'7.  Persistence Report'!P76</f>
        <v>97.219324766</v>
      </c>
      <c r="R285" s="308">
        <f>'7.  Persistence Report'!Q76</f>
        <v>97.219324766</v>
      </c>
      <c r="S285" s="308">
        <f>'7.  Persistence Report'!R76</f>
        <v>97.219324766</v>
      </c>
      <c r="T285" s="308">
        <f>'7.  Persistence Report'!S76</f>
        <v>97.219324766</v>
      </c>
      <c r="U285" s="308">
        <f>'7.  Persistence Report'!T76</f>
        <v>97.219324766</v>
      </c>
      <c r="V285" s="308">
        <f>'7.  Persistence Report'!U76</f>
        <v>97.219324766</v>
      </c>
      <c r="W285" s="308">
        <f>'7.  Persistence Report'!V76</f>
        <v>97.219324766</v>
      </c>
      <c r="X285" s="308">
        <f>'7.  Persistence Report'!W76</f>
        <v>97.219324766</v>
      </c>
      <c r="Y285" s="772">
        <v>1</v>
      </c>
      <c r="Z285" s="772"/>
      <c r="AA285" s="772"/>
      <c r="AB285" s="772"/>
      <c r="AC285" s="772"/>
      <c r="AD285" s="772"/>
      <c r="AE285" s="772"/>
      <c r="AF285" s="422"/>
      <c r="AG285" s="422"/>
      <c r="AH285" s="422"/>
      <c r="AI285" s="422"/>
      <c r="AJ285" s="422"/>
      <c r="AK285" s="422"/>
      <c r="AL285" s="422"/>
      <c r="AM285" s="309">
        <f>SUM(Y285:AL285)</f>
        <v>1</v>
      </c>
    </row>
    <row r="286" spans="1:39" ht="15" outlineLevel="1">
      <c r="B286" s="307" t="s">
        <v>249</v>
      </c>
      <c r="C286" s="304" t="s">
        <v>163</v>
      </c>
      <c r="D286" s="308">
        <f>'7.  Persistence Report'!AS83</f>
        <v>9701.8248294900004</v>
      </c>
      <c r="E286" s="308">
        <f>'7.  Persistence Report'!AT83</f>
        <v>9701.8248294900004</v>
      </c>
      <c r="F286" s="308">
        <f>'7.  Persistence Report'!AU83</f>
        <v>9701.8248294900004</v>
      </c>
      <c r="G286" s="308">
        <f>'7.  Persistence Report'!AV83</f>
        <v>9701.8248294900004</v>
      </c>
      <c r="H286" s="308">
        <f>'7.  Persistence Report'!AW83</f>
        <v>9701.8248294900004</v>
      </c>
      <c r="I286" s="308">
        <f>'7.  Persistence Report'!AX83</f>
        <v>9701.8248294900004</v>
      </c>
      <c r="J286" s="308">
        <f>'7.  Persistence Report'!AY83</f>
        <v>9701.8248294900004</v>
      </c>
      <c r="K286" s="308">
        <f>'7.  Persistence Report'!AZ83</f>
        <v>9701.8248294900004</v>
      </c>
      <c r="L286" s="308">
        <f>'7.  Persistence Report'!BA83</f>
        <v>9701.8248294900004</v>
      </c>
      <c r="M286" s="308">
        <f>'7.  Persistence Report'!BB83</f>
        <v>9701.8248294900004</v>
      </c>
      <c r="N286" s="764"/>
      <c r="O286" s="308">
        <f>'7.  Persistence Report'!N83</f>
        <v>5.613266962</v>
      </c>
      <c r="P286" s="308">
        <f>'7.  Persistence Report'!O83</f>
        <v>5.613266962</v>
      </c>
      <c r="Q286" s="308">
        <f>'7.  Persistence Report'!P83</f>
        <v>5.613266962</v>
      </c>
      <c r="R286" s="308">
        <f>'7.  Persistence Report'!Q83</f>
        <v>5.613266962</v>
      </c>
      <c r="S286" s="308">
        <f>'7.  Persistence Report'!R83</f>
        <v>5.613266962</v>
      </c>
      <c r="T286" s="308">
        <f>'7.  Persistence Report'!S83</f>
        <v>5.613266962</v>
      </c>
      <c r="U286" s="308">
        <f>'7.  Persistence Report'!T83</f>
        <v>5.613266962</v>
      </c>
      <c r="V286" s="308">
        <f>'7.  Persistence Report'!U83</f>
        <v>5.613266962</v>
      </c>
      <c r="W286" s="308">
        <f>'7.  Persistence Report'!V83</f>
        <v>5.613266962</v>
      </c>
      <c r="X286" s="308">
        <f>'7.  Persistence Report'!W83</f>
        <v>5.613266962</v>
      </c>
      <c r="Y286" s="773">
        <f>Y285</f>
        <v>1</v>
      </c>
      <c r="Z286" s="773">
        <f>Z285</f>
        <v>0</v>
      </c>
      <c r="AA286" s="773">
        <f t="shared" ref="AA286:AE286" si="147">AA285</f>
        <v>0</v>
      </c>
      <c r="AB286" s="773">
        <f t="shared" si="147"/>
        <v>0</v>
      </c>
      <c r="AC286" s="773">
        <f t="shared" si="147"/>
        <v>0</v>
      </c>
      <c r="AD286" s="773">
        <f t="shared" si="147"/>
        <v>0</v>
      </c>
      <c r="AE286" s="773">
        <f t="shared" si="147"/>
        <v>0</v>
      </c>
      <c r="AF286" s="423">
        <f t="shared" ref="AF286:AL286" si="148">AF285</f>
        <v>0</v>
      </c>
      <c r="AG286" s="423">
        <f t="shared" si="148"/>
        <v>0</v>
      </c>
      <c r="AH286" s="423">
        <f t="shared" si="148"/>
        <v>0</v>
      </c>
      <c r="AI286" s="423">
        <f t="shared" si="148"/>
        <v>0</v>
      </c>
      <c r="AJ286" s="423">
        <f t="shared" si="148"/>
        <v>0</v>
      </c>
      <c r="AK286" s="423">
        <f t="shared" si="148"/>
        <v>0</v>
      </c>
      <c r="AL286" s="423">
        <f t="shared" si="148"/>
        <v>0</v>
      </c>
      <c r="AM286" s="310"/>
    </row>
    <row r="287" spans="1:39" ht="15" outlineLevel="1">
      <c r="B287" s="307"/>
      <c r="C287" s="318"/>
      <c r="D287" s="763"/>
      <c r="E287" s="763"/>
      <c r="F287" s="763"/>
      <c r="G287" s="763"/>
      <c r="H287" s="763"/>
      <c r="I287" s="763"/>
      <c r="J287" s="763"/>
      <c r="K287" s="763"/>
      <c r="L287" s="763"/>
      <c r="M287" s="763"/>
      <c r="N287" s="296"/>
      <c r="O287" s="763"/>
      <c r="P287" s="763"/>
      <c r="Q287" s="763"/>
      <c r="R287" s="763"/>
      <c r="S287" s="763"/>
      <c r="T287" s="763"/>
      <c r="U287" s="763"/>
      <c r="V287" s="763"/>
      <c r="W287" s="763"/>
      <c r="X287" s="763"/>
      <c r="Y287" s="774"/>
      <c r="Z287" s="774"/>
      <c r="AA287" s="774"/>
      <c r="AB287" s="774"/>
      <c r="AC287" s="774"/>
      <c r="AD287" s="774"/>
      <c r="AE287" s="774"/>
      <c r="AF287" s="424"/>
      <c r="AG287" s="424"/>
      <c r="AH287" s="424"/>
      <c r="AI287" s="424"/>
      <c r="AJ287" s="424"/>
      <c r="AK287" s="424"/>
      <c r="AL287" s="424"/>
      <c r="AM287" s="319"/>
    </row>
    <row r="288" spans="1:39" ht="15" outlineLevel="1">
      <c r="A288" s="516">
        <v>4</v>
      </c>
      <c r="B288" s="307" t="s">
        <v>4</v>
      </c>
      <c r="C288" s="304" t="s">
        <v>25</v>
      </c>
      <c r="D288" s="308">
        <f>'7.  Persistence Report'!AS71</f>
        <v>42197.034117946998</v>
      </c>
      <c r="E288" s="308">
        <f>'7.  Persistence Report'!AT71</f>
        <v>42197.034117946998</v>
      </c>
      <c r="F288" s="308">
        <f>'7.  Persistence Report'!AU71</f>
        <v>40570.934375088997</v>
      </c>
      <c r="G288" s="308">
        <f>'7.  Persistence Report'!AV71</f>
        <v>34371.953674465003</v>
      </c>
      <c r="H288" s="308">
        <f>'7.  Persistence Report'!AW71</f>
        <v>34371.953674465003</v>
      </c>
      <c r="I288" s="308">
        <f>'7.  Persistence Report'!AX71</f>
        <v>34371.953674465003</v>
      </c>
      <c r="J288" s="308">
        <f>'7.  Persistence Report'!AY71</f>
        <v>34371.953674465003</v>
      </c>
      <c r="K288" s="308">
        <f>'7.  Persistence Report'!AZ71</f>
        <v>34343.308258609002</v>
      </c>
      <c r="L288" s="308">
        <f>'7.  Persistence Report'!BA71</f>
        <v>24973.357596730999</v>
      </c>
      <c r="M288" s="308">
        <f>'7.  Persistence Report'!BB71</f>
        <v>24973.357596730999</v>
      </c>
      <c r="N288" s="763"/>
      <c r="O288" s="308">
        <f>'7.  Persistence Report'!N71</f>
        <v>2.8281782359999998</v>
      </c>
      <c r="P288" s="308">
        <f>'7.  Persistence Report'!O71</f>
        <v>2.8281782359999998</v>
      </c>
      <c r="Q288" s="308">
        <f>'7.  Persistence Report'!P71</f>
        <v>2.7260960860000001</v>
      </c>
      <c r="R288" s="308">
        <f>'7.  Persistence Report'!Q71</f>
        <v>2.3369408209999998</v>
      </c>
      <c r="S288" s="308">
        <f>'7.  Persistence Report'!R71</f>
        <v>2.3369408209999998</v>
      </c>
      <c r="T288" s="308">
        <f>'7.  Persistence Report'!S71</f>
        <v>2.3369408209999998</v>
      </c>
      <c r="U288" s="308">
        <f>'7.  Persistence Report'!T71</f>
        <v>2.3369408209999998</v>
      </c>
      <c r="V288" s="308">
        <f>'7.  Persistence Report'!U71</f>
        <v>2.3336707959999998</v>
      </c>
      <c r="W288" s="308">
        <f>'7.  Persistence Report'!V71</f>
        <v>1.745450602</v>
      </c>
      <c r="X288" s="308">
        <f>'7.  Persistence Report'!W71</f>
        <v>1.745450602</v>
      </c>
      <c r="Y288" s="772">
        <v>1</v>
      </c>
      <c r="Z288" s="772"/>
      <c r="AA288" s="772"/>
      <c r="AB288" s="772"/>
      <c r="AC288" s="772"/>
      <c r="AD288" s="772"/>
      <c r="AE288" s="772"/>
      <c r="AF288" s="422"/>
      <c r="AG288" s="422"/>
      <c r="AH288" s="422"/>
      <c r="AI288" s="422"/>
      <c r="AJ288" s="422"/>
      <c r="AK288" s="422"/>
      <c r="AL288" s="422"/>
      <c r="AM288" s="309">
        <f>SUM(Y288:AL288)</f>
        <v>1</v>
      </c>
    </row>
    <row r="289" spans="1:39" ht="15" outlineLevel="1">
      <c r="B289" s="307" t="s">
        <v>249</v>
      </c>
      <c r="C289" s="304" t="s">
        <v>163</v>
      </c>
      <c r="D289" s="308">
        <f>'7.  Persistence Report'!AS81</f>
        <v>129</v>
      </c>
      <c r="E289" s="308">
        <f>'7.  Persistence Report'!AT81</f>
        <v>129</v>
      </c>
      <c r="F289" s="308">
        <f>'7.  Persistence Report'!AU81</f>
        <v>123</v>
      </c>
      <c r="G289" s="308">
        <f>'7.  Persistence Report'!AV81</f>
        <v>106</v>
      </c>
      <c r="H289" s="308">
        <f>'7.  Persistence Report'!AW81</f>
        <v>106</v>
      </c>
      <c r="I289" s="308">
        <f>'7.  Persistence Report'!AX81</f>
        <v>106</v>
      </c>
      <c r="J289" s="308">
        <f>'7.  Persistence Report'!AY81</f>
        <v>106</v>
      </c>
      <c r="K289" s="308">
        <f>'7.  Persistence Report'!AZ81</f>
        <v>106</v>
      </c>
      <c r="L289" s="308">
        <f>'7.  Persistence Report'!BA81</f>
        <v>89</v>
      </c>
      <c r="M289" s="308">
        <f>'7.  Persistence Report'!BB81</f>
        <v>89</v>
      </c>
      <c r="N289" s="764"/>
      <c r="O289" s="308">
        <f>'7.  Persistence Report'!N81</f>
        <v>8.9999999999999993E-3</v>
      </c>
      <c r="P289" s="308">
        <f>'7.  Persistence Report'!O81</f>
        <v>8.9999999999999993E-3</v>
      </c>
      <c r="Q289" s="308">
        <f>'7.  Persistence Report'!P81</f>
        <v>8.9999999999999993E-3</v>
      </c>
      <c r="R289" s="308">
        <f>'7.  Persistence Report'!Q81</f>
        <v>8.0000000000000002E-3</v>
      </c>
      <c r="S289" s="308">
        <f>'7.  Persistence Report'!R81</f>
        <v>8.0000000000000002E-3</v>
      </c>
      <c r="T289" s="308">
        <f>'7.  Persistence Report'!S81</f>
        <v>8.0000000000000002E-3</v>
      </c>
      <c r="U289" s="308">
        <f>'7.  Persistence Report'!T81</f>
        <v>8.0000000000000002E-3</v>
      </c>
      <c r="V289" s="308">
        <f>'7.  Persistence Report'!U81</f>
        <v>8.0000000000000002E-3</v>
      </c>
      <c r="W289" s="308">
        <f>'7.  Persistence Report'!V81</f>
        <v>7.0000000000000001E-3</v>
      </c>
      <c r="X289" s="308">
        <f>'7.  Persistence Report'!W81</f>
        <v>7.0000000000000001E-3</v>
      </c>
      <c r="Y289" s="773">
        <f>Y288</f>
        <v>1</v>
      </c>
      <c r="Z289" s="773">
        <f>Z288</f>
        <v>0</v>
      </c>
      <c r="AA289" s="773">
        <f t="shared" ref="AA289:AE289" si="149">AA288</f>
        <v>0</v>
      </c>
      <c r="AB289" s="773">
        <f t="shared" si="149"/>
        <v>0</v>
      </c>
      <c r="AC289" s="773">
        <f t="shared" si="149"/>
        <v>0</v>
      </c>
      <c r="AD289" s="773">
        <f t="shared" si="149"/>
        <v>0</v>
      </c>
      <c r="AE289" s="773">
        <f t="shared" si="149"/>
        <v>0</v>
      </c>
      <c r="AF289" s="423">
        <f t="shared" ref="AF289:AL289" si="150">AF288</f>
        <v>0</v>
      </c>
      <c r="AG289" s="423">
        <f t="shared" si="150"/>
        <v>0</v>
      </c>
      <c r="AH289" s="423">
        <f t="shared" si="150"/>
        <v>0</v>
      </c>
      <c r="AI289" s="423">
        <f t="shared" si="150"/>
        <v>0</v>
      </c>
      <c r="AJ289" s="423">
        <f t="shared" si="150"/>
        <v>0</v>
      </c>
      <c r="AK289" s="423">
        <f t="shared" si="150"/>
        <v>0</v>
      </c>
      <c r="AL289" s="423">
        <f t="shared" si="150"/>
        <v>0</v>
      </c>
      <c r="AM289" s="310"/>
    </row>
    <row r="290" spans="1:39" ht="15" outlineLevel="1">
      <c r="B290" s="307"/>
      <c r="C290" s="318"/>
      <c r="D290" s="766"/>
      <c r="E290" s="766"/>
      <c r="F290" s="766"/>
      <c r="G290" s="766"/>
      <c r="H290" s="766"/>
      <c r="I290" s="766"/>
      <c r="J290" s="766"/>
      <c r="K290" s="766"/>
      <c r="L290" s="766"/>
      <c r="M290" s="766"/>
      <c r="N290" s="763"/>
      <c r="O290" s="766"/>
      <c r="P290" s="766"/>
      <c r="Q290" s="766"/>
      <c r="R290" s="766"/>
      <c r="S290" s="766"/>
      <c r="T290" s="766"/>
      <c r="U290" s="766"/>
      <c r="V290" s="766"/>
      <c r="W290" s="766"/>
      <c r="X290" s="766"/>
      <c r="Y290" s="774"/>
      <c r="Z290" s="774"/>
      <c r="AA290" s="774"/>
      <c r="AB290" s="774"/>
      <c r="AC290" s="774"/>
      <c r="AD290" s="774"/>
      <c r="AE290" s="774"/>
      <c r="AF290" s="424"/>
      <c r="AG290" s="424"/>
      <c r="AH290" s="424"/>
      <c r="AI290" s="424"/>
      <c r="AJ290" s="424"/>
      <c r="AK290" s="424"/>
      <c r="AL290" s="424"/>
      <c r="AM290" s="319"/>
    </row>
    <row r="291" spans="1:39" ht="15" outlineLevel="1">
      <c r="A291" s="516">
        <v>5</v>
      </c>
      <c r="B291" s="307" t="s">
        <v>5</v>
      </c>
      <c r="C291" s="304" t="s">
        <v>25</v>
      </c>
      <c r="D291" s="308"/>
      <c r="E291" s="308"/>
      <c r="F291" s="308"/>
      <c r="G291" s="308"/>
      <c r="H291" s="308"/>
      <c r="I291" s="308"/>
      <c r="J291" s="308"/>
      <c r="K291" s="308"/>
      <c r="L291" s="308"/>
      <c r="M291" s="308"/>
      <c r="N291" s="763"/>
      <c r="O291" s="308"/>
      <c r="P291" s="308"/>
      <c r="Q291" s="308"/>
      <c r="R291" s="308"/>
      <c r="S291" s="308"/>
      <c r="T291" s="308"/>
      <c r="U291" s="308"/>
      <c r="V291" s="308"/>
      <c r="W291" s="308"/>
      <c r="X291" s="308"/>
      <c r="Y291" s="772"/>
      <c r="Z291" s="772"/>
      <c r="AA291" s="772"/>
      <c r="AB291" s="772"/>
      <c r="AC291" s="772"/>
      <c r="AD291" s="772"/>
      <c r="AE291" s="772"/>
      <c r="AF291" s="422"/>
      <c r="AG291" s="422"/>
      <c r="AH291" s="422"/>
      <c r="AI291" s="422"/>
      <c r="AJ291" s="422"/>
      <c r="AK291" s="422"/>
      <c r="AL291" s="422"/>
      <c r="AM291" s="309">
        <f>SUM(Y291:AL291)</f>
        <v>0</v>
      </c>
    </row>
    <row r="292" spans="1:39" ht="15" outlineLevel="1">
      <c r="B292" s="307" t="s">
        <v>249</v>
      </c>
      <c r="C292" s="304" t="s">
        <v>163</v>
      </c>
      <c r="D292" s="308"/>
      <c r="E292" s="308"/>
      <c r="F292" s="308"/>
      <c r="G292" s="308"/>
      <c r="H292" s="308"/>
      <c r="I292" s="308"/>
      <c r="J292" s="308"/>
      <c r="K292" s="308"/>
      <c r="L292" s="308"/>
      <c r="M292" s="308"/>
      <c r="N292" s="764"/>
      <c r="O292" s="308"/>
      <c r="P292" s="308"/>
      <c r="Q292" s="308"/>
      <c r="R292" s="308"/>
      <c r="S292" s="308"/>
      <c r="T292" s="308"/>
      <c r="U292" s="308"/>
      <c r="V292" s="308"/>
      <c r="W292" s="308"/>
      <c r="X292" s="308"/>
      <c r="Y292" s="773">
        <f>Y291</f>
        <v>0</v>
      </c>
      <c r="Z292" s="773">
        <f>Z291</f>
        <v>0</v>
      </c>
      <c r="AA292" s="773">
        <f t="shared" ref="AA292:AE292" si="151">AA291</f>
        <v>0</v>
      </c>
      <c r="AB292" s="773">
        <f t="shared" si="151"/>
        <v>0</v>
      </c>
      <c r="AC292" s="773">
        <f t="shared" si="151"/>
        <v>0</v>
      </c>
      <c r="AD292" s="773">
        <f t="shared" si="151"/>
        <v>0</v>
      </c>
      <c r="AE292" s="773">
        <f t="shared" si="151"/>
        <v>0</v>
      </c>
      <c r="AF292" s="423">
        <f t="shared" ref="AF292:AL292" si="152">AF291</f>
        <v>0</v>
      </c>
      <c r="AG292" s="423">
        <f t="shared" si="152"/>
        <v>0</v>
      </c>
      <c r="AH292" s="423">
        <f t="shared" si="152"/>
        <v>0</v>
      </c>
      <c r="AI292" s="423">
        <f t="shared" si="152"/>
        <v>0</v>
      </c>
      <c r="AJ292" s="423">
        <f t="shared" si="152"/>
        <v>0</v>
      </c>
      <c r="AK292" s="423">
        <f t="shared" si="152"/>
        <v>0</v>
      </c>
      <c r="AL292" s="423">
        <f t="shared" si="152"/>
        <v>0</v>
      </c>
      <c r="AM292" s="310"/>
    </row>
    <row r="293" spans="1:39" ht="15" outlineLevel="1">
      <c r="B293" s="307"/>
      <c r="C293" s="318"/>
      <c r="D293" s="766"/>
      <c r="E293" s="766"/>
      <c r="F293" s="766"/>
      <c r="G293" s="766"/>
      <c r="H293" s="766"/>
      <c r="I293" s="766"/>
      <c r="J293" s="766"/>
      <c r="K293" s="766"/>
      <c r="L293" s="766"/>
      <c r="M293" s="766"/>
      <c r="N293" s="763"/>
      <c r="O293" s="766"/>
      <c r="P293" s="766"/>
      <c r="Q293" s="766"/>
      <c r="R293" s="766"/>
      <c r="S293" s="766"/>
      <c r="T293" s="766"/>
      <c r="U293" s="766"/>
      <c r="V293" s="766"/>
      <c r="W293" s="766"/>
      <c r="X293" s="766"/>
      <c r="Y293" s="774"/>
      <c r="Z293" s="774"/>
      <c r="AA293" s="774"/>
      <c r="AB293" s="774"/>
      <c r="AC293" s="774"/>
      <c r="AD293" s="774"/>
      <c r="AE293" s="774"/>
      <c r="AF293" s="424"/>
      <c r="AG293" s="424"/>
      <c r="AH293" s="424"/>
      <c r="AI293" s="424"/>
      <c r="AJ293" s="424"/>
      <c r="AK293" s="424"/>
      <c r="AL293" s="424"/>
      <c r="AM293" s="319"/>
    </row>
    <row r="294" spans="1:39" ht="15" outlineLevel="1">
      <c r="A294" s="516">
        <v>6</v>
      </c>
      <c r="B294" s="307" t="s">
        <v>6</v>
      </c>
      <c r="C294" s="304" t="s">
        <v>25</v>
      </c>
      <c r="D294" s="308"/>
      <c r="E294" s="308"/>
      <c r="F294" s="308"/>
      <c r="G294" s="308"/>
      <c r="H294" s="308"/>
      <c r="I294" s="308"/>
      <c r="J294" s="308"/>
      <c r="K294" s="308"/>
      <c r="L294" s="308"/>
      <c r="M294" s="308"/>
      <c r="N294" s="763"/>
      <c r="O294" s="308"/>
      <c r="P294" s="308"/>
      <c r="Q294" s="308"/>
      <c r="R294" s="308"/>
      <c r="S294" s="308"/>
      <c r="T294" s="308"/>
      <c r="U294" s="308"/>
      <c r="V294" s="308"/>
      <c r="W294" s="308"/>
      <c r="X294" s="308"/>
      <c r="Y294" s="772"/>
      <c r="Z294" s="772"/>
      <c r="AA294" s="772"/>
      <c r="AB294" s="772"/>
      <c r="AC294" s="772"/>
      <c r="AD294" s="772"/>
      <c r="AE294" s="772"/>
      <c r="AF294" s="422"/>
      <c r="AG294" s="422"/>
      <c r="AH294" s="422"/>
      <c r="AI294" s="422"/>
      <c r="AJ294" s="422"/>
      <c r="AK294" s="422"/>
      <c r="AL294" s="422"/>
      <c r="AM294" s="309">
        <f>SUM(Y294:AL294)</f>
        <v>0</v>
      </c>
    </row>
    <row r="295" spans="1:39" ht="15" outlineLevel="1">
      <c r="B295" s="307" t="s">
        <v>249</v>
      </c>
      <c r="C295" s="304" t="s">
        <v>163</v>
      </c>
      <c r="D295" s="308"/>
      <c r="E295" s="308"/>
      <c r="F295" s="308"/>
      <c r="G295" s="308"/>
      <c r="H295" s="308"/>
      <c r="I295" s="308"/>
      <c r="J295" s="308"/>
      <c r="K295" s="308"/>
      <c r="L295" s="308"/>
      <c r="M295" s="308"/>
      <c r="N295" s="764"/>
      <c r="O295" s="308"/>
      <c r="P295" s="308"/>
      <c r="Q295" s="308"/>
      <c r="R295" s="308"/>
      <c r="S295" s="308"/>
      <c r="T295" s="308"/>
      <c r="U295" s="308"/>
      <c r="V295" s="308"/>
      <c r="W295" s="308"/>
      <c r="X295" s="308"/>
      <c r="Y295" s="773">
        <f>Y294</f>
        <v>0</v>
      </c>
      <c r="Z295" s="773">
        <f>Z294</f>
        <v>0</v>
      </c>
      <c r="AA295" s="773">
        <f t="shared" ref="AA295:AE295" si="153">AA294</f>
        <v>0</v>
      </c>
      <c r="AB295" s="773">
        <f t="shared" si="153"/>
        <v>0</v>
      </c>
      <c r="AC295" s="773">
        <f t="shared" si="153"/>
        <v>0</v>
      </c>
      <c r="AD295" s="773">
        <f t="shared" si="153"/>
        <v>0</v>
      </c>
      <c r="AE295" s="773">
        <f t="shared" si="153"/>
        <v>0</v>
      </c>
      <c r="AF295" s="423">
        <f t="shared" ref="AF295:AL295" si="154">AF294</f>
        <v>0</v>
      </c>
      <c r="AG295" s="423">
        <f t="shared" si="154"/>
        <v>0</v>
      </c>
      <c r="AH295" s="423">
        <f t="shared" si="154"/>
        <v>0</v>
      </c>
      <c r="AI295" s="423">
        <f t="shared" si="154"/>
        <v>0</v>
      </c>
      <c r="AJ295" s="423">
        <f t="shared" si="154"/>
        <v>0</v>
      </c>
      <c r="AK295" s="423">
        <f t="shared" si="154"/>
        <v>0</v>
      </c>
      <c r="AL295" s="423">
        <f t="shared" si="154"/>
        <v>0</v>
      </c>
      <c r="AM295" s="310"/>
    </row>
    <row r="296" spans="1:39" ht="15" outlineLevel="1">
      <c r="B296" s="307"/>
      <c r="C296" s="318"/>
      <c r="D296" s="766"/>
      <c r="E296" s="766"/>
      <c r="F296" s="766"/>
      <c r="G296" s="766"/>
      <c r="H296" s="766"/>
      <c r="I296" s="766"/>
      <c r="J296" s="766"/>
      <c r="K296" s="766"/>
      <c r="L296" s="766"/>
      <c r="M296" s="766"/>
      <c r="N296" s="763"/>
      <c r="O296" s="766"/>
      <c r="P296" s="766"/>
      <c r="Q296" s="766"/>
      <c r="R296" s="766"/>
      <c r="S296" s="766"/>
      <c r="T296" s="766"/>
      <c r="U296" s="766"/>
      <c r="V296" s="766"/>
      <c r="W296" s="766"/>
      <c r="X296" s="766"/>
      <c r="Y296" s="774"/>
      <c r="Z296" s="774"/>
      <c r="AA296" s="774"/>
      <c r="AB296" s="774"/>
      <c r="AC296" s="774"/>
      <c r="AD296" s="774"/>
      <c r="AE296" s="774"/>
      <c r="AF296" s="424"/>
      <c r="AG296" s="424"/>
      <c r="AH296" s="424"/>
      <c r="AI296" s="424"/>
      <c r="AJ296" s="424"/>
      <c r="AK296" s="424"/>
      <c r="AL296" s="424"/>
      <c r="AM296" s="319"/>
    </row>
    <row r="297" spans="1:39" ht="15" outlineLevel="1">
      <c r="A297" s="516">
        <v>7</v>
      </c>
      <c r="B297" s="307" t="s">
        <v>42</v>
      </c>
      <c r="C297" s="304" t="s">
        <v>25</v>
      </c>
      <c r="D297" s="308"/>
      <c r="E297" s="308"/>
      <c r="F297" s="308"/>
      <c r="G297" s="308"/>
      <c r="H297" s="308"/>
      <c r="I297" s="308"/>
      <c r="J297" s="308"/>
      <c r="K297" s="308"/>
      <c r="L297" s="308"/>
      <c r="M297" s="308"/>
      <c r="N297" s="763"/>
      <c r="O297" s="308"/>
      <c r="P297" s="308"/>
      <c r="Q297" s="308"/>
      <c r="R297" s="308"/>
      <c r="S297" s="308"/>
      <c r="T297" s="308"/>
      <c r="U297" s="308"/>
      <c r="V297" s="308"/>
      <c r="W297" s="308"/>
      <c r="X297" s="308"/>
      <c r="Y297" s="772"/>
      <c r="Z297" s="772"/>
      <c r="AA297" s="772"/>
      <c r="AB297" s="772"/>
      <c r="AC297" s="772"/>
      <c r="AD297" s="772"/>
      <c r="AE297" s="772"/>
      <c r="AF297" s="422"/>
      <c r="AG297" s="422"/>
      <c r="AH297" s="422"/>
      <c r="AI297" s="422"/>
      <c r="AJ297" s="422"/>
      <c r="AK297" s="422"/>
      <c r="AL297" s="422"/>
      <c r="AM297" s="309">
        <f>SUM(Y297:AL297)</f>
        <v>0</v>
      </c>
    </row>
    <row r="298" spans="1:39" ht="15" outlineLevel="1">
      <c r="B298" s="307" t="s">
        <v>249</v>
      </c>
      <c r="C298" s="304" t="s">
        <v>163</v>
      </c>
      <c r="D298" s="308"/>
      <c r="E298" s="308"/>
      <c r="F298" s="308"/>
      <c r="G298" s="308"/>
      <c r="H298" s="308"/>
      <c r="I298" s="308"/>
      <c r="J298" s="308"/>
      <c r="K298" s="308"/>
      <c r="L298" s="308"/>
      <c r="M298" s="308"/>
      <c r="N298" s="763"/>
      <c r="O298" s="308"/>
      <c r="P298" s="308"/>
      <c r="Q298" s="308"/>
      <c r="R298" s="308"/>
      <c r="S298" s="308"/>
      <c r="T298" s="308"/>
      <c r="U298" s="308"/>
      <c r="V298" s="308"/>
      <c r="W298" s="308"/>
      <c r="X298" s="308"/>
      <c r="Y298" s="773">
        <f>Y297</f>
        <v>0</v>
      </c>
      <c r="Z298" s="773">
        <f>Z297</f>
        <v>0</v>
      </c>
      <c r="AA298" s="773">
        <f t="shared" ref="AA298:AE298" si="155">AA297</f>
        <v>0</v>
      </c>
      <c r="AB298" s="773">
        <f t="shared" si="155"/>
        <v>0</v>
      </c>
      <c r="AC298" s="773">
        <f t="shared" si="155"/>
        <v>0</v>
      </c>
      <c r="AD298" s="773">
        <f t="shared" si="155"/>
        <v>0</v>
      </c>
      <c r="AE298" s="773">
        <f t="shared" si="155"/>
        <v>0</v>
      </c>
      <c r="AF298" s="423">
        <f t="shared" ref="AF298:AL298" si="156">AF297</f>
        <v>0</v>
      </c>
      <c r="AG298" s="423">
        <f t="shared" si="156"/>
        <v>0</v>
      </c>
      <c r="AH298" s="423">
        <f t="shared" si="156"/>
        <v>0</v>
      </c>
      <c r="AI298" s="423">
        <f t="shared" si="156"/>
        <v>0</v>
      </c>
      <c r="AJ298" s="423">
        <f t="shared" si="156"/>
        <v>0</v>
      </c>
      <c r="AK298" s="423">
        <f t="shared" si="156"/>
        <v>0</v>
      </c>
      <c r="AL298" s="423">
        <f t="shared" si="156"/>
        <v>0</v>
      </c>
      <c r="AM298" s="310"/>
    </row>
    <row r="299" spans="1:39" ht="15" outlineLevel="1">
      <c r="B299" s="307"/>
      <c r="C299" s="318"/>
      <c r="D299" s="766"/>
      <c r="E299" s="766"/>
      <c r="F299" s="766"/>
      <c r="G299" s="766"/>
      <c r="H299" s="766"/>
      <c r="I299" s="766"/>
      <c r="J299" s="766"/>
      <c r="K299" s="766"/>
      <c r="L299" s="766"/>
      <c r="M299" s="766"/>
      <c r="N299" s="763"/>
      <c r="O299" s="766"/>
      <c r="P299" s="766"/>
      <c r="Q299" s="766"/>
      <c r="R299" s="766"/>
      <c r="S299" s="766"/>
      <c r="T299" s="766"/>
      <c r="U299" s="766"/>
      <c r="V299" s="766"/>
      <c r="W299" s="766"/>
      <c r="X299" s="766"/>
      <c r="Y299" s="774"/>
      <c r="Z299" s="774"/>
      <c r="AA299" s="774"/>
      <c r="AB299" s="774"/>
      <c r="AC299" s="774"/>
      <c r="AD299" s="774"/>
      <c r="AE299" s="774"/>
      <c r="AF299" s="424"/>
      <c r="AG299" s="424"/>
      <c r="AH299" s="424"/>
      <c r="AI299" s="424"/>
      <c r="AJ299" s="424"/>
      <c r="AK299" s="424"/>
      <c r="AL299" s="424"/>
      <c r="AM299" s="319"/>
    </row>
    <row r="300" spans="1:39" s="296" customFormat="1" ht="15" outlineLevel="1">
      <c r="A300" s="516">
        <v>8</v>
      </c>
      <c r="B300" s="307" t="s">
        <v>484</v>
      </c>
      <c r="C300" s="304" t="s">
        <v>25</v>
      </c>
      <c r="D300" s="308"/>
      <c r="E300" s="308"/>
      <c r="F300" s="308"/>
      <c r="G300" s="308"/>
      <c r="H300" s="308"/>
      <c r="I300" s="308"/>
      <c r="J300" s="308"/>
      <c r="K300" s="308"/>
      <c r="L300" s="308"/>
      <c r="M300" s="308"/>
      <c r="N300" s="763"/>
      <c r="O300" s="308"/>
      <c r="P300" s="308"/>
      <c r="Q300" s="308"/>
      <c r="R300" s="308"/>
      <c r="S300" s="308"/>
      <c r="T300" s="308"/>
      <c r="U300" s="308"/>
      <c r="V300" s="308"/>
      <c r="W300" s="308"/>
      <c r="X300" s="308"/>
      <c r="Y300" s="772"/>
      <c r="Z300" s="772"/>
      <c r="AA300" s="772"/>
      <c r="AB300" s="772"/>
      <c r="AC300" s="772"/>
      <c r="AD300" s="772"/>
      <c r="AE300" s="772"/>
      <c r="AF300" s="422"/>
      <c r="AG300" s="422"/>
      <c r="AH300" s="422"/>
      <c r="AI300" s="422"/>
      <c r="AJ300" s="422"/>
      <c r="AK300" s="422"/>
      <c r="AL300" s="422"/>
      <c r="AM300" s="309">
        <f>SUM(Y300:AL300)</f>
        <v>0</v>
      </c>
    </row>
    <row r="301" spans="1:39" s="296" customFormat="1" ht="15" outlineLevel="1">
      <c r="A301" s="516"/>
      <c r="B301" s="307" t="s">
        <v>249</v>
      </c>
      <c r="C301" s="304" t="s">
        <v>163</v>
      </c>
      <c r="D301" s="308"/>
      <c r="E301" s="308"/>
      <c r="F301" s="308"/>
      <c r="G301" s="308"/>
      <c r="H301" s="308"/>
      <c r="I301" s="308"/>
      <c r="J301" s="308"/>
      <c r="K301" s="308"/>
      <c r="L301" s="308"/>
      <c r="M301" s="308"/>
      <c r="N301" s="763"/>
      <c r="O301" s="308"/>
      <c r="P301" s="308"/>
      <c r="Q301" s="308"/>
      <c r="R301" s="308"/>
      <c r="S301" s="308"/>
      <c r="T301" s="308"/>
      <c r="U301" s="308"/>
      <c r="V301" s="308"/>
      <c r="W301" s="308"/>
      <c r="X301" s="308"/>
      <c r="Y301" s="773">
        <f>Y300</f>
        <v>0</v>
      </c>
      <c r="Z301" s="773">
        <f>Z300</f>
        <v>0</v>
      </c>
      <c r="AA301" s="773">
        <f t="shared" ref="AA301:AE301" si="157">AA300</f>
        <v>0</v>
      </c>
      <c r="AB301" s="773">
        <f t="shared" si="157"/>
        <v>0</v>
      </c>
      <c r="AC301" s="773">
        <f t="shared" si="157"/>
        <v>0</v>
      </c>
      <c r="AD301" s="773">
        <f t="shared" si="157"/>
        <v>0</v>
      </c>
      <c r="AE301" s="773">
        <f t="shared" si="157"/>
        <v>0</v>
      </c>
      <c r="AF301" s="423">
        <f t="shared" ref="AF301:AL301" si="158">AF300</f>
        <v>0</v>
      </c>
      <c r="AG301" s="423">
        <f t="shared" si="158"/>
        <v>0</v>
      </c>
      <c r="AH301" s="423">
        <f t="shared" si="158"/>
        <v>0</v>
      </c>
      <c r="AI301" s="423">
        <f t="shared" si="158"/>
        <v>0</v>
      </c>
      <c r="AJ301" s="423">
        <f t="shared" si="158"/>
        <v>0</v>
      </c>
      <c r="AK301" s="423">
        <f t="shared" si="158"/>
        <v>0</v>
      </c>
      <c r="AL301" s="423">
        <f t="shared" si="158"/>
        <v>0</v>
      </c>
      <c r="AM301" s="310"/>
    </row>
    <row r="302" spans="1:39" s="296" customFormat="1" ht="15" outlineLevel="1">
      <c r="A302" s="516"/>
      <c r="B302" s="307"/>
      <c r="C302" s="318"/>
      <c r="D302" s="766"/>
      <c r="E302" s="766"/>
      <c r="F302" s="766"/>
      <c r="G302" s="766"/>
      <c r="H302" s="766"/>
      <c r="I302" s="766"/>
      <c r="J302" s="766"/>
      <c r="K302" s="766"/>
      <c r="L302" s="766"/>
      <c r="M302" s="766"/>
      <c r="N302" s="763"/>
      <c r="O302" s="766"/>
      <c r="P302" s="766"/>
      <c r="Q302" s="766"/>
      <c r="R302" s="766"/>
      <c r="S302" s="766"/>
      <c r="T302" s="766"/>
      <c r="U302" s="766"/>
      <c r="V302" s="766"/>
      <c r="W302" s="766"/>
      <c r="X302" s="766"/>
      <c r="Y302" s="774"/>
      <c r="Z302" s="774"/>
      <c r="AA302" s="774"/>
      <c r="AB302" s="774"/>
      <c r="AC302" s="774"/>
      <c r="AD302" s="774"/>
      <c r="AE302" s="774"/>
      <c r="AF302" s="424"/>
      <c r="AG302" s="424"/>
      <c r="AH302" s="424"/>
      <c r="AI302" s="424"/>
      <c r="AJ302" s="424"/>
      <c r="AK302" s="424"/>
      <c r="AL302" s="424"/>
      <c r="AM302" s="319"/>
    </row>
    <row r="303" spans="1:39" ht="15" outlineLevel="1">
      <c r="A303" s="516">
        <v>9</v>
      </c>
      <c r="B303" s="307" t="s">
        <v>7</v>
      </c>
      <c r="C303" s="304" t="s">
        <v>25</v>
      </c>
      <c r="D303" s="308"/>
      <c r="E303" s="308"/>
      <c r="F303" s="308"/>
      <c r="G303" s="308"/>
      <c r="H303" s="308"/>
      <c r="I303" s="308"/>
      <c r="J303" s="308"/>
      <c r="K303" s="308"/>
      <c r="L303" s="308"/>
      <c r="M303" s="308"/>
      <c r="N303" s="763"/>
      <c r="O303" s="308"/>
      <c r="P303" s="308"/>
      <c r="Q303" s="308"/>
      <c r="R303" s="308"/>
      <c r="S303" s="308"/>
      <c r="T303" s="308"/>
      <c r="U303" s="308"/>
      <c r="V303" s="308"/>
      <c r="W303" s="308"/>
      <c r="X303" s="308"/>
      <c r="Y303" s="772"/>
      <c r="Z303" s="772"/>
      <c r="AA303" s="772"/>
      <c r="AB303" s="772"/>
      <c r="AC303" s="772"/>
      <c r="AD303" s="772"/>
      <c r="AE303" s="772"/>
      <c r="AF303" s="422"/>
      <c r="AG303" s="422"/>
      <c r="AH303" s="422"/>
      <c r="AI303" s="422"/>
      <c r="AJ303" s="422"/>
      <c r="AK303" s="422"/>
      <c r="AL303" s="422"/>
      <c r="AM303" s="309">
        <f>SUM(Y303:AL303)</f>
        <v>0</v>
      </c>
    </row>
    <row r="304" spans="1:39" ht="15" outlineLevel="1">
      <c r="B304" s="307" t="s">
        <v>249</v>
      </c>
      <c r="C304" s="304" t="s">
        <v>163</v>
      </c>
      <c r="D304" s="308"/>
      <c r="E304" s="308"/>
      <c r="F304" s="308"/>
      <c r="G304" s="308"/>
      <c r="H304" s="308"/>
      <c r="I304" s="308"/>
      <c r="J304" s="308"/>
      <c r="K304" s="308"/>
      <c r="L304" s="308"/>
      <c r="M304" s="308"/>
      <c r="N304" s="763"/>
      <c r="O304" s="308"/>
      <c r="P304" s="308"/>
      <c r="Q304" s="308"/>
      <c r="R304" s="308"/>
      <c r="S304" s="308"/>
      <c r="T304" s="308"/>
      <c r="U304" s="308"/>
      <c r="V304" s="308"/>
      <c r="W304" s="308"/>
      <c r="X304" s="308"/>
      <c r="Y304" s="773">
        <f>Y303</f>
        <v>0</v>
      </c>
      <c r="Z304" s="773">
        <f>Z303</f>
        <v>0</v>
      </c>
      <c r="AA304" s="773">
        <f t="shared" ref="AA304:AE304" si="159">AA303</f>
        <v>0</v>
      </c>
      <c r="AB304" s="773">
        <f t="shared" si="159"/>
        <v>0</v>
      </c>
      <c r="AC304" s="773">
        <f t="shared" si="159"/>
        <v>0</v>
      </c>
      <c r="AD304" s="773">
        <f t="shared" si="159"/>
        <v>0</v>
      </c>
      <c r="AE304" s="773">
        <f t="shared" si="159"/>
        <v>0</v>
      </c>
      <c r="AF304" s="423">
        <f t="shared" ref="AF304:AL304" si="160">AF303</f>
        <v>0</v>
      </c>
      <c r="AG304" s="423">
        <f t="shared" si="160"/>
        <v>0</v>
      </c>
      <c r="AH304" s="423">
        <f t="shared" si="160"/>
        <v>0</v>
      </c>
      <c r="AI304" s="423">
        <f t="shared" si="160"/>
        <v>0</v>
      </c>
      <c r="AJ304" s="423">
        <f t="shared" si="160"/>
        <v>0</v>
      </c>
      <c r="AK304" s="423">
        <f t="shared" si="160"/>
        <v>0</v>
      </c>
      <c r="AL304" s="423">
        <f t="shared" si="160"/>
        <v>0</v>
      </c>
      <c r="AM304" s="310"/>
    </row>
    <row r="305" spans="1:39" ht="15" outlineLevel="1">
      <c r="B305" s="320"/>
      <c r="C305" s="321"/>
      <c r="D305" s="763"/>
      <c r="E305" s="763"/>
      <c r="F305" s="763"/>
      <c r="G305" s="763"/>
      <c r="H305" s="763"/>
      <c r="I305" s="763"/>
      <c r="J305" s="763"/>
      <c r="K305" s="763"/>
      <c r="L305" s="763"/>
      <c r="M305" s="763"/>
      <c r="N305" s="763"/>
      <c r="O305" s="763"/>
      <c r="P305" s="763"/>
      <c r="Q305" s="763"/>
      <c r="R305" s="763"/>
      <c r="S305" s="763"/>
      <c r="T305" s="763"/>
      <c r="U305" s="763"/>
      <c r="V305" s="763"/>
      <c r="W305" s="763"/>
      <c r="X305" s="763"/>
      <c r="Y305" s="774"/>
      <c r="Z305" s="774"/>
      <c r="AA305" s="774"/>
      <c r="AB305" s="774"/>
      <c r="AC305" s="774"/>
      <c r="AD305" s="774"/>
      <c r="AE305" s="774"/>
      <c r="AF305" s="424"/>
      <c r="AG305" s="424"/>
      <c r="AH305" s="424"/>
      <c r="AI305" s="424"/>
      <c r="AJ305" s="424"/>
      <c r="AK305" s="424"/>
      <c r="AL305" s="424"/>
      <c r="AM305" s="319"/>
    </row>
    <row r="306" spans="1:39" ht="15.6" outlineLevel="1">
      <c r="A306" s="517"/>
      <c r="B306" s="301" t="s">
        <v>8</v>
      </c>
      <c r="C306" s="302"/>
      <c r="D306" s="767"/>
      <c r="E306" s="767"/>
      <c r="F306" s="767"/>
      <c r="G306" s="767"/>
      <c r="H306" s="767"/>
      <c r="I306" s="767"/>
      <c r="J306" s="767"/>
      <c r="K306" s="767"/>
      <c r="L306" s="767"/>
      <c r="M306" s="767"/>
      <c r="N306" s="763"/>
      <c r="O306" s="767"/>
      <c r="P306" s="767"/>
      <c r="Q306" s="767"/>
      <c r="R306" s="767"/>
      <c r="S306" s="767"/>
      <c r="T306" s="767"/>
      <c r="U306" s="767"/>
      <c r="V306" s="767"/>
      <c r="W306" s="767"/>
      <c r="X306" s="767"/>
      <c r="Y306" s="776"/>
      <c r="Z306" s="776"/>
      <c r="AA306" s="776"/>
      <c r="AB306" s="776"/>
      <c r="AC306" s="776"/>
      <c r="AD306" s="776"/>
      <c r="AE306" s="776"/>
      <c r="AF306" s="426"/>
      <c r="AG306" s="426"/>
      <c r="AH306" s="426"/>
      <c r="AI306" s="426"/>
      <c r="AJ306" s="426"/>
      <c r="AK306" s="426"/>
      <c r="AL306" s="426"/>
      <c r="AM306" s="305"/>
    </row>
    <row r="307" spans="1:39" ht="15" outlineLevel="1">
      <c r="A307" s="516">
        <v>10</v>
      </c>
      <c r="B307" s="323" t="s">
        <v>22</v>
      </c>
      <c r="C307" s="304" t="s">
        <v>25</v>
      </c>
      <c r="D307" s="308">
        <f>'7.  Persistence Report'!AS69</f>
        <v>647284.91383379896</v>
      </c>
      <c r="E307" s="308">
        <f>'7.  Persistence Report'!AT69</f>
        <v>647284.91383379896</v>
      </c>
      <c r="F307" s="308">
        <f>'7.  Persistence Report'!AU69</f>
        <v>647284.91383379896</v>
      </c>
      <c r="G307" s="308">
        <f>'7.  Persistence Report'!AV69</f>
        <v>647284.91383379896</v>
      </c>
      <c r="H307" s="308">
        <f>'7.  Persistence Report'!AW69</f>
        <v>615669.13779226795</v>
      </c>
      <c r="I307" s="308">
        <f>'7.  Persistence Report'!AX69</f>
        <v>609425.359642228</v>
      </c>
      <c r="J307" s="308">
        <f>'7.  Persistence Report'!AY69</f>
        <v>609425.359642228</v>
      </c>
      <c r="K307" s="308">
        <f>'7.  Persistence Report'!AZ69</f>
        <v>608780.52312198002</v>
      </c>
      <c r="L307" s="308">
        <f>'7.  Persistence Report'!BA69</f>
        <v>598389.972668253</v>
      </c>
      <c r="M307" s="308">
        <f>'7.  Persistence Report'!BB69</f>
        <v>552874.35473022505</v>
      </c>
      <c r="N307" s="308">
        <v>12</v>
      </c>
      <c r="O307" s="308">
        <f>'7.  Persistence Report'!N69</f>
        <v>131.40544271100001</v>
      </c>
      <c r="P307" s="308">
        <f>'7.  Persistence Report'!O69</f>
        <v>131.40544271100001</v>
      </c>
      <c r="Q307" s="308">
        <f>'7.  Persistence Report'!P69</f>
        <v>131.40544271100001</v>
      </c>
      <c r="R307" s="308">
        <f>'7.  Persistence Report'!Q69</f>
        <v>131.40544271100001</v>
      </c>
      <c r="S307" s="308">
        <f>'7.  Persistence Report'!R69</f>
        <v>121.25499490999999</v>
      </c>
      <c r="T307" s="308">
        <f>'7.  Persistence Report'!S69</f>
        <v>119.823771686</v>
      </c>
      <c r="U307" s="308">
        <f>'7.  Persistence Report'!T69</f>
        <v>119.823771686</v>
      </c>
      <c r="V307" s="308">
        <f>'7.  Persistence Report'!U69</f>
        <v>119.784569175</v>
      </c>
      <c r="W307" s="308">
        <f>'7.  Persistence Report'!V69</f>
        <v>116.55814004</v>
      </c>
      <c r="X307" s="308">
        <f>'7.  Persistence Report'!W69</f>
        <v>106.12487224900001</v>
      </c>
      <c r="Y307" s="791"/>
      <c r="Z307" s="510">
        <v>0.4577</v>
      </c>
      <c r="AA307" s="510">
        <v>0.37409999999999999</v>
      </c>
      <c r="AB307" s="510">
        <v>0.16819999999999999</v>
      </c>
      <c r="AC307" s="777"/>
      <c r="AD307" s="777"/>
      <c r="AE307" s="777"/>
      <c r="AF307" s="427"/>
      <c r="AG307" s="427"/>
      <c r="AH307" s="427"/>
      <c r="AI307" s="427"/>
      <c r="AJ307" s="427"/>
      <c r="AK307" s="427"/>
      <c r="AL307" s="427"/>
      <c r="AM307" s="309">
        <f>SUM(Y307:AL307)</f>
        <v>1</v>
      </c>
    </row>
    <row r="308" spans="1:39" ht="15" outlineLevel="1">
      <c r="B308" s="307" t="s">
        <v>249</v>
      </c>
      <c r="C308" s="304" t="s">
        <v>163</v>
      </c>
      <c r="D308" s="308">
        <f>'7.  Persistence Report'!AS80</f>
        <v>130237.07419999999</v>
      </c>
      <c r="E308" s="308">
        <f>'7.  Persistence Report'!AT80</f>
        <v>130237.07419999999</v>
      </c>
      <c r="F308" s="308">
        <f>'7.  Persistence Report'!AU80</f>
        <v>130237.07419999999</v>
      </c>
      <c r="G308" s="308">
        <f>'7.  Persistence Report'!AV80</f>
        <v>130237.07419999999</v>
      </c>
      <c r="H308" s="308">
        <f>'7.  Persistence Report'!AW80</f>
        <v>130237.07419999999</v>
      </c>
      <c r="I308" s="308">
        <f>'7.  Persistence Report'!AX80</f>
        <v>125013.6348</v>
      </c>
      <c r="J308" s="308">
        <f>'7.  Persistence Report'!AY80</f>
        <v>125013.6348</v>
      </c>
      <c r="K308" s="308">
        <f>'7.  Persistence Report'!AZ80</f>
        <v>124715.5583</v>
      </c>
      <c r="L308" s="308">
        <f>'7.  Persistence Report'!BA80</f>
        <v>120747.0699</v>
      </c>
      <c r="M308" s="308">
        <f>'7.  Persistence Report'!BB80</f>
        <v>82669.472970000003</v>
      </c>
      <c r="N308" s="308">
        <f>N307</f>
        <v>12</v>
      </c>
      <c r="O308" s="308">
        <f>'7.  Persistence Report'!N80</f>
        <v>14.63705466</v>
      </c>
      <c r="P308" s="308">
        <f>'7.  Persistence Report'!O80</f>
        <v>14.63705466</v>
      </c>
      <c r="Q308" s="308">
        <f>'7.  Persistence Report'!P80</f>
        <v>14.63705466</v>
      </c>
      <c r="R308" s="308">
        <f>'7.  Persistence Report'!Q80</f>
        <v>14.63705466</v>
      </c>
      <c r="S308" s="308">
        <f>'7.  Persistence Report'!R80</f>
        <v>14.63705466</v>
      </c>
      <c r="T308" s="308">
        <f>'7.  Persistence Report'!S80</f>
        <v>14.125882280000001</v>
      </c>
      <c r="U308" s="308">
        <f>'7.  Persistence Report'!T80</f>
        <v>14.125882280000001</v>
      </c>
      <c r="V308" s="308">
        <f>'7.  Persistence Report'!U80</f>
        <v>14.125882280000001</v>
      </c>
      <c r="W308" s="308">
        <f>'7.  Persistence Report'!V80</f>
        <v>13.04284116</v>
      </c>
      <c r="X308" s="308">
        <f>'7.  Persistence Report'!W80</f>
        <v>9.3165193750000004</v>
      </c>
      <c r="Y308" s="773">
        <f>Y307</f>
        <v>0</v>
      </c>
      <c r="Z308" s="773">
        <f>Z307</f>
        <v>0.4577</v>
      </c>
      <c r="AA308" s="773">
        <f t="shared" ref="AA308:AE308" si="161">AA307</f>
        <v>0.37409999999999999</v>
      </c>
      <c r="AB308" s="773">
        <f t="shared" si="161"/>
        <v>0.16819999999999999</v>
      </c>
      <c r="AC308" s="773">
        <f t="shared" si="161"/>
        <v>0</v>
      </c>
      <c r="AD308" s="773">
        <f t="shared" si="161"/>
        <v>0</v>
      </c>
      <c r="AE308" s="773">
        <f t="shared" si="161"/>
        <v>0</v>
      </c>
      <c r="AF308" s="423">
        <f t="shared" ref="AF308:AL308" si="162">AF307</f>
        <v>0</v>
      </c>
      <c r="AG308" s="423">
        <f t="shared" si="162"/>
        <v>0</v>
      </c>
      <c r="AH308" s="423">
        <f t="shared" si="162"/>
        <v>0</v>
      </c>
      <c r="AI308" s="423">
        <f t="shared" si="162"/>
        <v>0</v>
      </c>
      <c r="AJ308" s="423">
        <f t="shared" si="162"/>
        <v>0</v>
      </c>
      <c r="AK308" s="423">
        <f t="shared" si="162"/>
        <v>0</v>
      </c>
      <c r="AL308" s="423">
        <f t="shared" si="162"/>
        <v>0</v>
      </c>
      <c r="AM308" s="324"/>
    </row>
    <row r="309" spans="1:39" ht="15" outlineLevel="1">
      <c r="B309" s="323"/>
      <c r="C309" s="325"/>
      <c r="D309" s="763"/>
      <c r="E309" s="763"/>
      <c r="F309" s="763"/>
      <c r="G309" s="763"/>
      <c r="H309" s="763"/>
      <c r="I309" s="763"/>
      <c r="J309" s="763"/>
      <c r="K309" s="763"/>
      <c r="L309" s="763"/>
      <c r="M309" s="763"/>
      <c r="N309" s="763"/>
      <c r="O309" s="763"/>
      <c r="P309" s="763"/>
      <c r="Q309" s="763"/>
      <c r="R309" s="763"/>
      <c r="S309" s="763"/>
      <c r="T309" s="763"/>
      <c r="U309" s="763"/>
      <c r="V309" s="763"/>
      <c r="W309" s="763"/>
      <c r="X309" s="763"/>
      <c r="Y309" s="778"/>
      <c r="Z309" s="778"/>
      <c r="AA309" s="778"/>
      <c r="AB309" s="778"/>
      <c r="AC309" s="778"/>
      <c r="AD309" s="778"/>
      <c r="AE309" s="778"/>
      <c r="AF309" s="428"/>
      <c r="AG309" s="428"/>
      <c r="AH309" s="428"/>
      <c r="AI309" s="428"/>
      <c r="AJ309" s="428"/>
      <c r="AK309" s="428"/>
      <c r="AL309" s="428"/>
      <c r="AM309" s="326"/>
    </row>
    <row r="310" spans="1:39" ht="15" outlineLevel="1">
      <c r="A310" s="516">
        <v>11</v>
      </c>
      <c r="B310" s="327" t="s">
        <v>21</v>
      </c>
      <c r="C310" s="304" t="s">
        <v>25</v>
      </c>
      <c r="D310" s="308">
        <f>'7.  Persistence Report'!AS70</f>
        <v>31354.988014428</v>
      </c>
      <c r="E310" s="308">
        <f>'7.  Persistence Report'!AT70</f>
        <v>31354.988014428</v>
      </c>
      <c r="F310" s="308">
        <f>'7.  Persistence Report'!AU70</f>
        <v>31354.988014428</v>
      </c>
      <c r="G310" s="308">
        <f>'7.  Persistence Report'!AV70</f>
        <v>27001.969324494999</v>
      </c>
      <c r="H310" s="308">
        <f>'7.  Persistence Report'!AW70</f>
        <v>13238.84886783</v>
      </c>
      <c r="I310" s="308">
        <f>'7.  Persistence Report'!AX70</f>
        <v>13238.84886783</v>
      </c>
      <c r="J310" s="308">
        <f>'7.  Persistence Report'!AY70</f>
        <v>13238.84886783</v>
      </c>
      <c r="K310" s="308">
        <f>'7.  Persistence Report'!AZ70</f>
        <v>13238.84886783</v>
      </c>
      <c r="L310" s="308">
        <f>'7.  Persistence Report'!BA70</f>
        <v>13238.84886783</v>
      </c>
      <c r="M310" s="308">
        <f>'7.  Persistence Report'!BB70</f>
        <v>13238.84886783</v>
      </c>
      <c r="N310" s="308">
        <v>12</v>
      </c>
      <c r="O310" s="308">
        <f>'7.  Persistence Report'!N70</f>
        <v>9.2488218839999998</v>
      </c>
      <c r="P310" s="308">
        <f>'7.  Persistence Report'!O70</f>
        <v>9.2488218839999998</v>
      </c>
      <c r="Q310" s="308">
        <f>'7.  Persistence Report'!P70</f>
        <v>9.2488218839999998</v>
      </c>
      <c r="R310" s="308">
        <f>'7.  Persistence Report'!Q70</f>
        <v>8.2993376750000003</v>
      </c>
      <c r="S310" s="308">
        <f>'7.  Persistence Report'!R70</f>
        <v>3.898651353</v>
      </c>
      <c r="T310" s="308">
        <f>'7.  Persistence Report'!S70</f>
        <v>3.898651353</v>
      </c>
      <c r="U310" s="308">
        <f>'7.  Persistence Report'!T70</f>
        <v>3.898651353</v>
      </c>
      <c r="V310" s="308">
        <f>'7.  Persistence Report'!U70</f>
        <v>3.898651353</v>
      </c>
      <c r="W310" s="308">
        <f>'7.  Persistence Report'!V70</f>
        <v>3.898651353</v>
      </c>
      <c r="X310" s="308">
        <f>'7.  Persistence Report'!W70</f>
        <v>3.898651353</v>
      </c>
      <c r="Y310" s="777"/>
      <c r="Z310" s="510">
        <v>1</v>
      </c>
      <c r="AA310" s="777">
        <v>0</v>
      </c>
      <c r="AB310" s="777"/>
      <c r="AC310" s="777"/>
      <c r="AD310" s="777"/>
      <c r="AE310" s="777"/>
      <c r="AF310" s="427"/>
      <c r="AG310" s="427"/>
      <c r="AH310" s="427"/>
      <c r="AI310" s="427"/>
      <c r="AJ310" s="427"/>
      <c r="AK310" s="427"/>
      <c r="AL310" s="427"/>
      <c r="AM310" s="309">
        <f>SUM(Y310:AL310)</f>
        <v>1</v>
      </c>
    </row>
    <row r="311" spans="1:39" ht="15" outlineLevel="1">
      <c r="B311" s="307" t="s">
        <v>249</v>
      </c>
      <c r="C311" s="304" t="s">
        <v>163</v>
      </c>
      <c r="D311" s="308"/>
      <c r="E311" s="308"/>
      <c r="F311" s="308"/>
      <c r="G311" s="308"/>
      <c r="H311" s="308"/>
      <c r="I311" s="308"/>
      <c r="J311" s="308"/>
      <c r="K311" s="308"/>
      <c r="L311" s="308"/>
      <c r="M311" s="308"/>
      <c r="N311" s="308">
        <f>N310</f>
        <v>12</v>
      </c>
      <c r="O311" s="308"/>
      <c r="P311" s="308"/>
      <c r="Q311" s="308"/>
      <c r="R311" s="308"/>
      <c r="S311" s="308"/>
      <c r="T311" s="308"/>
      <c r="U311" s="308"/>
      <c r="V311" s="308"/>
      <c r="W311" s="308"/>
      <c r="X311" s="308"/>
      <c r="Y311" s="773">
        <f>Y310</f>
        <v>0</v>
      </c>
      <c r="Z311" s="773">
        <f>Z310</f>
        <v>1</v>
      </c>
      <c r="AA311" s="773">
        <f t="shared" ref="AA311:AE311" si="163">AA310</f>
        <v>0</v>
      </c>
      <c r="AB311" s="773">
        <f t="shared" si="163"/>
        <v>0</v>
      </c>
      <c r="AC311" s="773">
        <f t="shared" si="163"/>
        <v>0</v>
      </c>
      <c r="AD311" s="773">
        <f t="shared" si="163"/>
        <v>0</v>
      </c>
      <c r="AE311" s="773">
        <f t="shared" si="163"/>
        <v>0</v>
      </c>
      <c r="AF311" s="423">
        <f t="shared" ref="AF311:AL311" si="164">AF310</f>
        <v>0</v>
      </c>
      <c r="AG311" s="423">
        <f t="shared" si="164"/>
        <v>0</v>
      </c>
      <c r="AH311" s="423">
        <f t="shared" si="164"/>
        <v>0</v>
      </c>
      <c r="AI311" s="423">
        <f t="shared" si="164"/>
        <v>0</v>
      </c>
      <c r="AJ311" s="423">
        <f t="shared" si="164"/>
        <v>0</v>
      </c>
      <c r="AK311" s="423">
        <f t="shared" si="164"/>
        <v>0</v>
      </c>
      <c r="AL311" s="423">
        <f t="shared" si="164"/>
        <v>0</v>
      </c>
      <c r="AM311" s="324"/>
    </row>
    <row r="312" spans="1:39" ht="15" outlineLevel="1">
      <c r="B312" s="327"/>
      <c r="C312" s="325"/>
      <c r="D312" s="763"/>
      <c r="E312" s="763"/>
      <c r="F312" s="763"/>
      <c r="G312" s="763"/>
      <c r="H312" s="763"/>
      <c r="I312" s="763"/>
      <c r="J312" s="763"/>
      <c r="K312" s="763"/>
      <c r="L312" s="763"/>
      <c r="M312" s="763"/>
      <c r="N312" s="763"/>
      <c r="O312" s="763"/>
      <c r="P312" s="763"/>
      <c r="Q312" s="763"/>
      <c r="R312" s="763"/>
      <c r="S312" s="763"/>
      <c r="T312" s="763"/>
      <c r="U312" s="763"/>
      <c r="V312" s="763"/>
      <c r="W312" s="763"/>
      <c r="X312" s="763"/>
      <c r="Y312" s="778"/>
      <c r="Z312" s="779"/>
      <c r="AA312" s="778"/>
      <c r="AB312" s="778"/>
      <c r="AC312" s="778"/>
      <c r="AD312" s="778"/>
      <c r="AE312" s="778"/>
      <c r="AF312" s="428"/>
      <c r="AG312" s="428"/>
      <c r="AH312" s="428"/>
      <c r="AI312" s="428"/>
      <c r="AJ312" s="428"/>
      <c r="AK312" s="428"/>
      <c r="AL312" s="428"/>
      <c r="AM312" s="326"/>
    </row>
    <row r="313" spans="1:39" ht="15" outlineLevel="1">
      <c r="A313" s="516">
        <v>12</v>
      </c>
      <c r="B313" s="327" t="s">
        <v>23</v>
      </c>
      <c r="C313" s="304" t="s">
        <v>25</v>
      </c>
      <c r="D313" s="308"/>
      <c r="E313" s="308"/>
      <c r="F313" s="308"/>
      <c r="G313" s="308"/>
      <c r="H313" s="308"/>
      <c r="I313" s="308"/>
      <c r="J313" s="308"/>
      <c r="K313" s="308"/>
      <c r="L313" s="308"/>
      <c r="M313" s="308"/>
      <c r="N313" s="308">
        <v>3</v>
      </c>
      <c r="O313" s="308"/>
      <c r="P313" s="308"/>
      <c r="Q313" s="308"/>
      <c r="R313" s="308"/>
      <c r="S313" s="308"/>
      <c r="T313" s="308"/>
      <c r="U313" s="308"/>
      <c r="V313" s="308"/>
      <c r="W313" s="308"/>
      <c r="X313" s="308"/>
      <c r="Y313" s="777"/>
      <c r="Z313" s="777"/>
      <c r="AA313" s="777"/>
      <c r="AB313" s="777"/>
      <c r="AC313" s="777"/>
      <c r="AD313" s="777"/>
      <c r="AE313" s="777"/>
      <c r="AF313" s="427"/>
      <c r="AG313" s="427"/>
      <c r="AH313" s="427"/>
      <c r="AI313" s="427"/>
      <c r="AJ313" s="427"/>
      <c r="AK313" s="427"/>
      <c r="AL313" s="427"/>
      <c r="AM313" s="309">
        <f>SUM(Y313:AL313)</f>
        <v>0</v>
      </c>
    </row>
    <row r="314" spans="1:39" ht="15" outlineLevel="1">
      <c r="B314" s="307" t="s">
        <v>249</v>
      </c>
      <c r="C314" s="304" t="s">
        <v>163</v>
      </c>
      <c r="D314" s="308"/>
      <c r="E314" s="308"/>
      <c r="F314" s="308"/>
      <c r="G314" s="308"/>
      <c r="H314" s="308"/>
      <c r="I314" s="308"/>
      <c r="J314" s="308"/>
      <c r="K314" s="308"/>
      <c r="L314" s="308"/>
      <c r="M314" s="308"/>
      <c r="N314" s="308">
        <f>N313</f>
        <v>3</v>
      </c>
      <c r="O314" s="308"/>
      <c r="P314" s="308"/>
      <c r="Q314" s="308"/>
      <c r="R314" s="308"/>
      <c r="S314" s="308"/>
      <c r="T314" s="308"/>
      <c r="U314" s="308"/>
      <c r="V314" s="308"/>
      <c r="W314" s="308"/>
      <c r="X314" s="308"/>
      <c r="Y314" s="773">
        <f>Y313</f>
        <v>0</v>
      </c>
      <c r="Z314" s="773">
        <f>Z313</f>
        <v>0</v>
      </c>
      <c r="AA314" s="773">
        <f t="shared" ref="AA314:AE314" si="165">AA313</f>
        <v>0</v>
      </c>
      <c r="AB314" s="773">
        <f t="shared" si="165"/>
        <v>0</v>
      </c>
      <c r="AC314" s="773">
        <f t="shared" si="165"/>
        <v>0</v>
      </c>
      <c r="AD314" s="773">
        <f t="shared" si="165"/>
        <v>0</v>
      </c>
      <c r="AE314" s="773">
        <f t="shared" si="165"/>
        <v>0</v>
      </c>
      <c r="AF314" s="423">
        <f t="shared" ref="AF314:AL314" si="166">AF313</f>
        <v>0</v>
      </c>
      <c r="AG314" s="423">
        <f t="shared" si="166"/>
        <v>0</v>
      </c>
      <c r="AH314" s="423">
        <f t="shared" si="166"/>
        <v>0</v>
      </c>
      <c r="AI314" s="423">
        <f t="shared" si="166"/>
        <v>0</v>
      </c>
      <c r="AJ314" s="423">
        <f t="shared" si="166"/>
        <v>0</v>
      </c>
      <c r="AK314" s="423">
        <f t="shared" si="166"/>
        <v>0</v>
      </c>
      <c r="AL314" s="423">
        <f t="shared" si="166"/>
        <v>0</v>
      </c>
      <c r="AM314" s="324"/>
    </row>
    <row r="315" spans="1:39" ht="15" outlineLevel="1">
      <c r="B315" s="327"/>
      <c r="C315" s="325"/>
      <c r="D315" s="768"/>
      <c r="E315" s="768"/>
      <c r="F315" s="768"/>
      <c r="G315" s="768"/>
      <c r="H315" s="768"/>
      <c r="I315" s="768"/>
      <c r="J315" s="768"/>
      <c r="K315" s="768"/>
      <c r="L315" s="768"/>
      <c r="M315" s="768"/>
      <c r="N315" s="763"/>
      <c r="O315" s="768"/>
      <c r="P315" s="768"/>
      <c r="Q315" s="768"/>
      <c r="R315" s="768"/>
      <c r="S315" s="768"/>
      <c r="T315" s="768"/>
      <c r="U315" s="768"/>
      <c r="V315" s="768"/>
      <c r="W315" s="768"/>
      <c r="X315" s="768"/>
      <c r="Y315" s="778"/>
      <c r="Z315" s="779"/>
      <c r="AA315" s="778"/>
      <c r="AB315" s="778"/>
      <c r="AC315" s="778"/>
      <c r="AD315" s="778"/>
      <c r="AE315" s="778"/>
      <c r="AF315" s="428"/>
      <c r="AG315" s="428"/>
      <c r="AH315" s="428"/>
      <c r="AI315" s="428"/>
      <c r="AJ315" s="428"/>
      <c r="AK315" s="428"/>
      <c r="AL315" s="428"/>
      <c r="AM315" s="326"/>
    </row>
    <row r="316" spans="1:39" ht="15" outlineLevel="1">
      <c r="A316" s="516">
        <v>13</v>
      </c>
      <c r="B316" s="327" t="s">
        <v>24</v>
      </c>
      <c r="C316" s="304" t="s">
        <v>25</v>
      </c>
      <c r="D316" s="308"/>
      <c r="E316" s="308"/>
      <c r="F316" s="308"/>
      <c r="G316" s="308"/>
      <c r="H316" s="308"/>
      <c r="I316" s="308"/>
      <c r="J316" s="308"/>
      <c r="K316" s="308"/>
      <c r="L316" s="308"/>
      <c r="M316" s="308"/>
      <c r="N316" s="308">
        <v>12</v>
      </c>
      <c r="O316" s="308"/>
      <c r="P316" s="308"/>
      <c r="Q316" s="308"/>
      <c r="R316" s="308"/>
      <c r="S316" s="308"/>
      <c r="T316" s="308"/>
      <c r="U316" s="308"/>
      <c r="V316" s="308"/>
      <c r="W316" s="308"/>
      <c r="X316" s="308"/>
      <c r="Y316" s="777"/>
      <c r="Z316" s="777"/>
      <c r="AA316" s="777"/>
      <c r="AB316" s="777"/>
      <c r="AC316" s="777"/>
      <c r="AD316" s="777"/>
      <c r="AE316" s="777"/>
      <c r="AF316" s="427"/>
      <c r="AG316" s="427"/>
      <c r="AH316" s="427"/>
      <c r="AI316" s="427"/>
      <c r="AJ316" s="427"/>
      <c r="AK316" s="427"/>
      <c r="AL316" s="427"/>
      <c r="AM316" s="309">
        <f>SUM(Y316:AL316)</f>
        <v>0</v>
      </c>
    </row>
    <row r="317" spans="1:39" ht="15" outlineLevel="1">
      <c r="B317" s="307" t="s">
        <v>249</v>
      </c>
      <c r="C317" s="304" t="s">
        <v>163</v>
      </c>
      <c r="D317" s="308"/>
      <c r="E317" s="308"/>
      <c r="F317" s="308"/>
      <c r="G317" s="308"/>
      <c r="H317" s="308"/>
      <c r="I317" s="308"/>
      <c r="J317" s="308"/>
      <c r="K317" s="308"/>
      <c r="L317" s="308"/>
      <c r="M317" s="308"/>
      <c r="N317" s="308">
        <f>N316</f>
        <v>12</v>
      </c>
      <c r="O317" s="308"/>
      <c r="P317" s="308"/>
      <c r="Q317" s="308"/>
      <c r="R317" s="308"/>
      <c r="S317" s="308"/>
      <c r="T317" s="308"/>
      <c r="U317" s="308"/>
      <c r="V317" s="308"/>
      <c r="W317" s="308"/>
      <c r="X317" s="308"/>
      <c r="Y317" s="773">
        <f>Y316</f>
        <v>0</v>
      </c>
      <c r="Z317" s="773">
        <f>Z316</f>
        <v>0</v>
      </c>
      <c r="AA317" s="773">
        <f t="shared" ref="AA317:AE317" si="167">AA316</f>
        <v>0</v>
      </c>
      <c r="AB317" s="773">
        <f t="shared" si="167"/>
        <v>0</v>
      </c>
      <c r="AC317" s="773">
        <f t="shared" si="167"/>
        <v>0</v>
      </c>
      <c r="AD317" s="773">
        <f t="shared" si="167"/>
        <v>0</v>
      </c>
      <c r="AE317" s="773">
        <f t="shared" si="167"/>
        <v>0</v>
      </c>
      <c r="AF317" s="423">
        <f t="shared" ref="AF317:AL317" si="168">AF316</f>
        <v>0</v>
      </c>
      <c r="AG317" s="423">
        <f t="shared" si="168"/>
        <v>0</v>
      </c>
      <c r="AH317" s="423">
        <f t="shared" si="168"/>
        <v>0</v>
      </c>
      <c r="AI317" s="423">
        <f t="shared" si="168"/>
        <v>0</v>
      </c>
      <c r="AJ317" s="423">
        <f t="shared" si="168"/>
        <v>0</v>
      </c>
      <c r="AK317" s="423">
        <f t="shared" si="168"/>
        <v>0</v>
      </c>
      <c r="AL317" s="423">
        <f t="shared" si="168"/>
        <v>0</v>
      </c>
      <c r="AM317" s="324"/>
    </row>
    <row r="318" spans="1:39" ht="15" outlineLevel="1">
      <c r="B318" s="327"/>
      <c r="C318" s="325"/>
      <c r="D318" s="768"/>
      <c r="E318" s="768"/>
      <c r="F318" s="768"/>
      <c r="G318" s="768"/>
      <c r="H318" s="768"/>
      <c r="I318" s="768"/>
      <c r="J318" s="768"/>
      <c r="K318" s="768"/>
      <c r="L318" s="768"/>
      <c r="M318" s="768"/>
      <c r="N318" s="763"/>
      <c r="O318" s="768"/>
      <c r="P318" s="768"/>
      <c r="Q318" s="768"/>
      <c r="R318" s="768"/>
      <c r="S318" s="768"/>
      <c r="T318" s="768"/>
      <c r="U318" s="768"/>
      <c r="V318" s="768"/>
      <c r="W318" s="768"/>
      <c r="X318" s="768"/>
      <c r="Y318" s="778"/>
      <c r="Z318" s="778"/>
      <c r="AA318" s="778"/>
      <c r="AB318" s="778"/>
      <c r="AC318" s="778"/>
      <c r="AD318" s="778"/>
      <c r="AE318" s="778"/>
      <c r="AF318" s="428"/>
      <c r="AG318" s="428"/>
      <c r="AH318" s="428"/>
      <c r="AI318" s="428"/>
      <c r="AJ318" s="428"/>
      <c r="AK318" s="428"/>
      <c r="AL318" s="428"/>
      <c r="AM318" s="326"/>
    </row>
    <row r="319" spans="1:39" ht="15" outlineLevel="1">
      <c r="A319" s="516">
        <v>14</v>
      </c>
      <c r="B319" s="327" t="s">
        <v>20</v>
      </c>
      <c r="C319" s="304" t="s">
        <v>25</v>
      </c>
      <c r="D319" s="308"/>
      <c r="E319" s="308"/>
      <c r="F319" s="308"/>
      <c r="G319" s="308"/>
      <c r="H319" s="308"/>
      <c r="I319" s="308"/>
      <c r="J319" s="308"/>
      <c r="K319" s="308"/>
      <c r="L319" s="308"/>
      <c r="M319" s="308"/>
      <c r="N319" s="308">
        <v>12</v>
      </c>
      <c r="O319" s="308"/>
      <c r="P319" s="308"/>
      <c r="Q319" s="308"/>
      <c r="R319" s="308"/>
      <c r="S319" s="308"/>
      <c r="T319" s="308"/>
      <c r="U319" s="308"/>
      <c r="V319" s="308"/>
      <c r="W319" s="308"/>
      <c r="X319" s="308"/>
      <c r="Y319" s="777"/>
      <c r="Z319" s="777">
        <v>0.5</v>
      </c>
      <c r="AA319" s="510">
        <v>0.5</v>
      </c>
      <c r="AB319" s="777"/>
      <c r="AC319" s="777"/>
      <c r="AD319" s="777"/>
      <c r="AE319" s="777"/>
      <c r="AF319" s="427"/>
      <c r="AG319" s="427"/>
      <c r="AH319" s="427"/>
      <c r="AI319" s="427"/>
      <c r="AJ319" s="427"/>
      <c r="AK319" s="427"/>
      <c r="AL319" s="427"/>
      <c r="AM319" s="309">
        <f>SUM(Y319:AL319)</f>
        <v>1</v>
      </c>
    </row>
    <row r="320" spans="1:39" ht="15" outlineLevel="1">
      <c r="B320" s="307" t="s">
        <v>249</v>
      </c>
      <c r="C320" s="304" t="s">
        <v>163</v>
      </c>
      <c r="D320" s="308">
        <f>'7.  Persistence Report'!AS79</f>
        <v>921175.15489999996</v>
      </c>
      <c r="E320" s="308">
        <f>'7.  Persistence Report'!AT79</f>
        <v>921175.15489999996</v>
      </c>
      <c r="F320" s="308">
        <f>'7.  Persistence Report'!AU79</f>
        <v>921175.15489999996</v>
      </c>
      <c r="G320" s="308">
        <f>'7.  Persistence Report'!AV79</f>
        <v>921175.15489999996</v>
      </c>
      <c r="H320" s="308">
        <f>'7.  Persistence Report'!AW79</f>
        <v>0</v>
      </c>
      <c r="I320" s="308">
        <f>'7.  Persistence Report'!AX79</f>
        <v>0</v>
      </c>
      <c r="J320" s="308">
        <f>'7.  Persistence Report'!AY79</f>
        <v>0</v>
      </c>
      <c r="K320" s="308">
        <f>'7.  Persistence Report'!AZ79</f>
        <v>0</v>
      </c>
      <c r="L320" s="308">
        <f>'7.  Persistence Report'!BA79</f>
        <v>0</v>
      </c>
      <c r="M320" s="308">
        <f>'7.  Persistence Report'!BB79</f>
        <v>0</v>
      </c>
      <c r="N320" s="308">
        <f>N319</f>
        <v>12</v>
      </c>
      <c r="O320" s="308">
        <f>'7.  Persistence Report'!N79</f>
        <v>167.55191139999999</v>
      </c>
      <c r="P320" s="308">
        <f>'7.  Persistence Report'!O79</f>
        <v>167.55191139999999</v>
      </c>
      <c r="Q320" s="308">
        <f>'7.  Persistence Report'!P79</f>
        <v>167.55191139999999</v>
      </c>
      <c r="R320" s="308">
        <f>'7.  Persistence Report'!Q79</f>
        <v>167.55191139999999</v>
      </c>
      <c r="S320" s="308">
        <f>'7.  Persistence Report'!R79</f>
        <v>0</v>
      </c>
      <c r="T320" s="308">
        <f>'7.  Persistence Report'!S79</f>
        <v>0</v>
      </c>
      <c r="U320" s="308">
        <f>'7.  Persistence Report'!T79</f>
        <v>0</v>
      </c>
      <c r="V320" s="308">
        <f>'7.  Persistence Report'!U79</f>
        <v>0</v>
      </c>
      <c r="W320" s="308">
        <f>'7.  Persistence Report'!V79</f>
        <v>0</v>
      </c>
      <c r="X320" s="308">
        <f>'7.  Persistence Report'!W79</f>
        <v>0</v>
      </c>
      <c r="Y320" s="773">
        <f>Y319</f>
        <v>0</v>
      </c>
      <c r="Z320" s="773">
        <f>Z319</f>
        <v>0.5</v>
      </c>
      <c r="AA320" s="773">
        <f t="shared" ref="AA320:AE320" si="169">AA319</f>
        <v>0.5</v>
      </c>
      <c r="AB320" s="773">
        <f t="shared" si="169"/>
        <v>0</v>
      </c>
      <c r="AC320" s="773">
        <f t="shared" si="169"/>
        <v>0</v>
      </c>
      <c r="AD320" s="773">
        <f t="shared" si="169"/>
        <v>0</v>
      </c>
      <c r="AE320" s="773">
        <f t="shared" si="169"/>
        <v>0</v>
      </c>
      <c r="AF320" s="423">
        <f t="shared" ref="AF320:AL320" si="170">AF319</f>
        <v>0</v>
      </c>
      <c r="AG320" s="423">
        <f t="shared" si="170"/>
        <v>0</v>
      </c>
      <c r="AH320" s="423">
        <f t="shared" si="170"/>
        <v>0</v>
      </c>
      <c r="AI320" s="423">
        <f t="shared" si="170"/>
        <v>0</v>
      </c>
      <c r="AJ320" s="423">
        <f t="shared" si="170"/>
        <v>0</v>
      </c>
      <c r="AK320" s="423">
        <f t="shared" si="170"/>
        <v>0</v>
      </c>
      <c r="AL320" s="423">
        <f t="shared" si="170"/>
        <v>0</v>
      </c>
      <c r="AM320" s="324"/>
    </row>
    <row r="321" spans="1:39" ht="15" outlineLevel="1">
      <c r="B321" s="327"/>
      <c r="C321" s="325"/>
      <c r="D321" s="768"/>
      <c r="E321" s="768"/>
      <c r="F321" s="768"/>
      <c r="G321" s="768"/>
      <c r="H321" s="768"/>
      <c r="I321" s="768"/>
      <c r="J321" s="768"/>
      <c r="K321" s="768"/>
      <c r="L321" s="768"/>
      <c r="M321" s="768"/>
      <c r="N321" s="763"/>
      <c r="O321" s="768"/>
      <c r="P321" s="768"/>
      <c r="Q321" s="768"/>
      <c r="R321" s="768"/>
      <c r="S321" s="768"/>
      <c r="T321" s="768"/>
      <c r="U321" s="768"/>
      <c r="V321" s="768"/>
      <c r="W321" s="768"/>
      <c r="X321" s="768"/>
      <c r="Y321" s="778"/>
      <c r="Z321" s="779"/>
      <c r="AA321" s="778"/>
      <c r="AB321" s="778"/>
      <c r="AC321" s="778"/>
      <c r="AD321" s="778"/>
      <c r="AE321" s="778"/>
      <c r="AF321" s="428"/>
      <c r="AG321" s="428"/>
      <c r="AH321" s="428"/>
      <c r="AI321" s="428"/>
      <c r="AJ321" s="428"/>
      <c r="AK321" s="428"/>
      <c r="AL321" s="428"/>
      <c r="AM321" s="326"/>
    </row>
    <row r="322" spans="1:39" s="296" customFormat="1" ht="15" outlineLevel="1">
      <c r="A322" s="516">
        <v>15</v>
      </c>
      <c r="B322" s="327" t="s">
        <v>485</v>
      </c>
      <c r="C322" s="304" t="s">
        <v>25</v>
      </c>
      <c r="D322" s="308"/>
      <c r="E322" s="308"/>
      <c r="F322" s="308"/>
      <c r="G322" s="308"/>
      <c r="H322" s="308"/>
      <c r="I322" s="308"/>
      <c r="J322" s="308"/>
      <c r="K322" s="308"/>
      <c r="L322" s="308"/>
      <c r="M322" s="308"/>
      <c r="N322" s="763"/>
      <c r="O322" s="308"/>
      <c r="P322" s="308"/>
      <c r="Q322" s="308"/>
      <c r="R322" s="308"/>
      <c r="S322" s="308"/>
      <c r="T322" s="308"/>
      <c r="U322" s="308"/>
      <c r="V322" s="308"/>
      <c r="W322" s="308"/>
      <c r="X322" s="308"/>
      <c r="Y322" s="777"/>
      <c r="Z322" s="777"/>
      <c r="AA322" s="777"/>
      <c r="AB322" s="777"/>
      <c r="AC322" s="777"/>
      <c r="AD322" s="777"/>
      <c r="AE322" s="777"/>
      <c r="AF322" s="427"/>
      <c r="AG322" s="427"/>
      <c r="AH322" s="427"/>
      <c r="AI322" s="427"/>
      <c r="AJ322" s="427"/>
      <c r="AK322" s="427"/>
      <c r="AL322" s="427"/>
      <c r="AM322" s="309">
        <f>SUM(Y322:AL322)</f>
        <v>0</v>
      </c>
    </row>
    <row r="323" spans="1:39" s="296" customFormat="1" ht="15" outlineLevel="1">
      <c r="A323" s="516"/>
      <c r="B323" s="328" t="s">
        <v>249</v>
      </c>
      <c r="C323" s="304" t="s">
        <v>163</v>
      </c>
      <c r="D323" s="308"/>
      <c r="E323" s="308"/>
      <c r="F323" s="308"/>
      <c r="G323" s="308"/>
      <c r="H323" s="308"/>
      <c r="I323" s="308"/>
      <c r="J323" s="308"/>
      <c r="K323" s="308"/>
      <c r="L323" s="308"/>
      <c r="M323" s="308"/>
      <c r="N323" s="763"/>
      <c r="O323" s="308"/>
      <c r="P323" s="308"/>
      <c r="Q323" s="308"/>
      <c r="R323" s="308"/>
      <c r="S323" s="308"/>
      <c r="T323" s="308"/>
      <c r="U323" s="308"/>
      <c r="V323" s="308"/>
      <c r="W323" s="308"/>
      <c r="X323" s="308"/>
      <c r="Y323" s="773">
        <f>Y322</f>
        <v>0</v>
      </c>
      <c r="Z323" s="773">
        <f>Z322</f>
        <v>0</v>
      </c>
      <c r="AA323" s="773">
        <f t="shared" ref="AA323:AE323" si="171">AA322</f>
        <v>0</v>
      </c>
      <c r="AB323" s="773">
        <f t="shared" si="171"/>
        <v>0</v>
      </c>
      <c r="AC323" s="773">
        <f t="shared" si="171"/>
        <v>0</v>
      </c>
      <c r="AD323" s="773">
        <f t="shared" si="171"/>
        <v>0</v>
      </c>
      <c r="AE323" s="773">
        <f t="shared" si="171"/>
        <v>0</v>
      </c>
      <c r="AF323" s="423">
        <f t="shared" ref="AF323:AL323" si="172">AF322</f>
        <v>0</v>
      </c>
      <c r="AG323" s="423">
        <f t="shared" si="172"/>
        <v>0</v>
      </c>
      <c r="AH323" s="423">
        <f t="shared" si="172"/>
        <v>0</v>
      </c>
      <c r="AI323" s="423">
        <f t="shared" si="172"/>
        <v>0</v>
      </c>
      <c r="AJ323" s="423">
        <f t="shared" si="172"/>
        <v>0</v>
      </c>
      <c r="AK323" s="423">
        <f t="shared" si="172"/>
        <v>0</v>
      </c>
      <c r="AL323" s="423">
        <f t="shared" si="172"/>
        <v>0</v>
      </c>
      <c r="AM323" s="324"/>
    </row>
    <row r="324" spans="1:39" s="296" customFormat="1" ht="15" outlineLevel="1">
      <c r="A324" s="516"/>
      <c r="B324" s="327"/>
      <c r="C324" s="325"/>
      <c r="D324" s="768"/>
      <c r="E324" s="768"/>
      <c r="F324" s="768"/>
      <c r="G324" s="768"/>
      <c r="H324" s="768"/>
      <c r="I324" s="768"/>
      <c r="J324" s="768"/>
      <c r="K324" s="768"/>
      <c r="L324" s="768"/>
      <c r="M324" s="768"/>
      <c r="N324" s="763"/>
      <c r="O324" s="768"/>
      <c r="P324" s="768"/>
      <c r="Q324" s="768"/>
      <c r="R324" s="768"/>
      <c r="S324" s="768"/>
      <c r="T324" s="768"/>
      <c r="U324" s="768"/>
      <c r="V324" s="768"/>
      <c r="W324" s="768"/>
      <c r="X324" s="768"/>
      <c r="Y324" s="780"/>
      <c r="Z324" s="778"/>
      <c r="AA324" s="778"/>
      <c r="AB324" s="778"/>
      <c r="AC324" s="778"/>
      <c r="AD324" s="778"/>
      <c r="AE324" s="778"/>
      <c r="AF324" s="428"/>
      <c r="AG324" s="428"/>
      <c r="AH324" s="428"/>
      <c r="AI324" s="428"/>
      <c r="AJ324" s="428"/>
      <c r="AK324" s="428"/>
      <c r="AL324" s="428"/>
      <c r="AM324" s="326"/>
    </row>
    <row r="325" spans="1:39" s="296" customFormat="1" ht="30" outlineLevel="1">
      <c r="A325" s="516">
        <v>16</v>
      </c>
      <c r="B325" s="327" t="s">
        <v>486</v>
      </c>
      <c r="C325" s="304" t="s">
        <v>25</v>
      </c>
      <c r="D325" s="308"/>
      <c r="E325" s="308"/>
      <c r="F325" s="308"/>
      <c r="G325" s="308"/>
      <c r="H325" s="308"/>
      <c r="I325" s="308"/>
      <c r="J325" s="308"/>
      <c r="K325" s="308"/>
      <c r="L325" s="308"/>
      <c r="M325" s="308"/>
      <c r="N325" s="763"/>
      <c r="O325" s="308"/>
      <c r="P325" s="308"/>
      <c r="Q325" s="308"/>
      <c r="R325" s="308"/>
      <c r="S325" s="308"/>
      <c r="T325" s="308"/>
      <c r="U325" s="308"/>
      <c r="V325" s="308"/>
      <c r="W325" s="308"/>
      <c r="X325" s="308"/>
      <c r="Y325" s="777"/>
      <c r="Z325" s="777"/>
      <c r="AA325" s="777"/>
      <c r="AB325" s="777"/>
      <c r="AC325" s="777"/>
      <c r="AD325" s="777"/>
      <c r="AE325" s="777"/>
      <c r="AF325" s="427"/>
      <c r="AG325" s="427"/>
      <c r="AH325" s="427"/>
      <c r="AI325" s="427"/>
      <c r="AJ325" s="427"/>
      <c r="AK325" s="427"/>
      <c r="AL325" s="427"/>
      <c r="AM325" s="309">
        <f>SUM(Y325:AL325)</f>
        <v>0</v>
      </c>
    </row>
    <row r="326" spans="1:39" s="296" customFormat="1" ht="15" outlineLevel="1">
      <c r="A326" s="516"/>
      <c r="B326" s="328" t="s">
        <v>249</v>
      </c>
      <c r="C326" s="304" t="s">
        <v>163</v>
      </c>
      <c r="D326" s="308"/>
      <c r="E326" s="308"/>
      <c r="F326" s="308"/>
      <c r="G326" s="308"/>
      <c r="H326" s="308"/>
      <c r="I326" s="308"/>
      <c r="J326" s="308"/>
      <c r="K326" s="308"/>
      <c r="L326" s="308"/>
      <c r="M326" s="308"/>
      <c r="N326" s="763"/>
      <c r="O326" s="308"/>
      <c r="P326" s="308"/>
      <c r="Q326" s="308"/>
      <c r="R326" s="308"/>
      <c r="S326" s="308"/>
      <c r="T326" s="308"/>
      <c r="U326" s="308"/>
      <c r="V326" s="308"/>
      <c r="W326" s="308"/>
      <c r="X326" s="308"/>
      <c r="Y326" s="773">
        <f>Y325</f>
        <v>0</v>
      </c>
      <c r="Z326" s="773">
        <f>Z325</f>
        <v>0</v>
      </c>
      <c r="AA326" s="773">
        <f t="shared" ref="AA326:AE326" si="173">AA325</f>
        <v>0</v>
      </c>
      <c r="AB326" s="773">
        <f t="shared" si="173"/>
        <v>0</v>
      </c>
      <c r="AC326" s="773">
        <f t="shared" si="173"/>
        <v>0</v>
      </c>
      <c r="AD326" s="773">
        <f t="shared" si="173"/>
        <v>0</v>
      </c>
      <c r="AE326" s="773">
        <f t="shared" si="173"/>
        <v>0</v>
      </c>
      <c r="AF326" s="423">
        <f t="shared" ref="AF326:AL326" si="174">AF325</f>
        <v>0</v>
      </c>
      <c r="AG326" s="423">
        <f t="shared" si="174"/>
        <v>0</v>
      </c>
      <c r="AH326" s="423">
        <f t="shared" si="174"/>
        <v>0</v>
      </c>
      <c r="AI326" s="423">
        <f t="shared" si="174"/>
        <v>0</v>
      </c>
      <c r="AJ326" s="423">
        <f t="shared" si="174"/>
        <v>0</v>
      </c>
      <c r="AK326" s="423">
        <f t="shared" si="174"/>
        <v>0</v>
      </c>
      <c r="AL326" s="423">
        <f t="shared" si="174"/>
        <v>0</v>
      </c>
      <c r="AM326" s="324"/>
    </row>
    <row r="327" spans="1:39" s="296" customFormat="1" ht="15" outlineLevel="1">
      <c r="A327" s="516"/>
      <c r="B327" s="327"/>
      <c r="C327" s="325"/>
      <c r="D327" s="768"/>
      <c r="E327" s="768"/>
      <c r="F327" s="768"/>
      <c r="G327" s="768"/>
      <c r="H327" s="768"/>
      <c r="I327" s="768"/>
      <c r="J327" s="768"/>
      <c r="K327" s="768"/>
      <c r="L327" s="768"/>
      <c r="M327" s="768"/>
      <c r="N327" s="763"/>
      <c r="O327" s="768"/>
      <c r="P327" s="768"/>
      <c r="Q327" s="768"/>
      <c r="R327" s="768"/>
      <c r="S327" s="768"/>
      <c r="T327" s="768"/>
      <c r="U327" s="768"/>
      <c r="V327" s="768"/>
      <c r="W327" s="768"/>
      <c r="X327" s="768"/>
      <c r="Y327" s="780"/>
      <c r="Z327" s="778"/>
      <c r="AA327" s="778"/>
      <c r="AB327" s="778"/>
      <c r="AC327" s="778"/>
      <c r="AD327" s="778"/>
      <c r="AE327" s="778"/>
      <c r="AF327" s="428"/>
      <c r="AG327" s="428"/>
      <c r="AH327" s="428"/>
      <c r="AI327" s="428"/>
      <c r="AJ327" s="428"/>
      <c r="AK327" s="428"/>
      <c r="AL327" s="428"/>
      <c r="AM327" s="326"/>
    </row>
    <row r="328" spans="1:39" ht="15" outlineLevel="1">
      <c r="A328" s="516">
        <v>17</v>
      </c>
      <c r="B328" s="327" t="s">
        <v>9</v>
      </c>
      <c r="C328" s="304" t="s">
        <v>25</v>
      </c>
      <c r="D328" s="308"/>
      <c r="E328" s="308"/>
      <c r="F328" s="308"/>
      <c r="G328" s="308"/>
      <c r="H328" s="308"/>
      <c r="I328" s="308"/>
      <c r="J328" s="308"/>
      <c r="K328" s="308"/>
      <c r="L328" s="308"/>
      <c r="M328" s="308"/>
      <c r="N328" s="763"/>
      <c r="O328" s="308"/>
      <c r="P328" s="308"/>
      <c r="Q328" s="308"/>
      <c r="R328" s="308"/>
      <c r="S328" s="308"/>
      <c r="T328" s="308"/>
      <c r="U328" s="308"/>
      <c r="V328" s="308"/>
      <c r="W328" s="308"/>
      <c r="X328" s="308"/>
      <c r="Y328" s="777"/>
      <c r="Z328" s="777"/>
      <c r="AA328" s="777"/>
      <c r="AB328" s="777"/>
      <c r="AC328" s="777"/>
      <c r="AD328" s="777"/>
      <c r="AE328" s="777"/>
      <c r="AF328" s="427"/>
      <c r="AG328" s="427"/>
      <c r="AH328" s="427"/>
      <c r="AI328" s="427"/>
      <c r="AJ328" s="427"/>
      <c r="AK328" s="427"/>
      <c r="AL328" s="427"/>
      <c r="AM328" s="309">
        <f>SUM(Y328:AL328)</f>
        <v>0</v>
      </c>
    </row>
    <row r="329" spans="1:39" ht="15" outlineLevel="1">
      <c r="B329" s="307" t="s">
        <v>249</v>
      </c>
      <c r="C329" s="304" t="s">
        <v>163</v>
      </c>
      <c r="D329" s="308"/>
      <c r="E329" s="308"/>
      <c r="F329" s="308"/>
      <c r="G329" s="308"/>
      <c r="H329" s="308"/>
      <c r="I329" s="308"/>
      <c r="J329" s="308"/>
      <c r="K329" s="308"/>
      <c r="L329" s="308"/>
      <c r="M329" s="308"/>
      <c r="N329" s="763"/>
      <c r="O329" s="308"/>
      <c r="P329" s="308"/>
      <c r="Q329" s="308"/>
      <c r="R329" s="308"/>
      <c r="S329" s="308"/>
      <c r="T329" s="308"/>
      <c r="U329" s="308"/>
      <c r="V329" s="308"/>
      <c r="W329" s="308"/>
      <c r="X329" s="308"/>
      <c r="Y329" s="773">
        <f>Y328</f>
        <v>0</v>
      </c>
      <c r="Z329" s="773">
        <f>Z328</f>
        <v>0</v>
      </c>
      <c r="AA329" s="773">
        <f t="shared" ref="AA329:AE329" si="175">AA328</f>
        <v>0</v>
      </c>
      <c r="AB329" s="773">
        <f t="shared" si="175"/>
        <v>0</v>
      </c>
      <c r="AC329" s="773">
        <f t="shared" si="175"/>
        <v>0</v>
      </c>
      <c r="AD329" s="773">
        <f t="shared" si="175"/>
        <v>0</v>
      </c>
      <c r="AE329" s="773">
        <f t="shared" si="175"/>
        <v>0</v>
      </c>
      <c r="AF329" s="423">
        <f t="shared" ref="AF329:AL329" si="176">AF328</f>
        <v>0</v>
      </c>
      <c r="AG329" s="423">
        <f t="shared" si="176"/>
        <v>0</v>
      </c>
      <c r="AH329" s="423">
        <f t="shared" si="176"/>
        <v>0</v>
      </c>
      <c r="AI329" s="423">
        <f t="shared" si="176"/>
        <v>0</v>
      </c>
      <c r="AJ329" s="423">
        <f t="shared" si="176"/>
        <v>0</v>
      </c>
      <c r="AK329" s="423">
        <f t="shared" si="176"/>
        <v>0</v>
      </c>
      <c r="AL329" s="423">
        <f t="shared" si="176"/>
        <v>0</v>
      </c>
      <c r="AM329" s="324"/>
    </row>
    <row r="330" spans="1:39" ht="15" outlineLevel="1">
      <c r="B330" s="328"/>
      <c r="C330" s="318"/>
      <c r="D330" s="763"/>
      <c r="E330" s="763"/>
      <c r="F330" s="763"/>
      <c r="G330" s="763"/>
      <c r="H330" s="763"/>
      <c r="I330" s="763"/>
      <c r="J330" s="763"/>
      <c r="K330" s="763"/>
      <c r="L330" s="763"/>
      <c r="M330" s="763"/>
      <c r="N330" s="763"/>
      <c r="O330" s="763"/>
      <c r="P330" s="763"/>
      <c r="Q330" s="763"/>
      <c r="R330" s="763"/>
      <c r="S330" s="763"/>
      <c r="T330" s="763"/>
      <c r="U330" s="763"/>
      <c r="V330" s="763"/>
      <c r="W330" s="763"/>
      <c r="X330" s="763"/>
      <c r="Y330" s="781"/>
      <c r="Z330" s="782"/>
      <c r="AA330" s="782"/>
      <c r="AB330" s="782"/>
      <c r="AC330" s="782"/>
      <c r="AD330" s="782"/>
      <c r="AE330" s="782"/>
      <c r="AF330" s="430"/>
      <c r="AG330" s="430"/>
      <c r="AH330" s="430"/>
      <c r="AI330" s="430"/>
      <c r="AJ330" s="430"/>
      <c r="AK330" s="430"/>
      <c r="AL330" s="430"/>
      <c r="AM330" s="330"/>
    </row>
    <row r="331" spans="1:39" ht="15.6" outlineLevel="1">
      <c r="A331" s="517"/>
      <c r="B331" s="301" t="s">
        <v>10</v>
      </c>
      <c r="C331" s="302"/>
      <c r="D331" s="767"/>
      <c r="E331" s="767"/>
      <c r="F331" s="767"/>
      <c r="G331" s="767"/>
      <c r="H331" s="767"/>
      <c r="I331" s="767"/>
      <c r="J331" s="767"/>
      <c r="K331" s="767"/>
      <c r="L331" s="767"/>
      <c r="M331" s="767"/>
      <c r="N331" s="769"/>
      <c r="O331" s="767"/>
      <c r="P331" s="767"/>
      <c r="Q331" s="767"/>
      <c r="R331" s="767"/>
      <c r="S331" s="767"/>
      <c r="T331" s="767"/>
      <c r="U331" s="767"/>
      <c r="V331" s="767"/>
      <c r="W331" s="767"/>
      <c r="X331" s="767"/>
      <c r="Y331" s="776"/>
      <c r="Z331" s="776"/>
      <c r="AA331" s="776"/>
      <c r="AB331" s="776"/>
      <c r="AC331" s="776"/>
      <c r="AD331" s="776"/>
      <c r="AE331" s="776"/>
      <c r="AF331" s="426"/>
      <c r="AG331" s="426"/>
      <c r="AH331" s="426"/>
      <c r="AI331" s="426"/>
      <c r="AJ331" s="426"/>
      <c r="AK331" s="426"/>
      <c r="AL331" s="426"/>
      <c r="AM331" s="305"/>
    </row>
    <row r="332" spans="1:39" ht="15" outlineLevel="1">
      <c r="A332" s="516">
        <v>18</v>
      </c>
      <c r="B332" s="328" t="s">
        <v>11</v>
      </c>
      <c r="C332" s="304" t="s">
        <v>25</v>
      </c>
      <c r="D332" s="308"/>
      <c r="E332" s="308"/>
      <c r="F332" s="308"/>
      <c r="G332" s="308"/>
      <c r="H332" s="308"/>
      <c r="I332" s="308"/>
      <c r="J332" s="308"/>
      <c r="K332" s="308"/>
      <c r="L332" s="308"/>
      <c r="M332" s="308"/>
      <c r="N332" s="308">
        <v>12</v>
      </c>
      <c r="O332" s="308"/>
      <c r="P332" s="308"/>
      <c r="Q332" s="308"/>
      <c r="R332" s="308"/>
      <c r="S332" s="308"/>
      <c r="T332" s="308"/>
      <c r="U332" s="308"/>
      <c r="V332" s="308"/>
      <c r="W332" s="308"/>
      <c r="X332" s="308"/>
      <c r="Y332" s="789"/>
      <c r="Z332" s="777"/>
      <c r="AA332" s="777"/>
      <c r="AB332" s="777"/>
      <c r="AC332" s="777"/>
      <c r="AD332" s="777"/>
      <c r="AE332" s="777"/>
      <c r="AF332" s="427"/>
      <c r="AG332" s="427"/>
      <c r="AH332" s="427"/>
      <c r="AI332" s="427"/>
      <c r="AJ332" s="427"/>
      <c r="AK332" s="427"/>
      <c r="AL332" s="427"/>
      <c r="AM332" s="309">
        <f>SUM(Y332:AL332)</f>
        <v>0</v>
      </c>
    </row>
    <row r="333" spans="1:39" ht="15" outlineLevel="1">
      <c r="B333" s="307" t="s">
        <v>249</v>
      </c>
      <c r="C333" s="304" t="s">
        <v>163</v>
      </c>
      <c r="D333" s="308"/>
      <c r="E333" s="308"/>
      <c r="F333" s="308"/>
      <c r="G333" s="308"/>
      <c r="H333" s="308"/>
      <c r="I333" s="308"/>
      <c r="J333" s="308"/>
      <c r="K333" s="308"/>
      <c r="L333" s="308"/>
      <c r="M333" s="308"/>
      <c r="N333" s="308">
        <f>N332</f>
        <v>12</v>
      </c>
      <c r="O333" s="308"/>
      <c r="P333" s="308"/>
      <c r="Q333" s="308"/>
      <c r="R333" s="308"/>
      <c r="S333" s="308"/>
      <c r="T333" s="308"/>
      <c r="U333" s="308"/>
      <c r="V333" s="308"/>
      <c r="W333" s="308"/>
      <c r="X333" s="308"/>
      <c r="Y333" s="773">
        <f>Y332</f>
        <v>0</v>
      </c>
      <c r="Z333" s="773">
        <f>Z332</f>
        <v>0</v>
      </c>
      <c r="AA333" s="773">
        <f t="shared" ref="AA333:AE333" si="177">AA332</f>
        <v>0</v>
      </c>
      <c r="AB333" s="773">
        <f t="shared" si="177"/>
        <v>0</v>
      </c>
      <c r="AC333" s="773">
        <f t="shared" si="177"/>
        <v>0</v>
      </c>
      <c r="AD333" s="773">
        <f t="shared" si="177"/>
        <v>0</v>
      </c>
      <c r="AE333" s="773">
        <f t="shared" si="177"/>
        <v>0</v>
      </c>
      <c r="AF333" s="423">
        <f t="shared" ref="AF333:AL333" si="178">AF332</f>
        <v>0</v>
      </c>
      <c r="AG333" s="423">
        <f t="shared" si="178"/>
        <v>0</v>
      </c>
      <c r="AH333" s="423">
        <f t="shared" si="178"/>
        <v>0</v>
      </c>
      <c r="AI333" s="423">
        <f t="shared" si="178"/>
        <v>0</v>
      </c>
      <c r="AJ333" s="423">
        <f t="shared" si="178"/>
        <v>0</v>
      </c>
      <c r="AK333" s="423">
        <f t="shared" si="178"/>
        <v>0</v>
      </c>
      <c r="AL333" s="423">
        <f t="shared" si="178"/>
        <v>0</v>
      </c>
      <c r="AM333" s="310"/>
    </row>
    <row r="334" spans="1:39" ht="15" outlineLevel="1">
      <c r="A334" s="519"/>
      <c r="B334" s="328"/>
      <c r="C334" s="318"/>
      <c r="D334" s="763"/>
      <c r="E334" s="763"/>
      <c r="F334" s="763"/>
      <c r="G334" s="763"/>
      <c r="H334" s="763"/>
      <c r="I334" s="763"/>
      <c r="J334" s="763"/>
      <c r="K334" s="763"/>
      <c r="L334" s="763"/>
      <c r="M334" s="763"/>
      <c r="N334" s="763"/>
      <c r="O334" s="763"/>
      <c r="P334" s="763"/>
      <c r="Q334" s="763"/>
      <c r="R334" s="763"/>
      <c r="S334" s="763"/>
      <c r="T334" s="763"/>
      <c r="U334" s="763"/>
      <c r="V334" s="763"/>
      <c r="W334" s="763"/>
      <c r="X334" s="763"/>
      <c r="Y334" s="774"/>
      <c r="Z334" s="783"/>
      <c r="AA334" s="783"/>
      <c r="AB334" s="783"/>
      <c r="AC334" s="783"/>
      <c r="AD334" s="783"/>
      <c r="AE334" s="783"/>
      <c r="AF334" s="431"/>
      <c r="AG334" s="431"/>
      <c r="AH334" s="431"/>
      <c r="AI334" s="431"/>
      <c r="AJ334" s="431"/>
      <c r="AK334" s="431"/>
      <c r="AL334" s="431"/>
      <c r="AM334" s="319"/>
    </row>
    <row r="335" spans="1:39" ht="15" outlineLevel="1">
      <c r="A335" s="516">
        <v>19</v>
      </c>
      <c r="B335" s="328" t="s">
        <v>12</v>
      </c>
      <c r="C335" s="304" t="s">
        <v>25</v>
      </c>
      <c r="D335" s="308"/>
      <c r="E335" s="308"/>
      <c r="F335" s="308"/>
      <c r="G335" s="308"/>
      <c r="H335" s="308"/>
      <c r="I335" s="308"/>
      <c r="J335" s="308"/>
      <c r="K335" s="308"/>
      <c r="L335" s="308"/>
      <c r="M335" s="308"/>
      <c r="N335" s="308">
        <v>12</v>
      </c>
      <c r="O335" s="308"/>
      <c r="P335" s="308"/>
      <c r="Q335" s="308"/>
      <c r="R335" s="308"/>
      <c r="S335" s="308"/>
      <c r="T335" s="308"/>
      <c r="U335" s="308"/>
      <c r="V335" s="308"/>
      <c r="W335" s="308"/>
      <c r="X335" s="308"/>
      <c r="Y335" s="772"/>
      <c r="Z335" s="777"/>
      <c r="AA335" s="777"/>
      <c r="AB335" s="777"/>
      <c r="AC335" s="777"/>
      <c r="AD335" s="777"/>
      <c r="AE335" s="777"/>
      <c r="AF335" s="427"/>
      <c r="AG335" s="427"/>
      <c r="AH335" s="427"/>
      <c r="AI335" s="427"/>
      <c r="AJ335" s="427"/>
      <c r="AK335" s="427"/>
      <c r="AL335" s="427"/>
      <c r="AM335" s="309">
        <f>SUM(Y335:AL335)</f>
        <v>0</v>
      </c>
    </row>
    <row r="336" spans="1:39" ht="15" outlineLevel="1">
      <c r="B336" s="307" t="s">
        <v>249</v>
      </c>
      <c r="C336" s="304" t="s">
        <v>163</v>
      </c>
      <c r="D336" s="308"/>
      <c r="E336" s="308"/>
      <c r="F336" s="308"/>
      <c r="G336" s="308"/>
      <c r="H336" s="308"/>
      <c r="I336" s="308"/>
      <c r="J336" s="308"/>
      <c r="K336" s="308"/>
      <c r="L336" s="308"/>
      <c r="M336" s="308"/>
      <c r="N336" s="308">
        <f>N335</f>
        <v>12</v>
      </c>
      <c r="O336" s="308"/>
      <c r="P336" s="308"/>
      <c r="Q336" s="308"/>
      <c r="R336" s="308"/>
      <c r="S336" s="308"/>
      <c r="T336" s="308"/>
      <c r="U336" s="308"/>
      <c r="V336" s="308"/>
      <c r="W336" s="308"/>
      <c r="X336" s="308"/>
      <c r="Y336" s="773">
        <f>Y335</f>
        <v>0</v>
      </c>
      <c r="Z336" s="773">
        <f>Z335</f>
        <v>0</v>
      </c>
      <c r="AA336" s="773">
        <f t="shared" ref="AA336:AE336" si="179">AA335</f>
        <v>0</v>
      </c>
      <c r="AB336" s="773">
        <f t="shared" si="179"/>
        <v>0</v>
      </c>
      <c r="AC336" s="773">
        <f t="shared" si="179"/>
        <v>0</v>
      </c>
      <c r="AD336" s="773">
        <f t="shared" si="179"/>
        <v>0</v>
      </c>
      <c r="AE336" s="773">
        <f t="shared" si="179"/>
        <v>0</v>
      </c>
      <c r="AF336" s="423">
        <f t="shared" ref="AF336:AL336" si="180">AF335</f>
        <v>0</v>
      </c>
      <c r="AG336" s="423">
        <f t="shared" si="180"/>
        <v>0</v>
      </c>
      <c r="AH336" s="423">
        <f t="shared" si="180"/>
        <v>0</v>
      </c>
      <c r="AI336" s="423">
        <f t="shared" si="180"/>
        <v>0</v>
      </c>
      <c r="AJ336" s="423">
        <f t="shared" si="180"/>
        <v>0</v>
      </c>
      <c r="AK336" s="423">
        <f t="shared" si="180"/>
        <v>0</v>
      </c>
      <c r="AL336" s="423">
        <f t="shared" si="180"/>
        <v>0</v>
      </c>
      <c r="AM336" s="310"/>
    </row>
    <row r="337" spans="1:39" ht="15" outlineLevel="1">
      <c r="B337" s="328"/>
      <c r="C337" s="318"/>
      <c r="D337" s="763"/>
      <c r="E337" s="763"/>
      <c r="F337" s="763"/>
      <c r="G337" s="763"/>
      <c r="H337" s="763"/>
      <c r="I337" s="763"/>
      <c r="J337" s="763"/>
      <c r="K337" s="763"/>
      <c r="L337" s="763"/>
      <c r="M337" s="763"/>
      <c r="N337" s="763"/>
      <c r="O337" s="763"/>
      <c r="P337" s="763"/>
      <c r="Q337" s="763"/>
      <c r="R337" s="763"/>
      <c r="S337" s="763"/>
      <c r="T337" s="763"/>
      <c r="U337" s="763"/>
      <c r="V337" s="763"/>
      <c r="W337" s="763"/>
      <c r="X337" s="763"/>
      <c r="Y337" s="784"/>
      <c r="Z337" s="784"/>
      <c r="AA337" s="774"/>
      <c r="AB337" s="774"/>
      <c r="AC337" s="774"/>
      <c r="AD337" s="774"/>
      <c r="AE337" s="774"/>
      <c r="AF337" s="424"/>
      <c r="AG337" s="424"/>
      <c r="AH337" s="424"/>
      <c r="AI337" s="424"/>
      <c r="AJ337" s="424"/>
      <c r="AK337" s="424"/>
      <c r="AL337" s="424"/>
      <c r="AM337" s="319"/>
    </row>
    <row r="338" spans="1:39" ht="15" outlineLevel="1">
      <c r="A338" s="516">
        <v>20</v>
      </c>
      <c r="B338" s="328" t="s">
        <v>13</v>
      </c>
      <c r="C338" s="304" t="s">
        <v>25</v>
      </c>
      <c r="D338" s="308"/>
      <c r="E338" s="308"/>
      <c r="F338" s="308"/>
      <c r="G338" s="308"/>
      <c r="H338" s="308"/>
      <c r="I338" s="308"/>
      <c r="J338" s="308"/>
      <c r="K338" s="308"/>
      <c r="L338" s="308"/>
      <c r="M338" s="308"/>
      <c r="N338" s="308">
        <v>12</v>
      </c>
      <c r="O338" s="308"/>
      <c r="P338" s="308"/>
      <c r="Q338" s="308"/>
      <c r="R338" s="308"/>
      <c r="S338" s="308"/>
      <c r="T338" s="308"/>
      <c r="U338" s="308"/>
      <c r="V338" s="308"/>
      <c r="W338" s="308"/>
      <c r="X338" s="308"/>
      <c r="Y338" s="772"/>
      <c r="Z338" s="777"/>
      <c r="AA338" s="777"/>
      <c r="AB338" s="777">
        <v>1</v>
      </c>
      <c r="AC338" s="788"/>
      <c r="AD338" s="777"/>
      <c r="AE338" s="777"/>
      <c r="AF338" s="427"/>
      <c r="AG338" s="427"/>
      <c r="AH338" s="427"/>
      <c r="AI338" s="427"/>
      <c r="AJ338" s="427"/>
      <c r="AK338" s="427"/>
      <c r="AL338" s="427"/>
      <c r="AM338" s="309">
        <f>SUM(Y338:AL338)</f>
        <v>1</v>
      </c>
    </row>
    <row r="339" spans="1:39" ht="15" outlineLevel="1">
      <c r="B339" s="307" t="s">
        <v>249</v>
      </c>
      <c r="C339" s="304" t="s">
        <v>163</v>
      </c>
      <c r="D339" s="308">
        <f>'7.  Persistence Report'!AS85</f>
        <v>10467.69231</v>
      </c>
      <c r="E339" s="308">
        <f>'7.  Persistence Report'!AT85</f>
        <v>10467.69231</v>
      </c>
      <c r="F339" s="308">
        <f>'7.  Persistence Report'!AU85</f>
        <v>10467.69231</v>
      </c>
      <c r="G339" s="308">
        <f>'7.  Persistence Report'!AV85</f>
        <v>0</v>
      </c>
      <c r="H339" s="308">
        <f>'7.  Persistence Report'!AW85</f>
        <v>0</v>
      </c>
      <c r="I339" s="308">
        <f>'7.  Persistence Report'!AX85</f>
        <v>0</v>
      </c>
      <c r="J339" s="308">
        <f>'7.  Persistence Report'!AY85</f>
        <v>0</v>
      </c>
      <c r="K339" s="308">
        <f>'7.  Persistence Report'!AZ85</f>
        <v>0</v>
      </c>
      <c r="L339" s="308">
        <f>'7.  Persistence Report'!BA85</f>
        <v>0</v>
      </c>
      <c r="M339" s="308">
        <f>'7.  Persistence Report'!BB85</f>
        <v>0</v>
      </c>
      <c r="N339" s="308">
        <f>N338</f>
        <v>12</v>
      </c>
      <c r="O339" s="308">
        <f>'7.  Persistence Report'!N85</f>
        <v>0.17749799999999999</v>
      </c>
      <c r="P339" s="308">
        <f>'7.  Persistence Report'!O85</f>
        <v>0.17749799999999999</v>
      </c>
      <c r="Q339" s="308">
        <f>'7.  Persistence Report'!P85</f>
        <v>0.17749799999999999</v>
      </c>
      <c r="R339" s="308">
        <f>'7.  Persistence Report'!Q85</f>
        <v>0</v>
      </c>
      <c r="S339" s="308">
        <f>'7.  Persistence Report'!R85</f>
        <v>0</v>
      </c>
      <c r="T339" s="308">
        <f>'7.  Persistence Report'!S85</f>
        <v>0</v>
      </c>
      <c r="U339" s="308">
        <f>'7.  Persistence Report'!T85</f>
        <v>0</v>
      </c>
      <c r="V339" s="308">
        <f>'7.  Persistence Report'!U85</f>
        <v>0</v>
      </c>
      <c r="W339" s="308">
        <f>'7.  Persistence Report'!V85</f>
        <v>0</v>
      </c>
      <c r="X339" s="308">
        <f>'7.  Persistence Report'!W85</f>
        <v>0</v>
      </c>
      <c r="Y339" s="773">
        <f>Y338</f>
        <v>0</v>
      </c>
      <c r="Z339" s="773">
        <f>Z338</f>
        <v>0</v>
      </c>
      <c r="AA339" s="773">
        <f t="shared" ref="AA339:AE339" si="181">AA338</f>
        <v>0</v>
      </c>
      <c r="AB339" s="773">
        <f t="shared" si="181"/>
        <v>1</v>
      </c>
      <c r="AC339" s="773">
        <f t="shared" si="181"/>
        <v>0</v>
      </c>
      <c r="AD339" s="773">
        <f t="shared" si="181"/>
        <v>0</v>
      </c>
      <c r="AE339" s="773">
        <f t="shared" si="181"/>
        <v>0</v>
      </c>
      <c r="AF339" s="423">
        <f t="shared" ref="AF339:AL339" si="182">AF338</f>
        <v>0</v>
      </c>
      <c r="AG339" s="423">
        <f t="shared" si="182"/>
        <v>0</v>
      </c>
      <c r="AH339" s="423">
        <f t="shared" si="182"/>
        <v>0</v>
      </c>
      <c r="AI339" s="423">
        <f t="shared" si="182"/>
        <v>0</v>
      </c>
      <c r="AJ339" s="423">
        <f t="shared" si="182"/>
        <v>0</v>
      </c>
      <c r="AK339" s="423">
        <f t="shared" si="182"/>
        <v>0</v>
      </c>
      <c r="AL339" s="423">
        <f t="shared" si="182"/>
        <v>0</v>
      </c>
      <c r="AM339" s="319"/>
    </row>
    <row r="340" spans="1:39" ht="15" outlineLevel="1">
      <c r="B340" s="328"/>
      <c r="C340" s="318"/>
      <c r="D340" s="763"/>
      <c r="E340" s="763"/>
      <c r="F340" s="763"/>
      <c r="G340" s="763"/>
      <c r="H340" s="763"/>
      <c r="I340" s="763"/>
      <c r="J340" s="763"/>
      <c r="K340" s="763"/>
      <c r="L340" s="763"/>
      <c r="M340" s="763"/>
      <c r="N340" s="770"/>
      <c r="O340" s="763"/>
      <c r="P340" s="763"/>
      <c r="Q340" s="763"/>
      <c r="R340" s="763"/>
      <c r="S340" s="763"/>
      <c r="T340" s="763"/>
      <c r="U340" s="763"/>
      <c r="V340" s="763"/>
      <c r="W340" s="763"/>
      <c r="X340" s="763"/>
      <c r="Y340" s="774"/>
      <c r="Z340" s="774"/>
      <c r="AA340" s="774"/>
      <c r="AB340" s="774"/>
      <c r="AC340" s="774"/>
      <c r="AD340" s="774"/>
      <c r="AE340" s="774"/>
      <c r="AF340" s="424"/>
      <c r="AG340" s="424"/>
      <c r="AH340" s="424"/>
      <c r="AI340" s="424"/>
      <c r="AJ340" s="424"/>
      <c r="AK340" s="424"/>
      <c r="AL340" s="424"/>
      <c r="AM340" s="319"/>
    </row>
    <row r="341" spans="1:39" ht="15" outlineLevel="1">
      <c r="A341" s="516">
        <v>21</v>
      </c>
      <c r="B341" s="328" t="s">
        <v>22</v>
      </c>
      <c r="C341" s="304" t="s">
        <v>25</v>
      </c>
      <c r="D341" s="308"/>
      <c r="E341" s="308"/>
      <c r="F341" s="308"/>
      <c r="G341" s="308"/>
      <c r="H341" s="308"/>
      <c r="I341" s="308"/>
      <c r="J341" s="308"/>
      <c r="K341" s="308"/>
      <c r="L341" s="308"/>
      <c r="M341" s="308"/>
      <c r="N341" s="308">
        <v>12</v>
      </c>
      <c r="O341" s="308"/>
      <c r="P341" s="308"/>
      <c r="Q341" s="308"/>
      <c r="R341" s="308"/>
      <c r="S341" s="308"/>
      <c r="T341" s="308"/>
      <c r="U341" s="308"/>
      <c r="V341" s="308"/>
      <c r="W341" s="308"/>
      <c r="X341" s="308"/>
      <c r="Y341" s="772"/>
      <c r="Z341" s="777"/>
      <c r="AA341" s="777"/>
      <c r="AB341" s="777"/>
      <c r="AC341" s="777"/>
      <c r="AD341" s="777"/>
      <c r="AE341" s="777"/>
      <c r="AF341" s="427"/>
      <c r="AG341" s="427"/>
      <c r="AH341" s="427"/>
      <c r="AI341" s="427"/>
      <c r="AJ341" s="427"/>
      <c r="AK341" s="427"/>
      <c r="AL341" s="427"/>
      <c r="AM341" s="309">
        <f>SUM(Y341:AL341)</f>
        <v>0</v>
      </c>
    </row>
    <row r="342" spans="1:39" ht="15" outlineLevel="1">
      <c r="B342" s="307" t="s">
        <v>249</v>
      </c>
      <c r="C342" s="304" t="s">
        <v>163</v>
      </c>
      <c r="D342" s="308"/>
      <c r="E342" s="308"/>
      <c r="F342" s="308"/>
      <c r="G342" s="308"/>
      <c r="H342" s="308"/>
      <c r="I342" s="308"/>
      <c r="J342" s="308"/>
      <c r="K342" s="308"/>
      <c r="L342" s="308"/>
      <c r="M342" s="308"/>
      <c r="N342" s="308">
        <f>N341</f>
        <v>12</v>
      </c>
      <c r="O342" s="308"/>
      <c r="P342" s="308"/>
      <c r="Q342" s="308"/>
      <c r="R342" s="308"/>
      <c r="S342" s="308"/>
      <c r="T342" s="308"/>
      <c r="U342" s="308"/>
      <c r="V342" s="308"/>
      <c r="W342" s="308"/>
      <c r="X342" s="308"/>
      <c r="Y342" s="773">
        <f>Y341</f>
        <v>0</v>
      </c>
      <c r="Z342" s="773">
        <f>Z341</f>
        <v>0</v>
      </c>
      <c r="AA342" s="773">
        <f t="shared" ref="AA342:AE342" si="183">AA341</f>
        <v>0</v>
      </c>
      <c r="AB342" s="773">
        <f t="shared" si="183"/>
        <v>0</v>
      </c>
      <c r="AC342" s="773">
        <f t="shared" si="183"/>
        <v>0</v>
      </c>
      <c r="AD342" s="773">
        <f t="shared" si="183"/>
        <v>0</v>
      </c>
      <c r="AE342" s="773">
        <f t="shared" si="183"/>
        <v>0</v>
      </c>
      <c r="AF342" s="423">
        <f t="shared" ref="AF342:AL342" si="184">AF341</f>
        <v>0</v>
      </c>
      <c r="AG342" s="423">
        <f t="shared" si="184"/>
        <v>0</v>
      </c>
      <c r="AH342" s="423">
        <f t="shared" si="184"/>
        <v>0</v>
      </c>
      <c r="AI342" s="423">
        <f t="shared" si="184"/>
        <v>0</v>
      </c>
      <c r="AJ342" s="423">
        <f t="shared" si="184"/>
        <v>0</v>
      </c>
      <c r="AK342" s="423">
        <f t="shared" si="184"/>
        <v>0</v>
      </c>
      <c r="AL342" s="423">
        <f t="shared" si="184"/>
        <v>0</v>
      </c>
      <c r="AM342" s="310"/>
    </row>
    <row r="343" spans="1:39" ht="15" outlineLevel="1">
      <c r="B343" s="328"/>
      <c r="C343" s="318"/>
      <c r="D343" s="763"/>
      <c r="E343" s="763"/>
      <c r="F343" s="763"/>
      <c r="G343" s="763"/>
      <c r="H343" s="763"/>
      <c r="I343" s="763"/>
      <c r="J343" s="763"/>
      <c r="K343" s="763"/>
      <c r="L343" s="763"/>
      <c r="M343" s="763"/>
      <c r="N343" s="763"/>
      <c r="O343" s="763"/>
      <c r="P343" s="763"/>
      <c r="Q343" s="763"/>
      <c r="R343" s="763"/>
      <c r="S343" s="763"/>
      <c r="T343" s="763"/>
      <c r="U343" s="763"/>
      <c r="V343" s="763"/>
      <c r="W343" s="763"/>
      <c r="X343" s="763"/>
      <c r="Y343" s="784"/>
      <c r="Z343" s="774"/>
      <c r="AA343" s="774"/>
      <c r="AB343" s="774"/>
      <c r="AC343" s="774"/>
      <c r="AD343" s="774"/>
      <c r="AE343" s="774"/>
      <c r="AF343" s="424"/>
      <c r="AG343" s="424"/>
      <c r="AH343" s="424"/>
      <c r="AI343" s="424"/>
      <c r="AJ343" s="424"/>
      <c r="AK343" s="424"/>
      <c r="AL343" s="424"/>
      <c r="AM343" s="319"/>
    </row>
    <row r="344" spans="1:39" ht="15" outlineLevel="1">
      <c r="A344" s="516">
        <v>22</v>
      </c>
      <c r="B344" s="328" t="s">
        <v>9</v>
      </c>
      <c r="C344" s="304" t="s">
        <v>25</v>
      </c>
      <c r="D344" s="308"/>
      <c r="E344" s="308"/>
      <c r="F344" s="308"/>
      <c r="G344" s="308"/>
      <c r="H344" s="308"/>
      <c r="I344" s="308"/>
      <c r="J344" s="308"/>
      <c r="K344" s="308"/>
      <c r="L344" s="308"/>
      <c r="M344" s="308"/>
      <c r="N344" s="763"/>
      <c r="O344" s="308"/>
      <c r="P344" s="308"/>
      <c r="Q344" s="308"/>
      <c r="R344" s="308"/>
      <c r="S344" s="308"/>
      <c r="T344" s="308"/>
      <c r="U344" s="308"/>
      <c r="V344" s="308"/>
      <c r="W344" s="308"/>
      <c r="X344" s="308"/>
      <c r="Y344" s="772"/>
      <c r="Z344" s="777"/>
      <c r="AA344" s="777"/>
      <c r="AB344" s="777"/>
      <c r="AC344" s="777"/>
      <c r="AD344" s="777"/>
      <c r="AE344" s="777"/>
      <c r="AF344" s="427"/>
      <c r="AG344" s="427"/>
      <c r="AH344" s="427"/>
      <c r="AI344" s="427"/>
      <c r="AJ344" s="427"/>
      <c r="AK344" s="427"/>
      <c r="AL344" s="427"/>
      <c r="AM344" s="309">
        <f>SUM(Y344:AL344)</f>
        <v>0</v>
      </c>
    </row>
    <row r="345" spans="1:39" ht="15" outlineLevel="1">
      <c r="B345" s="307" t="s">
        <v>249</v>
      </c>
      <c r="C345" s="304" t="s">
        <v>163</v>
      </c>
      <c r="D345" s="308"/>
      <c r="E345" s="308"/>
      <c r="F345" s="308"/>
      <c r="G345" s="308"/>
      <c r="H345" s="308"/>
      <c r="I345" s="308"/>
      <c r="J345" s="308"/>
      <c r="K345" s="308"/>
      <c r="L345" s="308"/>
      <c r="M345" s="308"/>
      <c r="N345" s="763"/>
      <c r="O345" s="308"/>
      <c r="P345" s="308"/>
      <c r="Q345" s="308"/>
      <c r="R345" s="308"/>
      <c r="S345" s="308"/>
      <c r="T345" s="308"/>
      <c r="U345" s="308"/>
      <c r="V345" s="308"/>
      <c r="W345" s="308"/>
      <c r="X345" s="308"/>
      <c r="Y345" s="773">
        <f>Y344</f>
        <v>0</v>
      </c>
      <c r="Z345" s="773">
        <f>Z344</f>
        <v>0</v>
      </c>
      <c r="AA345" s="773">
        <f t="shared" ref="AA345:AE345" si="185">AA344</f>
        <v>0</v>
      </c>
      <c r="AB345" s="773">
        <f t="shared" si="185"/>
        <v>0</v>
      </c>
      <c r="AC345" s="773">
        <f t="shared" si="185"/>
        <v>0</v>
      </c>
      <c r="AD345" s="773">
        <f t="shared" si="185"/>
        <v>0</v>
      </c>
      <c r="AE345" s="773">
        <f t="shared" si="185"/>
        <v>0</v>
      </c>
      <c r="AF345" s="423">
        <f t="shared" ref="AF345:AL345" si="186">AF344</f>
        <v>0</v>
      </c>
      <c r="AG345" s="423">
        <f t="shared" si="186"/>
        <v>0</v>
      </c>
      <c r="AH345" s="423">
        <f t="shared" si="186"/>
        <v>0</v>
      </c>
      <c r="AI345" s="423">
        <f t="shared" si="186"/>
        <v>0</v>
      </c>
      <c r="AJ345" s="423">
        <f t="shared" si="186"/>
        <v>0</v>
      </c>
      <c r="AK345" s="423">
        <f t="shared" si="186"/>
        <v>0</v>
      </c>
      <c r="AL345" s="423">
        <f t="shared" si="186"/>
        <v>0</v>
      </c>
      <c r="AM345" s="319"/>
    </row>
    <row r="346" spans="1:39" ht="15" outlineLevel="1">
      <c r="B346" s="328"/>
      <c r="C346" s="318"/>
      <c r="D346" s="763"/>
      <c r="E346" s="763"/>
      <c r="F346" s="763"/>
      <c r="G346" s="763"/>
      <c r="H346" s="763"/>
      <c r="I346" s="763"/>
      <c r="J346" s="763"/>
      <c r="K346" s="763"/>
      <c r="L346" s="763"/>
      <c r="M346" s="763"/>
      <c r="N346" s="763"/>
      <c r="O346" s="763"/>
      <c r="P346" s="763"/>
      <c r="Q346" s="763"/>
      <c r="R346" s="763"/>
      <c r="S346" s="763"/>
      <c r="T346" s="763"/>
      <c r="U346" s="763"/>
      <c r="V346" s="763"/>
      <c r="W346" s="763"/>
      <c r="X346" s="763"/>
      <c r="Y346" s="774"/>
      <c r="Z346" s="774"/>
      <c r="AA346" s="774"/>
      <c r="AB346" s="774"/>
      <c r="AC346" s="774"/>
      <c r="AD346" s="774"/>
      <c r="AE346" s="774"/>
      <c r="AF346" s="424"/>
      <c r="AG346" s="424"/>
      <c r="AH346" s="424"/>
      <c r="AI346" s="424"/>
      <c r="AJ346" s="424"/>
      <c r="AK346" s="424"/>
      <c r="AL346" s="424"/>
      <c r="AM346" s="319"/>
    </row>
    <row r="347" spans="1:39" ht="15.6" outlineLevel="1">
      <c r="A347" s="517"/>
      <c r="B347" s="301" t="s">
        <v>14</v>
      </c>
      <c r="C347" s="302"/>
      <c r="D347" s="769"/>
      <c r="E347" s="769"/>
      <c r="F347" s="769"/>
      <c r="G347" s="769"/>
      <c r="H347" s="769"/>
      <c r="I347" s="769"/>
      <c r="J347" s="769"/>
      <c r="K347" s="769"/>
      <c r="L347" s="769"/>
      <c r="M347" s="769"/>
      <c r="N347" s="769"/>
      <c r="O347" s="769"/>
      <c r="P347" s="769"/>
      <c r="Q347" s="769"/>
      <c r="R347" s="769"/>
      <c r="S347" s="769"/>
      <c r="T347" s="769"/>
      <c r="U347" s="769"/>
      <c r="V347" s="769"/>
      <c r="W347" s="769"/>
      <c r="X347" s="769"/>
      <c r="Y347" s="776"/>
      <c r="Z347" s="776"/>
      <c r="AA347" s="776"/>
      <c r="AB347" s="776"/>
      <c r="AC347" s="776"/>
      <c r="AD347" s="776"/>
      <c r="AE347" s="776"/>
      <c r="AF347" s="426"/>
      <c r="AG347" s="426"/>
      <c r="AH347" s="426"/>
      <c r="AI347" s="426"/>
      <c r="AJ347" s="426"/>
      <c r="AK347" s="426"/>
      <c r="AL347" s="426"/>
      <c r="AM347" s="305"/>
    </row>
    <row r="348" spans="1:39" ht="15" outlineLevel="1">
      <c r="A348" s="516">
        <v>23</v>
      </c>
      <c r="B348" s="328" t="s">
        <v>14</v>
      </c>
      <c r="C348" s="304" t="s">
        <v>25</v>
      </c>
      <c r="D348" s="308">
        <f>'7.  Persistence Report'!AS75</f>
        <v>127117.742881775</v>
      </c>
      <c r="E348" s="308">
        <f>'7.  Persistence Report'!AT75</f>
        <v>124084.37903595</v>
      </c>
      <c r="F348" s="308">
        <f>'7.  Persistence Report'!AU75</f>
        <v>119198.259010315</v>
      </c>
      <c r="G348" s="308">
        <f>'7.  Persistence Report'!AV75</f>
        <v>109426.30175971999</v>
      </c>
      <c r="H348" s="308">
        <f>'7.  Persistence Report'!AW75</f>
        <v>104298.677518845</v>
      </c>
      <c r="I348" s="308">
        <f>'7.  Persistence Report'!AX75</f>
        <v>101092.03486061101</v>
      </c>
      <c r="J348" s="308">
        <f>'7.  Persistence Report'!AY75</f>
        <v>101092.03486061101</v>
      </c>
      <c r="K348" s="308">
        <f>'7.  Persistence Report'!AZ75</f>
        <v>101092.03486061101</v>
      </c>
      <c r="L348" s="308">
        <f>'7.  Persistence Report'!BA75</f>
        <v>57870.315299987997</v>
      </c>
      <c r="M348" s="308">
        <f>'7.  Persistence Report'!BB75</f>
        <v>57638.965858459</v>
      </c>
      <c r="N348" s="763"/>
      <c r="O348" s="308">
        <f>'7.  Persistence Report'!N75</f>
        <v>11.506904471</v>
      </c>
      <c r="P348" s="308">
        <f>'7.  Persistence Report'!O75</f>
        <v>11.349332494</v>
      </c>
      <c r="Q348" s="308">
        <f>'7.  Persistence Report'!P75</f>
        <v>11.095516707</v>
      </c>
      <c r="R348" s="308">
        <f>'7.  Persistence Report'!Q75</f>
        <v>10.587899781999999</v>
      </c>
      <c r="S348" s="308">
        <f>'7.  Persistence Report'!R75</f>
        <v>10.321538649000001</v>
      </c>
      <c r="T348" s="308">
        <f>'7.  Persistence Report'!S75</f>
        <v>10.15496549</v>
      </c>
      <c r="U348" s="308">
        <f>'7.  Persistence Report'!T75</f>
        <v>10.15496549</v>
      </c>
      <c r="V348" s="308">
        <f>'7.  Persistence Report'!U75</f>
        <v>10.15496549</v>
      </c>
      <c r="W348" s="308">
        <f>'7.  Persistence Report'!V75</f>
        <v>7.9097577299999999</v>
      </c>
      <c r="X348" s="308">
        <f>'7.  Persistence Report'!W75</f>
        <v>7.6620439559999998</v>
      </c>
      <c r="Y348" s="790">
        <v>1</v>
      </c>
      <c r="Z348" s="772"/>
      <c r="AA348" s="772"/>
      <c r="AB348" s="772"/>
      <c r="AC348" s="772"/>
      <c r="AD348" s="772"/>
      <c r="AE348" s="772"/>
      <c r="AF348" s="422"/>
      <c r="AG348" s="422"/>
      <c r="AH348" s="422"/>
      <c r="AI348" s="422"/>
      <c r="AJ348" s="422"/>
      <c r="AK348" s="422"/>
      <c r="AL348" s="422"/>
      <c r="AM348" s="309">
        <f>SUM(Y348:AL348)</f>
        <v>1</v>
      </c>
    </row>
    <row r="349" spans="1:39" ht="15" outlineLevel="1">
      <c r="B349" s="307" t="s">
        <v>249</v>
      </c>
      <c r="C349" s="304" t="s">
        <v>163</v>
      </c>
      <c r="D349" s="308">
        <f>'7.  Persistence Report'!AS82</f>
        <v>18427.818869999999</v>
      </c>
      <c r="E349" s="308">
        <f>'7.  Persistence Report'!AT82</f>
        <v>18285.944960000001</v>
      </c>
      <c r="F349" s="308">
        <f>'7.  Persistence Report'!AU82</f>
        <v>18207.92268</v>
      </c>
      <c r="G349" s="308">
        <f>'7.  Persistence Report'!AV82</f>
        <v>17168.769329999999</v>
      </c>
      <c r="H349" s="308">
        <f>'7.  Persistence Report'!AW82</f>
        <v>16681.788499999999</v>
      </c>
      <c r="I349" s="308">
        <f>'7.  Persistence Report'!AX82</f>
        <v>16221.94292</v>
      </c>
      <c r="J349" s="308">
        <f>'7.  Persistence Report'!AY82</f>
        <v>16221.94292</v>
      </c>
      <c r="K349" s="308">
        <f>'7.  Persistence Report'!AZ82</f>
        <v>16221.94292</v>
      </c>
      <c r="L349" s="308">
        <f>'7.  Persistence Report'!BA82</f>
        <v>12389.3833</v>
      </c>
      <c r="M349" s="308">
        <f>'7.  Persistence Report'!BB82</f>
        <v>12389.3833</v>
      </c>
      <c r="N349" s="764"/>
      <c r="O349" s="308">
        <f>'7.  Persistence Report'!N82</f>
        <v>1.7723727760000001</v>
      </c>
      <c r="P349" s="308">
        <f>'7.  Persistence Report'!O82</f>
        <v>1.765087359</v>
      </c>
      <c r="Q349" s="308">
        <f>'7.  Persistence Report'!P82</f>
        <v>1.7610482139999999</v>
      </c>
      <c r="R349" s="308">
        <f>'7.  Persistence Report'!Q82</f>
        <v>1.706921637</v>
      </c>
      <c r="S349" s="308">
        <f>'7.  Persistence Report'!R82</f>
        <v>1.6815226780000001</v>
      </c>
      <c r="T349" s="308">
        <f>'7.  Persistence Report'!S82</f>
        <v>1.657530733</v>
      </c>
      <c r="U349" s="308">
        <f>'7.  Persistence Report'!T82</f>
        <v>1.657530733</v>
      </c>
      <c r="V349" s="308">
        <f>'7.  Persistence Report'!U82</f>
        <v>1.657530733</v>
      </c>
      <c r="W349" s="308">
        <f>'7.  Persistence Report'!V82</f>
        <v>1.4579721269999999</v>
      </c>
      <c r="X349" s="308">
        <f>'7.  Persistence Report'!W82</f>
        <v>1.4579721269999999</v>
      </c>
      <c r="Y349" s="773">
        <f>Y348</f>
        <v>1</v>
      </c>
      <c r="Z349" s="773">
        <f>Z348</f>
        <v>0</v>
      </c>
      <c r="AA349" s="773">
        <f t="shared" ref="AA349:AE349" si="187">AA348</f>
        <v>0</v>
      </c>
      <c r="AB349" s="773">
        <f t="shared" si="187"/>
        <v>0</v>
      </c>
      <c r="AC349" s="773">
        <f t="shared" si="187"/>
        <v>0</v>
      </c>
      <c r="AD349" s="773">
        <f t="shared" si="187"/>
        <v>0</v>
      </c>
      <c r="AE349" s="773">
        <f t="shared" si="187"/>
        <v>0</v>
      </c>
      <c r="AF349" s="423">
        <f t="shared" ref="AF349:AL349" si="188">AF348</f>
        <v>0</v>
      </c>
      <c r="AG349" s="423">
        <f t="shared" si="188"/>
        <v>0</v>
      </c>
      <c r="AH349" s="423">
        <f t="shared" si="188"/>
        <v>0</v>
      </c>
      <c r="AI349" s="423">
        <f t="shared" si="188"/>
        <v>0</v>
      </c>
      <c r="AJ349" s="423">
        <f t="shared" si="188"/>
        <v>0</v>
      </c>
      <c r="AK349" s="423">
        <f t="shared" si="188"/>
        <v>0</v>
      </c>
      <c r="AL349" s="423">
        <f t="shared" si="188"/>
        <v>0</v>
      </c>
      <c r="AM349" s="310"/>
    </row>
    <row r="350" spans="1:39" ht="15" outlineLevel="1">
      <c r="B350" s="328"/>
      <c r="C350" s="318"/>
      <c r="D350" s="763"/>
      <c r="E350" s="763"/>
      <c r="F350" s="763"/>
      <c r="G350" s="763"/>
      <c r="H350" s="763"/>
      <c r="I350" s="763"/>
      <c r="J350" s="763"/>
      <c r="K350" s="763"/>
      <c r="L350" s="763"/>
      <c r="M350" s="763"/>
      <c r="N350" s="763"/>
      <c r="O350" s="763"/>
      <c r="P350" s="763"/>
      <c r="Q350" s="763"/>
      <c r="R350" s="763"/>
      <c r="S350" s="763"/>
      <c r="T350" s="763"/>
      <c r="U350" s="763"/>
      <c r="V350" s="763"/>
      <c r="W350" s="763"/>
      <c r="X350" s="763"/>
      <c r="Y350" s="774"/>
      <c r="Z350" s="774"/>
      <c r="AA350" s="774"/>
      <c r="AB350" s="774"/>
      <c r="AC350" s="774"/>
      <c r="AD350" s="774"/>
      <c r="AE350" s="774"/>
      <c r="AF350" s="424"/>
      <c r="AG350" s="424"/>
      <c r="AH350" s="424"/>
      <c r="AI350" s="424"/>
      <c r="AJ350" s="424"/>
      <c r="AK350" s="424"/>
      <c r="AL350" s="424"/>
      <c r="AM350" s="319"/>
    </row>
    <row r="351" spans="1:39" s="306" customFormat="1" ht="15.6" outlineLevel="1">
      <c r="A351" s="517"/>
      <c r="B351" s="301" t="s">
        <v>487</v>
      </c>
      <c r="C351" s="302"/>
      <c r="D351" s="769"/>
      <c r="E351" s="769"/>
      <c r="F351" s="769"/>
      <c r="G351" s="769"/>
      <c r="H351" s="769"/>
      <c r="I351" s="769"/>
      <c r="J351" s="769"/>
      <c r="K351" s="769"/>
      <c r="L351" s="769"/>
      <c r="M351" s="769"/>
      <c r="N351" s="769"/>
      <c r="O351" s="769"/>
      <c r="P351" s="767"/>
      <c r="Q351" s="767"/>
      <c r="R351" s="767"/>
      <c r="S351" s="767"/>
      <c r="T351" s="767"/>
      <c r="U351" s="767"/>
      <c r="V351" s="767"/>
      <c r="W351" s="767"/>
      <c r="X351" s="767"/>
      <c r="Y351" s="776"/>
      <c r="Z351" s="776"/>
      <c r="AA351" s="776"/>
      <c r="AB351" s="776"/>
      <c r="AC351" s="776"/>
      <c r="AD351" s="776"/>
      <c r="AE351" s="776"/>
      <c r="AF351" s="426"/>
      <c r="AG351" s="426"/>
      <c r="AH351" s="426"/>
      <c r="AI351" s="426"/>
      <c r="AJ351" s="426"/>
      <c r="AK351" s="426"/>
      <c r="AL351" s="426"/>
      <c r="AM351" s="305"/>
    </row>
    <row r="352" spans="1:39" s="296" customFormat="1" ht="15" outlineLevel="1">
      <c r="A352" s="516">
        <v>24</v>
      </c>
      <c r="B352" s="328" t="s">
        <v>14</v>
      </c>
      <c r="C352" s="304" t="s">
        <v>25</v>
      </c>
      <c r="D352" s="308"/>
      <c r="E352" s="308"/>
      <c r="F352" s="308"/>
      <c r="G352" s="308"/>
      <c r="H352" s="308"/>
      <c r="I352" s="308"/>
      <c r="J352" s="308"/>
      <c r="K352" s="308"/>
      <c r="L352" s="308"/>
      <c r="M352" s="308"/>
      <c r="N352" s="763"/>
      <c r="O352" s="308"/>
      <c r="P352" s="308"/>
      <c r="Q352" s="308"/>
      <c r="R352" s="308"/>
      <c r="S352" s="308"/>
      <c r="T352" s="308"/>
      <c r="U352" s="308"/>
      <c r="V352" s="308"/>
      <c r="W352" s="308"/>
      <c r="X352" s="308"/>
      <c r="Y352" s="772"/>
      <c r="Z352" s="772"/>
      <c r="AA352" s="772"/>
      <c r="AB352" s="772"/>
      <c r="AC352" s="772"/>
      <c r="AD352" s="772"/>
      <c r="AE352" s="772"/>
      <c r="AF352" s="422"/>
      <c r="AG352" s="422"/>
      <c r="AH352" s="422"/>
      <c r="AI352" s="422"/>
      <c r="AJ352" s="422"/>
      <c r="AK352" s="422"/>
      <c r="AL352" s="422"/>
      <c r="AM352" s="309">
        <f>SUM(Y352:AL352)</f>
        <v>0</v>
      </c>
    </row>
    <row r="353" spans="1:39" s="296" customFormat="1" ht="15" outlineLevel="1">
      <c r="A353" s="516"/>
      <c r="B353" s="328" t="s">
        <v>249</v>
      </c>
      <c r="C353" s="304" t="s">
        <v>163</v>
      </c>
      <c r="D353" s="308"/>
      <c r="E353" s="308"/>
      <c r="F353" s="308"/>
      <c r="G353" s="308"/>
      <c r="H353" s="308"/>
      <c r="I353" s="308"/>
      <c r="J353" s="308"/>
      <c r="K353" s="308"/>
      <c r="L353" s="308"/>
      <c r="M353" s="308"/>
      <c r="N353" s="764"/>
      <c r="O353" s="308"/>
      <c r="P353" s="308"/>
      <c r="Q353" s="308"/>
      <c r="R353" s="308"/>
      <c r="S353" s="308"/>
      <c r="T353" s="308"/>
      <c r="U353" s="308"/>
      <c r="V353" s="308"/>
      <c r="W353" s="308"/>
      <c r="X353" s="308"/>
      <c r="Y353" s="773">
        <f>Y352</f>
        <v>0</v>
      </c>
      <c r="Z353" s="773">
        <f>Z352</f>
        <v>0</v>
      </c>
      <c r="AA353" s="773">
        <f t="shared" ref="AA353:AE353" si="189">AA352</f>
        <v>0</v>
      </c>
      <c r="AB353" s="773">
        <f t="shared" si="189"/>
        <v>0</v>
      </c>
      <c r="AC353" s="773">
        <f t="shared" si="189"/>
        <v>0</v>
      </c>
      <c r="AD353" s="773">
        <f t="shared" si="189"/>
        <v>0</v>
      </c>
      <c r="AE353" s="773">
        <f t="shared" si="189"/>
        <v>0</v>
      </c>
      <c r="AF353" s="423">
        <f t="shared" ref="AF353:AL353" si="190">AF352</f>
        <v>0</v>
      </c>
      <c r="AG353" s="423">
        <f t="shared" si="190"/>
        <v>0</v>
      </c>
      <c r="AH353" s="423">
        <f t="shared" si="190"/>
        <v>0</v>
      </c>
      <c r="AI353" s="423">
        <f t="shared" si="190"/>
        <v>0</v>
      </c>
      <c r="AJ353" s="423">
        <f t="shared" si="190"/>
        <v>0</v>
      </c>
      <c r="AK353" s="423">
        <f t="shared" si="190"/>
        <v>0</v>
      </c>
      <c r="AL353" s="423">
        <f t="shared" si="190"/>
        <v>0</v>
      </c>
      <c r="AM353" s="310"/>
    </row>
    <row r="354" spans="1:39" s="296" customFormat="1" ht="15" outlineLevel="1">
      <c r="A354" s="516"/>
      <c r="B354" s="328"/>
      <c r="C354" s="318"/>
      <c r="D354" s="763"/>
      <c r="E354" s="763"/>
      <c r="F354" s="763"/>
      <c r="G354" s="763"/>
      <c r="H354" s="763"/>
      <c r="I354" s="763"/>
      <c r="J354" s="763"/>
      <c r="K354" s="763"/>
      <c r="L354" s="763"/>
      <c r="M354" s="763"/>
      <c r="N354" s="763"/>
      <c r="O354" s="763"/>
      <c r="P354" s="763"/>
      <c r="Q354" s="763"/>
      <c r="R354" s="763"/>
      <c r="S354" s="763"/>
      <c r="T354" s="763"/>
      <c r="U354" s="763"/>
      <c r="V354" s="763"/>
      <c r="W354" s="763"/>
      <c r="X354" s="763"/>
      <c r="Y354" s="774"/>
      <c r="Z354" s="774"/>
      <c r="AA354" s="774"/>
      <c r="AB354" s="774"/>
      <c r="AC354" s="774"/>
      <c r="AD354" s="774"/>
      <c r="AE354" s="774"/>
      <c r="AF354" s="424"/>
      <c r="AG354" s="424"/>
      <c r="AH354" s="424"/>
      <c r="AI354" s="424"/>
      <c r="AJ354" s="424"/>
      <c r="AK354" s="424"/>
      <c r="AL354" s="424"/>
      <c r="AM354" s="319"/>
    </row>
    <row r="355" spans="1:39" s="296" customFormat="1" ht="15" outlineLevel="1">
      <c r="A355" s="516">
        <v>25</v>
      </c>
      <c r="B355" s="327" t="s">
        <v>21</v>
      </c>
      <c r="C355" s="304" t="s">
        <v>25</v>
      </c>
      <c r="D355" s="308"/>
      <c r="E355" s="308"/>
      <c r="F355" s="308"/>
      <c r="G355" s="308"/>
      <c r="H355" s="308"/>
      <c r="I355" s="308"/>
      <c r="J355" s="308"/>
      <c r="K355" s="308"/>
      <c r="L355" s="308"/>
      <c r="M355" s="308"/>
      <c r="N355" s="308">
        <v>0</v>
      </c>
      <c r="O355" s="308"/>
      <c r="P355" s="308"/>
      <c r="Q355" s="308"/>
      <c r="R355" s="308"/>
      <c r="S355" s="308"/>
      <c r="T355" s="308"/>
      <c r="U355" s="308"/>
      <c r="V355" s="308"/>
      <c r="W355" s="308"/>
      <c r="X355" s="308"/>
      <c r="Y355" s="777"/>
      <c r="Z355" s="777"/>
      <c r="AA355" s="777"/>
      <c r="AB355" s="777"/>
      <c r="AC355" s="777"/>
      <c r="AD355" s="777"/>
      <c r="AE355" s="777"/>
      <c r="AF355" s="427"/>
      <c r="AG355" s="427"/>
      <c r="AH355" s="427"/>
      <c r="AI355" s="427"/>
      <c r="AJ355" s="427"/>
      <c r="AK355" s="427"/>
      <c r="AL355" s="427"/>
      <c r="AM355" s="309">
        <f>SUM(Y355:AL355)</f>
        <v>0</v>
      </c>
    </row>
    <row r="356" spans="1:39" s="296" customFormat="1" ht="15" outlineLevel="1">
      <c r="A356" s="516"/>
      <c r="B356" s="328" t="s">
        <v>249</v>
      </c>
      <c r="C356" s="304" t="s">
        <v>163</v>
      </c>
      <c r="D356" s="308"/>
      <c r="E356" s="308"/>
      <c r="F356" s="308"/>
      <c r="G356" s="308"/>
      <c r="H356" s="308"/>
      <c r="I356" s="308"/>
      <c r="J356" s="308"/>
      <c r="K356" s="308"/>
      <c r="L356" s="308"/>
      <c r="M356" s="308"/>
      <c r="N356" s="308">
        <f>N355</f>
        <v>0</v>
      </c>
      <c r="O356" s="308"/>
      <c r="P356" s="308"/>
      <c r="Q356" s="308"/>
      <c r="R356" s="308"/>
      <c r="S356" s="308"/>
      <c r="T356" s="308"/>
      <c r="U356" s="308"/>
      <c r="V356" s="308"/>
      <c r="W356" s="308"/>
      <c r="X356" s="308"/>
      <c r="Y356" s="773">
        <f>Y355</f>
        <v>0</v>
      </c>
      <c r="Z356" s="773">
        <f>Z355</f>
        <v>0</v>
      </c>
      <c r="AA356" s="773">
        <f t="shared" ref="AA356:AE356" si="191">AA355</f>
        <v>0</v>
      </c>
      <c r="AB356" s="773">
        <f t="shared" si="191"/>
        <v>0</v>
      </c>
      <c r="AC356" s="773">
        <f t="shared" si="191"/>
        <v>0</v>
      </c>
      <c r="AD356" s="773">
        <f t="shared" si="191"/>
        <v>0</v>
      </c>
      <c r="AE356" s="773">
        <f t="shared" si="191"/>
        <v>0</v>
      </c>
      <c r="AF356" s="423">
        <f t="shared" ref="AF356:AL356" si="192">AF355</f>
        <v>0</v>
      </c>
      <c r="AG356" s="423">
        <f t="shared" si="192"/>
        <v>0</v>
      </c>
      <c r="AH356" s="423">
        <f t="shared" si="192"/>
        <v>0</v>
      </c>
      <c r="AI356" s="423">
        <f t="shared" si="192"/>
        <v>0</v>
      </c>
      <c r="AJ356" s="423">
        <f t="shared" si="192"/>
        <v>0</v>
      </c>
      <c r="AK356" s="423">
        <f t="shared" si="192"/>
        <v>0</v>
      </c>
      <c r="AL356" s="423">
        <f t="shared" si="192"/>
        <v>0</v>
      </c>
      <c r="AM356" s="324"/>
    </row>
    <row r="357" spans="1:39" s="296" customFormat="1" ht="15" outlineLevel="1">
      <c r="A357" s="516"/>
      <c r="B357" s="327"/>
      <c r="C357" s="325"/>
      <c r="D357" s="763"/>
      <c r="E357" s="763"/>
      <c r="F357" s="763"/>
      <c r="G357" s="763"/>
      <c r="H357" s="763"/>
      <c r="I357" s="763"/>
      <c r="J357" s="763"/>
      <c r="K357" s="763"/>
      <c r="L357" s="763"/>
      <c r="M357" s="763"/>
      <c r="N357" s="763"/>
      <c r="O357" s="763"/>
      <c r="P357" s="763"/>
      <c r="Q357" s="763"/>
      <c r="R357" s="763"/>
      <c r="S357" s="763"/>
      <c r="T357" s="763"/>
      <c r="U357" s="763"/>
      <c r="V357" s="763"/>
      <c r="W357" s="763"/>
      <c r="X357" s="763"/>
      <c r="Y357" s="778"/>
      <c r="Z357" s="779"/>
      <c r="AA357" s="778"/>
      <c r="AB357" s="778"/>
      <c r="AC357" s="778"/>
      <c r="AD357" s="778"/>
      <c r="AE357" s="778"/>
      <c r="AF357" s="428"/>
      <c r="AG357" s="428"/>
      <c r="AH357" s="428"/>
      <c r="AI357" s="428"/>
      <c r="AJ357" s="428"/>
      <c r="AK357" s="428"/>
      <c r="AL357" s="428"/>
      <c r="AM357" s="326"/>
    </row>
    <row r="358" spans="1:39" ht="15.6" outlineLevel="1">
      <c r="A358" s="517"/>
      <c r="B358" s="301" t="s">
        <v>15</v>
      </c>
      <c r="C358" s="332"/>
      <c r="D358" s="769"/>
      <c r="E358" s="767"/>
      <c r="F358" s="767"/>
      <c r="G358" s="767"/>
      <c r="H358" s="767"/>
      <c r="I358" s="767"/>
      <c r="J358" s="767"/>
      <c r="K358" s="767"/>
      <c r="L358" s="767"/>
      <c r="M358" s="767"/>
      <c r="N358" s="763"/>
      <c r="O358" s="769"/>
      <c r="P358" s="767"/>
      <c r="Q358" s="767"/>
      <c r="R358" s="767"/>
      <c r="S358" s="767"/>
      <c r="T358" s="767"/>
      <c r="U358" s="767"/>
      <c r="V358" s="767"/>
      <c r="W358" s="767"/>
      <c r="X358" s="767"/>
      <c r="Y358" s="776"/>
      <c r="Z358" s="776"/>
      <c r="AA358" s="776"/>
      <c r="AB358" s="776"/>
      <c r="AC358" s="776"/>
      <c r="AD358" s="776"/>
      <c r="AE358" s="776"/>
      <c r="AF358" s="426"/>
      <c r="AG358" s="426"/>
      <c r="AH358" s="426"/>
      <c r="AI358" s="426"/>
      <c r="AJ358" s="426"/>
      <c r="AK358" s="426"/>
      <c r="AL358" s="426"/>
      <c r="AM358" s="305"/>
    </row>
    <row r="359" spans="1:39" ht="15" outlineLevel="1">
      <c r="A359" s="516">
        <v>26</v>
      </c>
      <c r="B359" s="333" t="s">
        <v>16</v>
      </c>
      <c r="C359" s="304" t="s">
        <v>25</v>
      </c>
      <c r="D359" s="308"/>
      <c r="E359" s="308"/>
      <c r="F359" s="308"/>
      <c r="G359" s="308"/>
      <c r="H359" s="308"/>
      <c r="I359" s="308"/>
      <c r="J359" s="308"/>
      <c r="K359" s="308"/>
      <c r="L359" s="308"/>
      <c r="M359" s="308"/>
      <c r="N359" s="308">
        <v>12</v>
      </c>
      <c r="O359" s="308"/>
      <c r="P359" s="308"/>
      <c r="Q359" s="308"/>
      <c r="R359" s="308"/>
      <c r="S359" s="308"/>
      <c r="T359" s="308"/>
      <c r="U359" s="308"/>
      <c r="V359" s="308"/>
      <c r="W359" s="308"/>
      <c r="X359" s="308"/>
      <c r="Y359" s="789"/>
      <c r="Z359" s="777"/>
      <c r="AA359" s="777"/>
      <c r="AB359" s="777"/>
      <c r="AC359" s="777"/>
      <c r="AD359" s="777"/>
      <c r="AE359" s="777"/>
      <c r="AF359" s="427"/>
      <c r="AG359" s="427"/>
      <c r="AH359" s="427"/>
      <c r="AI359" s="427"/>
      <c r="AJ359" s="427"/>
      <c r="AK359" s="427"/>
      <c r="AL359" s="427"/>
      <c r="AM359" s="309">
        <f>SUM(Y359:AL359)</f>
        <v>0</v>
      </c>
    </row>
    <row r="360" spans="1:39" ht="15" outlineLevel="1">
      <c r="B360" s="307" t="s">
        <v>249</v>
      </c>
      <c r="C360" s="304" t="s">
        <v>163</v>
      </c>
      <c r="D360" s="308"/>
      <c r="E360" s="308"/>
      <c r="F360" s="308"/>
      <c r="G360" s="308"/>
      <c r="H360" s="308"/>
      <c r="I360" s="308"/>
      <c r="J360" s="308"/>
      <c r="K360" s="308"/>
      <c r="L360" s="308"/>
      <c r="M360" s="308"/>
      <c r="N360" s="308">
        <f>N359</f>
        <v>12</v>
      </c>
      <c r="O360" s="308"/>
      <c r="P360" s="308"/>
      <c r="Q360" s="308"/>
      <c r="R360" s="308"/>
      <c r="S360" s="308"/>
      <c r="T360" s="308"/>
      <c r="U360" s="308"/>
      <c r="V360" s="308"/>
      <c r="W360" s="308"/>
      <c r="X360" s="308"/>
      <c r="Y360" s="773">
        <f>Y359</f>
        <v>0</v>
      </c>
      <c r="Z360" s="773">
        <f>Z359</f>
        <v>0</v>
      </c>
      <c r="AA360" s="773">
        <f t="shared" ref="AA360:AE360" si="193">AA359</f>
        <v>0</v>
      </c>
      <c r="AB360" s="773">
        <f t="shared" si="193"/>
        <v>0</v>
      </c>
      <c r="AC360" s="773">
        <f t="shared" si="193"/>
        <v>0</v>
      </c>
      <c r="AD360" s="773">
        <f t="shared" si="193"/>
        <v>0</v>
      </c>
      <c r="AE360" s="773">
        <f t="shared" si="193"/>
        <v>0</v>
      </c>
      <c r="AF360" s="423">
        <f t="shared" ref="AF360:AL360" si="194">AF359</f>
        <v>0</v>
      </c>
      <c r="AG360" s="423">
        <f t="shared" si="194"/>
        <v>0</v>
      </c>
      <c r="AH360" s="423">
        <f t="shared" si="194"/>
        <v>0</v>
      </c>
      <c r="AI360" s="423">
        <f t="shared" si="194"/>
        <v>0</v>
      </c>
      <c r="AJ360" s="423">
        <f t="shared" si="194"/>
        <v>0</v>
      </c>
      <c r="AK360" s="423">
        <f t="shared" si="194"/>
        <v>0</v>
      </c>
      <c r="AL360" s="423">
        <f t="shared" si="194"/>
        <v>0</v>
      </c>
      <c r="AM360" s="319"/>
    </row>
    <row r="361" spans="1:39" ht="15" outlineLevel="1">
      <c r="A361" s="519"/>
      <c r="B361" s="334"/>
      <c r="C361" s="304"/>
      <c r="D361" s="763"/>
      <c r="E361" s="763"/>
      <c r="F361" s="763"/>
      <c r="G361" s="763"/>
      <c r="H361" s="763"/>
      <c r="I361" s="763"/>
      <c r="J361" s="763"/>
      <c r="K361" s="763"/>
      <c r="L361" s="763"/>
      <c r="M361" s="763"/>
      <c r="N361" s="763"/>
      <c r="O361" s="763"/>
      <c r="P361" s="763"/>
      <c r="Q361" s="763"/>
      <c r="R361" s="763"/>
      <c r="S361" s="763"/>
      <c r="T361" s="763"/>
      <c r="U361" s="763"/>
      <c r="V361" s="763"/>
      <c r="W361" s="763"/>
      <c r="X361" s="763"/>
      <c r="Y361" s="785"/>
      <c r="Z361" s="786"/>
      <c r="AA361" s="786"/>
      <c r="AB361" s="786"/>
      <c r="AC361" s="786"/>
      <c r="AD361" s="786"/>
      <c r="AE361" s="786"/>
      <c r="AF361" s="434"/>
      <c r="AG361" s="434"/>
      <c r="AH361" s="434"/>
      <c r="AI361" s="434"/>
      <c r="AJ361" s="434"/>
      <c r="AK361" s="434"/>
      <c r="AL361" s="434"/>
      <c r="AM361" s="310"/>
    </row>
    <row r="362" spans="1:39" ht="15" outlineLevel="1">
      <c r="A362" s="516">
        <v>27</v>
      </c>
      <c r="B362" s="333" t="s">
        <v>17</v>
      </c>
      <c r="C362" s="304" t="s">
        <v>25</v>
      </c>
      <c r="D362" s="308"/>
      <c r="E362" s="308"/>
      <c r="F362" s="308"/>
      <c r="G362" s="308"/>
      <c r="H362" s="308"/>
      <c r="I362" s="308"/>
      <c r="J362" s="308"/>
      <c r="K362" s="308"/>
      <c r="L362" s="308"/>
      <c r="M362" s="308"/>
      <c r="N362" s="308">
        <v>12</v>
      </c>
      <c r="O362" s="308"/>
      <c r="P362" s="308"/>
      <c r="Q362" s="308"/>
      <c r="R362" s="308"/>
      <c r="S362" s="308"/>
      <c r="T362" s="308"/>
      <c r="U362" s="308"/>
      <c r="V362" s="308"/>
      <c r="W362" s="308"/>
      <c r="X362" s="308"/>
      <c r="Y362" s="789"/>
      <c r="Z362" s="777"/>
      <c r="AA362" s="777"/>
      <c r="AB362" s="777"/>
      <c r="AC362" s="777"/>
      <c r="AD362" s="777"/>
      <c r="AE362" s="777"/>
      <c r="AF362" s="427"/>
      <c r="AG362" s="427"/>
      <c r="AH362" s="427"/>
      <c r="AI362" s="427"/>
      <c r="AJ362" s="427"/>
      <c r="AK362" s="427"/>
      <c r="AL362" s="427"/>
      <c r="AM362" s="309">
        <f>SUM(Y362:AL362)</f>
        <v>0</v>
      </c>
    </row>
    <row r="363" spans="1:39" ht="15" outlineLevel="1">
      <c r="B363" s="307" t="s">
        <v>249</v>
      </c>
      <c r="C363" s="304" t="s">
        <v>163</v>
      </c>
      <c r="D363" s="308"/>
      <c r="E363" s="308"/>
      <c r="F363" s="308"/>
      <c r="G363" s="308"/>
      <c r="H363" s="308"/>
      <c r="I363" s="308"/>
      <c r="J363" s="308"/>
      <c r="K363" s="308"/>
      <c r="L363" s="308"/>
      <c r="M363" s="308"/>
      <c r="N363" s="308">
        <f>N362</f>
        <v>12</v>
      </c>
      <c r="O363" s="308"/>
      <c r="P363" s="308"/>
      <c r="Q363" s="308"/>
      <c r="R363" s="308"/>
      <c r="S363" s="308"/>
      <c r="T363" s="308"/>
      <c r="U363" s="308"/>
      <c r="V363" s="308"/>
      <c r="W363" s="308"/>
      <c r="X363" s="308"/>
      <c r="Y363" s="773">
        <f>Y362</f>
        <v>0</v>
      </c>
      <c r="Z363" s="773">
        <f>Z362</f>
        <v>0</v>
      </c>
      <c r="AA363" s="773">
        <f t="shared" ref="AA363:AE363" si="195">AA362</f>
        <v>0</v>
      </c>
      <c r="AB363" s="773">
        <f t="shared" si="195"/>
        <v>0</v>
      </c>
      <c r="AC363" s="773">
        <f t="shared" si="195"/>
        <v>0</v>
      </c>
      <c r="AD363" s="773">
        <f t="shared" si="195"/>
        <v>0</v>
      </c>
      <c r="AE363" s="773">
        <f t="shared" si="195"/>
        <v>0</v>
      </c>
      <c r="AF363" s="423">
        <f t="shared" ref="AF363:AL363" si="196">AF362</f>
        <v>0</v>
      </c>
      <c r="AG363" s="423">
        <f t="shared" si="196"/>
        <v>0</v>
      </c>
      <c r="AH363" s="423">
        <f t="shared" si="196"/>
        <v>0</v>
      </c>
      <c r="AI363" s="423">
        <f t="shared" si="196"/>
        <v>0</v>
      </c>
      <c r="AJ363" s="423">
        <f t="shared" si="196"/>
        <v>0</v>
      </c>
      <c r="AK363" s="423">
        <f t="shared" si="196"/>
        <v>0</v>
      </c>
      <c r="AL363" s="423">
        <f t="shared" si="196"/>
        <v>0</v>
      </c>
      <c r="AM363" s="319"/>
    </row>
    <row r="364" spans="1:39" ht="15.6" outlineLevel="1">
      <c r="A364" s="519"/>
      <c r="B364" s="335"/>
      <c r="C364" s="313"/>
      <c r="D364" s="763"/>
      <c r="E364" s="763"/>
      <c r="F364" s="763"/>
      <c r="G364" s="763"/>
      <c r="H364" s="763"/>
      <c r="I364" s="763"/>
      <c r="J364" s="763"/>
      <c r="K364" s="763"/>
      <c r="L364" s="763"/>
      <c r="M364" s="763"/>
      <c r="N364" s="771"/>
      <c r="O364" s="763"/>
      <c r="P364" s="763"/>
      <c r="Q364" s="763"/>
      <c r="R364" s="763"/>
      <c r="S364" s="763"/>
      <c r="T364" s="763"/>
      <c r="U364" s="763"/>
      <c r="V364" s="763"/>
      <c r="W364" s="763"/>
      <c r="X364" s="763"/>
      <c r="Y364" s="774"/>
      <c r="Z364" s="774"/>
      <c r="AA364" s="774"/>
      <c r="AB364" s="774"/>
      <c r="AC364" s="774"/>
      <c r="AD364" s="774"/>
      <c r="AE364" s="774"/>
      <c r="AF364" s="424"/>
      <c r="AG364" s="424"/>
      <c r="AH364" s="424"/>
      <c r="AI364" s="424"/>
      <c r="AJ364" s="424"/>
      <c r="AK364" s="424"/>
      <c r="AL364" s="424"/>
      <c r="AM364" s="319"/>
    </row>
    <row r="365" spans="1:39" ht="15" outlineLevel="1">
      <c r="A365" s="516">
        <v>28</v>
      </c>
      <c r="B365" s="333" t="s">
        <v>18</v>
      </c>
      <c r="C365" s="304" t="s">
        <v>25</v>
      </c>
      <c r="D365" s="308"/>
      <c r="E365" s="308"/>
      <c r="F365" s="308"/>
      <c r="G365" s="308"/>
      <c r="H365" s="308"/>
      <c r="I365" s="308"/>
      <c r="J365" s="308"/>
      <c r="K365" s="308"/>
      <c r="L365" s="308"/>
      <c r="M365" s="308"/>
      <c r="N365" s="308">
        <v>0</v>
      </c>
      <c r="O365" s="308"/>
      <c r="P365" s="308"/>
      <c r="Q365" s="308"/>
      <c r="R365" s="308"/>
      <c r="S365" s="308"/>
      <c r="T365" s="308"/>
      <c r="U365" s="308"/>
      <c r="V365" s="308"/>
      <c r="W365" s="308"/>
      <c r="X365" s="308"/>
      <c r="Y365" s="789"/>
      <c r="Z365" s="777"/>
      <c r="AA365" s="777"/>
      <c r="AB365" s="777"/>
      <c r="AC365" s="777"/>
      <c r="AD365" s="777"/>
      <c r="AE365" s="777"/>
      <c r="AF365" s="427"/>
      <c r="AG365" s="427"/>
      <c r="AH365" s="427"/>
      <c r="AI365" s="427"/>
      <c r="AJ365" s="427"/>
      <c r="AK365" s="427"/>
      <c r="AL365" s="427"/>
      <c r="AM365" s="309">
        <f>SUM(Y365:AL365)</f>
        <v>0</v>
      </c>
    </row>
    <row r="366" spans="1:39" ht="15" outlineLevel="1">
      <c r="B366" s="307" t="s">
        <v>249</v>
      </c>
      <c r="C366" s="304" t="s">
        <v>163</v>
      </c>
      <c r="D366" s="308"/>
      <c r="E366" s="308"/>
      <c r="F366" s="308"/>
      <c r="G366" s="308"/>
      <c r="H366" s="308"/>
      <c r="I366" s="308"/>
      <c r="J366" s="308"/>
      <c r="K366" s="308"/>
      <c r="L366" s="308"/>
      <c r="M366" s="308"/>
      <c r="N366" s="308">
        <f>N365</f>
        <v>0</v>
      </c>
      <c r="O366" s="308"/>
      <c r="P366" s="308"/>
      <c r="Q366" s="308"/>
      <c r="R366" s="308"/>
      <c r="S366" s="308"/>
      <c r="T366" s="308"/>
      <c r="U366" s="308"/>
      <c r="V366" s="308"/>
      <c r="W366" s="308"/>
      <c r="X366" s="308"/>
      <c r="Y366" s="773">
        <f>Y365</f>
        <v>0</v>
      </c>
      <c r="Z366" s="773">
        <f>Z365</f>
        <v>0</v>
      </c>
      <c r="AA366" s="773">
        <f t="shared" ref="AA366:AE366" si="197">AA365</f>
        <v>0</v>
      </c>
      <c r="AB366" s="773">
        <f t="shared" si="197"/>
        <v>0</v>
      </c>
      <c r="AC366" s="773">
        <f t="shared" si="197"/>
        <v>0</v>
      </c>
      <c r="AD366" s="773">
        <f t="shared" si="197"/>
        <v>0</v>
      </c>
      <c r="AE366" s="773">
        <f t="shared" si="197"/>
        <v>0</v>
      </c>
      <c r="AF366" s="423">
        <f t="shared" ref="AF366:AL366" si="198">AF365</f>
        <v>0</v>
      </c>
      <c r="AG366" s="423">
        <f t="shared" si="198"/>
        <v>0</v>
      </c>
      <c r="AH366" s="423">
        <f t="shared" si="198"/>
        <v>0</v>
      </c>
      <c r="AI366" s="423">
        <f t="shared" si="198"/>
        <v>0</v>
      </c>
      <c r="AJ366" s="423">
        <f t="shared" si="198"/>
        <v>0</v>
      </c>
      <c r="AK366" s="423">
        <f t="shared" si="198"/>
        <v>0</v>
      </c>
      <c r="AL366" s="423">
        <f t="shared" si="198"/>
        <v>0</v>
      </c>
      <c r="AM366" s="310"/>
    </row>
    <row r="367" spans="1:39" ht="15" outlineLevel="1">
      <c r="A367" s="519"/>
      <c r="B367" s="334"/>
      <c r="C367" s="304"/>
      <c r="D367" s="763"/>
      <c r="E367" s="763"/>
      <c r="F367" s="763"/>
      <c r="G367" s="763"/>
      <c r="H367" s="763"/>
      <c r="I367" s="763"/>
      <c r="J367" s="763"/>
      <c r="K367" s="763"/>
      <c r="L367" s="763"/>
      <c r="M367" s="763"/>
      <c r="N367" s="763"/>
      <c r="O367" s="763"/>
      <c r="P367" s="763"/>
      <c r="Q367" s="763"/>
      <c r="R367" s="763"/>
      <c r="S367" s="763"/>
      <c r="T367" s="763"/>
      <c r="U367" s="763"/>
      <c r="V367" s="763"/>
      <c r="W367" s="763"/>
      <c r="X367" s="763"/>
      <c r="Y367" s="774"/>
      <c r="Z367" s="774"/>
      <c r="AA367" s="774"/>
      <c r="AB367" s="774"/>
      <c r="AC367" s="774"/>
      <c r="AD367" s="774"/>
      <c r="AE367" s="774"/>
      <c r="AF367" s="424"/>
      <c r="AG367" s="424"/>
      <c r="AH367" s="424"/>
      <c r="AI367" s="424"/>
      <c r="AJ367" s="424"/>
      <c r="AK367" s="424"/>
      <c r="AL367" s="424"/>
      <c r="AM367" s="319"/>
    </row>
    <row r="368" spans="1:39" ht="15" outlineLevel="1">
      <c r="A368" s="516">
        <v>29</v>
      </c>
      <c r="B368" s="336" t="s">
        <v>19</v>
      </c>
      <c r="C368" s="304" t="s">
        <v>25</v>
      </c>
      <c r="D368" s="308"/>
      <c r="E368" s="308"/>
      <c r="F368" s="308"/>
      <c r="G368" s="308"/>
      <c r="H368" s="308"/>
      <c r="I368" s="308"/>
      <c r="J368" s="308"/>
      <c r="K368" s="308"/>
      <c r="L368" s="308"/>
      <c r="M368" s="308"/>
      <c r="N368" s="308">
        <v>0</v>
      </c>
      <c r="O368" s="308"/>
      <c r="P368" s="308"/>
      <c r="Q368" s="308"/>
      <c r="R368" s="308"/>
      <c r="S368" s="308"/>
      <c r="T368" s="308"/>
      <c r="U368" s="308"/>
      <c r="V368" s="308"/>
      <c r="W368" s="308"/>
      <c r="X368" s="308"/>
      <c r="Y368" s="789"/>
      <c r="Z368" s="777"/>
      <c r="AA368" s="777"/>
      <c r="AB368" s="777"/>
      <c r="AC368" s="777"/>
      <c r="AD368" s="777"/>
      <c r="AE368" s="777"/>
      <c r="AF368" s="427"/>
      <c r="AG368" s="427"/>
      <c r="AH368" s="427"/>
      <c r="AI368" s="427"/>
      <c r="AJ368" s="427"/>
      <c r="AK368" s="427"/>
      <c r="AL368" s="427"/>
      <c r="AM368" s="309">
        <f>SUM(Y368:AL368)</f>
        <v>0</v>
      </c>
    </row>
    <row r="369" spans="1:39" ht="15" outlineLevel="1">
      <c r="B369" s="336" t="s">
        <v>249</v>
      </c>
      <c r="C369" s="304" t="s">
        <v>163</v>
      </c>
      <c r="D369" s="308"/>
      <c r="E369" s="308"/>
      <c r="F369" s="308"/>
      <c r="G369" s="308"/>
      <c r="H369" s="308"/>
      <c r="I369" s="308"/>
      <c r="J369" s="308"/>
      <c r="K369" s="308"/>
      <c r="L369" s="308"/>
      <c r="M369" s="308"/>
      <c r="N369" s="308">
        <f>N368</f>
        <v>0</v>
      </c>
      <c r="O369" s="308"/>
      <c r="P369" s="308"/>
      <c r="Q369" s="308"/>
      <c r="R369" s="308"/>
      <c r="S369" s="308"/>
      <c r="T369" s="308"/>
      <c r="U369" s="308"/>
      <c r="V369" s="308"/>
      <c r="W369" s="308"/>
      <c r="X369" s="308"/>
      <c r="Y369" s="773">
        <f>Y368</f>
        <v>0</v>
      </c>
      <c r="Z369" s="773">
        <f t="shared" ref="Z369:AE369" si="199">Z368</f>
        <v>0</v>
      </c>
      <c r="AA369" s="773">
        <f t="shared" si="199"/>
        <v>0</v>
      </c>
      <c r="AB369" s="773">
        <f t="shared" si="199"/>
        <v>0</v>
      </c>
      <c r="AC369" s="773">
        <f t="shared" si="199"/>
        <v>0</v>
      </c>
      <c r="AD369" s="773">
        <f t="shared" si="199"/>
        <v>0</v>
      </c>
      <c r="AE369" s="773">
        <f t="shared" si="199"/>
        <v>0</v>
      </c>
      <c r="AF369" s="423">
        <f t="shared" ref="AF369:AL369" si="200">AF368</f>
        <v>0</v>
      </c>
      <c r="AG369" s="423">
        <f t="shared" si="200"/>
        <v>0</v>
      </c>
      <c r="AH369" s="423">
        <f t="shared" si="200"/>
        <v>0</v>
      </c>
      <c r="AI369" s="423">
        <f t="shared" si="200"/>
        <v>0</v>
      </c>
      <c r="AJ369" s="423">
        <f t="shared" si="200"/>
        <v>0</v>
      </c>
      <c r="AK369" s="423">
        <f t="shared" si="200"/>
        <v>0</v>
      </c>
      <c r="AL369" s="423">
        <f t="shared" si="200"/>
        <v>0</v>
      </c>
      <c r="AM369" s="310"/>
    </row>
    <row r="370" spans="1:39" ht="15" outlineLevel="1">
      <c r="B370" s="336"/>
      <c r="C370" s="304"/>
      <c r="D370" s="763"/>
      <c r="E370" s="763"/>
      <c r="F370" s="763"/>
      <c r="G370" s="763"/>
      <c r="H370" s="763"/>
      <c r="I370" s="763"/>
      <c r="J370" s="763"/>
      <c r="K370" s="763"/>
      <c r="L370" s="763"/>
      <c r="M370" s="763"/>
      <c r="N370" s="763"/>
      <c r="O370" s="763"/>
      <c r="P370" s="763"/>
      <c r="Q370" s="763"/>
      <c r="R370" s="763"/>
      <c r="S370" s="763"/>
      <c r="T370" s="763"/>
      <c r="U370" s="763"/>
      <c r="V370" s="763"/>
      <c r="W370" s="763"/>
      <c r="X370" s="763"/>
      <c r="Y370" s="785"/>
      <c r="Z370" s="785"/>
      <c r="AA370" s="785"/>
      <c r="AB370" s="785"/>
      <c r="AC370" s="785"/>
      <c r="AD370" s="785"/>
      <c r="AE370" s="785"/>
      <c r="AF370" s="433"/>
      <c r="AG370" s="433"/>
      <c r="AH370" s="433"/>
      <c r="AI370" s="433"/>
      <c r="AJ370" s="433"/>
      <c r="AK370" s="433"/>
      <c r="AL370" s="433"/>
      <c r="AM370" s="326"/>
    </row>
    <row r="371" spans="1:39" s="296" customFormat="1" ht="15" outlineLevel="1">
      <c r="A371" s="516">
        <v>30</v>
      </c>
      <c r="B371" s="336" t="s">
        <v>488</v>
      </c>
      <c r="C371" s="304" t="s">
        <v>25</v>
      </c>
      <c r="D371" s="308"/>
      <c r="E371" s="308"/>
      <c r="F371" s="308"/>
      <c r="G371" s="308"/>
      <c r="H371" s="308"/>
      <c r="I371" s="308"/>
      <c r="J371" s="308"/>
      <c r="K371" s="308"/>
      <c r="L371" s="308"/>
      <c r="M371" s="308"/>
      <c r="N371" s="308">
        <v>0</v>
      </c>
      <c r="O371" s="308"/>
      <c r="P371" s="308"/>
      <c r="Q371" s="308"/>
      <c r="R371" s="308"/>
      <c r="S371" s="308"/>
      <c r="T371" s="308"/>
      <c r="U371" s="308"/>
      <c r="V371" s="308"/>
      <c r="W371" s="308"/>
      <c r="X371" s="308"/>
      <c r="Y371" s="772"/>
      <c r="Z371" s="772"/>
      <c r="AA371" s="772"/>
      <c r="AB371" s="772"/>
      <c r="AC371" s="772"/>
      <c r="AD371" s="772"/>
      <c r="AE371" s="772"/>
      <c r="AF371" s="422"/>
      <c r="AG371" s="422"/>
      <c r="AH371" s="422"/>
      <c r="AI371" s="422"/>
      <c r="AJ371" s="422"/>
      <c r="AK371" s="422"/>
      <c r="AL371" s="422"/>
      <c r="AM371" s="309">
        <f>SUM(Y371:AL371)</f>
        <v>0</v>
      </c>
    </row>
    <row r="372" spans="1:39" s="296" customFormat="1" ht="15" outlineLevel="1">
      <c r="A372" s="516"/>
      <c r="B372" s="336" t="s">
        <v>249</v>
      </c>
      <c r="C372" s="304" t="s">
        <v>163</v>
      </c>
      <c r="D372" s="308"/>
      <c r="E372" s="308"/>
      <c r="F372" s="308"/>
      <c r="G372" s="308"/>
      <c r="H372" s="308"/>
      <c r="I372" s="308"/>
      <c r="J372" s="308"/>
      <c r="K372" s="308"/>
      <c r="L372" s="308"/>
      <c r="M372" s="308"/>
      <c r="N372" s="308">
        <f>N371</f>
        <v>0</v>
      </c>
      <c r="O372" s="308"/>
      <c r="P372" s="308"/>
      <c r="Q372" s="308"/>
      <c r="R372" s="308"/>
      <c r="S372" s="308"/>
      <c r="T372" s="308"/>
      <c r="U372" s="308"/>
      <c r="V372" s="308"/>
      <c r="W372" s="308"/>
      <c r="X372" s="308"/>
      <c r="Y372" s="773">
        <f>Y371</f>
        <v>0</v>
      </c>
      <c r="Z372" s="773">
        <f t="shared" ref="Z372:AE372" si="201">Z371</f>
        <v>0</v>
      </c>
      <c r="AA372" s="773">
        <f t="shared" si="201"/>
        <v>0</v>
      </c>
      <c r="AB372" s="773">
        <f t="shared" si="201"/>
        <v>0</v>
      </c>
      <c r="AC372" s="773">
        <f t="shared" si="201"/>
        <v>0</v>
      </c>
      <c r="AD372" s="773">
        <f t="shared" si="201"/>
        <v>0</v>
      </c>
      <c r="AE372" s="773">
        <f t="shared" si="201"/>
        <v>0</v>
      </c>
      <c r="AF372" s="423">
        <f t="shared" ref="AF372:AL372" si="202">AF371</f>
        <v>0</v>
      </c>
      <c r="AG372" s="423">
        <f t="shared" si="202"/>
        <v>0</v>
      </c>
      <c r="AH372" s="423">
        <f t="shared" si="202"/>
        <v>0</v>
      </c>
      <c r="AI372" s="423">
        <f t="shared" si="202"/>
        <v>0</v>
      </c>
      <c r="AJ372" s="423">
        <f t="shared" si="202"/>
        <v>0</v>
      </c>
      <c r="AK372" s="423">
        <f t="shared" si="202"/>
        <v>0</v>
      </c>
      <c r="AL372" s="423">
        <f t="shared" si="202"/>
        <v>0</v>
      </c>
      <c r="AM372" s="310"/>
    </row>
    <row r="373" spans="1:39" s="296" customFormat="1" ht="15" outlineLevel="1">
      <c r="A373" s="516"/>
      <c r="B373" s="336"/>
      <c r="C373" s="304"/>
      <c r="D373" s="763"/>
      <c r="E373" s="763"/>
      <c r="F373" s="763"/>
      <c r="G373" s="763"/>
      <c r="H373" s="763"/>
      <c r="I373" s="763"/>
      <c r="J373" s="763"/>
      <c r="K373" s="763"/>
      <c r="L373" s="763"/>
      <c r="M373" s="763"/>
      <c r="N373" s="763"/>
      <c r="O373" s="763"/>
      <c r="P373" s="763"/>
      <c r="Q373" s="763"/>
      <c r="R373" s="763"/>
      <c r="S373" s="763"/>
      <c r="T373" s="763"/>
      <c r="U373" s="763"/>
      <c r="V373" s="763"/>
      <c r="W373" s="763"/>
      <c r="X373" s="763"/>
      <c r="Y373" s="774"/>
      <c r="Z373" s="774"/>
      <c r="AA373" s="774"/>
      <c r="AB373" s="774"/>
      <c r="AC373" s="774"/>
      <c r="AD373" s="774"/>
      <c r="AE373" s="774"/>
      <c r="AF373" s="424"/>
      <c r="AG373" s="424"/>
      <c r="AH373" s="424"/>
      <c r="AI373" s="424"/>
      <c r="AJ373" s="424"/>
      <c r="AK373" s="424"/>
      <c r="AL373" s="424"/>
      <c r="AM373" s="326"/>
    </row>
    <row r="374" spans="1:39" s="296" customFormat="1" ht="15.6" outlineLevel="1">
      <c r="A374" s="516"/>
      <c r="B374" s="301" t="s">
        <v>489</v>
      </c>
      <c r="C374" s="304"/>
      <c r="D374" s="763"/>
      <c r="E374" s="763"/>
      <c r="F374" s="763"/>
      <c r="G374" s="763"/>
      <c r="H374" s="763"/>
      <c r="I374" s="763"/>
      <c r="J374" s="763"/>
      <c r="K374" s="763"/>
      <c r="L374" s="763"/>
      <c r="M374" s="763"/>
      <c r="N374" s="763"/>
      <c r="O374" s="763"/>
      <c r="P374" s="763"/>
      <c r="Q374" s="763"/>
      <c r="R374" s="763"/>
      <c r="S374" s="763"/>
      <c r="T374" s="763"/>
      <c r="U374" s="763"/>
      <c r="V374" s="763"/>
      <c r="W374" s="763"/>
      <c r="X374" s="763"/>
      <c r="Y374" s="774"/>
      <c r="Z374" s="774"/>
      <c r="AA374" s="774"/>
      <c r="AB374" s="774"/>
      <c r="AC374" s="774"/>
      <c r="AD374" s="774"/>
      <c r="AE374" s="774"/>
      <c r="AF374" s="424"/>
      <c r="AG374" s="424"/>
      <c r="AH374" s="424"/>
      <c r="AI374" s="424"/>
      <c r="AJ374" s="424"/>
      <c r="AK374" s="424"/>
      <c r="AL374" s="424"/>
      <c r="AM374" s="326"/>
    </row>
    <row r="375" spans="1:39" s="296" customFormat="1" ht="15" outlineLevel="1">
      <c r="A375" s="516">
        <v>31</v>
      </c>
      <c r="B375" s="336" t="s">
        <v>490</v>
      </c>
      <c r="C375" s="304" t="s">
        <v>25</v>
      </c>
      <c r="D375" s="308"/>
      <c r="E375" s="308"/>
      <c r="F375" s="308"/>
      <c r="G375" s="308"/>
      <c r="H375" s="308"/>
      <c r="I375" s="308"/>
      <c r="J375" s="308"/>
      <c r="K375" s="308"/>
      <c r="L375" s="308"/>
      <c r="M375" s="308"/>
      <c r="N375" s="308">
        <v>0</v>
      </c>
      <c r="O375" s="308"/>
      <c r="P375" s="308"/>
      <c r="Q375" s="308"/>
      <c r="R375" s="308"/>
      <c r="S375" s="308"/>
      <c r="T375" s="308"/>
      <c r="U375" s="308"/>
      <c r="V375" s="308"/>
      <c r="W375" s="308"/>
      <c r="X375" s="308"/>
      <c r="Y375" s="772"/>
      <c r="Z375" s="772"/>
      <c r="AA375" s="772"/>
      <c r="AB375" s="772"/>
      <c r="AC375" s="772"/>
      <c r="AD375" s="772"/>
      <c r="AE375" s="772"/>
      <c r="AF375" s="422"/>
      <c r="AG375" s="422"/>
      <c r="AH375" s="422"/>
      <c r="AI375" s="422"/>
      <c r="AJ375" s="422"/>
      <c r="AK375" s="422"/>
      <c r="AL375" s="422"/>
      <c r="AM375" s="309">
        <f>SUM(Y375:AL375)</f>
        <v>0</v>
      </c>
    </row>
    <row r="376" spans="1:39" s="296" customFormat="1" ht="15" outlineLevel="1">
      <c r="A376" s="516"/>
      <c r="B376" s="336" t="s">
        <v>249</v>
      </c>
      <c r="C376" s="304" t="s">
        <v>163</v>
      </c>
      <c r="D376" s="308"/>
      <c r="E376" s="308"/>
      <c r="F376" s="308"/>
      <c r="G376" s="308"/>
      <c r="H376" s="308"/>
      <c r="I376" s="308"/>
      <c r="J376" s="308"/>
      <c r="K376" s="308"/>
      <c r="L376" s="308"/>
      <c r="M376" s="308"/>
      <c r="N376" s="308">
        <f>N375</f>
        <v>0</v>
      </c>
      <c r="O376" s="308"/>
      <c r="P376" s="308"/>
      <c r="Q376" s="308"/>
      <c r="R376" s="308"/>
      <c r="S376" s="308"/>
      <c r="T376" s="308"/>
      <c r="U376" s="308"/>
      <c r="V376" s="308"/>
      <c r="W376" s="308"/>
      <c r="X376" s="308"/>
      <c r="Y376" s="773">
        <f>Y375</f>
        <v>0</v>
      </c>
      <c r="Z376" s="773">
        <f t="shared" ref="Z376:AE376" si="203">Z375</f>
        <v>0</v>
      </c>
      <c r="AA376" s="773">
        <f t="shared" si="203"/>
        <v>0</v>
      </c>
      <c r="AB376" s="773">
        <f t="shared" si="203"/>
        <v>0</v>
      </c>
      <c r="AC376" s="773">
        <f t="shared" si="203"/>
        <v>0</v>
      </c>
      <c r="AD376" s="773">
        <f t="shared" si="203"/>
        <v>0</v>
      </c>
      <c r="AE376" s="773">
        <f t="shared" si="203"/>
        <v>0</v>
      </c>
      <c r="AF376" s="423">
        <f t="shared" ref="AF376:AL376" si="204">AF375</f>
        <v>0</v>
      </c>
      <c r="AG376" s="423">
        <f t="shared" si="204"/>
        <v>0</v>
      </c>
      <c r="AH376" s="423">
        <f t="shared" si="204"/>
        <v>0</v>
      </c>
      <c r="AI376" s="423">
        <f t="shared" si="204"/>
        <v>0</v>
      </c>
      <c r="AJ376" s="423">
        <f t="shared" si="204"/>
        <v>0</v>
      </c>
      <c r="AK376" s="423">
        <f t="shared" si="204"/>
        <v>0</v>
      </c>
      <c r="AL376" s="423">
        <f t="shared" si="204"/>
        <v>0</v>
      </c>
      <c r="AM376" s="310"/>
    </row>
    <row r="377" spans="1:39" s="296" customFormat="1" ht="15" outlineLevel="1">
      <c r="A377" s="516"/>
      <c r="B377" s="336"/>
      <c r="C377" s="304"/>
      <c r="D377" s="763"/>
      <c r="E377" s="763"/>
      <c r="F377" s="763"/>
      <c r="G377" s="763"/>
      <c r="H377" s="763"/>
      <c r="I377" s="763"/>
      <c r="J377" s="763"/>
      <c r="K377" s="763"/>
      <c r="L377" s="763"/>
      <c r="M377" s="763"/>
      <c r="N377" s="763"/>
      <c r="O377" s="763"/>
      <c r="P377" s="763"/>
      <c r="Q377" s="763"/>
      <c r="R377" s="763"/>
      <c r="S377" s="763"/>
      <c r="T377" s="763"/>
      <c r="U377" s="763"/>
      <c r="V377" s="763"/>
      <c r="W377" s="763"/>
      <c r="X377" s="763"/>
      <c r="Y377" s="774"/>
      <c r="Z377" s="774"/>
      <c r="AA377" s="774"/>
      <c r="AB377" s="774"/>
      <c r="AC377" s="774"/>
      <c r="AD377" s="774"/>
      <c r="AE377" s="774"/>
      <c r="AF377" s="424"/>
      <c r="AG377" s="424"/>
      <c r="AH377" s="424"/>
      <c r="AI377" s="424"/>
      <c r="AJ377" s="424"/>
      <c r="AK377" s="424"/>
      <c r="AL377" s="424"/>
      <c r="AM377" s="326"/>
    </row>
    <row r="378" spans="1:39" s="296" customFormat="1" ht="15" outlineLevel="1">
      <c r="A378" s="516">
        <v>32</v>
      </c>
      <c r="B378" s="336" t="s">
        <v>491</v>
      </c>
      <c r="C378" s="304" t="s">
        <v>25</v>
      </c>
      <c r="D378" s="308"/>
      <c r="E378" s="308"/>
      <c r="F378" s="308"/>
      <c r="G378" s="308"/>
      <c r="H378" s="308"/>
      <c r="I378" s="308"/>
      <c r="J378" s="308"/>
      <c r="K378" s="308"/>
      <c r="L378" s="308"/>
      <c r="M378" s="308"/>
      <c r="N378" s="308">
        <v>0</v>
      </c>
      <c r="O378" s="308"/>
      <c r="P378" s="308"/>
      <c r="Q378" s="308"/>
      <c r="R378" s="308"/>
      <c r="S378" s="308"/>
      <c r="T378" s="308"/>
      <c r="U378" s="308"/>
      <c r="V378" s="308"/>
      <c r="W378" s="308"/>
      <c r="X378" s="308"/>
      <c r="Y378" s="772"/>
      <c r="Z378" s="772"/>
      <c r="AA378" s="772"/>
      <c r="AB378" s="772"/>
      <c r="AC378" s="772"/>
      <c r="AD378" s="772"/>
      <c r="AE378" s="772"/>
      <c r="AF378" s="422"/>
      <c r="AG378" s="422"/>
      <c r="AH378" s="422"/>
      <c r="AI378" s="422"/>
      <c r="AJ378" s="422"/>
      <c r="AK378" s="422"/>
      <c r="AL378" s="422"/>
      <c r="AM378" s="309">
        <f>SUM(Y378:AL378)</f>
        <v>0</v>
      </c>
    </row>
    <row r="379" spans="1:39" s="296" customFormat="1" ht="15" outlineLevel="1">
      <c r="A379" s="516"/>
      <c r="B379" s="336" t="s">
        <v>249</v>
      </c>
      <c r="C379" s="304" t="s">
        <v>163</v>
      </c>
      <c r="D379" s="308"/>
      <c r="E379" s="308"/>
      <c r="F379" s="308"/>
      <c r="G379" s="308"/>
      <c r="H379" s="308"/>
      <c r="I379" s="308"/>
      <c r="J379" s="308"/>
      <c r="K379" s="308"/>
      <c r="L379" s="308"/>
      <c r="M379" s="308"/>
      <c r="N379" s="308">
        <f>N378</f>
        <v>0</v>
      </c>
      <c r="O379" s="308"/>
      <c r="P379" s="308"/>
      <c r="Q379" s="308"/>
      <c r="R379" s="308"/>
      <c r="S379" s="308"/>
      <c r="T379" s="308"/>
      <c r="U379" s="308"/>
      <c r="V379" s="308"/>
      <c r="W379" s="308"/>
      <c r="X379" s="308"/>
      <c r="Y379" s="773">
        <f>Y378</f>
        <v>0</v>
      </c>
      <c r="Z379" s="773">
        <f t="shared" ref="Z379:AE379" si="205">Z378</f>
        <v>0</v>
      </c>
      <c r="AA379" s="773">
        <f t="shared" si="205"/>
        <v>0</v>
      </c>
      <c r="AB379" s="773">
        <f t="shared" si="205"/>
        <v>0</v>
      </c>
      <c r="AC379" s="773">
        <f t="shared" si="205"/>
        <v>0</v>
      </c>
      <c r="AD379" s="773">
        <f t="shared" si="205"/>
        <v>0</v>
      </c>
      <c r="AE379" s="773">
        <f t="shared" si="205"/>
        <v>0</v>
      </c>
      <c r="AF379" s="423">
        <f t="shared" ref="AF379:AL379" si="206">AF378</f>
        <v>0</v>
      </c>
      <c r="AG379" s="423">
        <f t="shared" si="206"/>
        <v>0</v>
      </c>
      <c r="AH379" s="423">
        <f t="shared" si="206"/>
        <v>0</v>
      </c>
      <c r="AI379" s="423">
        <f t="shared" si="206"/>
        <v>0</v>
      </c>
      <c r="AJ379" s="423">
        <f t="shared" si="206"/>
        <v>0</v>
      </c>
      <c r="AK379" s="423">
        <f t="shared" si="206"/>
        <v>0</v>
      </c>
      <c r="AL379" s="423">
        <f t="shared" si="206"/>
        <v>0</v>
      </c>
      <c r="AM379" s="310"/>
    </row>
    <row r="380" spans="1:39" s="296" customFormat="1" ht="15" outlineLevel="1">
      <c r="A380" s="516"/>
      <c r="B380" s="336"/>
      <c r="C380" s="304"/>
      <c r="D380" s="763"/>
      <c r="E380" s="763"/>
      <c r="F380" s="763"/>
      <c r="G380" s="763"/>
      <c r="H380" s="763"/>
      <c r="I380" s="763"/>
      <c r="J380" s="763"/>
      <c r="K380" s="763"/>
      <c r="L380" s="763"/>
      <c r="M380" s="763"/>
      <c r="N380" s="763"/>
      <c r="O380" s="763"/>
      <c r="P380" s="763"/>
      <c r="Q380" s="763"/>
      <c r="R380" s="763"/>
      <c r="S380" s="763"/>
      <c r="T380" s="763"/>
      <c r="U380" s="763"/>
      <c r="V380" s="763"/>
      <c r="W380" s="763"/>
      <c r="X380" s="763"/>
      <c r="Y380" s="774"/>
      <c r="Z380" s="774"/>
      <c r="AA380" s="774"/>
      <c r="AB380" s="774"/>
      <c r="AC380" s="774"/>
      <c r="AD380" s="774"/>
      <c r="AE380" s="774"/>
      <c r="AF380" s="424"/>
      <c r="AG380" s="424"/>
      <c r="AH380" s="424"/>
      <c r="AI380" s="424"/>
      <c r="AJ380" s="424"/>
      <c r="AK380" s="424"/>
      <c r="AL380" s="424"/>
      <c r="AM380" s="326"/>
    </row>
    <row r="381" spans="1:39" s="296" customFormat="1" ht="15" outlineLevel="1">
      <c r="A381" s="516">
        <v>33</v>
      </c>
      <c r="B381" s="336" t="s">
        <v>492</v>
      </c>
      <c r="C381" s="304" t="s">
        <v>25</v>
      </c>
      <c r="D381" s="308"/>
      <c r="E381" s="308"/>
      <c r="F381" s="308"/>
      <c r="G381" s="308"/>
      <c r="H381" s="308"/>
      <c r="I381" s="308"/>
      <c r="J381" s="308"/>
      <c r="K381" s="308"/>
      <c r="L381" s="308"/>
      <c r="M381" s="308"/>
      <c r="N381" s="308">
        <v>12</v>
      </c>
      <c r="O381" s="308"/>
      <c r="P381" s="308"/>
      <c r="Q381" s="308"/>
      <c r="R381" s="308"/>
      <c r="S381" s="308"/>
      <c r="T381" s="308"/>
      <c r="U381" s="308"/>
      <c r="V381" s="308"/>
      <c r="W381" s="308"/>
      <c r="X381" s="308"/>
      <c r="Y381" s="772"/>
      <c r="Z381" s="772"/>
      <c r="AA381" s="772"/>
      <c r="AB381" s="772"/>
      <c r="AC381" s="772"/>
      <c r="AD381" s="772"/>
      <c r="AE381" s="772"/>
      <c r="AF381" s="422"/>
      <c r="AG381" s="422"/>
      <c r="AH381" s="422"/>
      <c r="AI381" s="422"/>
      <c r="AJ381" s="422"/>
      <c r="AK381" s="422"/>
      <c r="AL381" s="422"/>
      <c r="AM381" s="309">
        <f>SUM(Y381:AL381)</f>
        <v>0</v>
      </c>
    </row>
    <row r="382" spans="1:39" s="296" customFormat="1" ht="15" outlineLevel="1">
      <c r="A382" s="516"/>
      <c r="B382" s="336" t="s">
        <v>249</v>
      </c>
      <c r="C382" s="304" t="s">
        <v>163</v>
      </c>
      <c r="D382" s="308"/>
      <c r="E382" s="308"/>
      <c r="F382" s="308"/>
      <c r="G382" s="308"/>
      <c r="H382" s="308"/>
      <c r="I382" s="308"/>
      <c r="J382" s="308"/>
      <c r="K382" s="308"/>
      <c r="L382" s="308"/>
      <c r="M382" s="308"/>
      <c r="N382" s="308">
        <f>N381</f>
        <v>12</v>
      </c>
      <c r="O382" s="308"/>
      <c r="P382" s="308"/>
      <c r="Q382" s="308"/>
      <c r="R382" s="308"/>
      <c r="S382" s="308"/>
      <c r="T382" s="308"/>
      <c r="U382" s="308"/>
      <c r="V382" s="308"/>
      <c r="W382" s="308"/>
      <c r="X382" s="308"/>
      <c r="Y382" s="773">
        <f>Y381</f>
        <v>0</v>
      </c>
      <c r="Z382" s="773">
        <f t="shared" ref="Z382:AE382" si="207">Z381</f>
        <v>0</v>
      </c>
      <c r="AA382" s="773">
        <f t="shared" si="207"/>
        <v>0</v>
      </c>
      <c r="AB382" s="773">
        <f t="shared" si="207"/>
        <v>0</v>
      </c>
      <c r="AC382" s="773">
        <f t="shared" si="207"/>
        <v>0</v>
      </c>
      <c r="AD382" s="773">
        <f t="shared" si="207"/>
        <v>0</v>
      </c>
      <c r="AE382" s="773">
        <f t="shared" si="207"/>
        <v>0</v>
      </c>
      <c r="AF382" s="423">
        <f t="shared" ref="AF382:AK382" si="208">AF381</f>
        <v>0</v>
      </c>
      <c r="AG382" s="423">
        <f t="shared" si="208"/>
        <v>0</v>
      </c>
      <c r="AH382" s="423">
        <f t="shared" si="208"/>
        <v>0</v>
      </c>
      <c r="AI382" s="423">
        <f t="shared" si="208"/>
        <v>0</v>
      </c>
      <c r="AJ382" s="423">
        <f t="shared" si="208"/>
        <v>0</v>
      </c>
      <c r="AK382" s="423">
        <f t="shared" si="208"/>
        <v>0</v>
      </c>
      <c r="AL382" s="423">
        <f>AL381</f>
        <v>0</v>
      </c>
      <c r="AM382" s="310"/>
    </row>
    <row r="383" spans="1:39" ht="15" outlineLevel="1">
      <c r="B383" s="328"/>
      <c r="C383" s="337"/>
      <c r="D383" s="338"/>
      <c r="E383" s="338"/>
      <c r="F383" s="338"/>
      <c r="G383" s="338"/>
      <c r="H383" s="338"/>
      <c r="I383" s="338"/>
      <c r="J383" s="338"/>
      <c r="K383" s="338"/>
      <c r="L383" s="338"/>
      <c r="M383" s="338"/>
      <c r="N383" s="338"/>
      <c r="O383" s="338"/>
      <c r="P383" s="338"/>
      <c r="Q383" s="338"/>
      <c r="R383" s="338"/>
      <c r="S383" s="338"/>
      <c r="T383" s="338"/>
      <c r="U383" s="338"/>
      <c r="V383" s="338"/>
      <c r="W383" s="338"/>
      <c r="X383" s="338"/>
      <c r="Y383" s="314"/>
      <c r="Z383" s="314"/>
      <c r="AA383" s="314"/>
      <c r="AB383" s="314"/>
      <c r="AC383" s="314"/>
      <c r="AD383" s="314"/>
      <c r="AE383" s="314"/>
      <c r="AF383" s="314"/>
      <c r="AG383" s="314"/>
      <c r="AH383" s="314"/>
      <c r="AI383" s="314"/>
      <c r="AJ383" s="314"/>
      <c r="AK383" s="314"/>
      <c r="AL383" s="314"/>
      <c r="AM383" s="319"/>
    </row>
    <row r="384" spans="1:39" ht="15.6">
      <c r="B384" s="339" t="s">
        <v>250</v>
      </c>
      <c r="C384" s="341"/>
      <c r="D384" s="341">
        <f>SUM(D279:D382)</f>
        <v>2136213.4824902229</v>
      </c>
      <c r="E384" s="341"/>
      <c r="F384" s="341"/>
      <c r="G384" s="341"/>
      <c r="H384" s="341"/>
      <c r="I384" s="341"/>
      <c r="J384" s="341"/>
      <c r="K384" s="341"/>
      <c r="L384" s="341"/>
      <c r="M384" s="341"/>
      <c r="N384" s="341"/>
      <c r="O384" s="341">
        <f>SUM(O279:O382)</f>
        <v>450.05131440100655</v>
      </c>
      <c r="P384" s="341"/>
      <c r="Q384" s="341"/>
      <c r="R384" s="341"/>
      <c r="S384" s="341"/>
      <c r="T384" s="341"/>
      <c r="U384" s="341"/>
      <c r="V384" s="341"/>
      <c r="W384" s="341"/>
      <c r="X384" s="341"/>
      <c r="Y384" s="341">
        <f>IF(Y278="kWh",SUMPRODUCT(D279:D382,Y279:Y382))</f>
        <v>395693.65923199564</v>
      </c>
      <c r="Z384" s="341">
        <f>IF(Z278="kWh",SUMPRODUCT(D279:D382,Z279:Z382))</f>
        <v>847814.37938749779</v>
      </c>
      <c r="AA384" s="341">
        <f>IF(AA278="kW",SUMPRODUCT(N279:N382,O279:O382,AA279:AA382),SUMPRODUCT(D279:D382,AA279:AA382))</f>
        <v>1660.9254475978933</v>
      </c>
      <c r="AB384" s="341">
        <f>IF(AB278="kW",SUMPRODUCT(N279:N382,O279:O382,AB279:AB382),SUMPRODUCT(D279:D382,AB279:AB382))</f>
        <v>296.90215269362642</v>
      </c>
      <c r="AC384" s="341">
        <f>IF(AC278="kW",SUMPRODUCT(N279:N382,O279:O382,AC279:AC382),SUMPRODUCT(D279:D382,AC279:AC382))</f>
        <v>0</v>
      </c>
      <c r="AD384" s="341">
        <f>IF(AD278="kW",SUMPRODUCT(N279:N382,O279:O382,AD279:AD382),SUMPRODUCT(D279:D382,AD279:AD382))</f>
        <v>0</v>
      </c>
      <c r="AE384" s="341">
        <f>IF(AE278="kW",SUMPRODUCT(N279:N382,O279:O382,AE279:AE382),SUMPRODUCT(D279:D382,AE279:AE382))</f>
        <v>0</v>
      </c>
      <c r="AF384" s="341">
        <f>IF(AF278="kW",SUMPRODUCT(N279:N382,O279:O382,AF279:AF382),SUMPRODUCT(D279:D382,AF279:AF382))</f>
        <v>0</v>
      </c>
      <c r="AG384" s="341">
        <f>IF(AG278="kW",SUMPRODUCT(N279:N382,O279:O382,AG279:AG382),SUMPRODUCT(D279:D382,AG279:AG382))</f>
        <v>0</v>
      </c>
      <c r="AH384" s="341">
        <f>IF(AH278="kW",SUMPRODUCT(N279:N382,O279:O382,AH279:AH382),SUMPRODUCT(D279:D382,AH279:AH382))</f>
        <v>0</v>
      </c>
      <c r="AI384" s="341">
        <f>IF(AI278="kW",SUMPRODUCT(N279:N382,O279:O382,AI279:AI382),SUMPRODUCT(D279:D382,AI279:AI382))</f>
        <v>0</v>
      </c>
      <c r="AJ384" s="341">
        <f>IF(AJ278="kW",SUMPRODUCT(N279:N382,O279:O382,AJ279:AJ382),SUMPRODUCT(D279:D382,AJ279:AJ382))</f>
        <v>0</v>
      </c>
      <c r="AK384" s="341">
        <f>IF(AK278="kW",SUMPRODUCT(N279:N382,O279:O382,AK279:AK382),SUMPRODUCT(D279:D382,AK279:AK382))</f>
        <v>0</v>
      </c>
      <c r="AL384" s="341">
        <f>IF(AL278="kW",SUMPRODUCT(N279:N382,O279:O382,AL279:AL382),SUMPRODUCT(D279:D382,AL279:AL382))</f>
        <v>0</v>
      </c>
      <c r="AM384" s="342"/>
    </row>
    <row r="385" spans="1:41" ht="15.6">
      <c r="B385" s="403" t="s">
        <v>251</v>
      </c>
      <c r="C385" s="404"/>
      <c r="D385" s="404"/>
      <c r="E385" s="404"/>
      <c r="F385" s="404"/>
      <c r="G385" s="404"/>
      <c r="H385" s="404"/>
      <c r="I385" s="404"/>
      <c r="J385" s="404"/>
      <c r="K385" s="404"/>
      <c r="L385" s="404"/>
      <c r="M385" s="404"/>
      <c r="N385" s="404"/>
      <c r="O385" s="404"/>
      <c r="P385" s="404"/>
      <c r="Q385" s="404"/>
      <c r="R385" s="404"/>
      <c r="S385" s="404"/>
      <c r="T385" s="404"/>
      <c r="U385" s="404"/>
      <c r="V385" s="404"/>
      <c r="W385" s="404"/>
      <c r="X385" s="404"/>
      <c r="Y385" s="340">
        <f>HLOOKUP(Y277,'2. LRAMVA Threshold'!$B$42:$Q$53,5,FALSE)</f>
        <v>0</v>
      </c>
      <c r="Z385" s="340">
        <f>HLOOKUP(Z277,'2. LRAMVA Threshold'!$B$42:$Q$53,5,FALSE)</f>
        <v>0</v>
      </c>
      <c r="AA385" s="340">
        <f>HLOOKUP(AA277,'2. LRAMVA Threshold'!$B$42:$Q$53,5,FALSE)</f>
        <v>0</v>
      </c>
      <c r="AB385" s="340">
        <f>HLOOKUP(AB277,'2. LRAMVA Threshold'!$B$42:$Q$53,5,FALSE)</f>
        <v>0</v>
      </c>
      <c r="AC385" s="340">
        <f>HLOOKUP(AC277,'2. LRAMVA Threshold'!$B$42:$Q$53,5,FALSE)</f>
        <v>0</v>
      </c>
      <c r="AD385" s="340">
        <f>HLOOKUP(AD277,'2. LRAMVA Threshold'!$B$42:$Q$53,5,FALSE)</f>
        <v>0</v>
      </c>
      <c r="AE385" s="340">
        <f>HLOOKUP(AE277,'2. LRAMVA Threshold'!$B$42:$Q$53,5,FALSE)</f>
        <v>0</v>
      </c>
      <c r="AF385" s="340">
        <f>HLOOKUP(AF277,'2. LRAMVA Threshold'!$B$42:$Q$53,5,FALSE)</f>
        <v>0</v>
      </c>
      <c r="AG385" s="340">
        <f>HLOOKUP(AG277,'2. LRAMVA Threshold'!$B$42:$Q$53,5,FALSE)</f>
        <v>0</v>
      </c>
      <c r="AH385" s="340">
        <f>HLOOKUP(AH277,'2. LRAMVA Threshold'!$B$42:$Q$53,5,FALSE)</f>
        <v>0</v>
      </c>
      <c r="AI385" s="340">
        <f>HLOOKUP(AI277,'2. LRAMVA Threshold'!$B$42:$Q$53,5,FALSE)</f>
        <v>0</v>
      </c>
      <c r="AJ385" s="340">
        <f>HLOOKUP(AJ277,'2. LRAMVA Threshold'!$B$42:$Q$53,5,FALSE)</f>
        <v>0</v>
      </c>
      <c r="AK385" s="340">
        <f>HLOOKUP(AK277,'2. LRAMVA Threshold'!$B$42:$Q$53,5,FALSE)</f>
        <v>0</v>
      </c>
      <c r="AL385" s="340">
        <f>HLOOKUP(AL277,'2. LRAMVA Threshold'!$B$42:$Q$53,5,FALSE)</f>
        <v>0</v>
      </c>
      <c r="AM385" s="405"/>
    </row>
    <row r="386" spans="1:41" ht="15">
      <c r="B386" s="406"/>
      <c r="C386" s="407"/>
      <c r="D386" s="408"/>
      <c r="E386" s="408"/>
      <c r="F386" s="408"/>
      <c r="G386" s="408"/>
      <c r="H386" s="408"/>
      <c r="I386" s="408"/>
      <c r="J386" s="408"/>
      <c r="K386" s="408"/>
      <c r="L386" s="408"/>
      <c r="M386" s="408"/>
      <c r="N386" s="408"/>
      <c r="O386" s="409"/>
      <c r="P386" s="408"/>
      <c r="Q386" s="408"/>
      <c r="R386" s="408"/>
      <c r="S386" s="410"/>
      <c r="T386" s="410"/>
      <c r="U386" s="410"/>
      <c r="V386" s="410"/>
      <c r="W386" s="408"/>
      <c r="X386" s="408"/>
      <c r="Y386" s="411"/>
      <c r="Z386" s="411"/>
      <c r="AA386" s="411"/>
      <c r="AB386" s="411"/>
      <c r="AC386" s="411"/>
      <c r="AD386" s="411"/>
      <c r="AE386" s="411"/>
      <c r="AF386" s="411"/>
      <c r="AG386" s="411"/>
      <c r="AH386" s="411"/>
      <c r="AI386" s="411"/>
      <c r="AJ386" s="411"/>
      <c r="AK386" s="411"/>
      <c r="AL386" s="411"/>
      <c r="AM386" s="412"/>
    </row>
    <row r="387" spans="1:41" ht="15">
      <c r="B387" s="336" t="s">
        <v>166</v>
      </c>
      <c r="C387" s="350"/>
      <c r="D387" s="350"/>
      <c r="E387" s="388"/>
      <c r="F387" s="388"/>
      <c r="G387" s="388"/>
      <c r="H387" s="388"/>
      <c r="I387" s="388"/>
      <c r="J387" s="388"/>
      <c r="K387" s="388"/>
      <c r="L387" s="388"/>
      <c r="M387" s="388"/>
      <c r="N387" s="388"/>
      <c r="O387" s="304"/>
      <c r="P387" s="352"/>
      <c r="Q387" s="352"/>
      <c r="R387" s="352"/>
      <c r="S387" s="351"/>
      <c r="T387" s="351"/>
      <c r="U387" s="351"/>
      <c r="V387" s="351"/>
      <c r="W387" s="352"/>
      <c r="X387" s="352"/>
      <c r="Y387" s="353">
        <f>HLOOKUP(Y$20,'3.  Distribution Rates'!$C$122:$P$133,5,FALSE)</f>
        <v>0</v>
      </c>
      <c r="Z387" s="353">
        <f>HLOOKUP(Z$20,'3.  Distribution Rates'!$C$122:$P$133,5,FALSE)</f>
        <v>0</v>
      </c>
      <c r="AA387" s="353">
        <f>HLOOKUP(AA$20,'3.  Distribution Rates'!$C$122:$P$133,5,FALSE)</f>
        <v>0</v>
      </c>
      <c r="AB387" s="353">
        <f>HLOOKUP(AB$20,'3.  Distribution Rates'!$C$122:$P$133,5,FALSE)</f>
        <v>0</v>
      </c>
      <c r="AC387" s="353">
        <f>HLOOKUP(AC$20,'3.  Distribution Rates'!$C$122:$P$133,5,FALSE)</f>
        <v>0</v>
      </c>
      <c r="AD387" s="353">
        <f>HLOOKUP(AD$20,'3.  Distribution Rates'!$C$122:$P$133,5,FALSE)</f>
        <v>0</v>
      </c>
      <c r="AE387" s="353">
        <f>HLOOKUP(AE$20,'3.  Distribution Rates'!$C$122:$P$133,5,FALSE)</f>
        <v>0</v>
      </c>
      <c r="AF387" s="353">
        <f>HLOOKUP(AF$20,'3.  Distribution Rates'!$C$122:$P$133,5,FALSE)</f>
        <v>0</v>
      </c>
      <c r="AG387" s="353">
        <f>HLOOKUP(AG$20,'3.  Distribution Rates'!$C$122:$P$133,5,FALSE)</f>
        <v>0</v>
      </c>
      <c r="AH387" s="353">
        <f>HLOOKUP(AH$20,'3.  Distribution Rates'!$C$122:$P$133,5,FALSE)</f>
        <v>0</v>
      </c>
      <c r="AI387" s="353">
        <f>HLOOKUP(AI$20,'3.  Distribution Rates'!$C$122:$P$133,5,FALSE)</f>
        <v>0</v>
      </c>
      <c r="AJ387" s="353">
        <f>HLOOKUP(AJ$20,'3.  Distribution Rates'!$C$122:$P$133,5,FALSE)</f>
        <v>0</v>
      </c>
      <c r="AK387" s="353">
        <f>HLOOKUP(AK$20,'3.  Distribution Rates'!$C$122:$P$133,5,FALSE)</f>
        <v>0</v>
      </c>
      <c r="AL387" s="353">
        <f>HLOOKUP(AL$20,'3.  Distribution Rates'!$C$122:$P$133,5,FALSE)</f>
        <v>0</v>
      </c>
      <c r="AM387" s="413"/>
    </row>
    <row r="388" spans="1:41" ht="15">
      <c r="B388" s="336" t="s">
        <v>156</v>
      </c>
      <c r="C388" s="357"/>
      <c r="D388" s="322"/>
      <c r="E388" s="292"/>
      <c r="F388" s="292"/>
      <c r="G388" s="292"/>
      <c r="H388" s="292"/>
      <c r="I388" s="292"/>
      <c r="J388" s="292"/>
      <c r="K388" s="292"/>
      <c r="L388" s="292"/>
      <c r="M388" s="292"/>
      <c r="N388" s="292"/>
      <c r="O388" s="304"/>
      <c r="P388" s="292"/>
      <c r="Q388" s="292"/>
      <c r="R388" s="292"/>
      <c r="S388" s="322"/>
      <c r="T388" s="322"/>
      <c r="U388" s="322"/>
      <c r="V388" s="322"/>
      <c r="W388" s="292"/>
      <c r="X388" s="292"/>
      <c r="Y388" s="390">
        <f t="shared" ref="Y388:AL388" si="209">Y136*Y387</f>
        <v>0</v>
      </c>
      <c r="Z388" s="390">
        <f t="shared" si="209"/>
        <v>0</v>
      </c>
      <c r="AA388" s="390">
        <f t="shared" si="209"/>
        <v>0</v>
      </c>
      <c r="AB388" s="390">
        <f t="shared" si="209"/>
        <v>0</v>
      </c>
      <c r="AC388" s="390">
        <f t="shared" si="209"/>
        <v>0</v>
      </c>
      <c r="AD388" s="390">
        <f t="shared" si="209"/>
        <v>0</v>
      </c>
      <c r="AE388" s="390">
        <f t="shared" si="209"/>
        <v>0</v>
      </c>
      <c r="AF388" s="390">
        <f t="shared" si="209"/>
        <v>0</v>
      </c>
      <c r="AG388" s="390">
        <f t="shared" si="209"/>
        <v>0</v>
      </c>
      <c r="AH388" s="390">
        <f t="shared" si="209"/>
        <v>0</v>
      </c>
      <c r="AI388" s="390">
        <f t="shared" si="209"/>
        <v>0</v>
      </c>
      <c r="AJ388" s="390">
        <f t="shared" si="209"/>
        <v>0</v>
      </c>
      <c r="AK388" s="390">
        <f t="shared" si="209"/>
        <v>0</v>
      </c>
      <c r="AL388" s="390">
        <f t="shared" si="209"/>
        <v>0</v>
      </c>
      <c r="AM388" s="635">
        <f>SUM(Y388:AL388)</f>
        <v>0</v>
      </c>
      <c r="AO388" s="296"/>
    </row>
    <row r="389" spans="1:41" ht="15">
      <c r="B389" s="336" t="s">
        <v>157</v>
      </c>
      <c r="C389" s="357"/>
      <c r="D389" s="322"/>
      <c r="E389" s="292"/>
      <c r="F389" s="292"/>
      <c r="G389" s="292"/>
      <c r="H389" s="292"/>
      <c r="I389" s="292"/>
      <c r="J389" s="292"/>
      <c r="K389" s="292"/>
      <c r="L389" s="292"/>
      <c r="M389" s="292"/>
      <c r="N389" s="292"/>
      <c r="O389" s="304"/>
      <c r="P389" s="292"/>
      <c r="Q389" s="292"/>
      <c r="R389" s="292"/>
      <c r="S389" s="322"/>
      <c r="T389" s="322"/>
      <c r="U389" s="322"/>
      <c r="V389" s="322"/>
      <c r="W389" s="292"/>
      <c r="X389" s="292"/>
      <c r="Y389" s="390">
        <f t="shared" ref="Y389:AL389" si="210">Y265*Y387</f>
        <v>0</v>
      </c>
      <c r="Z389" s="390">
        <f t="shared" si="210"/>
        <v>0</v>
      </c>
      <c r="AA389" s="390">
        <f t="shared" si="210"/>
        <v>0</v>
      </c>
      <c r="AB389" s="390">
        <f t="shared" si="210"/>
        <v>0</v>
      </c>
      <c r="AC389" s="390">
        <f t="shared" si="210"/>
        <v>0</v>
      </c>
      <c r="AD389" s="390">
        <f t="shared" si="210"/>
        <v>0</v>
      </c>
      <c r="AE389" s="390">
        <f t="shared" si="210"/>
        <v>0</v>
      </c>
      <c r="AF389" s="390">
        <f t="shared" si="210"/>
        <v>0</v>
      </c>
      <c r="AG389" s="390">
        <f t="shared" si="210"/>
        <v>0</v>
      </c>
      <c r="AH389" s="390">
        <f t="shared" si="210"/>
        <v>0</v>
      </c>
      <c r="AI389" s="390">
        <f t="shared" si="210"/>
        <v>0</v>
      </c>
      <c r="AJ389" s="390">
        <f t="shared" si="210"/>
        <v>0</v>
      </c>
      <c r="AK389" s="390">
        <f t="shared" si="210"/>
        <v>0</v>
      </c>
      <c r="AL389" s="390">
        <f t="shared" si="210"/>
        <v>0</v>
      </c>
      <c r="AM389" s="635">
        <f>SUM(Y389:AL389)</f>
        <v>0</v>
      </c>
    </row>
    <row r="390" spans="1:41" ht="15">
      <c r="B390" s="336" t="s">
        <v>158</v>
      </c>
      <c r="C390" s="357"/>
      <c r="D390" s="322"/>
      <c r="E390" s="292"/>
      <c r="F390" s="292"/>
      <c r="G390" s="292"/>
      <c r="H390" s="292"/>
      <c r="I390" s="292"/>
      <c r="J390" s="292"/>
      <c r="K390" s="292"/>
      <c r="L390" s="292"/>
      <c r="M390" s="292"/>
      <c r="N390" s="292"/>
      <c r="O390" s="304"/>
      <c r="P390" s="292"/>
      <c r="Q390" s="292"/>
      <c r="R390" s="292"/>
      <c r="S390" s="322"/>
      <c r="T390" s="322"/>
      <c r="U390" s="322"/>
      <c r="V390" s="322"/>
      <c r="W390" s="292"/>
      <c r="X390" s="292"/>
      <c r="Y390" s="390">
        <f>Y384*Y387</f>
        <v>0</v>
      </c>
      <c r="Z390" s="390">
        <f t="shared" ref="Z390:AE390" si="211">Z384*Z387</f>
        <v>0</v>
      </c>
      <c r="AA390" s="390">
        <f t="shared" si="211"/>
        <v>0</v>
      </c>
      <c r="AB390" s="390">
        <f t="shared" si="211"/>
        <v>0</v>
      </c>
      <c r="AC390" s="390">
        <f t="shared" si="211"/>
        <v>0</v>
      </c>
      <c r="AD390" s="390">
        <f t="shared" si="211"/>
        <v>0</v>
      </c>
      <c r="AE390" s="390">
        <f t="shared" si="211"/>
        <v>0</v>
      </c>
      <c r="AF390" s="390">
        <f t="shared" ref="AF390:AL390" si="212">AF384*AF387</f>
        <v>0</v>
      </c>
      <c r="AG390" s="390">
        <f t="shared" si="212"/>
        <v>0</v>
      </c>
      <c r="AH390" s="390">
        <f t="shared" si="212"/>
        <v>0</v>
      </c>
      <c r="AI390" s="390">
        <f t="shared" si="212"/>
        <v>0</v>
      </c>
      <c r="AJ390" s="390">
        <f t="shared" si="212"/>
        <v>0</v>
      </c>
      <c r="AK390" s="390">
        <f t="shared" si="212"/>
        <v>0</v>
      </c>
      <c r="AL390" s="390">
        <f t="shared" si="212"/>
        <v>0</v>
      </c>
      <c r="AM390" s="635">
        <f>SUM(Y390:AL390)</f>
        <v>0</v>
      </c>
    </row>
    <row r="391" spans="1:41" s="392" customFormat="1" ht="15.6">
      <c r="A391" s="518"/>
      <c r="B391" s="361" t="s">
        <v>257</v>
      </c>
      <c r="C391" s="357"/>
      <c r="D391" s="348"/>
      <c r="E391" s="346"/>
      <c r="F391" s="346"/>
      <c r="G391" s="346"/>
      <c r="H391" s="346"/>
      <c r="I391" s="346"/>
      <c r="J391" s="346"/>
      <c r="K391" s="346"/>
      <c r="L391" s="346"/>
      <c r="M391" s="346"/>
      <c r="N391" s="346"/>
      <c r="O391" s="313"/>
      <c r="P391" s="346"/>
      <c r="Q391" s="346"/>
      <c r="R391" s="346"/>
      <c r="S391" s="348"/>
      <c r="T391" s="348"/>
      <c r="U391" s="348"/>
      <c r="V391" s="348"/>
      <c r="W391" s="346"/>
      <c r="X391" s="346"/>
      <c r="Y391" s="358">
        <f>SUM(Y388:Y390)</f>
        <v>0</v>
      </c>
      <c r="Z391" s="358">
        <f>SUM(Z388:Z390)</f>
        <v>0</v>
      </c>
      <c r="AA391" s="358">
        <f t="shared" ref="AA391:AE391" si="213">SUM(AA388:AA390)</f>
        <v>0</v>
      </c>
      <c r="AB391" s="358">
        <f t="shared" si="213"/>
        <v>0</v>
      </c>
      <c r="AC391" s="358">
        <f t="shared" si="213"/>
        <v>0</v>
      </c>
      <c r="AD391" s="358">
        <f t="shared" si="213"/>
        <v>0</v>
      </c>
      <c r="AE391" s="358">
        <f t="shared" si="213"/>
        <v>0</v>
      </c>
      <c r="AF391" s="358">
        <f t="shared" ref="AF391:AL391" si="214">SUM(AF388:AF390)</f>
        <v>0</v>
      </c>
      <c r="AG391" s="358">
        <f t="shared" si="214"/>
        <v>0</v>
      </c>
      <c r="AH391" s="358">
        <f t="shared" si="214"/>
        <v>0</v>
      </c>
      <c r="AI391" s="358">
        <f t="shared" si="214"/>
        <v>0</v>
      </c>
      <c r="AJ391" s="358">
        <f t="shared" si="214"/>
        <v>0</v>
      </c>
      <c r="AK391" s="358">
        <f t="shared" si="214"/>
        <v>0</v>
      </c>
      <c r="AL391" s="358">
        <f t="shared" si="214"/>
        <v>0</v>
      </c>
      <c r="AM391" s="419">
        <f>SUM(AM388:AM390)</f>
        <v>0</v>
      </c>
    </row>
    <row r="392" spans="1:41" s="392" customFormat="1" ht="15.6">
      <c r="A392" s="518"/>
      <c r="B392" s="361" t="s">
        <v>252</v>
      </c>
      <c r="C392" s="357"/>
      <c r="D392" s="362"/>
      <c r="E392" s="346"/>
      <c r="F392" s="346"/>
      <c r="G392" s="346"/>
      <c r="H392" s="346"/>
      <c r="I392" s="346"/>
      <c r="J392" s="346"/>
      <c r="K392" s="346"/>
      <c r="L392" s="346"/>
      <c r="M392" s="346"/>
      <c r="N392" s="346"/>
      <c r="O392" s="313"/>
      <c r="P392" s="346"/>
      <c r="Q392" s="346"/>
      <c r="R392" s="346"/>
      <c r="S392" s="348"/>
      <c r="T392" s="348"/>
      <c r="U392" s="348"/>
      <c r="V392" s="348"/>
      <c r="W392" s="346"/>
      <c r="X392" s="346"/>
      <c r="Y392" s="359">
        <f t="shared" ref="Y392:AE392" si="215">Y385*Y387</f>
        <v>0</v>
      </c>
      <c r="Z392" s="359">
        <f t="shared" si="215"/>
        <v>0</v>
      </c>
      <c r="AA392" s="359">
        <f t="shared" si="215"/>
        <v>0</v>
      </c>
      <c r="AB392" s="359">
        <f t="shared" si="215"/>
        <v>0</v>
      </c>
      <c r="AC392" s="359">
        <f t="shared" si="215"/>
        <v>0</v>
      </c>
      <c r="AD392" s="359">
        <f t="shared" si="215"/>
        <v>0</v>
      </c>
      <c r="AE392" s="359">
        <f t="shared" si="215"/>
        <v>0</v>
      </c>
      <c r="AF392" s="359">
        <f t="shared" ref="AF392:AL392" si="216">AF385*AF387</f>
        <v>0</v>
      </c>
      <c r="AG392" s="359">
        <f t="shared" si="216"/>
        <v>0</v>
      </c>
      <c r="AH392" s="359">
        <f t="shared" si="216"/>
        <v>0</v>
      </c>
      <c r="AI392" s="359">
        <f t="shared" si="216"/>
        <v>0</v>
      </c>
      <c r="AJ392" s="359">
        <f t="shared" si="216"/>
        <v>0</v>
      </c>
      <c r="AK392" s="359">
        <f t="shared" si="216"/>
        <v>0</v>
      </c>
      <c r="AL392" s="359">
        <f t="shared" si="216"/>
        <v>0</v>
      </c>
      <c r="AM392" s="419">
        <f>SUM(Y392:AL392)</f>
        <v>0</v>
      </c>
    </row>
    <row r="393" spans="1:41" ht="15.75" customHeight="1">
      <c r="A393" s="518"/>
      <c r="B393" s="361" t="s">
        <v>264</v>
      </c>
      <c r="C393" s="357"/>
      <c r="D393" s="362"/>
      <c r="E393" s="346"/>
      <c r="F393" s="346"/>
      <c r="G393" s="346"/>
      <c r="H393" s="346"/>
      <c r="I393" s="346"/>
      <c r="J393" s="346"/>
      <c r="K393" s="346"/>
      <c r="L393" s="346"/>
      <c r="M393" s="346"/>
      <c r="N393" s="346"/>
      <c r="O393" s="313"/>
      <c r="P393" s="346"/>
      <c r="Q393" s="346"/>
      <c r="R393" s="346"/>
      <c r="S393" s="362"/>
      <c r="T393" s="362"/>
      <c r="U393" s="362"/>
      <c r="V393" s="362"/>
      <c r="W393" s="346"/>
      <c r="X393" s="346"/>
      <c r="Y393" s="313"/>
      <c r="Z393" s="363"/>
      <c r="AA393" s="363"/>
      <c r="AB393" s="363"/>
      <c r="AC393" s="363"/>
      <c r="AD393" s="363"/>
      <c r="AE393" s="363"/>
      <c r="AF393" s="363"/>
      <c r="AG393" s="363"/>
      <c r="AH393" s="363"/>
      <c r="AI393" s="363"/>
      <c r="AJ393" s="363"/>
      <c r="AK393" s="363"/>
      <c r="AL393" s="363"/>
      <c r="AM393" s="419">
        <f>AM391-AM392</f>
        <v>0</v>
      </c>
    </row>
    <row r="394" spans="1:41" ht="15">
      <c r="B394" s="336"/>
      <c r="C394" s="362"/>
      <c r="D394" s="362"/>
      <c r="E394" s="346"/>
      <c r="F394" s="346"/>
      <c r="G394" s="346"/>
      <c r="H394" s="346"/>
      <c r="I394" s="346"/>
      <c r="J394" s="346"/>
      <c r="K394" s="346"/>
      <c r="L394" s="346"/>
      <c r="M394" s="346"/>
      <c r="N394" s="346"/>
      <c r="O394" s="313"/>
      <c r="P394" s="346"/>
      <c r="Q394" s="346"/>
      <c r="R394" s="346"/>
      <c r="S394" s="362"/>
      <c r="T394" s="357"/>
      <c r="U394" s="362"/>
      <c r="V394" s="362"/>
      <c r="W394" s="346"/>
      <c r="X394" s="346"/>
      <c r="Y394" s="266"/>
      <c r="Z394" s="266"/>
      <c r="AA394" s="266"/>
      <c r="AB394" s="266"/>
      <c r="AC394" s="266"/>
      <c r="AD394" s="266"/>
      <c r="AE394" s="266"/>
      <c r="AF394" s="266"/>
      <c r="AG394" s="266"/>
      <c r="AH394" s="266"/>
      <c r="AI394" s="266"/>
      <c r="AJ394" s="266"/>
      <c r="AK394" s="266"/>
      <c r="AL394" s="266"/>
      <c r="AM394" s="365"/>
    </row>
    <row r="395" spans="1:41" ht="15">
      <c r="B395" s="336" t="s">
        <v>72</v>
      </c>
      <c r="C395" s="368"/>
      <c r="D395" s="292"/>
      <c r="E395" s="292"/>
      <c r="F395" s="292"/>
      <c r="G395" s="292"/>
      <c r="H395" s="292"/>
      <c r="I395" s="292"/>
      <c r="J395" s="292"/>
      <c r="K395" s="292"/>
      <c r="L395" s="292"/>
      <c r="M395" s="292"/>
      <c r="N395" s="292"/>
      <c r="O395" s="369"/>
      <c r="P395" s="292"/>
      <c r="Q395" s="292"/>
      <c r="R395" s="292"/>
      <c r="S395" s="317"/>
      <c r="T395" s="322"/>
      <c r="U395" s="322"/>
      <c r="V395" s="292"/>
      <c r="W395" s="292"/>
      <c r="X395" s="322"/>
      <c r="Y395" s="304">
        <f>SUMPRODUCT(E279:E382,Y279:Y382)</f>
        <v>392518.4214761706</v>
      </c>
      <c r="Z395" s="304">
        <f>SUMPRODUCT(E279:E382,Z279:Z382)</f>
        <v>847814.37938749779</v>
      </c>
      <c r="AA395" s="304">
        <f>IF(AA278="kW",SUMPRODUCT(N279:N382,P279:P382,AA279:AA382),SUMPRODUCT(E279:E382,AA279:AA382))</f>
        <v>1660.9254475978933</v>
      </c>
      <c r="AB395" s="304">
        <f>IF(AB278="kW",SUMPRODUCT(N279:N382,P279:P382,AB279:AB382),SUMPRODUCT(E279:E382,AB279:AB382))</f>
        <v>296.90215269362642</v>
      </c>
      <c r="AC395" s="304">
        <f>IF(AC278="kW",SUMPRODUCT(N279:N382,P279:P382,AC279:AC382),SUMPRODUCT(E279:E382,AC279:AC382))</f>
        <v>0</v>
      </c>
      <c r="AD395" s="304">
        <f>IF(AD278="kW",SUMPRODUCT(N279:N382,P279:P382,AD279:AD382),SUMPRODUCT(E279:E382,AD279:AD382))</f>
        <v>0</v>
      </c>
      <c r="AE395" s="304">
        <f>IF(AE278="kW",SUMPRODUCT(N279:N382,P279:P382,AE279:AE382),SUMPRODUCT(E279:E382,AE279:AE382))</f>
        <v>0</v>
      </c>
      <c r="AF395" s="304">
        <f>IF(AF278="kW",SUMPRODUCT(N279:N382,P279:P382,AF279:AF382),SUMPRODUCT(E279:E382,AF279:AF382))</f>
        <v>0</v>
      </c>
      <c r="AG395" s="304">
        <f>IF(AG278="kW",SUMPRODUCT(N279:N382,P279:P382,AG279:AG382),SUMPRODUCT(E279:E382,AG279:AG382))</f>
        <v>0</v>
      </c>
      <c r="AH395" s="304">
        <f>IF(AH278="kW",SUMPRODUCT(N279:N382,P279:P382,AH279:AH382),SUMPRODUCT(E279:E382,AH279:AH382))</f>
        <v>0</v>
      </c>
      <c r="AI395" s="304">
        <f>IF(AI278="kW",SUMPRODUCT(N279:N382,P279:P382,AI279:AI382),SUMPRODUCT(E279:E382,AI279:AI382))</f>
        <v>0</v>
      </c>
      <c r="AJ395" s="304">
        <f>IF(AJ278="kW",SUMPRODUCT(N279:N382,P279:P382,AJ279:AJ382),SUMPRODUCT(E279:E382,AJ279:AJ382))</f>
        <v>0</v>
      </c>
      <c r="AK395" s="304">
        <f>IF(AK278="kW",SUMPRODUCT(N279:N382,P279:P382,AK279:AK382),SUMPRODUCT(E279:E382,AK279:AK382))</f>
        <v>0</v>
      </c>
      <c r="AL395" s="304">
        <f>IF(AL278="kW",SUMPRODUCT(N279:N382,P279:P382,AL279:AL382),SUMPRODUCT(E279:E382,AL279:AL382))</f>
        <v>0</v>
      </c>
      <c r="AM395" s="349"/>
    </row>
    <row r="396" spans="1:41" ht="15">
      <c r="B396" s="336" t="s">
        <v>195</v>
      </c>
      <c r="C396" s="368"/>
      <c r="D396" s="292"/>
      <c r="E396" s="292"/>
      <c r="F396" s="292"/>
      <c r="G396" s="292"/>
      <c r="H396" s="292"/>
      <c r="I396" s="292"/>
      <c r="J396" s="292"/>
      <c r="K396" s="292"/>
      <c r="L396" s="292"/>
      <c r="M396" s="292"/>
      <c r="N396" s="292"/>
      <c r="O396" s="369"/>
      <c r="P396" s="292"/>
      <c r="Q396" s="292"/>
      <c r="R396" s="292"/>
      <c r="S396" s="317"/>
      <c r="T396" s="322"/>
      <c r="U396" s="322"/>
      <c r="V396" s="292"/>
      <c r="W396" s="292"/>
      <c r="X396" s="322"/>
      <c r="Y396" s="304">
        <f>SUMPRODUCT(F279:F382,Y279:Y382)</f>
        <v>385922.17942767759</v>
      </c>
      <c r="Z396" s="304">
        <f>SUMPRODUCT(F279:F382,Z279:Z382)</f>
        <v>847814.37938749779</v>
      </c>
      <c r="AA396" s="304">
        <f>IF(AA278="kW",SUMPRODUCT(N279:N382,Q279:Q382,AA279:AA382),SUMPRODUCT(F279:F382,AA279:AA382))</f>
        <v>1660.9254475978933</v>
      </c>
      <c r="AB396" s="304">
        <f>IF(AB278="kW",SUMPRODUCT(N279:N382,Q279:Q382,AB279:AB382),SUMPRODUCT(F279:F382,AB279:AB382))</f>
        <v>296.90215269362642</v>
      </c>
      <c r="AC396" s="304">
        <f>IF(AC278="kW",SUMPRODUCT(N279:N382,Q279:Q382,AC279:AC382),SUMPRODUCT(F279:F382,AC279:AC382))</f>
        <v>0</v>
      </c>
      <c r="AD396" s="304">
        <f>IF(AD278="kW",SUMPRODUCT(N279:N382,Q279:Q382,AD279:AD382),SUMPRODUCT(F279:F382,AD279:AD382))</f>
        <v>0</v>
      </c>
      <c r="AE396" s="304">
        <f>IF(AE278="kW",SUMPRODUCT(N279:N382,Q279:Q382,AE279:AE382),SUMPRODUCT(F279:F382,AE279:AE382))</f>
        <v>0</v>
      </c>
      <c r="AF396" s="304">
        <f>IF(AF278="kW",SUMPRODUCT(N279:N382,Q279:Q382,AF279:AF382),SUMPRODUCT(F279:F382,AF279:AF382))</f>
        <v>0</v>
      </c>
      <c r="AG396" s="304">
        <f>IF(AG278="kW",SUMPRODUCT(N279:N382,Q279:Q382,AG279:AG382),SUMPRODUCT(F279:F382,AG279:AG382))</f>
        <v>0</v>
      </c>
      <c r="AH396" s="304">
        <f>IF(AH278="kW",SUMPRODUCT(N279:N382,Q279:Q382,AH279:AH382),SUMPRODUCT(F279:F382,AH279:AH382))</f>
        <v>0</v>
      </c>
      <c r="AI396" s="304">
        <f>IF(AI278="kW",SUMPRODUCT(N279:N382,Q279:Q382,AI279:AI382),SUMPRODUCT(F279:F382,AI279:AI382))</f>
        <v>0</v>
      </c>
      <c r="AJ396" s="304">
        <f>IF(AJ278="kW",SUMPRODUCT(N279:N382,Q279:Q382,AJ279:AJ382),SUMPRODUCT(F279:F382,AJ279:AJ382))</f>
        <v>0</v>
      </c>
      <c r="AK396" s="304">
        <f>IF(AK278="kW",SUMPRODUCT(N279:N382,Q279:Q382,AK279:AK382),SUMPRODUCT(F279:F382,AK279:AK382))</f>
        <v>0</v>
      </c>
      <c r="AL396" s="304">
        <f>IF(AL278="kW",SUMPRODUCT(N279:N382,Q279:Q382,AL279:AL382),SUMPRODUCT(F279:F382,AL279:AL382))</f>
        <v>0</v>
      </c>
      <c r="AM396" s="349"/>
    </row>
    <row r="397" spans="1:41" ht="15">
      <c r="B397" s="336" t="s">
        <v>196</v>
      </c>
      <c r="C397" s="368"/>
      <c r="D397" s="292"/>
      <c r="E397" s="292"/>
      <c r="F397" s="292"/>
      <c r="G397" s="292"/>
      <c r="H397" s="292"/>
      <c r="I397" s="292"/>
      <c r="J397" s="292"/>
      <c r="K397" s="292"/>
      <c r="L397" s="292"/>
      <c r="M397" s="292"/>
      <c r="N397" s="292"/>
      <c r="O397" s="369"/>
      <c r="P397" s="292"/>
      <c r="Q397" s="292"/>
      <c r="R397" s="292"/>
      <c r="S397" s="317"/>
      <c r="T397" s="322"/>
      <c r="U397" s="322"/>
      <c r="V397" s="292"/>
      <c r="W397" s="292"/>
      <c r="X397" s="322"/>
      <c r="Y397" s="304"/>
      <c r="Z397" s="304"/>
      <c r="AA397" s="304"/>
      <c r="AB397" s="304"/>
      <c r="AC397" s="304"/>
      <c r="AD397" s="304"/>
      <c r="AE397" s="304"/>
      <c r="AF397" s="304"/>
      <c r="AG397" s="304"/>
      <c r="AH397" s="304"/>
      <c r="AI397" s="304"/>
      <c r="AJ397" s="304"/>
      <c r="AK397" s="304"/>
      <c r="AL397" s="304"/>
      <c r="AM397" s="349"/>
    </row>
    <row r="398" spans="1:41" ht="15">
      <c r="B398" s="336" t="s">
        <v>197</v>
      </c>
      <c r="C398" s="368"/>
      <c r="D398" s="292"/>
      <c r="E398" s="292"/>
      <c r="F398" s="292"/>
      <c r="G398" s="292"/>
      <c r="H398" s="292"/>
      <c r="I398" s="292"/>
      <c r="J398" s="292"/>
      <c r="K398" s="292"/>
      <c r="L398" s="292"/>
      <c r="M398" s="292"/>
      <c r="N398" s="292"/>
      <c r="O398" s="369"/>
      <c r="P398" s="292"/>
      <c r="Q398" s="292"/>
      <c r="R398" s="292"/>
      <c r="S398" s="317"/>
      <c r="T398" s="322"/>
      <c r="U398" s="322"/>
      <c r="V398" s="292"/>
      <c r="W398" s="292"/>
      <c r="X398" s="322"/>
      <c r="Y398" s="304"/>
      <c r="Z398" s="304"/>
      <c r="AA398" s="304"/>
      <c r="AB398" s="304"/>
      <c r="AC398" s="304"/>
      <c r="AD398" s="304"/>
      <c r="AE398" s="304"/>
      <c r="AF398" s="304"/>
      <c r="AG398" s="304"/>
      <c r="AH398" s="304"/>
      <c r="AI398" s="304"/>
      <c r="AJ398" s="304"/>
      <c r="AK398" s="304"/>
      <c r="AL398" s="304"/>
      <c r="AM398" s="349"/>
    </row>
    <row r="399" spans="1:41" ht="15">
      <c r="B399" s="336" t="s">
        <v>198</v>
      </c>
      <c r="C399" s="368"/>
      <c r="D399" s="292"/>
      <c r="E399" s="292"/>
      <c r="F399" s="292"/>
      <c r="G399" s="292"/>
      <c r="H399" s="292"/>
      <c r="I399" s="292"/>
      <c r="J399" s="292"/>
      <c r="K399" s="292"/>
      <c r="L399" s="292"/>
      <c r="M399" s="292"/>
      <c r="N399" s="292"/>
      <c r="O399" s="369"/>
      <c r="P399" s="292"/>
      <c r="Q399" s="292"/>
      <c r="R399" s="292"/>
      <c r="S399" s="317"/>
      <c r="T399" s="322"/>
      <c r="U399" s="322"/>
      <c r="V399" s="292"/>
      <c r="W399" s="292"/>
      <c r="X399" s="322"/>
      <c r="Y399" s="304"/>
      <c r="Z399" s="304"/>
      <c r="AA399" s="304"/>
      <c r="AB399" s="304"/>
      <c r="AC399" s="304"/>
      <c r="AD399" s="304"/>
      <c r="AE399" s="304"/>
      <c r="AF399" s="304"/>
      <c r="AG399" s="304"/>
      <c r="AH399" s="304"/>
      <c r="AI399" s="304"/>
      <c r="AJ399" s="304"/>
      <c r="AK399" s="304"/>
      <c r="AL399" s="304"/>
      <c r="AM399" s="349"/>
    </row>
    <row r="400" spans="1:41" ht="15">
      <c r="B400" s="336" t="s">
        <v>199</v>
      </c>
      <c r="C400" s="368"/>
      <c r="D400" s="322"/>
      <c r="E400" s="322"/>
      <c r="F400" s="322"/>
      <c r="G400" s="322"/>
      <c r="H400" s="322"/>
      <c r="I400" s="322"/>
      <c r="J400" s="322"/>
      <c r="K400" s="322"/>
      <c r="L400" s="322"/>
      <c r="M400" s="322"/>
      <c r="N400" s="322"/>
      <c r="O400" s="369"/>
      <c r="P400" s="322"/>
      <c r="Q400" s="322"/>
      <c r="R400" s="322"/>
      <c r="S400" s="317"/>
      <c r="T400" s="322"/>
      <c r="U400" s="322"/>
      <c r="V400" s="322"/>
      <c r="W400" s="322"/>
      <c r="X400" s="322"/>
      <c r="Y400" s="304"/>
      <c r="Z400" s="304"/>
      <c r="AA400" s="304"/>
      <c r="AB400" s="304"/>
      <c r="AC400" s="304"/>
      <c r="AD400" s="304"/>
      <c r="AE400" s="304"/>
      <c r="AF400" s="304"/>
      <c r="AG400" s="304"/>
      <c r="AH400" s="304"/>
      <c r="AI400" s="304"/>
      <c r="AJ400" s="304"/>
      <c r="AK400" s="304"/>
      <c r="AL400" s="304"/>
      <c r="AM400" s="349"/>
    </row>
    <row r="401" spans="1:40" ht="15.75" customHeight="1">
      <c r="B401" s="393" t="s">
        <v>200</v>
      </c>
      <c r="C401" s="414"/>
      <c r="D401" s="415"/>
      <c r="E401" s="415"/>
      <c r="F401" s="415"/>
      <c r="G401" s="415"/>
      <c r="H401" s="415"/>
      <c r="I401" s="415"/>
      <c r="J401" s="415"/>
      <c r="K401" s="415"/>
      <c r="L401" s="415"/>
      <c r="M401" s="415"/>
      <c r="N401" s="415"/>
      <c r="O401" s="416"/>
      <c r="P401" s="417"/>
      <c r="Q401" s="417"/>
      <c r="R401" s="416"/>
      <c r="S401" s="418"/>
      <c r="T401" s="416"/>
      <c r="U401" s="416"/>
      <c r="V401" s="395"/>
      <c r="W401" s="395"/>
      <c r="X401" s="397"/>
      <c r="Y401" s="338"/>
      <c r="Z401" s="338"/>
      <c r="AA401" s="338"/>
      <c r="AB401" s="338"/>
      <c r="AC401" s="338"/>
      <c r="AD401" s="338"/>
      <c r="AE401" s="338"/>
      <c r="AF401" s="338"/>
      <c r="AG401" s="338"/>
      <c r="AH401" s="338"/>
      <c r="AI401" s="338"/>
      <c r="AJ401" s="338"/>
      <c r="AK401" s="338"/>
      <c r="AL401" s="338"/>
      <c r="AM401" s="398"/>
    </row>
    <row r="402" spans="1:40" ht="21.75" customHeight="1">
      <c r="B402" s="380" t="s">
        <v>586</v>
      </c>
      <c r="C402" s="399"/>
      <c r="D402" s="400"/>
      <c r="E402" s="400"/>
      <c r="F402" s="400"/>
      <c r="G402" s="400"/>
      <c r="H402" s="400"/>
      <c r="I402" s="400"/>
      <c r="J402" s="400"/>
      <c r="K402" s="400"/>
      <c r="L402" s="400"/>
      <c r="M402" s="400"/>
      <c r="N402" s="400"/>
      <c r="O402" s="400"/>
      <c r="P402" s="400"/>
      <c r="Q402" s="400"/>
      <c r="R402" s="400"/>
      <c r="S402" s="383"/>
      <c r="T402" s="384"/>
      <c r="U402" s="400"/>
      <c r="V402" s="400"/>
      <c r="W402" s="400"/>
      <c r="X402" s="400"/>
      <c r="Y402" s="401"/>
      <c r="Z402" s="401"/>
      <c r="AA402" s="401"/>
      <c r="AB402" s="401"/>
      <c r="AC402" s="401"/>
      <c r="AD402" s="401"/>
      <c r="AE402" s="401"/>
      <c r="AF402" s="401"/>
      <c r="AG402" s="401"/>
      <c r="AH402" s="401"/>
      <c r="AI402" s="401"/>
      <c r="AJ402" s="401"/>
      <c r="AK402" s="401"/>
      <c r="AL402" s="401"/>
      <c r="AM402" s="401"/>
      <c r="AN402" s="402"/>
    </row>
    <row r="404" spans="1:40" ht="15.6">
      <c r="B404" s="293" t="s">
        <v>258</v>
      </c>
      <c r="C404" s="294"/>
      <c r="D404" s="596" t="s">
        <v>520</v>
      </c>
      <c r="F404" s="596"/>
      <c r="O404" s="294"/>
      <c r="Y404" s="283"/>
      <c r="Z404" s="280"/>
      <c r="AA404" s="280"/>
      <c r="AB404" s="280"/>
      <c r="AC404" s="280"/>
      <c r="AD404" s="280"/>
      <c r="AE404" s="280"/>
      <c r="AF404" s="280"/>
      <c r="AG404" s="280"/>
      <c r="AH404" s="280"/>
      <c r="AI404" s="280"/>
      <c r="AJ404" s="280"/>
      <c r="AK404" s="280"/>
      <c r="AL404" s="280"/>
      <c r="AM404" s="295"/>
    </row>
    <row r="405" spans="1:40" ht="36" customHeight="1">
      <c r="B405" s="901" t="s">
        <v>211</v>
      </c>
      <c r="C405" s="903" t="s">
        <v>33</v>
      </c>
      <c r="D405" s="297" t="s">
        <v>421</v>
      </c>
      <c r="E405" s="905" t="s">
        <v>209</v>
      </c>
      <c r="F405" s="906"/>
      <c r="G405" s="906"/>
      <c r="H405" s="906"/>
      <c r="I405" s="906"/>
      <c r="J405" s="906"/>
      <c r="K405" s="906"/>
      <c r="L405" s="906"/>
      <c r="M405" s="907"/>
      <c r="N405" s="911" t="s">
        <v>213</v>
      </c>
      <c r="O405" s="297" t="s">
        <v>422</v>
      </c>
      <c r="P405" s="905" t="s">
        <v>212</v>
      </c>
      <c r="Q405" s="906"/>
      <c r="R405" s="906"/>
      <c r="S405" s="906"/>
      <c r="T405" s="906"/>
      <c r="U405" s="906"/>
      <c r="V405" s="906"/>
      <c r="W405" s="906"/>
      <c r="X405" s="907"/>
      <c r="Y405" s="908" t="s">
        <v>243</v>
      </c>
      <c r="Z405" s="909"/>
      <c r="AA405" s="909"/>
      <c r="AB405" s="909"/>
      <c r="AC405" s="909"/>
      <c r="AD405" s="909"/>
      <c r="AE405" s="909"/>
      <c r="AF405" s="909"/>
      <c r="AG405" s="909"/>
      <c r="AH405" s="909"/>
      <c r="AI405" s="909"/>
      <c r="AJ405" s="909"/>
      <c r="AK405" s="909"/>
      <c r="AL405" s="909"/>
      <c r="AM405" s="910"/>
    </row>
    <row r="406" spans="1:40" ht="45.75" customHeight="1">
      <c r="B406" s="902"/>
      <c r="C406" s="904"/>
      <c r="D406" s="298">
        <v>2014</v>
      </c>
      <c r="E406" s="298">
        <v>2015</v>
      </c>
      <c r="F406" s="298">
        <v>2016</v>
      </c>
      <c r="G406" s="298">
        <v>2017</v>
      </c>
      <c r="H406" s="298">
        <v>2018</v>
      </c>
      <c r="I406" s="298">
        <v>2019</v>
      </c>
      <c r="J406" s="298">
        <v>2020</v>
      </c>
      <c r="K406" s="298">
        <v>2021</v>
      </c>
      <c r="L406" s="298">
        <v>2022</v>
      </c>
      <c r="M406" s="298">
        <v>2023</v>
      </c>
      <c r="N406" s="912"/>
      <c r="O406" s="298">
        <v>2014</v>
      </c>
      <c r="P406" s="298">
        <v>2015</v>
      </c>
      <c r="Q406" s="298">
        <v>2016</v>
      </c>
      <c r="R406" s="298">
        <v>2017</v>
      </c>
      <c r="S406" s="298">
        <v>2018</v>
      </c>
      <c r="T406" s="298">
        <v>2019</v>
      </c>
      <c r="U406" s="298">
        <v>2020</v>
      </c>
      <c r="V406" s="298">
        <v>2021</v>
      </c>
      <c r="W406" s="298">
        <v>2022</v>
      </c>
      <c r="X406" s="298">
        <v>2023</v>
      </c>
      <c r="Y406" s="298" t="str">
        <f>'1.  LRAMVA Summary'!D52</f>
        <v>Residential</v>
      </c>
      <c r="Z406" s="298" t="str">
        <f>'1.  LRAMVA Summary'!E52</f>
        <v>GS&lt;50 kW</v>
      </c>
      <c r="AA406" s="298" t="str">
        <f>'1.  LRAMVA Summary'!F52</f>
        <v>GS 50 - 999 kW</v>
      </c>
      <c r="AB406" s="298" t="str">
        <f>'1.  LRAMVA Summary'!G52</f>
        <v>GS 1,000 - 4,999 kW</v>
      </c>
      <c r="AC406" s="298" t="str">
        <f>'1.  LRAMVA Summary'!H52</f>
        <v>USL</v>
      </c>
      <c r="AD406" s="298" t="str">
        <f>'1.  LRAMVA Summary'!I52</f>
        <v>Sentinel Lighting</v>
      </c>
      <c r="AE406" s="298" t="str">
        <f>'1.  LRAMVA Summary'!J52</f>
        <v>Street Lighting</v>
      </c>
      <c r="AF406" s="298" t="str">
        <f>'1.  LRAMVA Summary'!K52</f>
        <v/>
      </c>
      <c r="AG406" s="298" t="str">
        <f>'1.  LRAMVA Summary'!L52</f>
        <v/>
      </c>
      <c r="AH406" s="298" t="str">
        <f>'1.  LRAMVA Summary'!M52</f>
        <v/>
      </c>
      <c r="AI406" s="298" t="str">
        <f>'1.  LRAMVA Summary'!N52</f>
        <v/>
      </c>
      <c r="AJ406" s="298" t="str">
        <f>'1.  LRAMVA Summary'!O52</f>
        <v/>
      </c>
      <c r="AK406" s="298" t="str">
        <f>'1.  LRAMVA Summary'!P52</f>
        <v/>
      </c>
      <c r="AL406" s="298" t="str">
        <f>'1.  LRAMVA Summary'!Q52</f>
        <v/>
      </c>
      <c r="AM406" s="300" t="str">
        <f>'1.  LRAMVA Summary'!R52</f>
        <v>Total</v>
      </c>
    </row>
    <row r="407" spans="1:40" ht="15.75" customHeight="1">
      <c r="A407" s="517"/>
      <c r="B407" s="301" t="s">
        <v>0</v>
      </c>
      <c r="C407" s="302"/>
      <c r="D407" s="302"/>
      <c r="E407" s="302"/>
      <c r="F407" s="302"/>
      <c r="G407" s="302"/>
      <c r="H407" s="302"/>
      <c r="I407" s="302"/>
      <c r="J407" s="302"/>
      <c r="K407" s="302"/>
      <c r="L407" s="302"/>
      <c r="M407" s="302"/>
      <c r="N407" s="303"/>
      <c r="O407" s="302"/>
      <c r="P407" s="302"/>
      <c r="Q407" s="302"/>
      <c r="R407" s="302"/>
      <c r="S407" s="302"/>
      <c r="T407" s="302"/>
      <c r="U407" s="302"/>
      <c r="V407" s="302"/>
      <c r="W407" s="302"/>
      <c r="X407" s="302"/>
      <c r="Y407" s="304" t="str">
        <f>'1.  LRAMVA Summary'!D53</f>
        <v>kWh</v>
      </c>
      <c r="Z407" s="304" t="str">
        <f>'1.  LRAMVA Summary'!E53</f>
        <v>kWh</v>
      </c>
      <c r="AA407" s="304" t="str">
        <f>'1.  LRAMVA Summary'!F53</f>
        <v>kW</v>
      </c>
      <c r="AB407" s="304" t="str">
        <f>'1.  LRAMVA Summary'!G53</f>
        <v>kW</v>
      </c>
      <c r="AC407" s="304" t="str">
        <f>'1.  LRAMVA Summary'!H53</f>
        <v>kWh</v>
      </c>
      <c r="AD407" s="304" t="str">
        <f>'1.  LRAMVA Summary'!I53</f>
        <v>kW</v>
      </c>
      <c r="AE407" s="304" t="str">
        <f>'1.  LRAMVA Summary'!J53</f>
        <v>kW</v>
      </c>
      <c r="AF407" s="304">
        <f>'1.  LRAMVA Summary'!K53</f>
        <v>0</v>
      </c>
      <c r="AG407" s="304">
        <f>'1.  LRAMVA Summary'!L53</f>
        <v>0</v>
      </c>
      <c r="AH407" s="304">
        <f>'1.  LRAMVA Summary'!M53</f>
        <v>0</v>
      </c>
      <c r="AI407" s="304">
        <f>'1.  LRAMVA Summary'!N53</f>
        <v>0</v>
      </c>
      <c r="AJ407" s="304">
        <f>'1.  LRAMVA Summary'!O53</f>
        <v>0</v>
      </c>
      <c r="AK407" s="304">
        <f>'1.  LRAMVA Summary'!P53</f>
        <v>0</v>
      </c>
      <c r="AL407" s="304">
        <f>'1.  LRAMVA Summary'!Q53</f>
        <v>0</v>
      </c>
      <c r="AM407" s="305"/>
    </row>
    <row r="408" spans="1:40" ht="15" outlineLevel="1">
      <c r="A408" s="516">
        <v>1</v>
      </c>
      <c r="B408" s="307" t="s">
        <v>1</v>
      </c>
      <c r="C408" s="304" t="s">
        <v>25</v>
      </c>
      <c r="D408" s="308">
        <f>'7.  Persistence Report'!AT91+'7.  Persistence Report'!AT92+'7.  Persistence Report'!AT93+'7.  Persistence Report'!AT94</f>
        <v>34353.861309672029</v>
      </c>
      <c r="E408" s="308">
        <f>'7.  Persistence Report'!AU91+'7.  Persistence Report'!AU92+'7.  Persistence Report'!AU93+'7.  Persistence Report'!AU94</f>
        <v>34353.861309672029</v>
      </c>
      <c r="F408" s="308">
        <f>'7.  Persistence Report'!AV91+'7.  Persistence Report'!AV92+'7.  Persistence Report'!AV93+'7.  Persistence Report'!AV94</f>
        <v>34353.861309672029</v>
      </c>
      <c r="G408" s="308">
        <f>'7.  Persistence Report'!AW91+'7.  Persistence Report'!AW92+'7.  Persistence Report'!AW93+'7.  Persistence Report'!AW94</f>
        <v>34249.453263072028</v>
      </c>
      <c r="H408" s="308">
        <f>'7.  Persistence Report'!AX91+'7.  Persistence Report'!AX92+'7.  Persistence Report'!AX93+'7.  Persistence Report'!AX94</f>
        <v>19616.201457875493</v>
      </c>
      <c r="I408" s="308">
        <f>'7.  Persistence Report'!AY91+'7.  Persistence Report'!AY92+'7.  Persistence Report'!AY93+'7.  Persistence Report'!AY94</f>
        <v>0</v>
      </c>
      <c r="J408" s="308">
        <f>'7.  Persistence Report'!AZ91+'7.  Persistence Report'!AZ92+'7.  Persistence Report'!AZ93+'7.  Persistence Report'!AZ94</f>
        <v>0</v>
      </c>
      <c r="K408" s="308">
        <f>'7.  Persistence Report'!BA91+'7.  Persistence Report'!BA92+'7.  Persistence Report'!BA93+'7.  Persistence Report'!BA94</f>
        <v>0</v>
      </c>
      <c r="L408" s="308">
        <f>'7.  Persistence Report'!BB91+'7.  Persistence Report'!BB92+'7.  Persistence Report'!BB93+'7.  Persistence Report'!BB94</f>
        <v>0</v>
      </c>
      <c r="M408" s="308">
        <f>'7.  Persistence Report'!BC91+'7.  Persistence Report'!BC92+'7.  Persistence Report'!BC93+'7.  Persistence Report'!BC94</f>
        <v>0</v>
      </c>
      <c r="N408" s="763"/>
      <c r="O408" s="308">
        <f>'7.  Persistence Report'!O91+'7.  Persistence Report'!O92+'7.  Persistence Report'!O93+'7.  Persistence Report'!O94</f>
        <v>5.0206413855955638</v>
      </c>
      <c r="P408" s="308">
        <f>'7.  Persistence Report'!P91+'7.  Persistence Report'!P92+'7.  Persistence Report'!P93+'7.  Persistence Report'!P94</f>
        <v>5.0206413855955638</v>
      </c>
      <c r="Q408" s="308">
        <f>'7.  Persistence Report'!Q91+'7.  Persistence Report'!Q92+'7.  Persistence Report'!Q93+'7.  Persistence Report'!Q94</f>
        <v>5.0206413855955638</v>
      </c>
      <c r="R408" s="308">
        <f>'7.  Persistence Report'!R91+'7.  Persistence Report'!R92+'7.  Persistence Report'!R93+'7.  Persistence Report'!R94</f>
        <v>4.9038870885955639</v>
      </c>
      <c r="S408" s="308">
        <f>'7.  Persistence Report'!S91+'7.  Persistence Report'!S92+'7.  Persistence Report'!S93+'7.  Persistence Report'!S94</f>
        <v>2.8828784238997391</v>
      </c>
      <c r="T408" s="308">
        <f>'7.  Persistence Report'!T91+'7.  Persistence Report'!T92+'7.  Persistence Report'!T93+'7.  Persistence Report'!T94</f>
        <v>0</v>
      </c>
      <c r="U408" s="308">
        <f>'7.  Persistence Report'!U91+'7.  Persistence Report'!U92+'7.  Persistence Report'!U93+'7.  Persistence Report'!U94</f>
        <v>0</v>
      </c>
      <c r="V408" s="308">
        <f>'7.  Persistence Report'!V91+'7.  Persistence Report'!V92+'7.  Persistence Report'!V93+'7.  Persistence Report'!V94</f>
        <v>0</v>
      </c>
      <c r="W408" s="308">
        <f>'7.  Persistence Report'!W91+'7.  Persistence Report'!W92+'7.  Persistence Report'!W93+'7.  Persistence Report'!W94</f>
        <v>0</v>
      </c>
      <c r="X408" s="308">
        <f>'7.  Persistence Report'!X91+'7.  Persistence Report'!X92+'7.  Persistence Report'!X93+'7.  Persistence Report'!X94</f>
        <v>0</v>
      </c>
      <c r="Y408" s="772">
        <v>1</v>
      </c>
      <c r="Z408" s="772"/>
      <c r="AA408" s="772"/>
      <c r="AB408" s="772"/>
      <c r="AC408" s="772"/>
      <c r="AD408" s="772"/>
      <c r="AE408" s="772"/>
      <c r="AF408" s="422"/>
      <c r="AG408" s="422"/>
      <c r="AH408" s="422"/>
      <c r="AI408" s="422"/>
      <c r="AJ408" s="422"/>
      <c r="AK408" s="422"/>
      <c r="AL408" s="422"/>
      <c r="AM408" s="309">
        <f>SUM(Y408:AL408)</f>
        <v>1</v>
      </c>
    </row>
    <row r="409" spans="1:40" ht="15" outlineLevel="1">
      <c r="B409" s="307" t="s">
        <v>259</v>
      </c>
      <c r="C409" s="304" t="s">
        <v>163</v>
      </c>
      <c r="D409" s="308"/>
      <c r="E409" s="308"/>
      <c r="F409" s="308"/>
      <c r="G409" s="308"/>
      <c r="H409" s="308"/>
      <c r="I409" s="308"/>
      <c r="J409" s="308"/>
      <c r="K409" s="308"/>
      <c r="L409" s="308"/>
      <c r="M409" s="308"/>
      <c r="N409" s="764"/>
      <c r="O409" s="308"/>
      <c r="P409" s="308"/>
      <c r="Q409" s="308"/>
      <c r="R409" s="308"/>
      <c r="S409" s="308"/>
      <c r="T409" s="308"/>
      <c r="U409" s="308"/>
      <c r="V409" s="308"/>
      <c r="W409" s="308"/>
      <c r="X409" s="308"/>
      <c r="Y409" s="773">
        <f>Y408</f>
        <v>1</v>
      </c>
      <c r="Z409" s="773">
        <f>Z408</f>
        <v>0</v>
      </c>
      <c r="AA409" s="773">
        <f t="shared" ref="AA409:AE409" si="217">AA408</f>
        <v>0</v>
      </c>
      <c r="AB409" s="773">
        <f t="shared" si="217"/>
        <v>0</v>
      </c>
      <c r="AC409" s="773">
        <f t="shared" si="217"/>
        <v>0</v>
      </c>
      <c r="AD409" s="773">
        <f t="shared" si="217"/>
        <v>0</v>
      </c>
      <c r="AE409" s="773">
        <f t="shared" si="217"/>
        <v>0</v>
      </c>
      <c r="AF409" s="423">
        <f t="shared" ref="AF409:AL409" si="218">AF408</f>
        <v>0</v>
      </c>
      <c r="AG409" s="423">
        <f t="shared" si="218"/>
        <v>0</v>
      </c>
      <c r="AH409" s="423">
        <f t="shared" si="218"/>
        <v>0</v>
      </c>
      <c r="AI409" s="423">
        <f t="shared" si="218"/>
        <v>0</v>
      </c>
      <c r="AJ409" s="423">
        <f t="shared" si="218"/>
        <v>0</v>
      </c>
      <c r="AK409" s="423">
        <f t="shared" si="218"/>
        <v>0</v>
      </c>
      <c r="AL409" s="423">
        <f t="shared" si="218"/>
        <v>0</v>
      </c>
      <c r="AM409" s="310"/>
    </row>
    <row r="410" spans="1:40" ht="15.6" outlineLevel="1">
      <c r="A410" s="518"/>
      <c r="B410" s="311"/>
      <c r="C410" s="312"/>
      <c r="D410" s="765"/>
      <c r="E410" s="765"/>
      <c r="F410" s="765"/>
      <c r="G410" s="765"/>
      <c r="H410" s="765"/>
      <c r="I410" s="765"/>
      <c r="J410" s="765"/>
      <c r="K410" s="765"/>
      <c r="L410" s="765"/>
      <c r="M410" s="765"/>
      <c r="N410" s="316"/>
      <c r="O410" s="765"/>
      <c r="P410" s="765"/>
      <c r="Q410" s="765"/>
      <c r="R410" s="765"/>
      <c r="S410" s="765"/>
      <c r="T410" s="765"/>
      <c r="U410" s="765"/>
      <c r="V410" s="765"/>
      <c r="W410" s="765"/>
      <c r="X410" s="765"/>
      <c r="Y410" s="774"/>
      <c r="Z410" s="775"/>
      <c r="AA410" s="775"/>
      <c r="AB410" s="775"/>
      <c r="AC410" s="775"/>
      <c r="AD410" s="775"/>
      <c r="AE410" s="775"/>
      <c r="AF410" s="425"/>
      <c r="AG410" s="425"/>
      <c r="AH410" s="425"/>
      <c r="AI410" s="425"/>
      <c r="AJ410" s="425"/>
      <c r="AK410" s="425"/>
      <c r="AL410" s="425"/>
      <c r="AM410" s="315"/>
    </row>
    <row r="411" spans="1:40" ht="15" outlineLevel="1">
      <c r="A411" s="516">
        <v>2</v>
      </c>
      <c r="B411" s="307" t="s">
        <v>2</v>
      </c>
      <c r="C411" s="304" t="s">
        <v>25</v>
      </c>
      <c r="D411" s="308">
        <f>'7.  Persistence Report'!AT90</f>
        <v>13299.83561</v>
      </c>
      <c r="E411" s="308">
        <f>'7.  Persistence Report'!AU90</f>
        <v>13299.83561</v>
      </c>
      <c r="F411" s="308">
        <f>'7.  Persistence Report'!AV90</f>
        <v>13299.83561</v>
      </c>
      <c r="G411" s="308">
        <f>'7.  Persistence Report'!AW90</f>
        <v>13299.83561</v>
      </c>
      <c r="H411" s="308">
        <f>'7.  Persistence Report'!AX90</f>
        <v>0</v>
      </c>
      <c r="I411" s="308">
        <f>'7.  Persistence Report'!AY90</f>
        <v>0</v>
      </c>
      <c r="J411" s="308">
        <f>'7.  Persistence Report'!AZ90</f>
        <v>0</v>
      </c>
      <c r="K411" s="308">
        <f>'7.  Persistence Report'!BA90</f>
        <v>0</v>
      </c>
      <c r="L411" s="308">
        <f>'7.  Persistence Report'!BB90</f>
        <v>0</v>
      </c>
      <c r="M411" s="308">
        <f>'7.  Persistence Report'!BC90</f>
        <v>0</v>
      </c>
      <c r="N411" s="763"/>
      <c r="O411" s="308">
        <f>'7.  Persistence Report'!O90</f>
        <v>7.4589875650000002</v>
      </c>
      <c r="P411" s="308">
        <f>'7.  Persistence Report'!P90</f>
        <v>7.4589875650000002</v>
      </c>
      <c r="Q411" s="308">
        <f>'7.  Persistence Report'!Q90</f>
        <v>7.4589875650000002</v>
      </c>
      <c r="R411" s="308">
        <f>'7.  Persistence Report'!R90</f>
        <v>7.4589875650000002</v>
      </c>
      <c r="S411" s="308">
        <f>'7.  Persistence Report'!S90</f>
        <v>0</v>
      </c>
      <c r="T411" s="308">
        <f>'7.  Persistence Report'!T90</f>
        <v>0</v>
      </c>
      <c r="U411" s="308">
        <f>'7.  Persistence Report'!U90</f>
        <v>0</v>
      </c>
      <c r="V411" s="308">
        <f>'7.  Persistence Report'!V90</f>
        <v>0</v>
      </c>
      <c r="W411" s="308">
        <f>'7.  Persistence Report'!W90</f>
        <v>0</v>
      </c>
      <c r="X411" s="308">
        <f>'7.  Persistence Report'!X90</f>
        <v>0</v>
      </c>
      <c r="Y411" s="772">
        <v>1</v>
      </c>
      <c r="Z411" s="772"/>
      <c r="AA411" s="772"/>
      <c r="AB411" s="772"/>
      <c r="AC411" s="772"/>
      <c r="AD411" s="772"/>
      <c r="AE411" s="772"/>
      <c r="AF411" s="422"/>
      <c r="AG411" s="422"/>
      <c r="AH411" s="422"/>
      <c r="AI411" s="422"/>
      <c r="AJ411" s="422"/>
      <c r="AK411" s="422"/>
      <c r="AL411" s="422"/>
      <c r="AM411" s="309">
        <f>SUM(Y411:AL411)</f>
        <v>1</v>
      </c>
    </row>
    <row r="412" spans="1:40" ht="15" outlineLevel="1">
      <c r="B412" s="307" t="s">
        <v>259</v>
      </c>
      <c r="C412" s="304" t="s">
        <v>163</v>
      </c>
      <c r="D412" s="308"/>
      <c r="E412" s="308"/>
      <c r="F412" s="308"/>
      <c r="G412" s="308"/>
      <c r="H412" s="308"/>
      <c r="I412" s="308"/>
      <c r="J412" s="308"/>
      <c r="K412" s="308"/>
      <c r="L412" s="308"/>
      <c r="M412" s="308"/>
      <c r="N412" s="764"/>
      <c r="O412" s="308"/>
      <c r="P412" s="308"/>
      <c r="Q412" s="308"/>
      <c r="R412" s="308"/>
      <c r="S412" s="308"/>
      <c r="T412" s="308"/>
      <c r="U412" s="308"/>
      <c r="V412" s="308"/>
      <c r="W412" s="308"/>
      <c r="X412" s="308"/>
      <c r="Y412" s="773">
        <f>Y411</f>
        <v>1</v>
      </c>
      <c r="Z412" s="773">
        <f>Z411</f>
        <v>0</v>
      </c>
      <c r="AA412" s="773">
        <f t="shared" ref="AA412:AE412" si="219">AA411</f>
        <v>0</v>
      </c>
      <c r="AB412" s="773">
        <f t="shared" si="219"/>
        <v>0</v>
      </c>
      <c r="AC412" s="773">
        <f t="shared" si="219"/>
        <v>0</v>
      </c>
      <c r="AD412" s="773">
        <f t="shared" si="219"/>
        <v>0</v>
      </c>
      <c r="AE412" s="773">
        <f t="shared" si="219"/>
        <v>0</v>
      </c>
      <c r="AF412" s="423">
        <f t="shared" ref="AF412:AL412" si="220">AF411</f>
        <v>0</v>
      </c>
      <c r="AG412" s="423">
        <f t="shared" si="220"/>
        <v>0</v>
      </c>
      <c r="AH412" s="423">
        <f t="shared" si="220"/>
        <v>0</v>
      </c>
      <c r="AI412" s="423">
        <f t="shared" si="220"/>
        <v>0</v>
      </c>
      <c r="AJ412" s="423">
        <f t="shared" si="220"/>
        <v>0</v>
      </c>
      <c r="AK412" s="423">
        <f t="shared" si="220"/>
        <v>0</v>
      </c>
      <c r="AL412" s="423">
        <f t="shared" si="220"/>
        <v>0</v>
      </c>
      <c r="AM412" s="310"/>
    </row>
    <row r="413" spans="1:40" ht="15.6" outlineLevel="1">
      <c r="A413" s="518"/>
      <c r="B413" s="311"/>
      <c r="C413" s="312"/>
      <c r="D413" s="766"/>
      <c r="E413" s="766"/>
      <c r="F413" s="766"/>
      <c r="G413" s="766"/>
      <c r="H413" s="766"/>
      <c r="I413" s="766"/>
      <c r="J413" s="766"/>
      <c r="K413" s="766"/>
      <c r="L413" s="766"/>
      <c r="M413" s="766"/>
      <c r="N413" s="316"/>
      <c r="O413" s="766"/>
      <c r="P413" s="766"/>
      <c r="Q413" s="766"/>
      <c r="R413" s="766"/>
      <c r="S413" s="766"/>
      <c r="T413" s="766"/>
      <c r="U413" s="766"/>
      <c r="V413" s="766"/>
      <c r="W413" s="766"/>
      <c r="X413" s="766"/>
      <c r="Y413" s="774"/>
      <c r="Z413" s="775"/>
      <c r="AA413" s="775"/>
      <c r="AB413" s="775"/>
      <c r="AC413" s="775"/>
      <c r="AD413" s="775"/>
      <c r="AE413" s="775"/>
      <c r="AF413" s="425"/>
      <c r="AG413" s="425"/>
      <c r="AH413" s="425"/>
      <c r="AI413" s="425"/>
      <c r="AJ413" s="425"/>
      <c r="AK413" s="425"/>
      <c r="AL413" s="425"/>
      <c r="AM413" s="315"/>
    </row>
    <row r="414" spans="1:40" ht="15" outlineLevel="1">
      <c r="A414" s="516">
        <v>3</v>
      </c>
      <c r="B414" s="307" t="s">
        <v>3</v>
      </c>
      <c r="C414" s="304" t="s">
        <v>25</v>
      </c>
      <c r="D414" s="308">
        <f>'7.  Persistence Report'!AT98</f>
        <v>186908.60222999999</v>
      </c>
      <c r="E414" s="308">
        <f>'7.  Persistence Report'!AU98</f>
        <v>186908.60222999999</v>
      </c>
      <c r="F414" s="308">
        <f>'7.  Persistence Report'!AV98</f>
        <v>186908.60222999999</v>
      </c>
      <c r="G414" s="308">
        <f>'7.  Persistence Report'!AW98</f>
        <v>186908.60222999999</v>
      </c>
      <c r="H414" s="308">
        <f>'7.  Persistence Report'!AX98</f>
        <v>186908.60222999999</v>
      </c>
      <c r="I414" s="308">
        <f>'7.  Persistence Report'!AY98</f>
        <v>186908.60222999999</v>
      </c>
      <c r="J414" s="308">
        <f>'7.  Persistence Report'!AZ98</f>
        <v>186908.60222999999</v>
      </c>
      <c r="K414" s="308">
        <f>'7.  Persistence Report'!BA98</f>
        <v>186908.60222999999</v>
      </c>
      <c r="L414" s="308">
        <f>'7.  Persistence Report'!BB98</f>
        <v>186908.60222999999</v>
      </c>
      <c r="M414" s="308">
        <f>'7.  Persistence Report'!BC98</f>
        <v>186908.60222999999</v>
      </c>
      <c r="N414" s="763"/>
      <c r="O414" s="308">
        <f>'7.  Persistence Report'!O98</f>
        <v>101.400269217</v>
      </c>
      <c r="P414" s="308">
        <f>'7.  Persistence Report'!P98</f>
        <v>101.400269217</v>
      </c>
      <c r="Q414" s="308">
        <f>'7.  Persistence Report'!Q98</f>
        <v>101.400269217</v>
      </c>
      <c r="R414" s="308">
        <f>'7.  Persistence Report'!R98</f>
        <v>101.400269217</v>
      </c>
      <c r="S414" s="308">
        <f>'7.  Persistence Report'!S98</f>
        <v>101.400269217</v>
      </c>
      <c r="T414" s="308">
        <f>'7.  Persistence Report'!T98</f>
        <v>101.400269217</v>
      </c>
      <c r="U414" s="308">
        <f>'7.  Persistence Report'!U98</f>
        <v>101.400269217</v>
      </c>
      <c r="V414" s="308">
        <f>'7.  Persistence Report'!V98</f>
        <v>101.400269217</v>
      </c>
      <c r="W414" s="308">
        <f>'7.  Persistence Report'!W98</f>
        <v>101.400269217</v>
      </c>
      <c r="X414" s="308">
        <f>'7.  Persistence Report'!X98</f>
        <v>101.400269217</v>
      </c>
      <c r="Y414" s="772">
        <v>1</v>
      </c>
      <c r="Z414" s="772"/>
      <c r="AA414" s="772"/>
      <c r="AB414" s="772"/>
      <c r="AC414" s="772"/>
      <c r="AD414" s="772"/>
      <c r="AE414" s="772"/>
      <c r="AF414" s="422"/>
      <c r="AG414" s="422"/>
      <c r="AH414" s="422"/>
      <c r="AI414" s="422"/>
      <c r="AJ414" s="422"/>
      <c r="AK414" s="422"/>
      <c r="AL414" s="422"/>
      <c r="AM414" s="309">
        <f>SUM(Y414:AL414)</f>
        <v>1</v>
      </c>
    </row>
    <row r="415" spans="1:40" ht="15" outlineLevel="1">
      <c r="B415" s="307" t="s">
        <v>259</v>
      </c>
      <c r="C415" s="304" t="s">
        <v>163</v>
      </c>
      <c r="D415" s="308"/>
      <c r="E415" s="308"/>
      <c r="F415" s="308"/>
      <c r="G415" s="308"/>
      <c r="H415" s="308"/>
      <c r="I415" s="308"/>
      <c r="J415" s="308"/>
      <c r="K415" s="308"/>
      <c r="L415" s="308"/>
      <c r="M415" s="308"/>
      <c r="N415" s="764"/>
      <c r="O415" s="308"/>
      <c r="P415" s="308"/>
      <c r="Q415" s="308"/>
      <c r="R415" s="308"/>
      <c r="S415" s="308"/>
      <c r="T415" s="308"/>
      <c r="U415" s="308"/>
      <c r="V415" s="308"/>
      <c r="W415" s="308"/>
      <c r="X415" s="308"/>
      <c r="Y415" s="773">
        <f>Y414</f>
        <v>1</v>
      </c>
      <c r="Z415" s="773">
        <f>Z414</f>
        <v>0</v>
      </c>
      <c r="AA415" s="773">
        <f t="shared" ref="AA415:AE415" si="221">AA414</f>
        <v>0</v>
      </c>
      <c r="AB415" s="773">
        <f t="shared" si="221"/>
        <v>0</v>
      </c>
      <c r="AC415" s="773">
        <f t="shared" si="221"/>
        <v>0</v>
      </c>
      <c r="AD415" s="773">
        <f t="shared" si="221"/>
        <v>0</v>
      </c>
      <c r="AE415" s="773">
        <f t="shared" si="221"/>
        <v>0</v>
      </c>
      <c r="AF415" s="423">
        <f t="shared" ref="AF415:AL415" si="222">AF414</f>
        <v>0</v>
      </c>
      <c r="AG415" s="423">
        <f t="shared" si="222"/>
        <v>0</v>
      </c>
      <c r="AH415" s="423">
        <f t="shared" si="222"/>
        <v>0</v>
      </c>
      <c r="AI415" s="423">
        <f t="shared" si="222"/>
        <v>0</v>
      </c>
      <c r="AJ415" s="423">
        <f t="shared" si="222"/>
        <v>0</v>
      </c>
      <c r="AK415" s="423">
        <f t="shared" si="222"/>
        <v>0</v>
      </c>
      <c r="AL415" s="423">
        <f t="shared" si="222"/>
        <v>0</v>
      </c>
      <c r="AM415" s="310"/>
    </row>
    <row r="416" spans="1:40" ht="15" outlineLevel="1">
      <c r="B416" s="307"/>
      <c r="C416" s="318"/>
      <c r="D416" s="763"/>
      <c r="E416" s="763"/>
      <c r="F416" s="763"/>
      <c r="G416" s="763"/>
      <c r="H416" s="763"/>
      <c r="I416" s="763"/>
      <c r="J416" s="763"/>
      <c r="K416" s="763"/>
      <c r="L416" s="763"/>
      <c r="M416" s="763"/>
      <c r="N416" s="296"/>
      <c r="O416" s="763"/>
      <c r="P416" s="763"/>
      <c r="Q416" s="763"/>
      <c r="R416" s="763"/>
      <c r="S416" s="763"/>
      <c r="T416" s="763"/>
      <c r="U416" s="763"/>
      <c r="V416" s="763"/>
      <c r="W416" s="763"/>
      <c r="X416" s="763"/>
      <c r="Y416" s="774"/>
      <c r="Z416" s="774"/>
      <c r="AA416" s="774"/>
      <c r="AB416" s="774"/>
      <c r="AC416" s="774"/>
      <c r="AD416" s="774"/>
      <c r="AE416" s="774"/>
      <c r="AF416" s="424"/>
      <c r="AG416" s="424"/>
      <c r="AH416" s="424"/>
      <c r="AI416" s="424"/>
      <c r="AJ416" s="424"/>
      <c r="AK416" s="424"/>
      <c r="AL416" s="424"/>
      <c r="AM416" s="319"/>
    </row>
    <row r="417" spans="1:39" ht="15" outlineLevel="1">
      <c r="A417" s="516">
        <v>4</v>
      </c>
      <c r="B417" s="307" t="s">
        <v>4</v>
      </c>
      <c r="C417" s="304" t="s">
        <v>25</v>
      </c>
      <c r="D417" s="308">
        <f>'7.  Persistence Report'!AT96</f>
        <v>154152.75940000001</v>
      </c>
      <c r="E417" s="308">
        <f>'7.  Persistence Report'!AU96</f>
        <v>143541.01629999999</v>
      </c>
      <c r="F417" s="308">
        <f>'7.  Persistence Report'!AV96</f>
        <v>138415.80780000001</v>
      </c>
      <c r="G417" s="308">
        <f>'7.  Persistence Report'!AW96</f>
        <v>138415.80780000001</v>
      </c>
      <c r="H417" s="308">
        <f>'7.  Persistence Report'!AX96</f>
        <v>138415.80780000001</v>
      </c>
      <c r="I417" s="308">
        <f>'7.  Persistence Report'!AY96</f>
        <v>138415.80780000001</v>
      </c>
      <c r="J417" s="308">
        <f>'7.  Persistence Report'!AZ96</f>
        <v>138415.80780000001</v>
      </c>
      <c r="K417" s="308">
        <f>'7.  Persistence Report'!BA96</f>
        <v>138146.7231</v>
      </c>
      <c r="L417" s="308">
        <f>'7.  Persistence Report'!BB96</f>
        <v>138146.7231</v>
      </c>
      <c r="M417" s="308">
        <f>'7.  Persistence Report'!BC96</f>
        <v>118199.56050000001</v>
      </c>
      <c r="N417" s="763"/>
      <c r="O417" s="308">
        <f>'7.  Persistence Report'!O96</f>
        <v>11.53298644</v>
      </c>
      <c r="P417" s="308">
        <f>'7.  Persistence Report'!P96</f>
        <v>10.866809870000001</v>
      </c>
      <c r="Q417" s="308">
        <f>'7.  Persistence Report'!Q96</f>
        <v>10.54506312</v>
      </c>
      <c r="R417" s="308">
        <f>'7.  Persistence Report'!R96</f>
        <v>10.54506312</v>
      </c>
      <c r="S417" s="308">
        <f>'7.  Persistence Report'!S96</f>
        <v>10.54506312</v>
      </c>
      <c r="T417" s="308">
        <f>'7.  Persistence Report'!T96</f>
        <v>10.54506312</v>
      </c>
      <c r="U417" s="308">
        <f>'7.  Persistence Report'!U96</f>
        <v>10.54506312</v>
      </c>
      <c r="V417" s="308">
        <f>'7.  Persistence Report'!V96</f>
        <v>10.514345690000001</v>
      </c>
      <c r="W417" s="308">
        <f>'7.  Persistence Report'!W96</f>
        <v>10.514345690000001</v>
      </c>
      <c r="X417" s="308">
        <f>'7.  Persistence Report'!X96</f>
        <v>9.2621166989999999</v>
      </c>
      <c r="Y417" s="772">
        <v>1</v>
      </c>
      <c r="Z417" s="772"/>
      <c r="AA417" s="772"/>
      <c r="AB417" s="772"/>
      <c r="AC417" s="772"/>
      <c r="AD417" s="772"/>
      <c r="AE417" s="772"/>
      <c r="AF417" s="422"/>
      <c r="AG417" s="422"/>
      <c r="AH417" s="422"/>
      <c r="AI417" s="422"/>
      <c r="AJ417" s="422"/>
      <c r="AK417" s="422"/>
      <c r="AL417" s="422"/>
      <c r="AM417" s="309">
        <f>SUM(Y417:AL417)</f>
        <v>1</v>
      </c>
    </row>
    <row r="418" spans="1:39" ht="15" outlineLevel="1">
      <c r="B418" s="307" t="s">
        <v>259</v>
      </c>
      <c r="C418" s="304" t="s">
        <v>163</v>
      </c>
      <c r="D418" s="308"/>
      <c r="E418" s="308"/>
      <c r="F418" s="308"/>
      <c r="G418" s="308"/>
      <c r="H418" s="308"/>
      <c r="I418" s="308"/>
      <c r="J418" s="308"/>
      <c r="K418" s="308"/>
      <c r="L418" s="308"/>
      <c r="M418" s="308"/>
      <c r="N418" s="764"/>
      <c r="O418" s="308"/>
      <c r="P418" s="308"/>
      <c r="Q418" s="308"/>
      <c r="R418" s="308"/>
      <c r="S418" s="308"/>
      <c r="T418" s="308"/>
      <c r="U418" s="308"/>
      <c r="V418" s="308"/>
      <c r="W418" s="308"/>
      <c r="X418" s="308"/>
      <c r="Y418" s="773">
        <f>Y417</f>
        <v>1</v>
      </c>
      <c r="Z418" s="773">
        <f>Z417</f>
        <v>0</v>
      </c>
      <c r="AA418" s="773">
        <f t="shared" ref="AA418:AE418" si="223">AA417</f>
        <v>0</v>
      </c>
      <c r="AB418" s="773">
        <f t="shared" si="223"/>
        <v>0</v>
      </c>
      <c r="AC418" s="773">
        <f t="shared" si="223"/>
        <v>0</v>
      </c>
      <c r="AD418" s="773">
        <f t="shared" si="223"/>
        <v>0</v>
      </c>
      <c r="AE418" s="773">
        <f t="shared" si="223"/>
        <v>0</v>
      </c>
      <c r="AF418" s="423">
        <f t="shared" ref="AF418:AL418" si="224">AF417</f>
        <v>0</v>
      </c>
      <c r="AG418" s="423">
        <f t="shared" si="224"/>
        <v>0</v>
      </c>
      <c r="AH418" s="423">
        <f t="shared" si="224"/>
        <v>0</v>
      </c>
      <c r="AI418" s="423">
        <f t="shared" si="224"/>
        <v>0</v>
      </c>
      <c r="AJ418" s="423">
        <f t="shared" si="224"/>
        <v>0</v>
      </c>
      <c r="AK418" s="423">
        <f t="shared" si="224"/>
        <v>0</v>
      </c>
      <c r="AL418" s="423">
        <f t="shared" si="224"/>
        <v>0</v>
      </c>
      <c r="AM418" s="310"/>
    </row>
    <row r="419" spans="1:39" ht="15" outlineLevel="1">
      <c r="B419" s="307"/>
      <c r="C419" s="318"/>
      <c r="D419" s="766"/>
      <c r="E419" s="766"/>
      <c r="F419" s="766"/>
      <c r="G419" s="766"/>
      <c r="H419" s="766"/>
      <c r="I419" s="766"/>
      <c r="J419" s="766"/>
      <c r="K419" s="766"/>
      <c r="L419" s="766"/>
      <c r="M419" s="766"/>
      <c r="N419" s="763"/>
      <c r="O419" s="766"/>
      <c r="P419" s="766"/>
      <c r="Q419" s="766"/>
      <c r="R419" s="766"/>
      <c r="S419" s="766"/>
      <c r="T419" s="766"/>
      <c r="U419" s="766"/>
      <c r="V419" s="766"/>
      <c r="W419" s="766"/>
      <c r="X419" s="766"/>
      <c r="Y419" s="774"/>
      <c r="Z419" s="774"/>
      <c r="AA419" s="774"/>
      <c r="AB419" s="774"/>
      <c r="AC419" s="774"/>
      <c r="AD419" s="774"/>
      <c r="AE419" s="774"/>
      <c r="AF419" s="424"/>
      <c r="AG419" s="424"/>
      <c r="AH419" s="424"/>
      <c r="AI419" s="424"/>
      <c r="AJ419" s="424"/>
      <c r="AK419" s="424"/>
      <c r="AL419" s="424"/>
      <c r="AM419" s="319"/>
    </row>
    <row r="420" spans="1:39" ht="15" outlineLevel="1">
      <c r="A420" s="516">
        <v>5</v>
      </c>
      <c r="B420" s="307" t="s">
        <v>5</v>
      </c>
      <c r="C420" s="304" t="s">
        <v>25</v>
      </c>
      <c r="D420" s="308">
        <f>'7.  Persistence Report'!AT95</f>
        <v>672861.92119999998</v>
      </c>
      <c r="E420" s="308">
        <f>'7.  Persistence Report'!AU95</f>
        <v>583700.60889999999</v>
      </c>
      <c r="F420" s="308">
        <f>'7.  Persistence Report'!AV95</f>
        <v>537234.66980000003</v>
      </c>
      <c r="G420" s="308">
        <f>'7.  Persistence Report'!AW95</f>
        <v>537234.66980000003</v>
      </c>
      <c r="H420" s="308">
        <f>'7.  Persistence Report'!AX95</f>
        <v>537234.66980000003</v>
      </c>
      <c r="I420" s="308">
        <f>'7.  Persistence Report'!AY95</f>
        <v>537234.66980000003</v>
      </c>
      <c r="J420" s="308">
        <f>'7.  Persistence Report'!AZ95</f>
        <v>537234.66980000003</v>
      </c>
      <c r="K420" s="308">
        <f>'7.  Persistence Report'!BA95</f>
        <v>537001.94790000003</v>
      </c>
      <c r="L420" s="308">
        <f>'7.  Persistence Report'!BB95</f>
        <v>537001.94790000003</v>
      </c>
      <c r="M420" s="308">
        <f>'7.  Persistence Report'!BC95</f>
        <v>499441.64559999999</v>
      </c>
      <c r="N420" s="763"/>
      <c r="O420" s="308">
        <f>'7.  Persistence Report'!O95</f>
        <v>44.035646810000003</v>
      </c>
      <c r="P420" s="308">
        <f>'7.  Persistence Report'!P95</f>
        <v>38.438340439999997</v>
      </c>
      <c r="Q420" s="308">
        <f>'7.  Persistence Report'!Q95</f>
        <v>35.521334289999999</v>
      </c>
      <c r="R420" s="308">
        <f>'7.  Persistence Report'!R95</f>
        <v>35.521334289999999</v>
      </c>
      <c r="S420" s="308">
        <f>'7.  Persistence Report'!S95</f>
        <v>35.521334289999999</v>
      </c>
      <c r="T420" s="308">
        <f>'7.  Persistence Report'!T95</f>
        <v>35.521334289999999</v>
      </c>
      <c r="U420" s="308">
        <f>'7.  Persistence Report'!U95</f>
        <v>35.521334289999999</v>
      </c>
      <c r="V420" s="308">
        <f>'7.  Persistence Report'!V95</f>
        <v>35.494767860000003</v>
      </c>
      <c r="W420" s="308">
        <f>'7.  Persistence Report'!W95</f>
        <v>35.494767860000003</v>
      </c>
      <c r="X420" s="308">
        <f>'7.  Persistence Report'!X95</f>
        <v>33.136833529999997</v>
      </c>
      <c r="Y420" s="772">
        <v>1</v>
      </c>
      <c r="Z420" s="772"/>
      <c r="AA420" s="772"/>
      <c r="AB420" s="772"/>
      <c r="AC420" s="772"/>
      <c r="AD420" s="772"/>
      <c r="AE420" s="772"/>
      <c r="AF420" s="422"/>
      <c r="AG420" s="422"/>
      <c r="AH420" s="422"/>
      <c r="AI420" s="422"/>
      <c r="AJ420" s="422"/>
      <c r="AK420" s="422"/>
      <c r="AL420" s="422"/>
      <c r="AM420" s="309">
        <f>SUM(Y420:AL420)</f>
        <v>1</v>
      </c>
    </row>
    <row r="421" spans="1:39" ht="15" outlineLevel="1">
      <c r="B421" s="307" t="s">
        <v>259</v>
      </c>
      <c r="C421" s="304" t="s">
        <v>163</v>
      </c>
      <c r="D421" s="308"/>
      <c r="E421" s="308"/>
      <c r="F421" s="308"/>
      <c r="G421" s="308"/>
      <c r="H421" s="308"/>
      <c r="I421" s="308"/>
      <c r="J421" s="308"/>
      <c r="K421" s="308"/>
      <c r="L421" s="308"/>
      <c r="M421" s="308"/>
      <c r="N421" s="764"/>
      <c r="O421" s="308"/>
      <c r="P421" s="308"/>
      <c r="Q421" s="308"/>
      <c r="R421" s="308"/>
      <c r="S421" s="308"/>
      <c r="T421" s="308"/>
      <c r="U421" s="308"/>
      <c r="V421" s="308"/>
      <c r="W421" s="308"/>
      <c r="X421" s="308"/>
      <c r="Y421" s="773">
        <f>Y420</f>
        <v>1</v>
      </c>
      <c r="Z421" s="773">
        <f>Z420</f>
        <v>0</v>
      </c>
      <c r="AA421" s="773">
        <f t="shared" ref="AA421:AE421" si="225">AA420</f>
        <v>0</v>
      </c>
      <c r="AB421" s="773">
        <f t="shared" si="225"/>
        <v>0</v>
      </c>
      <c r="AC421" s="773">
        <f t="shared" si="225"/>
        <v>0</v>
      </c>
      <c r="AD421" s="773">
        <f t="shared" si="225"/>
        <v>0</v>
      </c>
      <c r="AE421" s="773">
        <f t="shared" si="225"/>
        <v>0</v>
      </c>
      <c r="AF421" s="423">
        <f t="shared" ref="AF421:AL421" si="226">AF420</f>
        <v>0</v>
      </c>
      <c r="AG421" s="423">
        <f t="shared" si="226"/>
        <v>0</v>
      </c>
      <c r="AH421" s="423">
        <f t="shared" si="226"/>
        <v>0</v>
      </c>
      <c r="AI421" s="423">
        <f t="shared" si="226"/>
        <v>0</v>
      </c>
      <c r="AJ421" s="423">
        <f t="shared" si="226"/>
        <v>0</v>
      </c>
      <c r="AK421" s="423">
        <f t="shared" si="226"/>
        <v>0</v>
      </c>
      <c r="AL421" s="423">
        <f t="shared" si="226"/>
        <v>0</v>
      </c>
      <c r="AM421" s="310"/>
    </row>
    <row r="422" spans="1:39" ht="15" outlineLevel="1">
      <c r="B422" s="307"/>
      <c r="C422" s="318"/>
      <c r="D422" s="766"/>
      <c r="E422" s="766"/>
      <c r="F422" s="766"/>
      <c r="G422" s="766"/>
      <c r="H422" s="766"/>
      <c r="I422" s="766"/>
      <c r="J422" s="766"/>
      <c r="K422" s="766"/>
      <c r="L422" s="766"/>
      <c r="M422" s="766"/>
      <c r="N422" s="763"/>
      <c r="O422" s="766"/>
      <c r="P422" s="766"/>
      <c r="Q422" s="766"/>
      <c r="R422" s="766"/>
      <c r="S422" s="766"/>
      <c r="T422" s="766"/>
      <c r="U422" s="766"/>
      <c r="V422" s="766"/>
      <c r="W422" s="766"/>
      <c r="X422" s="766"/>
      <c r="Y422" s="774"/>
      <c r="Z422" s="774"/>
      <c r="AA422" s="774"/>
      <c r="AB422" s="774"/>
      <c r="AC422" s="774"/>
      <c r="AD422" s="774"/>
      <c r="AE422" s="774"/>
      <c r="AF422" s="424"/>
      <c r="AG422" s="424"/>
      <c r="AH422" s="424"/>
      <c r="AI422" s="424"/>
      <c r="AJ422" s="424"/>
      <c r="AK422" s="424"/>
      <c r="AL422" s="424"/>
      <c r="AM422" s="319"/>
    </row>
    <row r="423" spans="1:39" ht="15" outlineLevel="1">
      <c r="A423" s="516">
        <v>6</v>
      </c>
      <c r="B423" s="307" t="s">
        <v>6</v>
      </c>
      <c r="C423" s="304" t="s">
        <v>25</v>
      </c>
      <c r="D423" s="308"/>
      <c r="E423" s="308"/>
      <c r="F423" s="308"/>
      <c r="G423" s="308"/>
      <c r="H423" s="308"/>
      <c r="I423" s="308"/>
      <c r="J423" s="308"/>
      <c r="K423" s="308"/>
      <c r="L423" s="308"/>
      <c r="M423" s="308"/>
      <c r="N423" s="763"/>
      <c r="O423" s="308"/>
      <c r="P423" s="308"/>
      <c r="Q423" s="308"/>
      <c r="R423" s="308"/>
      <c r="S423" s="308"/>
      <c r="T423" s="308"/>
      <c r="U423" s="308"/>
      <c r="V423" s="308"/>
      <c r="W423" s="308"/>
      <c r="X423" s="308"/>
      <c r="Y423" s="772"/>
      <c r="Z423" s="772"/>
      <c r="AA423" s="772"/>
      <c r="AB423" s="772"/>
      <c r="AC423" s="772"/>
      <c r="AD423" s="772"/>
      <c r="AE423" s="772"/>
      <c r="AF423" s="422"/>
      <c r="AG423" s="422"/>
      <c r="AH423" s="422"/>
      <c r="AI423" s="422"/>
      <c r="AJ423" s="422"/>
      <c r="AK423" s="422"/>
      <c r="AL423" s="422"/>
      <c r="AM423" s="309">
        <f>SUM(Y423:AL423)</f>
        <v>0</v>
      </c>
    </row>
    <row r="424" spans="1:39" ht="15" outlineLevel="1">
      <c r="B424" s="307" t="s">
        <v>259</v>
      </c>
      <c r="C424" s="304" t="s">
        <v>163</v>
      </c>
      <c r="D424" s="308"/>
      <c r="E424" s="308"/>
      <c r="F424" s="308"/>
      <c r="G424" s="308"/>
      <c r="H424" s="308"/>
      <c r="I424" s="308"/>
      <c r="J424" s="308"/>
      <c r="K424" s="308"/>
      <c r="L424" s="308"/>
      <c r="M424" s="308"/>
      <c r="N424" s="764"/>
      <c r="O424" s="308"/>
      <c r="P424" s="308"/>
      <c r="Q424" s="308"/>
      <c r="R424" s="308"/>
      <c r="S424" s="308"/>
      <c r="T424" s="308"/>
      <c r="U424" s="308"/>
      <c r="V424" s="308"/>
      <c r="W424" s="308"/>
      <c r="X424" s="308"/>
      <c r="Y424" s="773">
        <f>Y423</f>
        <v>0</v>
      </c>
      <c r="Z424" s="773">
        <f>Z423</f>
        <v>0</v>
      </c>
      <c r="AA424" s="773">
        <f t="shared" ref="AA424:AE424" si="227">AA423</f>
        <v>0</v>
      </c>
      <c r="AB424" s="773">
        <f t="shared" si="227"/>
        <v>0</v>
      </c>
      <c r="AC424" s="773">
        <f t="shared" si="227"/>
        <v>0</v>
      </c>
      <c r="AD424" s="773">
        <f t="shared" si="227"/>
        <v>0</v>
      </c>
      <c r="AE424" s="773">
        <f t="shared" si="227"/>
        <v>0</v>
      </c>
      <c r="AF424" s="423">
        <f t="shared" ref="AF424:AL424" si="228">AF423</f>
        <v>0</v>
      </c>
      <c r="AG424" s="423">
        <f t="shared" si="228"/>
        <v>0</v>
      </c>
      <c r="AH424" s="423">
        <f t="shared" si="228"/>
        <v>0</v>
      </c>
      <c r="AI424" s="423">
        <f t="shared" si="228"/>
        <v>0</v>
      </c>
      <c r="AJ424" s="423">
        <f t="shared" si="228"/>
        <v>0</v>
      </c>
      <c r="AK424" s="423">
        <f t="shared" si="228"/>
        <v>0</v>
      </c>
      <c r="AL424" s="423">
        <f t="shared" si="228"/>
        <v>0</v>
      </c>
      <c r="AM424" s="310"/>
    </row>
    <row r="425" spans="1:39" ht="15" outlineLevel="1">
      <c r="B425" s="307"/>
      <c r="C425" s="318"/>
      <c r="D425" s="766"/>
      <c r="E425" s="766"/>
      <c r="F425" s="766"/>
      <c r="G425" s="766"/>
      <c r="H425" s="766"/>
      <c r="I425" s="766"/>
      <c r="J425" s="766"/>
      <c r="K425" s="766"/>
      <c r="L425" s="766"/>
      <c r="M425" s="766"/>
      <c r="N425" s="763"/>
      <c r="O425" s="766"/>
      <c r="P425" s="766"/>
      <c r="Q425" s="766"/>
      <c r="R425" s="766"/>
      <c r="S425" s="766"/>
      <c r="T425" s="766"/>
      <c r="U425" s="766"/>
      <c r="V425" s="766"/>
      <c r="W425" s="766"/>
      <c r="X425" s="766"/>
      <c r="Y425" s="774"/>
      <c r="Z425" s="774"/>
      <c r="AA425" s="774"/>
      <c r="AB425" s="774"/>
      <c r="AC425" s="774"/>
      <c r="AD425" s="774"/>
      <c r="AE425" s="774"/>
      <c r="AF425" s="424"/>
      <c r="AG425" s="424"/>
      <c r="AH425" s="424"/>
      <c r="AI425" s="424"/>
      <c r="AJ425" s="424"/>
      <c r="AK425" s="424"/>
      <c r="AL425" s="424"/>
      <c r="AM425" s="319"/>
    </row>
    <row r="426" spans="1:39" ht="15" outlineLevel="1">
      <c r="A426" s="516">
        <v>7</v>
      </c>
      <c r="B426" s="307" t="s">
        <v>42</v>
      </c>
      <c r="C426" s="304" t="s">
        <v>25</v>
      </c>
      <c r="D426" s="308"/>
      <c r="E426" s="308"/>
      <c r="F426" s="308"/>
      <c r="G426" s="308"/>
      <c r="H426" s="308"/>
      <c r="I426" s="308"/>
      <c r="J426" s="308"/>
      <c r="K426" s="308"/>
      <c r="L426" s="308"/>
      <c r="M426" s="308"/>
      <c r="N426" s="763"/>
      <c r="O426" s="308"/>
      <c r="P426" s="308"/>
      <c r="Q426" s="308"/>
      <c r="R426" s="308"/>
      <c r="S426" s="308"/>
      <c r="T426" s="308"/>
      <c r="U426" s="308"/>
      <c r="V426" s="308"/>
      <c r="W426" s="308"/>
      <c r="X426" s="308"/>
      <c r="Y426" s="772"/>
      <c r="Z426" s="772"/>
      <c r="AA426" s="772"/>
      <c r="AB426" s="772"/>
      <c r="AC426" s="772"/>
      <c r="AD426" s="772"/>
      <c r="AE426" s="772"/>
      <c r="AF426" s="422"/>
      <c r="AG426" s="422"/>
      <c r="AH426" s="422"/>
      <c r="AI426" s="422"/>
      <c r="AJ426" s="422"/>
      <c r="AK426" s="422"/>
      <c r="AL426" s="422"/>
      <c r="AM426" s="309">
        <f>SUM(Y426:AL426)</f>
        <v>0</v>
      </c>
    </row>
    <row r="427" spans="1:39" ht="15" outlineLevel="1">
      <c r="B427" s="307" t="s">
        <v>259</v>
      </c>
      <c r="C427" s="304" t="s">
        <v>163</v>
      </c>
      <c r="D427" s="308"/>
      <c r="E427" s="308"/>
      <c r="F427" s="308"/>
      <c r="G427" s="308"/>
      <c r="H427" s="308"/>
      <c r="I427" s="308"/>
      <c r="J427" s="308"/>
      <c r="K427" s="308"/>
      <c r="L427" s="308"/>
      <c r="M427" s="308"/>
      <c r="N427" s="763"/>
      <c r="O427" s="308"/>
      <c r="P427" s="308"/>
      <c r="Q427" s="308"/>
      <c r="R427" s="308"/>
      <c r="S427" s="308"/>
      <c r="T427" s="308"/>
      <c r="U427" s="308"/>
      <c r="V427" s="308"/>
      <c r="W427" s="308"/>
      <c r="X427" s="308"/>
      <c r="Y427" s="773">
        <f>Y426</f>
        <v>0</v>
      </c>
      <c r="Z427" s="773">
        <f>Z426</f>
        <v>0</v>
      </c>
      <c r="AA427" s="773">
        <f t="shared" ref="AA427:AE427" si="229">AA426</f>
        <v>0</v>
      </c>
      <c r="AB427" s="773">
        <f t="shared" si="229"/>
        <v>0</v>
      </c>
      <c r="AC427" s="773">
        <f t="shared" si="229"/>
        <v>0</v>
      </c>
      <c r="AD427" s="773">
        <f t="shared" si="229"/>
        <v>0</v>
      </c>
      <c r="AE427" s="773">
        <f t="shared" si="229"/>
        <v>0</v>
      </c>
      <c r="AF427" s="423">
        <f t="shared" ref="AF427:AL427" si="230">AF426</f>
        <v>0</v>
      </c>
      <c r="AG427" s="423">
        <f t="shared" si="230"/>
        <v>0</v>
      </c>
      <c r="AH427" s="423">
        <f t="shared" si="230"/>
        <v>0</v>
      </c>
      <c r="AI427" s="423">
        <f t="shared" si="230"/>
        <v>0</v>
      </c>
      <c r="AJ427" s="423">
        <f t="shared" si="230"/>
        <v>0</v>
      </c>
      <c r="AK427" s="423">
        <f t="shared" si="230"/>
        <v>0</v>
      </c>
      <c r="AL427" s="423">
        <f t="shared" si="230"/>
        <v>0</v>
      </c>
      <c r="AM427" s="310"/>
    </row>
    <row r="428" spans="1:39" ht="15" outlineLevel="1">
      <c r="B428" s="307"/>
      <c r="C428" s="318"/>
      <c r="D428" s="766"/>
      <c r="E428" s="766"/>
      <c r="F428" s="766"/>
      <c r="G428" s="766"/>
      <c r="H428" s="766"/>
      <c r="I428" s="766"/>
      <c r="J428" s="766"/>
      <c r="K428" s="766"/>
      <c r="L428" s="766"/>
      <c r="M428" s="766"/>
      <c r="N428" s="763"/>
      <c r="O428" s="766"/>
      <c r="P428" s="766"/>
      <c r="Q428" s="766"/>
      <c r="R428" s="766"/>
      <c r="S428" s="766"/>
      <c r="T428" s="766"/>
      <c r="U428" s="766"/>
      <c r="V428" s="766"/>
      <c r="W428" s="766"/>
      <c r="X428" s="766"/>
      <c r="Y428" s="774"/>
      <c r="Z428" s="774"/>
      <c r="AA428" s="774"/>
      <c r="AB428" s="774"/>
      <c r="AC428" s="774"/>
      <c r="AD428" s="774"/>
      <c r="AE428" s="774"/>
      <c r="AF428" s="424"/>
      <c r="AG428" s="424"/>
      <c r="AH428" s="424"/>
      <c r="AI428" s="424"/>
      <c r="AJ428" s="424"/>
      <c r="AK428" s="424"/>
      <c r="AL428" s="424"/>
      <c r="AM428" s="319"/>
    </row>
    <row r="429" spans="1:39" s="296" customFormat="1" ht="15" outlineLevel="1">
      <c r="A429" s="516">
        <v>8</v>
      </c>
      <c r="B429" s="307" t="s">
        <v>484</v>
      </c>
      <c r="C429" s="304" t="s">
        <v>25</v>
      </c>
      <c r="D429" s="308"/>
      <c r="E429" s="308"/>
      <c r="F429" s="308"/>
      <c r="G429" s="308"/>
      <c r="H429" s="308"/>
      <c r="I429" s="308"/>
      <c r="J429" s="308"/>
      <c r="K429" s="308"/>
      <c r="L429" s="308"/>
      <c r="M429" s="308"/>
      <c r="N429" s="763"/>
      <c r="O429" s="308"/>
      <c r="P429" s="308"/>
      <c r="Q429" s="308"/>
      <c r="R429" s="308"/>
      <c r="S429" s="308"/>
      <c r="T429" s="308"/>
      <c r="U429" s="308"/>
      <c r="V429" s="308"/>
      <c r="W429" s="308"/>
      <c r="X429" s="308"/>
      <c r="Y429" s="772"/>
      <c r="Z429" s="772"/>
      <c r="AA429" s="772"/>
      <c r="AB429" s="772"/>
      <c r="AC429" s="772"/>
      <c r="AD429" s="772"/>
      <c r="AE429" s="772"/>
      <c r="AF429" s="422"/>
      <c r="AG429" s="422"/>
      <c r="AH429" s="422"/>
      <c r="AI429" s="422"/>
      <c r="AJ429" s="422"/>
      <c r="AK429" s="422"/>
      <c r="AL429" s="422"/>
      <c r="AM429" s="309">
        <f>SUM(Y429:AL429)</f>
        <v>0</v>
      </c>
    </row>
    <row r="430" spans="1:39" s="296" customFormat="1" ht="15" outlineLevel="1">
      <c r="A430" s="516"/>
      <c r="B430" s="307" t="s">
        <v>259</v>
      </c>
      <c r="C430" s="304" t="s">
        <v>163</v>
      </c>
      <c r="D430" s="308"/>
      <c r="E430" s="308"/>
      <c r="F430" s="308"/>
      <c r="G430" s="308"/>
      <c r="H430" s="308"/>
      <c r="I430" s="308"/>
      <c r="J430" s="308"/>
      <c r="K430" s="308"/>
      <c r="L430" s="308"/>
      <c r="M430" s="308"/>
      <c r="N430" s="763"/>
      <c r="O430" s="308"/>
      <c r="P430" s="308"/>
      <c r="Q430" s="308"/>
      <c r="R430" s="308"/>
      <c r="S430" s="308"/>
      <c r="T430" s="308"/>
      <c r="U430" s="308"/>
      <c r="V430" s="308"/>
      <c r="W430" s="308"/>
      <c r="X430" s="308"/>
      <c r="Y430" s="773">
        <f>Y429</f>
        <v>0</v>
      </c>
      <c r="Z430" s="773">
        <f>Z429</f>
        <v>0</v>
      </c>
      <c r="AA430" s="773">
        <f t="shared" ref="AA430:AE430" si="231">AA429</f>
        <v>0</v>
      </c>
      <c r="AB430" s="773">
        <f t="shared" si="231"/>
        <v>0</v>
      </c>
      <c r="AC430" s="773">
        <f t="shared" si="231"/>
        <v>0</v>
      </c>
      <c r="AD430" s="773">
        <f t="shared" si="231"/>
        <v>0</v>
      </c>
      <c r="AE430" s="773">
        <f t="shared" si="231"/>
        <v>0</v>
      </c>
      <c r="AF430" s="423">
        <f t="shared" ref="AF430:AL430" si="232">AF429</f>
        <v>0</v>
      </c>
      <c r="AG430" s="423">
        <f t="shared" si="232"/>
        <v>0</v>
      </c>
      <c r="AH430" s="423">
        <f t="shared" si="232"/>
        <v>0</v>
      </c>
      <c r="AI430" s="423">
        <f t="shared" si="232"/>
        <v>0</v>
      </c>
      <c r="AJ430" s="423">
        <f t="shared" si="232"/>
        <v>0</v>
      </c>
      <c r="AK430" s="423">
        <f t="shared" si="232"/>
        <v>0</v>
      </c>
      <c r="AL430" s="423">
        <f t="shared" si="232"/>
        <v>0</v>
      </c>
      <c r="AM430" s="310"/>
    </row>
    <row r="431" spans="1:39" s="296" customFormat="1" ht="15" outlineLevel="1">
      <c r="A431" s="516"/>
      <c r="B431" s="307"/>
      <c r="C431" s="318"/>
      <c r="D431" s="766"/>
      <c r="E431" s="766"/>
      <c r="F431" s="766"/>
      <c r="G431" s="766"/>
      <c r="H431" s="766"/>
      <c r="I431" s="766"/>
      <c r="J431" s="766"/>
      <c r="K431" s="766"/>
      <c r="L431" s="766"/>
      <c r="M431" s="766"/>
      <c r="N431" s="763"/>
      <c r="O431" s="766"/>
      <c r="P431" s="766"/>
      <c r="Q431" s="766"/>
      <c r="R431" s="766"/>
      <c r="S431" s="766"/>
      <c r="T431" s="766"/>
      <c r="U431" s="766"/>
      <c r="V431" s="766"/>
      <c r="W431" s="766"/>
      <c r="X431" s="766"/>
      <c r="Y431" s="774"/>
      <c r="Z431" s="774"/>
      <c r="AA431" s="774"/>
      <c r="AB431" s="774"/>
      <c r="AC431" s="774"/>
      <c r="AD431" s="774"/>
      <c r="AE431" s="774"/>
      <c r="AF431" s="424"/>
      <c r="AG431" s="424"/>
      <c r="AH431" s="424"/>
      <c r="AI431" s="424"/>
      <c r="AJ431" s="424"/>
      <c r="AK431" s="424"/>
      <c r="AL431" s="424"/>
      <c r="AM431" s="319"/>
    </row>
    <row r="432" spans="1:39" ht="15" outlineLevel="1">
      <c r="A432" s="516">
        <v>9</v>
      </c>
      <c r="B432" s="307" t="s">
        <v>7</v>
      </c>
      <c r="C432" s="304" t="s">
        <v>25</v>
      </c>
      <c r="D432" s="308">
        <f>'7.  Persistence Report'!AT99</f>
        <v>149950.19099999999</v>
      </c>
      <c r="E432" s="308">
        <f>'7.  Persistence Report'!AU99</f>
        <v>149950.19099999999</v>
      </c>
      <c r="F432" s="308">
        <f>'7.  Persistence Report'!AV99</f>
        <v>149950.19099999999</v>
      </c>
      <c r="G432" s="308">
        <f>'7.  Persistence Report'!AW99</f>
        <v>149950.19099999999</v>
      </c>
      <c r="H432" s="308">
        <f>'7.  Persistence Report'!AX99</f>
        <v>149950.19099999999</v>
      </c>
      <c r="I432" s="308">
        <f>'7.  Persistence Report'!AY99</f>
        <v>149950.19099999999</v>
      </c>
      <c r="J432" s="308">
        <f>'7.  Persistence Report'!AZ99</f>
        <v>149950.19099999999</v>
      </c>
      <c r="K432" s="308">
        <f>'7.  Persistence Report'!BA99</f>
        <v>149950.19099999999</v>
      </c>
      <c r="L432" s="308">
        <f>'7.  Persistence Report'!BB99</f>
        <v>149950.19099999999</v>
      </c>
      <c r="M432" s="308">
        <f>'7.  Persistence Report'!BC99</f>
        <v>149950.19099999999</v>
      </c>
      <c r="N432" s="763"/>
      <c r="O432" s="308">
        <f>'7.  Persistence Report'!O99</f>
        <v>22.5793395</v>
      </c>
      <c r="P432" s="308">
        <f>'7.  Persistence Report'!P99</f>
        <v>22.5793395</v>
      </c>
      <c r="Q432" s="308">
        <f>'7.  Persistence Report'!Q99</f>
        <v>22.5793395</v>
      </c>
      <c r="R432" s="308">
        <f>'7.  Persistence Report'!R99</f>
        <v>22.5793395</v>
      </c>
      <c r="S432" s="308">
        <f>'7.  Persistence Report'!S99</f>
        <v>22.5793395</v>
      </c>
      <c r="T432" s="308">
        <f>'7.  Persistence Report'!T99</f>
        <v>22.5793395</v>
      </c>
      <c r="U432" s="308">
        <f>'7.  Persistence Report'!U99</f>
        <v>22.5793395</v>
      </c>
      <c r="V432" s="308">
        <f>'7.  Persistence Report'!V99</f>
        <v>22.5793395</v>
      </c>
      <c r="W432" s="308">
        <f>'7.  Persistence Report'!W99</f>
        <v>22.5793395</v>
      </c>
      <c r="X432" s="308">
        <f>'7.  Persistence Report'!X99</f>
        <v>22.5793395</v>
      </c>
      <c r="Y432" s="772">
        <v>1</v>
      </c>
      <c r="Z432" s="772"/>
      <c r="AA432" s="772"/>
      <c r="AB432" s="772"/>
      <c r="AC432" s="772"/>
      <c r="AD432" s="772"/>
      <c r="AE432" s="772"/>
      <c r="AF432" s="422"/>
      <c r="AG432" s="422"/>
      <c r="AH432" s="422"/>
      <c r="AI432" s="422"/>
      <c r="AJ432" s="422"/>
      <c r="AK432" s="422"/>
      <c r="AL432" s="422"/>
      <c r="AM432" s="309">
        <f>SUM(Y432:AL432)</f>
        <v>1</v>
      </c>
    </row>
    <row r="433" spans="1:39" ht="15" outlineLevel="1">
      <c r="B433" s="307" t="s">
        <v>259</v>
      </c>
      <c r="C433" s="304" t="s">
        <v>163</v>
      </c>
      <c r="D433" s="308"/>
      <c r="E433" s="308"/>
      <c r="F433" s="308"/>
      <c r="G433" s="308"/>
      <c r="H433" s="308"/>
      <c r="I433" s="308"/>
      <c r="J433" s="308"/>
      <c r="K433" s="308"/>
      <c r="L433" s="308"/>
      <c r="M433" s="308"/>
      <c r="N433" s="763"/>
      <c r="O433" s="308"/>
      <c r="P433" s="308"/>
      <c r="Q433" s="308"/>
      <c r="R433" s="308"/>
      <c r="S433" s="308"/>
      <c r="T433" s="308"/>
      <c r="U433" s="308"/>
      <c r="V433" s="308"/>
      <c r="W433" s="308"/>
      <c r="X433" s="308"/>
      <c r="Y433" s="773">
        <f>Y432</f>
        <v>1</v>
      </c>
      <c r="Z433" s="773">
        <f>Z432</f>
        <v>0</v>
      </c>
      <c r="AA433" s="773">
        <f t="shared" ref="AA433:AE433" si="233">AA432</f>
        <v>0</v>
      </c>
      <c r="AB433" s="773">
        <f t="shared" si="233"/>
        <v>0</v>
      </c>
      <c r="AC433" s="773">
        <f t="shared" si="233"/>
        <v>0</v>
      </c>
      <c r="AD433" s="773">
        <f t="shared" si="233"/>
        <v>0</v>
      </c>
      <c r="AE433" s="773">
        <f t="shared" si="233"/>
        <v>0</v>
      </c>
      <c r="AF433" s="423">
        <f t="shared" ref="AF433:AL433" si="234">AF432</f>
        <v>0</v>
      </c>
      <c r="AG433" s="423">
        <f t="shared" si="234"/>
        <v>0</v>
      </c>
      <c r="AH433" s="423">
        <f t="shared" si="234"/>
        <v>0</v>
      </c>
      <c r="AI433" s="423">
        <f t="shared" si="234"/>
        <v>0</v>
      </c>
      <c r="AJ433" s="423">
        <f t="shared" si="234"/>
        <v>0</v>
      </c>
      <c r="AK433" s="423">
        <f t="shared" si="234"/>
        <v>0</v>
      </c>
      <c r="AL433" s="423">
        <f t="shared" si="234"/>
        <v>0</v>
      </c>
      <c r="AM433" s="310"/>
    </row>
    <row r="434" spans="1:39" ht="15" outlineLevel="1">
      <c r="B434" s="320"/>
      <c r="C434" s="321"/>
      <c r="D434" s="763"/>
      <c r="E434" s="763"/>
      <c r="F434" s="763"/>
      <c r="G434" s="763"/>
      <c r="H434" s="763"/>
      <c r="I434" s="763"/>
      <c r="J434" s="763"/>
      <c r="K434" s="763"/>
      <c r="L434" s="763"/>
      <c r="M434" s="763"/>
      <c r="N434" s="763"/>
      <c r="O434" s="763"/>
      <c r="P434" s="763"/>
      <c r="Q434" s="763"/>
      <c r="R434" s="763"/>
      <c r="S434" s="763"/>
      <c r="T434" s="763"/>
      <c r="U434" s="763"/>
      <c r="V434" s="763"/>
      <c r="W434" s="763"/>
      <c r="X434" s="763"/>
      <c r="Y434" s="774"/>
      <c r="Z434" s="774"/>
      <c r="AA434" s="774"/>
      <c r="AB434" s="774"/>
      <c r="AC434" s="774"/>
      <c r="AD434" s="774"/>
      <c r="AE434" s="774"/>
      <c r="AF434" s="424"/>
      <c r="AG434" s="424"/>
      <c r="AH434" s="424"/>
      <c r="AI434" s="424"/>
      <c r="AJ434" s="424"/>
      <c r="AK434" s="424"/>
      <c r="AL434" s="424"/>
      <c r="AM434" s="319"/>
    </row>
    <row r="435" spans="1:39" ht="15.6" outlineLevel="1">
      <c r="A435" s="517"/>
      <c r="B435" s="301" t="s">
        <v>8</v>
      </c>
      <c r="C435" s="302"/>
      <c r="D435" s="767"/>
      <c r="E435" s="767"/>
      <c r="F435" s="767"/>
      <c r="G435" s="767"/>
      <c r="H435" s="767"/>
      <c r="I435" s="767"/>
      <c r="J435" s="767"/>
      <c r="K435" s="767"/>
      <c r="L435" s="767"/>
      <c r="M435" s="767"/>
      <c r="N435" s="763"/>
      <c r="O435" s="767"/>
      <c r="P435" s="767"/>
      <c r="Q435" s="767"/>
      <c r="R435" s="767"/>
      <c r="S435" s="767"/>
      <c r="T435" s="767"/>
      <c r="U435" s="767"/>
      <c r="V435" s="767"/>
      <c r="W435" s="767"/>
      <c r="X435" s="767"/>
      <c r="Y435" s="776"/>
      <c r="Z435" s="776"/>
      <c r="AA435" s="776"/>
      <c r="AB435" s="776"/>
      <c r="AC435" s="776"/>
      <c r="AD435" s="776"/>
      <c r="AE435" s="776"/>
      <c r="AF435" s="426"/>
      <c r="AG435" s="426"/>
      <c r="AH435" s="426"/>
      <c r="AI435" s="426"/>
      <c r="AJ435" s="426"/>
      <c r="AK435" s="426"/>
      <c r="AL435" s="426"/>
      <c r="AM435" s="305"/>
    </row>
    <row r="436" spans="1:39" ht="15" outlineLevel="1">
      <c r="A436" s="516">
        <v>10</v>
      </c>
      <c r="B436" s="323" t="s">
        <v>22</v>
      </c>
      <c r="C436" s="304" t="s">
        <v>25</v>
      </c>
      <c r="D436" s="308">
        <f>'7.  Persistence Report'!AT89</f>
        <v>1553508.237</v>
      </c>
      <c r="E436" s="308">
        <f>'7.  Persistence Report'!AU89</f>
        <v>1553050.1</v>
      </c>
      <c r="F436" s="308">
        <f>'7.  Persistence Report'!AV89</f>
        <v>1553050.1</v>
      </c>
      <c r="G436" s="308">
        <f>'7.  Persistence Report'!AW89</f>
        <v>1546714.3489999999</v>
      </c>
      <c r="H436" s="308">
        <f>'7.  Persistence Report'!AX89</f>
        <v>1546714.3489999999</v>
      </c>
      <c r="I436" s="308">
        <f>'7.  Persistence Report'!AY89</f>
        <v>1464713.686</v>
      </c>
      <c r="J436" s="308">
        <f>'7.  Persistence Report'!AZ89</f>
        <v>1387605.767</v>
      </c>
      <c r="K436" s="308">
        <f>'7.  Persistence Report'!BA89</f>
        <v>1387605.767</v>
      </c>
      <c r="L436" s="308">
        <f>'7.  Persistence Report'!BB89</f>
        <v>1332261.6240000001</v>
      </c>
      <c r="M436" s="308">
        <f>'7.  Persistence Report'!BC89</f>
        <v>1001970.095</v>
      </c>
      <c r="N436" s="308">
        <v>12</v>
      </c>
      <c r="O436" s="308">
        <f>'7.  Persistence Report'!O89</f>
        <v>273.98344700000001</v>
      </c>
      <c r="P436" s="308">
        <f>'7.  Persistence Report'!P89</f>
        <v>273.85193029999999</v>
      </c>
      <c r="Q436" s="308">
        <f>'7.  Persistence Report'!Q89</f>
        <v>273.85193029999999</v>
      </c>
      <c r="R436" s="308">
        <f>'7.  Persistence Report'!R89</f>
        <v>272.03739150000001</v>
      </c>
      <c r="S436" s="308">
        <f>'7.  Persistence Report'!S89</f>
        <v>272.03739150000001</v>
      </c>
      <c r="T436" s="308">
        <f>'7.  Persistence Report'!T89</f>
        <v>248.49758009999999</v>
      </c>
      <c r="U436" s="308">
        <f>'7.  Persistence Report'!U89</f>
        <v>235.3691786</v>
      </c>
      <c r="V436" s="308">
        <f>'7.  Persistence Report'!V89</f>
        <v>235.3691786</v>
      </c>
      <c r="W436" s="308">
        <f>'7.  Persistence Report'!W89</f>
        <v>223.35833009999999</v>
      </c>
      <c r="X436" s="308">
        <f>'7.  Persistence Report'!X89</f>
        <v>167.74004590000001</v>
      </c>
      <c r="Y436" s="777"/>
      <c r="Z436" s="788">
        <v>0.25750000000000001</v>
      </c>
      <c r="AA436" s="788">
        <v>0.65980000000000005</v>
      </c>
      <c r="AB436" s="788">
        <v>8.2699999999999996E-2</v>
      </c>
      <c r="AC436" s="777"/>
      <c r="AD436" s="777"/>
      <c r="AE436" s="777"/>
      <c r="AF436" s="427"/>
      <c r="AG436" s="427"/>
      <c r="AH436" s="427"/>
      <c r="AI436" s="427"/>
      <c r="AJ436" s="427"/>
      <c r="AK436" s="427"/>
      <c r="AL436" s="427"/>
      <c r="AM436" s="309">
        <f>SUM(Y436:AL436)</f>
        <v>1</v>
      </c>
    </row>
    <row r="437" spans="1:39" ht="15" outlineLevel="1">
      <c r="B437" s="307" t="s">
        <v>259</v>
      </c>
      <c r="C437" s="304" t="s">
        <v>163</v>
      </c>
      <c r="D437" s="308"/>
      <c r="E437" s="308"/>
      <c r="F437" s="308"/>
      <c r="G437" s="308"/>
      <c r="H437" s="308"/>
      <c r="I437" s="308"/>
      <c r="J437" s="308"/>
      <c r="K437" s="308"/>
      <c r="L437" s="308"/>
      <c r="M437" s="308"/>
      <c r="N437" s="308">
        <f>N436</f>
        <v>12</v>
      </c>
      <c r="O437" s="308"/>
      <c r="P437" s="308"/>
      <c r="Q437" s="308"/>
      <c r="R437" s="308"/>
      <c r="S437" s="308"/>
      <c r="T437" s="308"/>
      <c r="U437" s="308"/>
      <c r="V437" s="308"/>
      <c r="W437" s="308"/>
      <c r="X437" s="308"/>
      <c r="Y437" s="773">
        <f>Y436</f>
        <v>0</v>
      </c>
      <c r="Z437" s="773">
        <f>Z436</f>
        <v>0.25750000000000001</v>
      </c>
      <c r="AA437" s="773">
        <f t="shared" ref="AA437:AE437" si="235">AA436</f>
        <v>0.65980000000000005</v>
      </c>
      <c r="AB437" s="773">
        <f t="shared" si="235"/>
        <v>8.2699999999999996E-2</v>
      </c>
      <c r="AC437" s="773">
        <f t="shared" si="235"/>
        <v>0</v>
      </c>
      <c r="AD437" s="773">
        <f t="shared" si="235"/>
        <v>0</v>
      </c>
      <c r="AE437" s="773">
        <f t="shared" si="235"/>
        <v>0</v>
      </c>
      <c r="AF437" s="423">
        <f t="shared" ref="AF437:AL437" si="236">AF436</f>
        <v>0</v>
      </c>
      <c r="AG437" s="423">
        <f t="shared" si="236"/>
        <v>0</v>
      </c>
      <c r="AH437" s="423">
        <f t="shared" si="236"/>
        <v>0</v>
      </c>
      <c r="AI437" s="423">
        <f t="shared" si="236"/>
        <v>0</v>
      </c>
      <c r="AJ437" s="423">
        <f t="shared" si="236"/>
        <v>0</v>
      </c>
      <c r="AK437" s="423">
        <f t="shared" si="236"/>
        <v>0</v>
      </c>
      <c r="AL437" s="423">
        <f t="shared" si="236"/>
        <v>0</v>
      </c>
      <c r="AM437" s="324"/>
    </row>
    <row r="438" spans="1:39" ht="15" outlineLevel="1">
      <c r="B438" s="323"/>
      <c r="C438" s="325"/>
      <c r="D438" s="763"/>
      <c r="E438" s="763"/>
      <c r="F438" s="763"/>
      <c r="G438" s="763"/>
      <c r="H438" s="763"/>
      <c r="I438" s="763"/>
      <c r="J438" s="763"/>
      <c r="K438" s="763"/>
      <c r="L438" s="763"/>
      <c r="M438" s="763"/>
      <c r="N438" s="763"/>
      <c r="O438" s="763"/>
      <c r="P438" s="763"/>
      <c r="Q438" s="763"/>
      <c r="R438" s="763"/>
      <c r="S438" s="763"/>
      <c r="T438" s="763"/>
      <c r="U438" s="763"/>
      <c r="V438" s="763"/>
      <c r="W438" s="763"/>
      <c r="X438" s="763"/>
      <c r="Y438" s="778"/>
      <c r="Z438" s="778"/>
      <c r="AA438" s="778"/>
      <c r="AB438" s="778"/>
      <c r="AC438" s="778"/>
      <c r="AD438" s="778"/>
      <c r="AE438" s="778"/>
      <c r="AF438" s="428"/>
      <c r="AG438" s="428"/>
      <c r="AH438" s="428"/>
      <c r="AI438" s="428"/>
      <c r="AJ438" s="428"/>
      <c r="AK438" s="428"/>
      <c r="AL438" s="428"/>
      <c r="AM438" s="326"/>
    </row>
    <row r="439" spans="1:39" ht="15" outlineLevel="1">
      <c r="A439" s="516">
        <v>11</v>
      </c>
      <c r="B439" s="327" t="s">
        <v>21</v>
      </c>
      <c r="C439" s="304" t="s">
        <v>25</v>
      </c>
      <c r="D439" s="308">
        <f>'7.  Persistence Report'!AT86</f>
        <v>76510.412830000001</v>
      </c>
      <c r="E439" s="308">
        <f>'7.  Persistence Report'!AU86</f>
        <v>76510.412830000001</v>
      </c>
      <c r="F439" s="308">
        <f>'7.  Persistence Report'!AV86</f>
        <v>61937.727879999999</v>
      </c>
      <c r="G439" s="308">
        <f>'7.  Persistence Report'!AW86</f>
        <v>41663.551039999998</v>
      </c>
      <c r="H439" s="308">
        <f>'7.  Persistence Report'!AX86</f>
        <v>41663.551039999998</v>
      </c>
      <c r="I439" s="308">
        <f>'7.  Persistence Report'!AY86</f>
        <v>41663.551039999998</v>
      </c>
      <c r="J439" s="308">
        <f>'7.  Persistence Report'!AZ86</f>
        <v>41663.551039999998</v>
      </c>
      <c r="K439" s="308">
        <f>'7.  Persistence Report'!BA86</f>
        <v>41663.551039999998</v>
      </c>
      <c r="L439" s="308">
        <f>'7.  Persistence Report'!BB86</f>
        <v>41663.551039999998</v>
      </c>
      <c r="M439" s="308">
        <f>'7.  Persistence Report'!BC86</f>
        <v>41663.551039999998</v>
      </c>
      <c r="N439" s="308">
        <v>12</v>
      </c>
      <c r="O439" s="308">
        <f>'7.  Persistence Report'!O86</f>
        <v>20.830616890000002</v>
      </c>
      <c r="P439" s="308">
        <f>'7.  Persistence Report'!P86</f>
        <v>20.830616890000002</v>
      </c>
      <c r="Q439" s="308">
        <f>'7.  Persistence Report'!Q86</f>
        <v>16.512675779999999</v>
      </c>
      <c r="R439" s="308">
        <f>'7.  Persistence Report'!R86</f>
        <v>11.081446400000001</v>
      </c>
      <c r="S439" s="308">
        <f>'7.  Persistence Report'!S86</f>
        <v>11.081446400000001</v>
      </c>
      <c r="T439" s="308">
        <f>'7.  Persistence Report'!T86</f>
        <v>11.081446400000001</v>
      </c>
      <c r="U439" s="308">
        <f>'7.  Persistence Report'!U86</f>
        <v>11.081446400000001</v>
      </c>
      <c r="V439" s="308">
        <f>'7.  Persistence Report'!V86</f>
        <v>11.081446400000001</v>
      </c>
      <c r="W439" s="308">
        <f>'7.  Persistence Report'!W86</f>
        <v>11.081446400000001</v>
      </c>
      <c r="X439" s="308">
        <f>'7.  Persistence Report'!X86</f>
        <v>11.081446400000001</v>
      </c>
      <c r="Y439" s="777"/>
      <c r="Z439" s="788">
        <v>1</v>
      </c>
      <c r="AA439" s="777"/>
      <c r="AB439" s="777"/>
      <c r="AC439" s="777"/>
      <c r="AD439" s="777"/>
      <c r="AE439" s="777"/>
      <c r="AF439" s="427"/>
      <c r="AG439" s="427"/>
      <c r="AH439" s="427"/>
      <c r="AI439" s="427"/>
      <c r="AJ439" s="427"/>
      <c r="AK439" s="427"/>
      <c r="AL439" s="427"/>
      <c r="AM439" s="309">
        <f>SUM(Y439:AL439)</f>
        <v>1</v>
      </c>
    </row>
    <row r="440" spans="1:39" ht="15" outlineLevel="1">
      <c r="B440" s="307" t="s">
        <v>259</v>
      </c>
      <c r="C440" s="304" t="s">
        <v>163</v>
      </c>
      <c r="D440" s="308"/>
      <c r="E440" s="308"/>
      <c r="F440" s="308"/>
      <c r="G440" s="308"/>
      <c r="H440" s="308"/>
      <c r="I440" s="308"/>
      <c r="J440" s="308"/>
      <c r="K440" s="308"/>
      <c r="L440" s="308"/>
      <c r="M440" s="308"/>
      <c r="N440" s="308">
        <f>N439</f>
        <v>12</v>
      </c>
      <c r="O440" s="308"/>
      <c r="P440" s="308"/>
      <c r="Q440" s="308"/>
      <c r="R440" s="308"/>
      <c r="S440" s="308"/>
      <c r="T440" s="308"/>
      <c r="U440" s="308"/>
      <c r="V440" s="308"/>
      <c r="W440" s="308"/>
      <c r="X440" s="308"/>
      <c r="Y440" s="773">
        <f>Y439</f>
        <v>0</v>
      </c>
      <c r="Z440" s="773">
        <f>Z439</f>
        <v>1</v>
      </c>
      <c r="AA440" s="773">
        <f t="shared" ref="AA440:AE440" si="237">AA439</f>
        <v>0</v>
      </c>
      <c r="AB440" s="773">
        <f t="shared" si="237"/>
        <v>0</v>
      </c>
      <c r="AC440" s="773">
        <f t="shared" si="237"/>
        <v>0</v>
      </c>
      <c r="AD440" s="773">
        <f t="shared" si="237"/>
        <v>0</v>
      </c>
      <c r="AE440" s="773">
        <f t="shared" si="237"/>
        <v>0</v>
      </c>
      <c r="AF440" s="423">
        <f t="shared" ref="AF440:AL440" si="238">AF439</f>
        <v>0</v>
      </c>
      <c r="AG440" s="423">
        <f t="shared" si="238"/>
        <v>0</v>
      </c>
      <c r="AH440" s="423">
        <f t="shared" si="238"/>
        <v>0</v>
      </c>
      <c r="AI440" s="423">
        <f t="shared" si="238"/>
        <v>0</v>
      </c>
      <c r="AJ440" s="423">
        <f t="shared" si="238"/>
        <v>0</v>
      </c>
      <c r="AK440" s="423">
        <f t="shared" si="238"/>
        <v>0</v>
      </c>
      <c r="AL440" s="423">
        <f t="shared" si="238"/>
        <v>0</v>
      </c>
      <c r="AM440" s="324"/>
    </row>
    <row r="441" spans="1:39" ht="15" outlineLevel="1">
      <c r="B441" s="327"/>
      <c r="C441" s="325"/>
      <c r="D441" s="763"/>
      <c r="E441" s="763"/>
      <c r="F441" s="763"/>
      <c r="G441" s="763"/>
      <c r="H441" s="763"/>
      <c r="I441" s="763"/>
      <c r="J441" s="763"/>
      <c r="K441" s="763"/>
      <c r="L441" s="763"/>
      <c r="M441" s="763"/>
      <c r="N441" s="763"/>
      <c r="O441" s="763"/>
      <c r="P441" s="763"/>
      <c r="Q441" s="763"/>
      <c r="R441" s="763"/>
      <c r="S441" s="763"/>
      <c r="T441" s="763"/>
      <c r="U441" s="763"/>
      <c r="V441" s="763"/>
      <c r="W441" s="763"/>
      <c r="X441" s="763"/>
      <c r="Y441" s="778"/>
      <c r="Z441" s="779"/>
      <c r="AA441" s="778"/>
      <c r="AB441" s="778"/>
      <c r="AC441" s="778"/>
      <c r="AD441" s="778"/>
      <c r="AE441" s="778"/>
      <c r="AF441" s="428"/>
      <c r="AG441" s="428"/>
      <c r="AH441" s="428"/>
      <c r="AI441" s="428"/>
      <c r="AJ441" s="428"/>
      <c r="AK441" s="428"/>
      <c r="AL441" s="428"/>
      <c r="AM441" s="326"/>
    </row>
    <row r="442" spans="1:39" ht="15" outlineLevel="1">
      <c r="A442" s="516">
        <v>12</v>
      </c>
      <c r="B442" s="327" t="s">
        <v>23</v>
      </c>
      <c r="C442" s="304" t="s">
        <v>25</v>
      </c>
      <c r="D442" s="308"/>
      <c r="E442" s="308"/>
      <c r="F442" s="308"/>
      <c r="G442" s="308"/>
      <c r="H442" s="308"/>
      <c r="I442" s="308"/>
      <c r="J442" s="308"/>
      <c r="K442" s="308"/>
      <c r="L442" s="308"/>
      <c r="M442" s="308"/>
      <c r="N442" s="308">
        <v>3</v>
      </c>
      <c r="O442" s="308"/>
      <c r="P442" s="308"/>
      <c r="Q442" s="308"/>
      <c r="R442" s="308"/>
      <c r="S442" s="308"/>
      <c r="T442" s="308"/>
      <c r="U442" s="308"/>
      <c r="V442" s="308"/>
      <c r="W442" s="308"/>
      <c r="X442" s="308"/>
      <c r="Y442" s="777"/>
      <c r="Z442" s="777"/>
      <c r="AA442" s="788"/>
      <c r="AB442" s="777"/>
      <c r="AC442" s="777"/>
      <c r="AD442" s="777"/>
      <c r="AE442" s="777"/>
      <c r="AF442" s="427"/>
      <c r="AG442" s="427"/>
      <c r="AH442" s="427"/>
      <c r="AI442" s="427"/>
      <c r="AJ442" s="427"/>
      <c r="AK442" s="427"/>
      <c r="AL442" s="427"/>
      <c r="AM442" s="309">
        <f>SUM(Y442:AL442)</f>
        <v>0</v>
      </c>
    </row>
    <row r="443" spans="1:39" ht="15" outlineLevel="1">
      <c r="B443" s="307" t="s">
        <v>259</v>
      </c>
      <c r="C443" s="304" t="s">
        <v>163</v>
      </c>
      <c r="D443" s="308"/>
      <c r="E443" s="308"/>
      <c r="F443" s="308"/>
      <c r="G443" s="308"/>
      <c r="H443" s="308"/>
      <c r="I443" s="308"/>
      <c r="J443" s="308"/>
      <c r="K443" s="308"/>
      <c r="L443" s="308"/>
      <c r="M443" s="308"/>
      <c r="N443" s="308">
        <f>N442</f>
        <v>3</v>
      </c>
      <c r="O443" s="308"/>
      <c r="P443" s="308"/>
      <c r="Q443" s="308"/>
      <c r="R443" s="308"/>
      <c r="S443" s="308"/>
      <c r="T443" s="308"/>
      <c r="U443" s="308"/>
      <c r="V443" s="308"/>
      <c r="W443" s="308"/>
      <c r="X443" s="308"/>
      <c r="Y443" s="773">
        <f>Y442</f>
        <v>0</v>
      </c>
      <c r="Z443" s="773">
        <f>Z442</f>
        <v>0</v>
      </c>
      <c r="AA443" s="773">
        <f>AA442</f>
        <v>0</v>
      </c>
      <c r="AB443" s="773">
        <f t="shared" ref="AB443:AE443" si="239">AB442</f>
        <v>0</v>
      </c>
      <c r="AC443" s="773">
        <f t="shared" si="239"/>
        <v>0</v>
      </c>
      <c r="AD443" s="773">
        <f t="shared" si="239"/>
        <v>0</v>
      </c>
      <c r="AE443" s="773">
        <f t="shared" si="239"/>
        <v>0</v>
      </c>
      <c r="AF443" s="423">
        <f t="shared" ref="AF443:AL443" si="240">AF442</f>
        <v>0</v>
      </c>
      <c r="AG443" s="423">
        <f t="shared" si="240"/>
        <v>0</v>
      </c>
      <c r="AH443" s="423">
        <f t="shared" si="240"/>
        <v>0</v>
      </c>
      <c r="AI443" s="423">
        <f t="shared" si="240"/>
        <v>0</v>
      </c>
      <c r="AJ443" s="423">
        <f t="shared" si="240"/>
        <v>0</v>
      </c>
      <c r="AK443" s="423">
        <f t="shared" si="240"/>
        <v>0</v>
      </c>
      <c r="AL443" s="423">
        <f t="shared" si="240"/>
        <v>0</v>
      </c>
      <c r="AM443" s="324"/>
    </row>
    <row r="444" spans="1:39" ht="15" outlineLevel="1">
      <c r="B444" s="327"/>
      <c r="C444" s="325"/>
      <c r="D444" s="768"/>
      <c r="E444" s="768"/>
      <c r="F444" s="768"/>
      <c r="G444" s="768"/>
      <c r="H444" s="768"/>
      <c r="I444" s="768"/>
      <c r="J444" s="768"/>
      <c r="K444" s="768"/>
      <c r="L444" s="768"/>
      <c r="M444" s="768"/>
      <c r="N444" s="763"/>
      <c r="O444" s="768"/>
      <c r="P444" s="768"/>
      <c r="Q444" s="768"/>
      <c r="R444" s="768"/>
      <c r="S444" s="768"/>
      <c r="T444" s="768"/>
      <c r="U444" s="768"/>
      <c r="V444" s="768"/>
      <c r="W444" s="768"/>
      <c r="X444" s="768"/>
      <c r="Y444" s="778"/>
      <c r="Z444" s="779"/>
      <c r="AA444" s="778"/>
      <c r="AB444" s="778"/>
      <c r="AC444" s="778"/>
      <c r="AD444" s="778"/>
      <c r="AE444" s="778"/>
      <c r="AF444" s="428"/>
      <c r="AG444" s="428"/>
      <c r="AH444" s="428"/>
      <c r="AI444" s="428"/>
      <c r="AJ444" s="428"/>
      <c r="AK444" s="428"/>
      <c r="AL444" s="428"/>
      <c r="AM444" s="326"/>
    </row>
    <row r="445" spans="1:39" ht="15" outlineLevel="1">
      <c r="A445" s="516">
        <v>13</v>
      </c>
      <c r="B445" s="327" t="s">
        <v>24</v>
      </c>
      <c r="C445" s="304" t="s">
        <v>25</v>
      </c>
      <c r="D445" s="308"/>
      <c r="E445" s="308"/>
      <c r="F445" s="308"/>
      <c r="G445" s="308"/>
      <c r="H445" s="308"/>
      <c r="I445" s="308"/>
      <c r="J445" s="308"/>
      <c r="K445" s="308"/>
      <c r="L445" s="308"/>
      <c r="M445" s="308"/>
      <c r="N445" s="308">
        <v>12</v>
      </c>
      <c r="O445" s="308"/>
      <c r="P445" s="308"/>
      <c r="Q445" s="308"/>
      <c r="R445" s="308"/>
      <c r="S445" s="308"/>
      <c r="T445" s="308"/>
      <c r="U445" s="308"/>
      <c r="V445" s="308"/>
      <c r="W445" s="308"/>
      <c r="X445" s="308"/>
      <c r="Y445" s="777"/>
      <c r="Z445" s="777"/>
      <c r="AA445" s="777"/>
      <c r="AB445" s="777"/>
      <c r="AC445" s="777"/>
      <c r="AD445" s="777"/>
      <c r="AE445" s="777"/>
      <c r="AF445" s="427"/>
      <c r="AG445" s="427"/>
      <c r="AH445" s="427"/>
      <c r="AI445" s="427"/>
      <c r="AJ445" s="427"/>
      <c r="AK445" s="427"/>
      <c r="AL445" s="427"/>
      <c r="AM445" s="309">
        <f>SUM(Y445:AL445)</f>
        <v>0</v>
      </c>
    </row>
    <row r="446" spans="1:39" ht="15" outlineLevel="1">
      <c r="B446" s="307" t="s">
        <v>259</v>
      </c>
      <c r="C446" s="304" t="s">
        <v>163</v>
      </c>
      <c r="D446" s="308"/>
      <c r="E446" s="308"/>
      <c r="F446" s="308"/>
      <c r="G446" s="308"/>
      <c r="H446" s="308"/>
      <c r="I446" s="308"/>
      <c r="J446" s="308"/>
      <c r="K446" s="308"/>
      <c r="L446" s="308"/>
      <c r="M446" s="308"/>
      <c r="N446" s="308">
        <f>N445</f>
        <v>12</v>
      </c>
      <c r="O446" s="308"/>
      <c r="P446" s="308"/>
      <c r="Q446" s="308"/>
      <c r="R446" s="308"/>
      <c r="S446" s="308"/>
      <c r="T446" s="308"/>
      <c r="U446" s="308"/>
      <c r="V446" s="308"/>
      <c r="W446" s="308"/>
      <c r="X446" s="308"/>
      <c r="Y446" s="773">
        <f>Y445</f>
        <v>0</v>
      </c>
      <c r="Z446" s="773">
        <f>Z445</f>
        <v>0</v>
      </c>
      <c r="AA446" s="773">
        <f>AA445</f>
        <v>0</v>
      </c>
      <c r="AB446" s="773">
        <f t="shared" ref="AB446:AE446" si="241">AB445</f>
        <v>0</v>
      </c>
      <c r="AC446" s="773">
        <f t="shared" si="241"/>
        <v>0</v>
      </c>
      <c r="AD446" s="773">
        <f t="shared" si="241"/>
        <v>0</v>
      </c>
      <c r="AE446" s="773">
        <f t="shared" si="241"/>
        <v>0</v>
      </c>
      <c r="AF446" s="423">
        <f t="shared" ref="AF446:AL446" si="242">AF445</f>
        <v>0</v>
      </c>
      <c r="AG446" s="423">
        <f t="shared" si="242"/>
        <v>0</v>
      </c>
      <c r="AH446" s="423">
        <f t="shared" si="242"/>
        <v>0</v>
      </c>
      <c r="AI446" s="423">
        <f t="shared" si="242"/>
        <v>0</v>
      </c>
      <c r="AJ446" s="423">
        <f t="shared" si="242"/>
        <v>0</v>
      </c>
      <c r="AK446" s="423">
        <f t="shared" si="242"/>
        <v>0</v>
      </c>
      <c r="AL446" s="423">
        <f t="shared" si="242"/>
        <v>0</v>
      </c>
      <c r="AM446" s="324"/>
    </row>
    <row r="447" spans="1:39" ht="15" outlineLevel="1">
      <c r="B447" s="327"/>
      <c r="C447" s="325"/>
      <c r="D447" s="768"/>
      <c r="E447" s="768"/>
      <c r="F447" s="768"/>
      <c r="G447" s="768"/>
      <c r="H447" s="768"/>
      <c r="I447" s="768"/>
      <c r="J447" s="768"/>
      <c r="K447" s="768"/>
      <c r="L447" s="768"/>
      <c r="M447" s="768"/>
      <c r="N447" s="763"/>
      <c r="O447" s="768"/>
      <c r="P447" s="768"/>
      <c r="Q447" s="768"/>
      <c r="R447" s="768"/>
      <c r="S447" s="768"/>
      <c r="T447" s="768"/>
      <c r="U447" s="768"/>
      <c r="V447" s="768"/>
      <c r="W447" s="768"/>
      <c r="X447" s="768"/>
      <c r="Y447" s="778"/>
      <c r="Z447" s="778"/>
      <c r="AA447" s="778"/>
      <c r="AB447" s="778"/>
      <c r="AC447" s="778"/>
      <c r="AD447" s="778"/>
      <c r="AE447" s="778"/>
      <c r="AF447" s="428"/>
      <c r="AG447" s="428"/>
      <c r="AH447" s="428"/>
      <c r="AI447" s="428"/>
      <c r="AJ447" s="428"/>
      <c r="AK447" s="428"/>
      <c r="AL447" s="428"/>
      <c r="AM447" s="326"/>
    </row>
    <row r="448" spans="1:39" ht="15" outlineLevel="1">
      <c r="A448" s="516">
        <v>14</v>
      </c>
      <c r="B448" s="327" t="s">
        <v>20</v>
      </c>
      <c r="C448" s="304" t="s">
        <v>25</v>
      </c>
      <c r="D448" s="308">
        <f>'7.  Persistence Report'!AT87</f>
        <v>130547.1401</v>
      </c>
      <c r="E448" s="308">
        <f>'7.  Persistence Report'!AU87</f>
        <v>130547.1401</v>
      </c>
      <c r="F448" s="308">
        <f>'7.  Persistence Report'!AV87</f>
        <v>130547.1401</v>
      </c>
      <c r="G448" s="308">
        <f>'7.  Persistence Report'!AW87</f>
        <v>130547.1401</v>
      </c>
      <c r="H448" s="308">
        <f>'7.  Persistence Report'!AX87</f>
        <v>0</v>
      </c>
      <c r="I448" s="308">
        <f>'7.  Persistence Report'!AY87</f>
        <v>0</v>
      </c>
      <c r="J448" s="308">
        <f>'7.  Persistence Report'!AZ87</f>
        <v>0</v>
      </c>
      <c r="K448" s="308">
        <f>'7.  Persistence Report'!BA87</f>
        <v>0</v>
      </c>
      <c r="L448" s="308">
        <f>'7.  Persistence Report'!BB87</f>
        <v>0</v>
      </c>
      <c r="M448" s="308">
        <f>'7.  Persistence Report'!BC87</f>
        <v>0</v>
      </c>
      <c r="N448" s="308">
        <v>12</v>
      </c>
      <c r="O448" s="308">
        <f>'7.  Persistence Report'!O87</f>
        <v>26.73386103</v>
      </c>
      <c r="P448" s="308">
        <f>'7.  Persistence Report'!P87</f>
        <v>26.73386103</v>
      </c>
      <c r="Q448" s="308">
        <f>'7.  Persistence Report'!Q87</f>
        <v>26.73386103</v>
      </c>
      <c r="R448" s="308">
        <f>'7.  Persistence Report'!R87</f>
        <v>26.73386103</v>
      </c>
      <c r="S448" s="308">
        <f>'7.  Persistence Report'!S87</f>
        <v>0</v>
      </c>
      <c r="T448" s="308">
        <f>'7.  Persistence Report'!T87</f>
        <v>0</v>
      </c>
      <c r="U448" s="308">
        <f>'7.  Persistence Report'!U87</f>
        <v>0</v>
      </c>
      <c r="V448" s="308">
        <f>'7.  Persistence Report'!V87</f>
        <v>0</v>
      </c>
      <c r="W448" s="308">
        <f>'7.  Persistence Report'!W87</f>
        <v>0</v>
      </c>
      <c r="X448" s="308">
        <f>'7.  Persistence Report'!X87</f>
        <v>0</v>
      </c>
      <c r="Y448" s="777"/>
      <c r="Z448" s="777">
        <v>0.5</v>
      </c>
      <c r="AA448" s="788">
        <v>0.5</v>
      </c>
      <c r="AB448" s="777"/>
      <c r="AC448" s="777"/>
      <c r="AD448" s="777"/>
      <c r="AE448" s="777"/>
      <c r="AF448" s="427"/>
      <c r="AG448" s="427"/>
      <c r="AH448" s="427"/>
      <c r="AI448" s="427"/>
      <c r="AJ448" s="427"/>
      <c r="AK448" s="427"/>
      <c r="AL448" s="427"/>
      <c r="AM448" s="309">
        <f>SUM(Y448:AL448)</f>
        <v>1</v>
      </c>
    </row>
    <row r="449" spans="1:39" ht="15" outlineLevel="1">
      <c r="B449" s="307" t="s">
        <v>259</v>
      </c>
      <c r="C449" s="304" t="s">
        <v>163</v>
      </c>
      <c r="D449" s="308"/>
      <c r="E449" s="308"/>
      <c r="F449" s="308"/>
      <c r="G449" s="308"/>
      <c r="H449" s="308"/>
      <c r="I449" s="308"/>
      <c r="J449" s="308"/>
      <c r="K449" s="308"/>
      <c r="L449" s="308"/>
      <c r="M449" s="308"/>
      <c r="N449" s="308">
        <f>N448</f>
        <v>12</v>
      </c>
      <c r="O449" s="308"/>
      <c r="P449" s="308"/>
      <c r="Q449" s="308"/>
      <c r="R449" s="308"/>
      <c r="S449" s="308"/>
      <c r="T449" s="308"/>
      <c r="U449" s="308"/>
      <c r="V449" s="308"/>
      <c r="W449" s="308"/>
      <c r="X449" s="308"/>
      <c r="Y449" s="773">
        <f>Y448</f>
        <v>0</v>
      </c>
      <c r="Z449" s="773">
        <f>Z448</f>
        <v>0.5</v>
      </c>
      <c r="AA449" s="773">
        <f t="shared" ref="AA449:AE449" si="243">AA448</f>
        <v>0.5</v>
      </c>
      <c r="AB449" s="773">
        <f t="shared" si="243"/>
        <v>0</v>
      </c>
      <c r="AC449" s="773">
        <f t="shared" si="243"/>
        <v>0</v>
      </c>
      <c r="AD449" s="773">
        <f t="shared" si="243"/>
        <v>0</v>
      </c>
      <c r="AE449" s="773">
        <f t="shared" si="243"/>
        <v>0</v>
      </c>
      <c r="AF449" s="423">
        <f t="shared" ref="AF449:AL449" si="244">AF448</f>
        <v>0</v>
      </c>
      <c r="AG449" s="423">
        <f t="shared" si="244"/>
        <v>0</v>
      </c>
      <c r="AH449" s="423">
        <f t="shared" si="244"/>
        <v>0</v>
      </c>
      <c r="AI449" s="423">
        <f t="shared" si="244"/>
        <v>0</v>
      </c>
      <c r="AJ449" s="423">
        <f t="shared" si="244"/>
        <v>0</v>
      </c>
      <c r="AK449" s="423">
        <f t="shared" si="244"/>
        <v>0</v>
      </c>
      <c r="AL449" s="423">
        <f t="shared" si="244"/>
        <v>0</v>
      </c>
      <c r="AM449" s="324"/>
    </row>
    <row r="450" spans="1:39" ht="15" outlineLevel="1">
      <c r="B450" s="327"/>
      <c r="C450" s="325"/>
      <c r="D450" s="768"/>
      <c r="E450" s="768"/>
      <c r="F450" s="768"/>
      <c r="G450" s="768"/>
      <c r="H450" s="768"/>
      <c r="I450" s="768"/>
      <c r="J450" s="768"/>
      <c r="K450" s="768"/>
      <c r="L450" s="768"/>
      <c r="M450" s="768"/>
      <c r="N450" s="763"/>
      <c r="O450" s="768"/>
      <c r="P450" s="768"/>
      <c r="Q450" s="768"/>
      <c r="R450" s="768"/>
      <c r="S450" s="768"/>
      <c r="T450" s="768"/>
      <c r="U450" s="768"/>
      <c r="V450" s="768"/>
      <c r="W450" s="768"/>
      <c r="X450" s="768"/>
      <c r="Y450" s="778"/>
      <c r="Z450" s="779"/>
      <c r="AA450" s="778"/>
      <c r="AB450" s="778"/>
      <c r="AC450" s="778"/>
      <c r="AD450" s="778"/>
      <c r="AE450" s="778"/>
      <c r="AF450" s="428"/>
      <c r="AG450" s="428"/>
      <c r="AH450" s="428"/>
      <c r="AI450" s="428"/>
      <c r="AJ450" s="428"/>
      <c r="AK450" s="428"/>
      <c r="AL450" s="428"/>
      <c r="AM450" s="326"/>
    </row>
    <row r="451" spans="1:39" s="296" customFormat="1" ht="15" outlineLevel="1">
      <c r="A451" s="516">
        <v>15</v>
      </c>
      <c r="B451" s="327" t="s">
        <v>485</v>
      </c>
      <c r="C451" s="304" t="s">
        <v>25</v>
      </c>
      <c r="D451" s="308"/>
      <c r="E451" s="308"/>
      <c r="F451" s="308"/>
      <c r="G451" s="308"/>
      <c r="H451" s="308"/>
      <c r="I451" s="308"/>
      <c r="J451" s="308"/>
      <c r="K451" s="308"/>
      <c r="L451" s="308"/>
      <c r="M451" s="308"/>
      <c r="N451" s="763"/>
      <c r="O451" s="308"/>
      <c r="P451" s="308"/>
      <c r="Q451" s="308"/>
      <c r="R451" s="308"/>
      <c r="S451" s="308"/>
      <c r="T451" s="308"/>
      <c r="U451" s="308"/>
      <c r="V451" s="308"/>
      <c r="W451" s="308"/>
      <c r="X451" s="308"/>
      <c r="Y451" s="777"/>
      <c r="Z451" s="777"/>
      <c r="AA451" s="777"/>
      <c r="AB451" s="777"/>
      <c r="AC451" s="777"/>
      <c r="AD451" s="777"/>
      <c r="AE451" s="777"/>
      <c r="AF451" s="427"/>
      <c r="AG451" s="427"/>
      <c r="AH451" s="427"/>
      <c r="AI451" s="427"/>
      <c r="AJ451" s="427"/>
      <c r="AK451" s="427"/>
      <c r="AL451" s="427"/>
      <c r="AM451" s="309">
        <f>SUM(Y451:AL451)</f>
        <v>0</v>
      </c>
    </row>
    <row r="452" spans="1:39" s="296" customFormat="1" ht="15" outlineLevel="1">
      <c r="A452" s="516"/>
      <c r="B452" s="327" t="s">
        <v>259</v>
      </c>
      <c r="C452" s="304" t="s">
        <v>163</v>
      </c>
      <c r="D452" s="308"/>
      <c r="E452" s="308"/>
      <c r="F452" s="308"/>
      <c r="G452" s="308"/>
      <c r="H452" s="308"/>
      <c r="I452" s="308"/>
      <c r="J452" s="308"/>
      <c r="K452" s="308"/>
      <c r="L452" s="308"/>
      <c r="M452" s="308"/>
      <c r="N452" s="763"/>
      <c r="O452" s="308"/>
      <c r="P452" s="308"/>
      <c r="Q452" s="308"/>
      <c r="R452" s="308"/>
      <c r="S452" s="308"/>
      <c r="T452" s="308"/>
      <c r="U452" s="308"/>
      <c r="V452" s="308"/>
      <c r="W452" s="308"/>
      <c r="X452" s="308"/>
      <c r="Y452" s="773">
        <f>Y451</f>
        <v>0</v>
      </c>
      <c r="Z452" s="773">
        <f>Z451</f>
        <v>0</v>
      </c>
      <c r="AA452" s="773">
        <f t="shared" ref="AA452:AE452" si="245">AA451</f>
        <v>0</v>
      </c>
      <c r="AB452" s="773">
        <f t="shared" si="245"/>
        <v>0</v>
      </c>
      <c r="AC452" s="773">
        <f t="shared" si="245"/>
        <v>0</v>
      </c>
      <c r="AD452" s="773">
        <f t="shared" si="245"/>
        <v>0</v>
      </c>
      <c r="AE452" s="773">
        <f t="shared" si="245"/>
        <v>0</v>
      </c>
      <c r="AF452" s="423">
        <f t="shared" ref="AF452:AL452" si="246">AF451</f>
        <v>0</v>
      </c>
      <c r="AG452" s="423">
        <f t="shared" si="246"/>
        <v>0</v>
      </c>
      <c r="AH452" s="423">
        <f t="shared" si="246"/>
        <v>0</v>
      </c>
      <c r="AI452" s="423">
        <f t="shared" si="246"/>
        <v>0</v>
      </c>
      <c r="AJ452" s="423">
        <f t="shared" si="246"/>
        <v>0</v>
      </c>
      <c r="AK452" s="423">
        <f t="shared" si="246"/>
        <v>0</v>
      </c>
      <c r="AL452" s="423">
        <f t="shared" si="246"/>
        <v>0</v>
      </c>
      <c r="AM452" s="324"/>
    </row>
    <row r="453" spans="1:39" s="296" customFormat="1" ht="15" outlineLevel="1">
      <c r="A453" s="516"/>
      <c r="B453" s="327"/>
      <c r="C453" s="325"/>
      <c r="D453" s="768"/>
      <c r="E453" s="768"/>
      <c r="F453" s="768"/>
      <c r="G453" s="768"/>
      <c r="H453" s="768"/>
      <c r="I453" s="768"/>
      <c r="J453" s="768"/>
      <c r="K453" s="768"/>
      <c r="L453" s="768"/>
      <c r="M453" s="768"/>
      <c r="N453" s="763"/>
      <c r="O453" s="768"/>
      <c r="P453" s="768"/>
      <c r="Q453" s="768"/>
      <c r="R453" s="768"/>
      <c r="S453" s="768"/>
      <c r="T453" s="768"/>
      <c r="U453" s="768"/>
      <c r="V453" s="768"/>
      <c r="W453" s="768"/>
      <c r="X453" s="768"/>
      <c r="Y453" s="780"/>
      <c r="Z453" s="778"/>
      <c r="AA453" s="778"/>
      <c r="AB453" s="778"/>
      <c r="AC453" s="778"/>
      <c r="AD453" s="778"/>
      <c r="AE453" s="778"/>
      <c r="AF453" s="428"/>
      <c r="AG453" s="428"/>
      <c r="AH453" s="428"/>
      <c r="AI453" s="428"/>
      <c r="AJ453" s="428"/>
      <c r="AK453" s="428"/>
      <c r="AL453" s="428"/>
      <c r="AM453" s="326"/>
    </row>
    <row r="454" spans="1:39" s="296" customFormat="1" ht="30" outlineLevel="1">
      <c r="A454" s="516">
        <v>16</v>
      </c>
      <c r="B454" s="327" t="s">
        <v>486</v>
      </c>
      <c r="C454" s="304" t="s">
        <v>25</v>
      </c>
      <c r="D454" s="308"/>
      <c r="E454" s="308"/>
      <c r="F454" s="308"/>
      <c r="G454" s="308"/>
      <c r="H454" s="308"/>
      <c r="I454" s="308"/>
      <c r="J454" s="308"/>
      <c r="K454" s="308"/>
      <c r="L454" s="308"/>
      <c r="M454" s="308"/>
      <c r="N454" s="763"/>
      <c r="O454" s="308"/>
      <c r="P454" s="308"/>
      <c r="Q454" s="308"/>
      <c r="R454" s="308"/>
      <c r="S454" s="308"/>
      <c r="T454" s="308"/>
      <c r="U454" s="308"/>
      <c r="V454" s="308"/>
      <c r="W454" s="308"/>
      <c r="X454" s="308"/>
      <c r="Y454" s="777"/>
      <c r="Z454" s="777"/>
      <c r="AA454" s="777"/>
      <c r="AB454" s="777"/>
      <c r="AC454" s="777"/>
      <c r="AD454" s="777"/>
      <c r="AE454" s="777"/>
      <c r="AF454" s="427"/>
      <c r="AG454" s="427"/>
      <c r="AH454" s="427"/>
      <c r="AI454" s="427"/>
      <c r="AJ454" s="427"/>
      <c r="AK454" s="427"/>
      <c r="AL454" s="427"/>
      <c r="AM454" s="309">
        <f>SUM(Y454:AL454)</f>
        <v>0</v>
      </c>
    </row>
    <row r="455" spans="1:39" s="296" customFormat="1" ht="15" outlineLevel="1">
      <c r="A455" s="516"/>
      <c r="B455" s="327" t="s">
        <v>259</v>
      </c>
      <c r="C455" s="304" t="s">
        <v>163</v>
      </c>
      <c r="D455" s="308"/>
      <c r="E455" s="308"/>
      <c r="F455" s="308"/>
      <c r="G455" s="308"/>
      <c r="H455" s="308"/>
      <c r="I455" s="308"/>
      <c r="J455" s="308"/>
      <c r="K455" s="308"/>
      <c r="L455" s="308"/>
      <c r="M455" s="308"/>
      <c r="N455" s="763"/>
      <c r="O455" s="308"/>
      <c r="P455" s="308"/>
      <c r="Q455" s="308"/>
      <c r="R455" s="308"/>
      <c r="S455" s="308"/>
      <c r="T455" s="308"/>
      <c r="U455" s="308"/>
      <c r="V455" s="308"/>
      <c r="W455" s="308"/>
      <c r="X455" s="308"/>
      <c r="Y455" s="773">
        <f>Y454</f>
        <v>0</v>
      </c>
      <c r="Z455" s="773">
        <f>Z454</f>
        <v>0</v>
      </c>
      <c r="AA455" s="773">
        <f t="shared" ref="AA455:AE455" si="247">AA454</f>
        <v>0</v>
      </c>
      <c r="AB455" s="773">
        <f t="shared" si="247"/>
        <v>0</v>
      </c>
      <c r="AC455" s="773">
        <f t="shared" si="247"/>
        <v>0</v>
      </c>
      <c r="AD455" s="773">
        <f t="shared" si="247"/>
        <v>0</v>
      </c>
      <c r="AE455" s="773">
        <f t="shared" si="247"/>
        <v>0</v>
      </c>
      <c r="AF455" s="423">
        <f t="shared" ref="AF455:AL455" si="248">AF454</f>
        <v>0</v>
      </c>
      <c r="AG455" s="423">
        <f t="shared" si="248"/>
        <v>0</v>
      </c>
      <c r="AH455" s="423">
        <f t="shared" si="248"/>
        <v>0</v>
      </c>
      <c r="AI455" s="423">
        <f t="shared" si="248"/>
        <v>0</v>
      </c>
      <c r="AJ455" s="423">
        <f t="shared" si="248"/>
        <v>0</v>
      </c>
      <c r="AK455" s="423">
        <f t="shared" si="248"/>
        <v>0</v>
      </c>
      <c r="AL455" s="423">
        <f t="shared" si="248"/>
        <v>0</v>
      </c>
      <c r="AM455" s="324"/>
    </row>
    <row r="456" spans="1:39" s="296" customFormat="1" ht="15" outlineLevel="1">
      <c r="A456" s="516"/>
      <c r="B456" s="327"/>
      <c r="C456" s="325"/>
      <c r="D456" s="768"/>
      <c r="E456" s="768"/>
      <c r="F456" s="768"/>
      <c r="G456" s="768"/>
      <c r="H456" s="768"/>
      <c r="I456" s="768"/>
      <c r="J456" s="768"/>
      <c r="K456" s="768"/>
      <c r="L456" s="768"/>
      <c r="M456" s="768"/>
      <c r="N456" s="763"/>
      <c r="O456" s="768"/>
      <c r="P456" s="768"/>
      <c r="Q456" s="768"/>
      <c r="R456" s="768"/>
      <c r="S456" s="768"/>
      <c r="T456" s="768"/>
      <c r="U456" s="768"/>
      <c r="V456" s="768"/>
      <c r="W456" s="768"/>
      <c r="X456" s="768"/>
      <c r="Y456" s="780"/>
      <c r="Z456" s="778"/>
      <c r="AA456" s="778"/>
      <c r="AB456" s="778"/>
      <c r="AC456" s="778"/>
      <c r="AD456" s="778"/>
      <c r="AE456" s="778"/>
      <c r="AF456" s="428"/>
      <c r="AG456" s="428"/>
      <c r="AH456" s="428"/>
      <c r="AI456" s="428"/>
      <c r="AJ456" s="428"/>
      <c r="AK456" s="428"/>
      <c r="AL456" s="428"/>
      <c r="AM456" s="326"/>
    </row>
    <row r="457" spans="1:39" ht="15" outlineLevel="1">
      <c r="A457" s="516">
        <v>17</v>
      </c>
      <c r="B457" s="327" t="s">
        <v>9</v>
      </c>
      <c r="C457" s="304" t="s">
        <v>25</v>
      </c>
      <c r="D457" s="308"/>
      <c r="E457" s="308"/>
      <c r="F457" s="308"/>
      <c r="G457" s="308"/>
      <c r="H457" s="308"/>
      <c r="I457" s="308"/>
      <c r="J457" s="308"/>
      <c r="K457" s="308"/>
      <c r="L457" s="308"/>
      <c r="M457" s="308"/>
      <c r="N457" s="763"/>
      <c r="O457" s="308"/>
      <c r="P457" s="308"/>
      <c r="Q457" s="308"/>
      <c r="R457" s="308"/>
      <c r="S457" s="308"/>
      <c r="T457" s="308"/>
      <c r="U457" s="308"/>
      <c r="V457" s="308"/>
      <c r="W457" s="308"/>
      <c r="X457" s="308"/>
      <c r="Y457" s="777"/>
      <c r="Z457" s="777"/>
      <c r="AA457" s="777"/>
      <c r="AB457" s="777"/>
      <c r="AC457" s="777"/>
      <c r="AD457" s="777"/>
      <c r="AE457" s="777"/>
      <c r="AF457" s="427"/>
      <c r="AG457" s="427"/>
      <c r="AH457" s="427"/>
      <c r="AI457" s="427"/>
      <c r="AJ457" s="427"/>
      <c r="AK457" s="427"/>
      <c r="AL457" s="427"/>
      <c r="AM457" s="309">
        <f>SUM(Y457:AL457)</f>
        <v>0</v>
      </c>
    </row>
    <row r="458" spans="1:39" ht="15" outlineLevel="1">
      <c r="B458" s="307" t="s">
        <v>259</v>
      </c>
      <c r="C458" s="304" t="s">
        <v>163</v>
      </c>
      <c r="D458" s="308"/>
      <c r="E458" s="308"/>
      <c r="F458" s="308"/>
      <c r="G458" s="308"/>
      <c r="H458" s="308"/>
      <c r="I458" s="308"/>
      <c r="J458" s="308"/>
      <c r="K458" s="308"/>
      <c r="L458" s="308"/>
      <c r="M458" s="308"/>
      <c r="N458" s="763"/>
      <c r="O458" s="308"/>
      <c r="P458" s="308"/>
      <c r="Q458" s="308"/>
      <c r="R458" s="308"/>
      <c r="S458" s="308"/>
      <c r="T458" s="308"/>
      <c r="U458" s="308"/>
      <c r="V458" s="308"/>
      <c r="W458" s="308"/>
      <c r="X458" s="308"/>
      <c r="Y458" s="773">
        <f>Y457</f>
        <v>0</v>
      </c>
      <c r="Z458" s="773">
        <f>Z457</f>
        <v>0</v>
      </c>
      <c r="AA458" s="773">
        <f t="shared" ref="AA458:AE458" si="249">AA457</f>
        <v>0</v>
      </c>
      <c r="AB458" s="773">
        <f t="shared" si="249"/>
        <v>0</v>
      </c>
      <c r="AC458" s="773">
        <f t="shared" si="249"/>
        <v>0</v>
      </c>
      <c r="AD458" s="773">
        <f t="shared" si="249"/>
        <v>0</v>
      </c>
      <c r="AE458" s="773">
        <f t="shared" si="249"/>
        <v>0</v>
      </c>
      <c r="AF458" s="423">
        <f t="shared" ref="AF458:AL458" si="250">AF457</f>
        <v>0</v>
      </c>
      <c r="AG458" s="423">
        <f t="shared" si="250"/>
        <v>0</v>
      </c>
      <c r="AH458" s="423">
        <f t="shared" si="250"/>
        <v>0</v>
      </c>
      <c r="AI458" s="423">
        <f t="shared" si="250"/>
        <v>0</v>
      </c>
      <c r="AJ458" s="423">
        <f t="shared" si="250"/>
        <v>0</v>
      </c>
      <c r="AK458" s="423">
        <f t="shared" si="250"/>
        <v>0</v>
      </c>
      <c r="AL458" s="423">
        <f t="shared" si="250"/>
        <v>0</v>
      </c>
      <c r="AM458" s="324"/>
    </row>
    <row r="459" spans="1:39" ht="15" outlineLevel="1">
      <c r="B459" s="328"/>
      <c r="C459" s="318"/>
      <c r="D459" s="763"/>
      <c r="E459" s="763"/>
      <c r="F459" s="763"/>
      <c r="G459" s="763"/>
      <c r="H459" s="763"/>
      <c r="I459" s="763"/>
      <c r="J459" s="763"/>
      <c r="K459" s="763"/>
      <c r="L459" s="763"/>
      <c r="M459" s="763"/>
      <c r="N459" s="763"/>
      <c r="O459" s="763"/>
      <c r="P459" s="763"/>
      <c r="Q459" s="763"/>
      <c r="R459" s="763"/>
      <c r="S459" s="763"/>
      <c r="T459" s="763"/>
      <c r="U459" s="763"/>
      <c r="V459" s="763"/>
      <c r="W459" s="763"/>
      <c r="X459" s="763"/>
      <c r="Y459" s="781"/>
      <c r="Z459" s="782"/>
      <c r="AA459" s="782"/>
      <c r="AB459" s="782"/>
      <c r="AC459" s="782"/>
      <c r="AD459" s="782"/>
      <c r="AE459" s="782"/>
      <c r="AF459" s="430"/>
      <c r="AG459" s="430"/>
      <c r="AH459" s="430"/>
      <c r="AI459" s="430"/>
      <c r="AJ459" s="430"/>
      <c r="AK459" s="430"/>
      <c r="AL459" s="430"/>
      <c r="AM459" s="330"/>
    </row>
    <row r="460" spans="1:39" ht="15.6" outlineLevel="1">
      <c r="A460" s="517"/>
      <c r="B460" s="301" t="s">
        <v>10</v>
      </c>
      <c r="C460" s="302"/>
      <c r="D460" s="767"/>
      <c r="E460" s="767"/>
      <c r="F460" s="767"/>
      <c r="G460" s="767"/>
      <c r="H460" s="767"/>
      <c r="I460" s="767"/>
      <c r="J460" s="767"/>
      <c r="K460" s="767"/>
      <c r="L460" s="767"/>
      <c r="M460" s="767"/>
      <c r="N460" s="769"/>
      <c r="O460" s="767"/>
      <c r="P460" s="767"/>
      <c r="Q460" s="767"/>
      <c r="R460" s="767"/>
      <c r="S460" s="767"/>
      <c r="T460" s="767"/>
      <c r="U460" s="767"/>
      <c r="V460" s="767"/>
      <c r="W460" s="767"/>
      <c r="X460" s="767"/>
      <c r="Y460" s="776"/>
      <c r="Z460" s="776"/>
      <c r="AA460" s="776"/>
      <c r="AB460" s="776"/>
      <c r="AC460" s="776"/>
      <c r="AD460" s="776"/>
      <c r="AE460" s="776"/>
      <c r="AF460" s="426"/>
      <c r="AG460" s="426"/>
      <c r="AH460" s="426"/>
      <c r="AI460" s="426"/>
      <c r="AJ460" s="426"/>
      <c r="AK460" s="426"/>
      <c r="AL460" s="426"/>
      <c r="AM460" s="305"/>
    </row>
    <row r="461" spans="1:39" ht="15" outlineLevel="1">
      <c r="A461" s="516">
        <v>18</v>
      </c>
      <c r="B461" s="328" t="s">
        <v>11</v>
      </c>
      <c r="C461" s="304" t="s">
        <v>25</v>
      </c>
      <c r="D461" s="308"/>
      <c r="E461" s="308"/>
      <c r="F461" s="308"/>
      <c r="G461" s="308"/>
      <c r="H461" s="308"/>
      <c r="I461" s="308"/>
      <c r="J461" s="308"/>
      <c r="K461" s="308"/>
      <c r="L461" s="308"/>
      <c r="M461" s="308"/>
      <c r="N461" s="308">
        <v>12</v>
      </c>
      <c r="O461" s="308"/>
      <c r="P461" s="308"/>
      <c r="Q461" s="308"/>
      <c r="R461" s="308"/>
      <c r="S461" s="308"/>
      <c r="T461" s="308"/>
      <c r="U461" s="308"/>
      <c r="V461" s="308"/>
      <c r="W461" s="308"/>
      <c r="X461" s="308"/>
      <c r="Y461" s="789"/>
      <c r="Z461" s="777"/>
      <c r="AA461" s="777"/>
      <c r="AB461" s="777"/>
      <c r="AC461" s="777"/>
      <c r="AD461" s="777"/>
      <c r="AE461" s="777"/>
      <c r="AF461" s="427"/>
      <c r="AG461" s="427"/>
      <c r="AH461" s="427"/>
      <c r="AI461" s="427"/>
      <c r="AJ461" s="427"/>
      <c r="AK461" s="427"/>
      <c r="AL461" s="427"/>
      <c r="AM461" s="309">
        <f>SUM(Y461:AL461)</f>
        <v>0</v>
      </c>
    </row>
    <row r="462" spans="1:39" ht="15" outlineLevel="1">
      <c r="B462" s="307" t="s">
        <v>259</v>
      </c>
      <c r="C462" s="304" t="s">
        <v>163</v>
      </c>
      <c r="D462" s="308"/>
      <c r="E462" s="308"/>
      <c r="F462" s="308"/>
      <c r="G462" s="308"/>
      <c r="H462" s="308"/>
      <c r="I462" s="308"/>
      <c r="J462" s="308"/>
      <c r="K462" s="308"/>
      <c r="L462" s="308"/>
      <c r="M462" s="308"/>
      <c r="N462" s="308">
        <f>N461</f>
        <v>12</v>
      </c>
      <c r="O462" s="308"/>
      <c r="P462" s="308"/>
      <c r="Q462" s="308"/>
      <c r="R462" s="308"/>
      <c r="S462" s="308"/>
      <c r="T462" s="308"/>
      <c r="U462" s="308"/>
      <c r="V462" s="308"/>
      <c r="W462" s="308"/>
      <c r="X462" s="308"/>
      <c r="Y462" s="773">
        <f>Y461</f>
        <v>0</v>
      </c>
      <c r="Z462" s="773">
        <f>Z461</f>
        <v>0</v>
      </c>
      <c r="AA462" s="773">
        <f t="shared" ref="AA462:AE462" si="251">AA461</f>
        <v>0</v>
      </c>
      <c r="AB462" s="773">
        <f t="shared" si="251"/>
        <v>0</v>
      </c>
      <c r="AC462" s="773">
        <f t="shared" si="251"/>
        <v>0</v>
      </c>
      <c r="AD462" s="773">
        <f t="shared" si="251"/>
        <v>0</v>
      </c>
      <c r="AE462" s="773">
        <f t="shared" si="251"/>
        <v>0</v>
      </c>
      <c r="AF462" s="423">
        <f t="shared" ref="AF462:AL462" si="252">AF461</f>
        <v>0</v>
      </c>
      <c r="AG462" s="423">
        <f t="shared" si="252"/>
        <v>0</v>
      </c>
      <c r="AH462" s="423">
        <f t="shared" si="252"/>
        <v>0</v>
      </c>
      <c r="AI462" s="423">
        <f t="shared" si="252"/>
        <v>0</v>
      </c>
      <c r="AJ462" s="423">
        <f t="shared" si="252"/>
        <v>0</v>
      </c>
      <c r="AK462" s="423">
        <f t="shared" si="252"/>
        <v>0</v>
      </c>
      <c r="AL462" s="423">
        <f t="shared" si="252"/>
        <v>0</v>
      </c>
      <c r="AM462" s="310"/>
    </row>
    <row r="463" spans="1:39" ht="15" outlineLevel="1">
      <c r="A463" s="519"/>
      <c r="B463" s="328"/>
      <c r="C463" s="318"/>
      <c r="D463" s="763"/>
      <c r="E463" s="763"/>
      <c r="F463" s="763"/>
      <c r="G463" s="763"/>
      <c r="H463" s="763"/>
      <c r="I463" s="763"/>
      <c r="J463" s="763"/>
      <c r="K463" s="763"/>
      <c r="L463" s="763"/>
      <c r="M463" s="763"/>
      <c r="N463" s="763"/>
      <c r="O463" s="763"/>
      <c r="P463" s="763"/>
      <c r="Q463" s="763"/>
      <c r="R463" s="763"/>
      <c r="S463" s="763"/>
      <c r="T463" s="763"/>
      <c r="U463" s="763"/>
      <c r="V463" s="763"/>
      <c r="W463" s="763"/>
      <c r="X463" s="763"/>
      <c r="Y463" s="774"/>
      <c r="Z463" s="783"/>
      <c r="AA463" s="783"/>
      <c r="AB463" s="783"/>
      <c r="AC463" s="783"/>
      <c r="AD463" s="783"/>
      <c r="AE463" s="783"/>
      <c r="AF463" s="431"/>
      <c r="AG463" s="431"/>
      <c r="AH463" s="431"/>
      <c r="AI463" s="431"/>
      <c r="AJ463" s="431"/>
      <c r="AK463" s="431"/>
      <c r="AL463" s="431"/>
      <c r="AM463" s="319"/>
    </row>
    <row r="464" spans="1:39" ht="15" outlineLevel="1">
      <c r="A464" s="516">
        <v>19</v>
      </c>
      <c r="B464" s="328" t="s">
        <v>12</v>
      </c>
      <c r="C464" s="304" t="s">
        <v>25</v>
      </c>
      <c r="D464" s="308"/>
      <c r="E464" s="308"/>
      <c r="F464" s="308"/>
      <c r="G464" s="308"/>
      <c r="H464" s="308"/>
      <c r="I464" s="308"/>
      <c r="J464" s="308"/>
      <c r="K464" s="308"/>
      <c r="L464" s="308"/>
      <c r="M464" s="308"/>
      <c r="N464" s="308">
        <v>12</v>
      </c>
      <c r="O464" s="308"/>
      <c r="P464" s="308"/>
      <c r="Q464" s="308"/>
      <c r="R464" s="308"/>
      <c r="S464" s="308"/>
      <c r="T464" s="308"/>
      <c r="U464" s="308"/>
      <c r="V464" s="308"/>
      <c r="W464" s="308"/>
      <c r="X464" s="308"/>
      <c r="Y464" s="772"/>
      <c r="Z464" s="777"/>
      <c r="AA464" s="777"/>
      <c r="AB464" s="777"/>
      <c r="AC464" s="777"/>
      <c r="AD464" s="777"/>
      <c r="AE464" s="777"/>
      <c r="AF464" s="427"/>
      <c r="AG464" s="427"/>
      <c r="AH464" s="427"/>
      <c r="AI464" s="427"/>
      <c r="AJ464" s="427"/>
      <c r="AK464" s="427"/>
      <c r="AL464" s="427"/>
      <c r="AM464" s="309">
        <f>SUM(Y464:AL464)</f>
        <v>0</v>
      </c>
    </row>
    <row r="465" spans="1:39" ht="15" outlineLevel="1">
      <c r="B465" s="307" t="s">
        <v>259</v>
      </c>
      <c r="C465" s="304" t="s">
        <v>163</v>
      </c>
      <c r="D465" s="308"/>
      <c r="E465" s="308"/>
      <c r="F465" s="308"/>
      <c r="G465" s="308"/>
      <c r="H465" s="308"/>
      <c r="I465" s="308"/>
      <c r="J465" s="308"/>
      <c r="K465" s="308"/>
      <c r="L465" s="308"/>
      <c r="M465" s="308"/>
      <c r="N465" s="308">
        <f>N464</f>
        <v>12</v>
      </c>
      <c r="O465" s="308"/>
      <c r="P465" s="308"/>
      <c r="Q465" s="308"/>
      <c r="R465" s="308"/>
      <c r="S465" s="308"/>
      <c r="T465" s="308"/>
      <c r="U465" s="308"/>
      <c r="V465" s="308"/>
      <c r="W465" s="308"/>
      <c r="X465" s="308"/>
      <c r="Y465" s="773">
        <f>Y464</f>
        <v>0</v>
      </c>
      <c r="Z465" s="773">
        <f>Z464</f>
        <v>0</v>
      </c>
      <c r="AA465" s="773">
        <f t="shared" ref="AA465:AE465" si="253">AA464</f>
        <v>0</v>
      </c>
      <c r="AB465" s="773">
        <f t="shared" si="253"/>
        <v>0</v>
      </c>
      <c r="AC465" s="773">
        <f t="shared" si="253"/>
        <v>0</v>
      </c>
      <c r="AD465" s="773">
        <f t="shared" si="253"/>
        <v>0</v>
      </c>
      <c r="AE465" s="773">
        <f t="shared" si="253"/>
        <v>0</v>
      </c>
      <c r="AF465" s="423">
        <f t="shared" ref="AF465:AL465" si="254">AF464</f>
        <v>0</v>
      </c>
      <c r="AG465" s="423">
        <f t="shared" si="254"/>
        <v>0</v>
      </c>
      <c r="AH465" s="423">
        <f t="shared" si="254"/>
        <v>0</v>
      </c>
      <c r="AI465" s="423">
        <f t="shared" si="254"/>
        <v>0</v>
      </c>
      <c r="AJ465" s="423">
        <f t="shared" si="254"/>
        <v>0</v>
      </c>
      <c r="AK465" s="423">
        <f t="shared" si="254"/>
        <v>0</v>
      </c>
      <c r="AL465" s="423">
        <f t="shared" si="254"/>
        <v>0</v>
      </c>
      <c r="AM465" s="310"/>
    </row>
    <row r="466" spans="1:39" ht="15" outlineLevel="1">
      <c r="B466" s="328"/>
      <c r="C466" s="318"/>
      <c r="D466" s="763"/>
      <c r="E466" s="763"/>
      <c r="F466" s="763"/>
      <c r="G466" s="763"/>
      <c r="H466" s="763"/>
      <c r="I466" s="763"/>
      <c r="J466" s="763"/>
      <c r="K466" s="763"/>
      <c r="L466" s="763"/>
      <c r="M466" s="763"/>
      <c r="N466" s="763"/>
      <c r="O466" s="763"/>
      <c r="P466" s="763"/>
      <c r="Q466" s="763"/>
      <c r="R466" s="763"/>
      <c r="S466" s="763"/>
      <c r="T466" s="763"/>
      <c r="U466" s="763"/>
      <c r="V466" s="763"/>
      <c r="W466" s="763"/>
      <c r="X466" s="763"/>
      <c r="Y466" s="784"/>
      <c r="Z466" s="784"/>
      <c r="AA466" s="774"/>
      <c r="AB466" s="774"/>
      <c r="AC466" s="774"/>
      <c r="AD466" s="774"/>
      <c r="AE466" s="774"/>
      <c r="AF466" s="424"/>
      <c r="AG466" s="424"/>
      <c r="AH466" s="424"/>
      <c r="AI466" s="424"/>
      <c r="AJ466" s="424"/>
      <c r="AK466" s="424"/>
      <c r="AL466" s="424"/>
      <c r="AM466" s="319"/>
    </row>
    <row r="467" spans="1:39" ht="15" outlineLevel="1">
      <c r="A467" s="516">
        <v>20</v>
      </c>
      <c r="B467" s="328" t="s">
        <v>13</v>
      </c>
      <c r="C467" s="304" t="s">
        <v>25</v>
      </c>
      <c r="D467" s="308"/>
      <c r="E467" s="308"/>
      <c r="F467" s="308"/>
      <c r="G467" s="308"/>
      <c r="H467" s="308"/>
      <c r="I467" s="308"/>
      <c r="J467" s="308"/>
      <c r="K467" s="308"/>
      <c r="L467" s="308"/>
      <c r="M467" s="308"/>
      <c r="N467" s="308">
        <v>12</v>
      </c>
      <c r="O467" s="308"/>
      <c r="P467" s="308"/>
      <c r="Q467" s="308"/>
      <c r="R467" s="308"/>
      <c r="S467" s="308"/>
      <c r="T467" s="308"/>
      <c r="U467" s="308"/>
      <c r="V467" s="308"/>
      <c r="W467" s="308"/>
      <c r="X467" s="308"/>
      <c r="Y467" s="772"/>
      <c r="Z467" s="777"/>
      <c r="AA467" s="777"/>
      <c r="AB467" s="777"/>
      <c r="AC467" s="777"/>
      <c r="AD467" s="777"/>
      <c r="AE467" s="777"/>
      <c r="AF467" s="427"/>
      <c r="AG467" s="427"/>
      <c r="AH467" s="427"/>
      <c r="AI467" s="427"/>
      <c r="AJ467" s="427"/>
      <c r="AK467" s="427"/>
      <c r="AL467" s="427"/>
      <c r="AM467" s="309">
        <f>SUM(Y467:AL467)</f>
        <v>0</v>
      </c>
    </row>
    <row r="468" spans="1:39" ht="15" outlineLevel="1">
      <c r="B468" s="307" t="s">
        <v>259</v>
      </c>
      <c r="C468" s="304" t="s">
        <v>163</v>
      </c>
      <c r="D468" s="308"/>
      <c r="E468" s="308"/>
      <c r="F468" s="308"/>
      <c r="G468" s="308"/>
      <c r="H468" s="308"/>
      <c r="I468" s="308"/>
      <c r="J468" s="308"/>
      <c r="K468" s="308"/>
      <c r="L468" s="308"/>
      <c r="M468" s="308"/>
      <c r="N468" s="308">
        <f>N467</f>
        <v>12</v>
      </c>
      <c r="O468" s="308"/>
      <c r="P468" s="308"/>
      <c r="Q468" s="308"/>
      <c r="R468" s="308"/>
      <c r="S468" s="308"/>
      <c r="T468" s="308"/>
      <c r="U468" s="308"/>
      <c r="V468" s="308"/>
      <c r="W468" s="308"/>
      <c r="X468" s="308"/>
      <c r="Y468" s="773">
        <f>Y467</f>
        <v>0</v>
      </c>
      <c r="Z468" s="773">
        <f>Z467</f>
        <v>0</v>
      </c>
      <c r="AA468" s="773">
        <f t="shared" ref="AA468:AE468" si="255">AA467</f>
        <v>0</v>
      </c>
      <c r="AB468" s="773">
        <f t="shared" si="255"/>
        <v>0</v>
      </c>
      <c r="AC468" s="773">
        <f t="shared" si="255"/>
        <v>0</v>
      </c>
      <c r="AD468" s="773">
        <f t="shared" si="255"/>
        <v>0</v>
      </c>
      <c r="AE468" s="773">
        <f t="shared" si="255"/>
        <v>0</v>
      </c>
      <c r="AF468" s="423">
        <f t="shared" ref="AF468:AL468" si="256">AF467</f>
        <v>0</v>
      </c>
      <c r="AG468" s="423">
        <f t="shared" si="256"/>
        <v>0</v>
      </c>
      <c r="AH468" s="423">
        <f t="shared" si="256"/>
        <v>0</v>
      </c>
      <c r="AI468" s="423">
        <f t="shared" si="256"/>
        <v>0</v>
      </c>
      <c r="AJ468" s="423">
        <f t="shared" si="256"/>
        <v>0</v>
      </c>
      <c r="AK468" s="423">
        <f t="shared" si="256"/>
        <v>0</v>
      </c>
      <c r="AL468" s="423">
        <f t="shared" si="256"/>
        <v>0</v>
      </c>
      <c r="AM468" s="319"/>
    </row>
    <row r="469" spans="1:39" ht="15" outlineLevel="1">
      <c r="B469" s="328"/>
      <c r="C469" s="318"/>
      <c r="D469" s="763"/>
      <c r="E469" s="763"/>
      <c r="F469" s="763"/>
      <c r="G469" s="763"/>
      <c r="H469" s="763"/>
      <c r="I469" s="763"/>
      <c r="J469" s="763"/>
      <c r="K469" s="763"/>
      <c r="L469" s="763"/>
      <c r="M469" s="763"/>
      <c r="N469" s="770"/>
      <c r="O469" s="763"/>
      <c r="P469" s="763"/>
      <c r="Q469" s="763"/>
      <c r="R469" s="763"/>
      <c r="S469" s="763"/>
      <c r="T469" s="763"/>
      <c r="U469" s="763"/>
      <c r="V469" s="763"/>
      <c r="W469" s="763"/>
      <c r="X469" s="763"/>
      <c r="Y469" s="774"/>
      <c r="Z469" s="774"/>
      <c r="AA469" s="774"/>
      <c r="AB469" s="774"/>
      <c r="AC469" s="774"/>
      <c r="AD469" s="774"/>
      <c r="AE469" s="774"/>
      <c r="AF469" s="424"/>
      <c r="AG469" s="424"/>
      <c r="AH469" s="424"/>
      <c r="AI469" s="424"/>
      <c r="AJ469" s="424"/>
      <c r="AK469" s="424"/>
      <c r="AL469" s="424"/>
      <c r="AM469" s="319"/>
    </row>
    <row r="470" spans="1:39" ht="15" outlineLevel="1">
      <c r="A470" s="516">
        <v>21</v>
      </c>
      <c r="B470" s="328" t="s">
        <v>22</v>
      </c>
      <c r="C470" s="304" t="s">
        <v>25</v>
      </c>
      <c r="D470" s="308"/>
      <c r="E470" s="308"/>
      <c r="F470" s="308"/>
      <c r="G470" s="308"/>
      <c r="H470" s="308"/>
      <c r="I470" s="308"/>
      <c r="J470" s="308"/>
      <c r="K470" s="308"/>
      <c r="L470" s="308"/>
      <c r="M470" s="308"/>
      <c r="N470" s="308">
        <v>12</v>
      </c>
      <c r="O470" s="308"/>
      <c r="P470" s="308"/>
      <c r="Q470" s="308"/>
      <c r="R470" s="308"/>
      <c r="S470" s="308"/>
      <c r="T470" s="308"/>
      <c r="U470" s="308"/>
      <c r="V470" s="308"/>
      <c r="W470" s="308"/>
      <c r="X470" s="308"/>
      <c r="Y470" s="772"/>
      <c r="Z470" s="777"/>
      <c r="AA470" s="777"/>
      <c r="AB470" s="777"/>
      <c r="AC470" s="777"/>
      <c r="AD470" s="777"/>
      <c r="AE470" s="777"/>
      <c r="AF470" s="427"/>
      <c r="AG470" s="427"/>
      <c r="AH470" s="427"/>
      <c r="AI470" s="427"/>
      <c r="AJ470" s="427"/>
      <c r="AK470" s="427"/>
      <c r="AL470" s="427"/>
      <c r="AM470" s="309">
        <f>SUM(Y470:AL470)</f>
        <v>0</v>
      </c>
    </row>
    <row r="471" spans="1:39" ht="15" outlineLevel="1">
      <c r="B471" s="307" t="s">
        <v>259</v>
      </c>
      <c r="C471" s="304" t="s">
        <v>163</v>
      </c>
      <c r="D471" s="308"/>
      <c r="E471" s="308"/>
      <c r="F471" s="308"/>
      <c r="G471" s="308"/>
      <c r="H471" s="308"/>
      <c r="I471" s="308"/>
      <c r="J471" s="308"/>
      <c r="K471" s="308"/>
      <c r="L471" s="308"/>
      <c r="M471" s="308"/>
      <c r="N471" s="308">
        <f>N470</f>
        <v>12</v>
      </c>
      <c r="O471" s="308"/>
      <c r="P471" s="308"/>
      <c r="Q471" s="308"/>
      <c r="R471" s="308"/>
      <c r="S471" s="308"/>
      <c r="T471" s="308"/>
      <c r="U471" s="308"/>
      <c r="V471" s="308"/>
      <c r="W471" s="308"/>
      <c r="X471" s="308"/>
      <c r="Y471" s="773">
        <f>Y470</f>
        <v>0</v>
      </c>
      <c r="Z471" s="773">
        <f>Z470</f>
        <v>0</v>
      </c>
      <c r="AA471" s="773">
        <f t="shared" ref="AA471:AE471" si="257">AA470</f>
        <v>0</v>
      </c>
      <c r="AB471" s="773">
        <f t="shared" si="257"/>
        <v>0</v>
      </c>
      <c r="AC471" s="773">
        <f t="shared" si="257"/>
        <v>0</v>
      </c>
      <c r="AD471" s="773">
        <f t="shared" si="257"/>
        <v>0</v>
      </c>
      <c r="AE471" s="773">
        <f t="shared" si="257"/>
        <v>0</v>
      </c>
      <c r="AF471" s="423">
        <f t="shared" ref="AF471:AL471" si="258">AF470</f>
        <v>0</v>
      </c>
      <c r="AG471" s="423">
        <f t="shared" si="258"/>
        <v>0</v>
      </c>
      <c r="AH471" s="423">
        <f t="shared" si="258"/>
        <v>0</v>
      </c>
      <c r="AI471" s="423">
        <f t="shared" si="258"/>
        <v>0</v>
      </c>
      <c r="AJ471" s="423">
        <f t="shared" si="258"/>
        <v>0</v>
      </c>
      <c r="AK471" s="423">
        <f t="shared" si="258"/>
        <v>0</v>
      </c>
      <c r="AL471" s="423">
        <f t="shared" si="258"/>
        <v>0</v>
      </c>
      <c r="AM471" s="310"/>
    </row>
    <row r="472" spans="1:39" ht="15" outlineLevel="1">
      <c r="B472" s="328"/>
      <c r="C472" s="318"/>
      <c r="D472" s="763"/>
      <c r="E472" s="763"/>
      <c r="F472" s="763"/>
      <c r="G472" s="763"/>
      <c r="H472" s="763"/>
      <c r="I472" s="763"/>
      <c r="J472" s="763"/>
      <c r="K472" s="763"/>
      <c r="L472" s="763"/>
      <c r="M472" s="763"/>
      <c r="N472" s="763"/>
      <c r="O472" s="763"/>
      <c r="P472" s="763"/>
      <c r="Q472" s="763"/>
      <c r="R472" s="763"/>
      <c r="S472" s="763"/>
      <c r="T472" s="763"/>
      <c r="U472" s="763"/>
      <c r="V472" s="763"/>
      <c r="W472" s="763"/>
      <c r="X472" s="763"/>
      <c r="Y472" s="784"/>
      <c r="Z472" s="774"/>
      <c r="AA472" s="774"/>
      <c r="AB472" s="774"/>
      <c r="AC472" s="774"/>
      <c r="AD472" s="774"/>
      <c r="AE472" s="774"/>
      <c r="AF472" s="424"/>
      <c r="AG472" s="424"/>
      <c r="AH472" s="424"/>
      <c r="AI472" s="424"/>
      <c r="AJ472" s="424"/>
      <c r="AK472" s="424"/>
      <c r="AL472" s="424"/>
      <c r="AM472" s="319"/>
    </row>
    <row r="473" spans="1:39" ht="15" outlineLevel="1">
      <c r="A473" s="516">
        <v>22</v>
      </c>
      <c r="B473" s="328" t="s">
        <v>9</v>
      </c>
      <c r="C473" s="304" t="s">
        <v>25</v>
      </c>
      <c r="D473" s="308"/>
      <c r="E473" s="308"/>
      <c r="F473" s="308"/>
      <c r="G473" s="308"/>
      <c r="H473" s="308"/>
      <c r="I473" s="308"/>
      <c r="J473" s="308"/>
      <c r="K473" s="308"/>
      <c r="L473" s="308"/>
      <c r="M473" s="308"/>
      <c r="N473" s="763"/>
      <c r="O473" s="308"/>
      <c r="P473" s="308"/>
      <c r="Q473" s="308"/>
      <c r="R473" s="308"/>
      <c r="S473" s="308"/>
      <c r="T473" s="308"/>
      <c r="U473" s="308"/>
      <c r="V473" s="308"/>
      <c r="W473" s="308"/>
      <c r="X473" s="308"/>
      <c r="Y473" s="772"/>
      <c r="Z473" s="777"/>
      <c r="AA473" s="777"/>
      <c r="AB473" s="777"/>
      <c r="AC473" s="777"/>
      <c r="AD473" s="777"/>
      <c r="AE473" s="777"/>
      <c r="AF473" s="427"/>
      <c r="AG473" s="427"/>
      <c r="AH473" s="427"/>
      <c r="AI473" s="427"/>
      <c r="AJ473" s="427"/>
      <c r="AK473" s="427"/>
      <c r="AL473" s="427"/>
      <c r="AM473" s="309">
        <f>SUM(Y473:AL473)</f>
        <v>0</v>
      </c>
    </row>
    <row r="474" spans="1:39" ht="15" outlineLevel="1">
      <c r="B474" s="307" t="s">
        <v>259</v>
      </c>
      <c r="C474" s="304" t="s">
        <v>163</v>
      </c>
      <c r="D474" s="308"/>
      <c r="E474" s="308"/>
      <c r="F474" s="308"/>
      <c r="G474" s="308"/>
      <c r="H474" s="308"/>
      <c r="I474" s="308"/>
      <c r="J474" s="308"/>
      <c r="K474" s="308"/>
      <c r="L474" s="308"/>
      <c r="M474" s="308"/>
      <c r="N474" s="763"/>
      <c r="O474" s="308"/>
      <c r="P474" s="308"/>
      <c r="Q474" s="308"/>
      <c r="R474" s="308"/>
      <c r="S474" s="308"/>
      <c r="T474" s="308"/>
      <c r="U474" s="308"/>
      <c r="V474" s="308"/>
      <c r="W474" s="308"/>
      <c r="X474" s="308"/>
      <c r="Y474" s="773">
        <f>Y473</f>
        <v>0</v>
      </c>
      <c r="Z474" s="773">
        <f>Z473</f>
        <v>0</v>
      </c>
      <c r="AA474" s="773">
        <f t="shared" ref="AA474:AE474" si="259">AA473</f>
        <v>0</v>
      </c>
      <c r="AB474" s="773">
        <f t="shared" si="259"/>
        <v>0</v>
      </c>
      <c r="AC474" s="773">
        <f t="shared" si="259"/>
        <v>0</v>
      </c>
      <c r="AD474" s="773">
        <f t="shared" si="259"/>
        <v>0</v>
      </c>
      <c r="AE474" s="773">
        <f t="shared" si="259"/>
        <v>0</v>
      </c>
      <c r="AF474" s="423">
        <f t="shared" ref="AF474:AL474" si="260">AF473</f>
        <v>0</v>
      </c>
      <c r="AG474" s="423">
        <f t="shared" si="260"/>
        <v>0</v>
      </c>
      <c r="AH474" s="423">
        <f t="shared" si="260"/>
        <v>0</v>
      </c>
      <c r="AI474" s="423">
        <f t="shared" si="260"/>
        <v>0</v>
      </c>
      <c r="AJ474" s="423">
        <f t="shared" si="260"/>
        <v>0</v>
      </c>
      <c r="AK474" s="423">
        <f t="shared" si="260"/>
        <v>0</v>
      </c>
      <c r="AL474" s="423">
        <f t="shared" si="260"/>
        <v>0</v>
      </c>
      <c r="AM474" s="319"/>
    </row>
    <row r="475" spans="1:39" ht="15" outlineLevel="1">
      <c r="B475" s="328"/>
      <c r="C475" s="318"/>
      <c r="D475" s="763"/>
      <c r="E475" s="763"/>
      <c r="F475" s="763"/>
      <c r="G475" s="763"/>
      <c r="H475" s="763"/>
      <c r="I475" s="763"/>
      <c r="J475" s="763"/>
      <c r="K475" s="763"/>
      <c r="L475" s="763"/>
      <c r="M475" s="763"/>
      <c r="N475" s="763"/>
      <c r="O475" s="763"/>
      <c r="P475" s="763"/>
      <c r="Q475" s="763"/>
      <c r="R475" s="763"/>
      <c r="S475" s="763"/>
      <c r="T475" s="763"/>
      <c r="U475" s="763"/>
      <c r="V475" s="763"/>
      <c r="W475" s="763"/>
      <c r="X475" s="763"/>
      <c r="Y475" s="774"/>
      <c r="Z475" s="774"/>
      <c r="AA475" s="774"/>
      <c r="AB475" s="774"/>
      <c r="AC475" s="774"/>
      <c r="AD475" s="774"/>
      <c r="AE475" s="774"/>
      <c r="AF475" s="424"/>
      <c r="AG475" s="424"/>
      <c r="AH475" s="424"/>
      <c r="AI475" s="424"/>
      <c r="AJ475" s="424"/>
      <c r="AK475" s="424"/>
      <c r="AL475" s="424"/>
      <c r="AM475" s="319"/>
    </row>
    <row r="476" spans="1:39" ht="15.6" outlineLevel="1">
      <c r="A476" s="517"/>
      <c r="B476" s="301" t="s">
        <v>14</v>
      </c>
      <c r="C476" s="302"/>
      <c r="D476" s="769"/>
      <c r="E476" s="769"/>
      <c r="F476" s="769"/>
      <c r="G476" s="769"/>
      <c r="H476" s="769"/>
      <c r="I476" s="769"/>
      <c r="J476" s="769"/>
      <c r="K476" s="769"/>
      <c r="L476" s="769"/>
      <c r="M476" s="769"/>
      <c r="N476" s="769"/>
      <c r="O476" s="769"/>
      <c r="P476" s="769"/>
      <c r="Q476" s="769"/>
      <c r="R476" s="769"/>
      <c r="S476" s="769"/>
      <c r="T476" s="769"/>
      <c r="U476" s="769"/>
      <c r="V476" s="769"/>
      <c r="W476" s="769"/>
      <c r="X476" s="769"/>
      <c r="Y476" s="776"/>
      <c r="Z476" s="776"/>
      <c r="AA476" s="776"/>
      <c r="AB476" s="776"/>
      <c r="AC476" s="776"/>
      <c r="AD476" s="776"/>
      <c r="AE476" s="776"/>
      <c r="AF476" s="426"/>
      <c r="AG476" s="426"/>
      <c r="AH476" s="426"/>
      <c r="AI476" s="426"/>
      <c r="AJ476" s="426"/>
      <c r="AK476" s="426"/>
      <c r="AL476" s="426"/>
      <c r="AM476" s="305"/>
    </row>
    <row r="477" spans="1:39" ht="15" outlineLevel="1">
      <c r="A477" s="516">
        <v>23</v>
      </c>
      <c r="B477" s="328" t="s">
        <v>14</v>
      </c>
      <c r="C477" s="304" t="s">
        <v>25</v>
      </c>
      <c r="D477" s="308">
        <f>'7.  Persistence Report'!AT97</f>
        <v>26375.740419999998</v>
      </c>
      <c r="E477" s="308">
        <f>'7.  Persistence Report'!AU97</f>
        <v>25762.148020000001</v>
      </c>
      <c r="F477" s="308">
        <f>'7.  Persistence Report'!AV97</f>
        <v>22681.152050000001</v>
      </c>
      <c r="G477" s="308">
        <f>'7.  Persistence Report'!AW97</f>
        <v>21008.730439999999</v>
      </c>
      <c r="H477" s="308">
        <f>'7.  Persistence Report'!AX97</f>
        <v>19587.404900000001</v>
      </c>
      <c r="I477" s="308">
        <f>'7.  Persistence Report'!AY97</f>
        <v>19587.404900000001</v>
      </c>
      <c r="J477" s="308">
        <f>'7.  Persistence Report'!AZ97</f>
        <v>19587.404900000001</v>
      </c>
      <c r="K477" s="308">
        <f>'7.  Persistence Report'!BA97</f>
        <v>19587.404900000001</v>
      </c>
      <c r="L477" s="308">
        <f>'7.  Persistence Report'!BB97</f>
        <v>7687.796867</v>
      </c>
      <c r="M477" s="308">
        <f>'7.  Persistence Report'!BC97</f>
        <v>7687.796867</v>
      </c>
      <c r="N477" s="763"/>
      <c r="O477" s="308">
        <f>'7.  Persistence Report'!O97</f>
        <v>1.756417178</v>
      </c>
      <c r="P477" s="308">
        <f>'7.  Persistence Report'!P97</f>
        <v>1.7246067629999999</v>
      </c>
      <c r="Q477" s="308">
        <f>'7.  Persistence Report'!Q97</f>
        <v>1.5639798060000001</v>
      </c>
      <c r="R477" s="308">
        <f>'7.  Persistence Report'!R97</f>
        <v>1.476803879</v>
      </c>
      <c r="S477" s="308">
        <f>'7.  Persistence Report'!S97</f>
        <v>1.402647773</v>
      </c>
      <c r="T477" s="308">
        <f>'7.  Persistence Report'!T97</f>
        <v>1.402647773</v>
      </c>
      <c r="U477" s="308">
        <f>'7.  Persistence Report'!U97</f>
        <v>1.402647773</v>
      </c>
      <c r="V477" s="308">
        <f>'7.  Persistence Report'!V97</f>
        <v>1.402647773</v>
      </c>
      <c r="W477" s="308">
        <f>'7.  Persistence Report'!W97</f>
        <v>0.78258011100000002</v>
      </c>
      <c r="X477" s="308">
        <f>'7.  Persistence Report'!X97</f>
        <v>0.78258011100000002</v>
      </c>
      <c r="Y477" s="790">
        <v>1</v>
      </c>
      <c r="Z477" s="772"/>
      <c r="AA477" s="772"/>
      <c r="AB477" s="772"/>
      <c r="AC477" s="772"/>
      <c r="AD477" s="772"/>
      <c r="AE477" s="772"/>
      <c r="AF477" s="422"/>
      <c r="AG477" s="422"/>
      <c r="AH477" s="422"/>
      <c r="AI477" s="422"/>
      <c r="AJ477" s="422"/>
      <c r="AK477" s="422"/>
      <c r="AL477" s="422"/>
      <c r="AM477" s="309">
        <f>SUM(Y477:AL477)</f>
        <v>1</v>
      </c>
    </row>
    <row r="478" spans="1:39" ht="15" outlineLevel="1">
      <c r="B478" s="307" t="s">
        <v>259</v>
      </c>
      <c r="C478" s="304" t="s">
        <v>163</v>
      </c>
      <c r="D478" s="308"/>
      <c r="E478" s="308"/>
      <c r="F478" s="308"/>
      <c r="G478" s="308"/>
      <c r="H478" s="308"/>
      <c r="I478" s="308"/>
      <c r="J478" s="308"/>
      <c r="K478" s="308"/>
      <c r="L478" s="308"/>
      <c r="M478" s="308"/>
      <c r="N478" s="764"/>
      <c r="O478" s="308"/>
      <c r="P478" s="308"/>
      <c r="Q478" s="308"/>
      <c r="R478" s="308"/>
      <c r="S478" s="308"/>
      <c r="T478" s="308"/>
      <c r="U478" s="308"/>
      <c r="V478" s="308"/>
      <c r="W478" s="308"/>
      <c r="X478" s="308"/>
      <c r="Y478" s="773">
        <f>Y477</f>
        <v>1</v>
      </c>
      <c r="Z478" s="773">
        <f>Z477</f>
        <v>0</v>
      </c>
      <c r="AA478" s="773">
        <f t="shared" ref="AA478:AE478" si="261">AA477</f>
        <v>0</v>
      </c>
      <c r="AB478" s="773">
        <f t="shared" si="261"/>
        <v>0</v>
      </c>
      <c r="AC478" s="773">
        <f t="shared" si="261"/>
        <v>0</v>
      </c>
      <c r="AD478" s="773">
        <f t="shared" si="261"/>
        <v>0</v>
      </c>
      <c r="AE478" s="773">
        <f t="shared" si="261"/>
        <v>0</v>
      </c>
      <c r="AF478" s="423">
        <f t="shared" ref="AF478:AL478" si="262">AF477</f>
        <v>0</v>
      </c>
      <c r="AG478" s="423">
        <f t="shared" si="262"/>
        <v>0</v>
      </c>
      <c r="AH478" s="423">
        <f t="shared" si="262"/>
        <v>0</v>
      </c>
      <c r="AI478" s="423">
        <f t="shared" si="262"/>
        <v>0</v>
      </c>
      <c r="AJ478" s="423">
        <f t="shared" si="262"/>
        <v>0</v>
      </c>
      <c r="AK478" s="423">
        <f t="shared" si="262"/>
        <v>0</v>
      </c>
      <c r="AL478" s="423">
        <f t="shared" si="262"/>
        <v>0</v>
      </c>
      <c r="AM478" s="310"/>
    </row>
    <row r="479" spans="1:39" ht="15" outlineLevel="1">
      <c r="B479" s="328"/>
      <c r="C479" s="318"/>
      <c r="D479" s="763"/>
      <c r="E479" s="763"/>
      <c r="F479" s="763"/>
      <c r="G479" s="763"/>
      <c r="H479" s="763"/>
      <c r="I479" s="763"/>
      <c r="J479" s="763"/>
      <c r="K479" s="763"/>
      <c r="L479" s="763"/>
      <c r="M479" s="763"/>
      <c r="N479" s="763"/>
      <c r="O479" s="763"/>
      <c r="P479" s="763"/>
      <c r="Q479" s="763"/>
      <c r="R479" s="763"/>
      <c r="S479" s="763"/>
      <c r="T479" s="763"/>
      <c r="U479" s="763"/>
      <c r="V479" s="763"/>
      <c r="W479" s="763"/>
      <c r="X479" s="763"/>
      <c r="Y479" s="774"/>
      <c r="Z479" s="774"/>
      <c r="AA479" s="774"/>
      <c r="AB479" s="774"/>
      <c r="AC479" s="774"/>
      <c r="AD479" s="774"/>
      <c r="AE479" s="774"/>
      <c r="AF479" s="424"/>
      <c r="AG479" s="424"/>
      <c r="AH479" s="424"/>
      <c r="AI479" s="424"/>
      <c r="AJ479" s="424"/>
      <c r="AK479" s="424"/>
      <c r="AL479" s="424"/>
      <c r="AM479" s="319"/>
    </row>
    <row r="480" spans="1:39" s="306" customFormat="1" ht="15.6" outlineLevel="1">
      <c r="A480" s="517"/>
      <c r="B480" s="301" t="s">
        <v>487</v>
      </c>
      <c r="C480" s="302"/>
      <c r="D480" s="769"/>
      <c r="E480" s="769"/>
      <c r="F480" s="769"/>
      <c r="G480" s="769"/>
      <c r="H480" s="769"/>
      <c r="I480" s="769"/>
      <c r="J480" s="769"/>
      <c r="K480" s="769"/>
      <c r="L480" s="769"/>
      <c r="M480" s="769"/>
      <c r="N480" s="769"/>
      <c r="O480" s="769"/>
      <c r="P480" s="769"/>
      <c r="Q480" s="769"/>
      <c r="R480" s="769"/>
      <c r="S480" s="769"/>
      <c r="T480" s="769"/>
      <c r="U480" s="769"/>
      <c r="V480" s="769"/>
      <c r="W480" s="769"/>
      <c r="X480" s="769"/>
      <c r="Y480" s="776"/>
      <c r="Z480" s="776"/>
      <c r="AA480" s="776"/>
      <c r="AB480" s="776"/>
      <c r="AC480" s="776"/>
      <c r="AD480" s="776"/>
      <c r="AE480" s="776"/>
      <c r="AF480" s="426"/>
      <c r="AG480" s="426"/>
      <c r="AH480" s="426"/>
      <c r="AI480" s="426"/>
      <c r="AJ480" s="426"/>
      <c r="AK480" s="426"/>
      <c r="AL480" s="426"/>
      <c r="AM480" s="305"/>
    </row>
    <row r="481" spans="1:39" s="296" customFormat="1" ht="15" outlineLevel="1">
      <c r="A481" s="516">
        <v>24</v>
      </c>
      <c r="B481" s="328" t="s">
        <v>14</v>
      </c>
      <c r="C481" s="304" t="s">
        <v>25</v>
      </c>
      <c r="D481" s="308"/>
      <c r="E481" s="308"/>
      <c r="F481" s="308"/>
      <c r="G481" s="308"/>
      <c r="H481" s="308"/>
      <c r="I481" s="308"/>
      <c r="J481" s="308"/>
      <c r="K481" s="308"/>
      <c r="L481" s="308"/>
      <c r="M481" s="308"/>
      <c r="N481" s="763"/>
      <c r="O481" s="308"/>
      <c r="P481" s="308"/>
      <c r="Q481" s="308"/>
      <c r="R481" s="308"/>
      <c r="S481" s="308"/>
      <c r="T481" s="308"/>
      <c r="U481" s="308"/>
      <c r="V481" s="308"/>
      <c r="W481" s="308"/>
      <c r="X481" s="308"/>
      <c r="Y481" s="772"/>
      <c r="Z481" s="772"/>
      <c r="AA481" s="772"/>
      <c r="AB481" s="772"/>
      <c r="AC481" s="772"/>
      <c r="AD481" s="772"/>
      <c r="AE481" s="772"/>
      <c r="AF481" s="422"/>
      <c r="AG481" s="422"/>
      <c r="AH481" s="422"/>
      <c r="AI481" s="422"/>
      <c r="AJ481" s="422"/>
      <c r="AK481" s="422"/>
      <c r="AL481" s="422"/>
      <c r="AM481" s="309">
        <f>SUM(Y481:AL481)</f>
        <v>0</v>
      </c>
    </row>
    <row r="482" spans="1:39" s="296" customFormat="1" ht="15" outlineLevel="1">
      <c r="A482" s="516"/>
      <c r="B482" s="328" t="s">
        <v>259</v>
      </c>
      <c r="C482" s="304" t="s">
        <v>163</v>
      </c>
      <c r="D482" s="308"/>
      <c r="E482" s="308"/>
      <c r="F482" s="308"/>
      <c r="G482" s="308"/>
      <c r="H482" s="308"/>
      <c r="I482" s="308"/>
      <c r="J482" s="308"/>
      <c r="K482" s="308"/>
      <c r="L482" s="308"/>
      <c r="M482" s="308"/>
      <c r="N482" s="764"/>
      <c r="O482" s="308"/>
      <c r="P482" s="308"/>
      <c r="Q482" s="308"/>
      <c r="R482" s="308"/>
      <c r="S482" s="308"/>
      <c r="T482" s="308"/>
      <c r="U482" s="308"/>
      <c r="V482" s="308"/>
      <c r="W482" s="308"/>
      <c r="X482" s="308"/>
      <c r="Y482" s="773">
        <f>Y481</f>
        <v>0</v>
      </c>
      <c r="Z482" s="773">
        <f>Z481</f>
        <v>0</v>
      </c>
      <c r="AA482" s="773">
        <f t="shared" ref="AA482:AE482" si="263">AA481</f>
        <v>0</v>
      </c>
      <c r="AB482" s="773">
        <f t="shared" si="263"/>
        <v>0</v>
      </c>
      <c r="AC482" s="773">
        <f t="shared" si="263"/>
        <v>0</v>
      </c>
      <c r="AD482" s="773">
        <f t="shared" si="263"/>
        <v>0</v>
      </c>
      <c r="AE482" s="773">
        <f t="shared" si="263"/>
        <v>0</v>
      </c>
      <c r="AF482" s="423">
        <f t="shared" ref="AF482:AL482" si="264">AF481</f>
        <v>0</v>
      </c>
      <c r="AG482" s="423">
        <f t="shared" si="264"/>
        <v>0</v>
      </c>
      <c r="AH482" s="423">
        <f t="shared" si="264"/>
        <v>0</v>
      </c>
      <c r="AI482" s="423">
        <f t="shared" si="264"/>
        <v>0</v>
      </c>
      <c r="AJ482" s="423">
        <f t="shared" si="264"/>
        <v>0</v>
      </c>
      <c r="AK482" s="423">
        <f t="shared" si="264"/>
        <v>0</v>
      </c>
      <c r="AL482" s="423">
        <f t="shared" si="264"/>
        <v>0</v>
      </c>
      <c r="AM482" s="310"/>
    </row>
    <row r="483" spans="1:39" s="296" customFormat="1" ht="15" outlineLevel="1">
      <c r="A483" s="516"/>
      <c r="B483" s="328"/>
      <c r="C483" s="318"/>
      <c r="D483" s="763"/>
      <c r="E483" s="763"/>
      <c r="F483" s="763"/>
      <c r="G483" s="763"/>
      <c r="H483" s="763"/>
      <c r="I483" s="763"/>
      <c r="J483" s="763"/>
      <c r="K483" s="763"/>
      <c r="L483" s="763"/>
      <c r="M483" s="763"/>
      <c r="N483" s="763"/>
      <c r="O483" s="763"/>
      <c r="P483" s="763"/>
      <c r="Q483" s="763"/>
      <c r="R483" s="763"/>
      <c r="S483" s="763"/>
      <c r="T483" s="763"/>
      <c r="U483" s="763"/>
      <c r="V483" s="763"/>
      <c r="W483" s="763"/>
      <c r="X483" s="763"/>
      <c r="Y483" s="774"/>
      <c r="Z483" s="774"/>
      <c r="AA483" s="774"/>
      <c r="AB483" s="774"/>
      <c r="AC483" s="774"/>
      <c r="AD483" s="774"/>
      <c r="AE483" s="774"/>
      <c r="AF483" s="424"/>
      <c r="AG483" s="424"/>
      <c r="AH483" s="424"/>
      <c r="AI483" s="424"/>
      <c r="AJ483" s="424"/>
      <c r="AK483" s="424"/>
      <c r="AL483" s="424"/>
      <c r="AM483" s="319"/>
    </row>
    <row r="484" spans="1:39" s="296" customFormat="1" ht="15" outlineLevel="1">
      <c r="A484" s="516">
        <v>25</v>
      </c>
      <c r="B484" s="327" t="s">
        <v>21</v>
      </c>
      <c r="C484" s="304" t="s">
        <v>25</v>
      </c>
      <c r="D484" s="308"/>
      <c r="E484" s="308"/>
      <c r="F484" s="308"/>
      <c r="G484" s="308"/>
      <c r="H484" s="308"/>
      <c r="I484" s="308"/>
      <c r="J484" s="308"/>
      <c r="K484" s="308"/>
      <c r="L484" s="308"/>
      <c r="M484" s="308"/>
      <c r="N484" s="308">
        <v>0</v>
      </c>
      <c r="O484" s="308"/>
      <c r="P484" s="308"/>
      <c r="Q484" s="308"/>
      <c r="R484" s="308"/>
      <c r="S484" s="308"/>
      <c r="T484" s="308"/>
      <c r="U484" s="308"/>
      <c r="V484" s="308"/>
      <c r="W484" s="308"/>
      <c r="X484" s="308"/>
      <c r="Y484" s="777"/>
      <c r="Z484" s="777"/>
      <c r="AA484" s="777"/>
      <c r="AB484" s="777"/>
      <c r="AC484" s="777"/>
      <c r="AD484" s="777"/>
      <c r="AE484" s="777"/>
      <c r="AF484" s="427"/>
      <c r="AG484" s="427"/>
      <c r="AH484" s="427"/>
      <c r="AI484" s="427"/>
      <c r="AJ484" s="427"/>
      <c r="AK484" s="427"/>
      <c r="AL484" s="427"/>
      <c r="AM484" s="309">
        <f>SUM(Y484:AL484)</f>
        <v>0</v>
      </c>
    </row>
    <row r="485" spans="1:39" s="296" customFormat="1" ht="15" outlineLevel="1">
      <c r="A485" s="516"/>
      <c r="B485" s="328" t="s">
        <v>259</v>
      </c>
      <c r="C485" s="304" t="s">
        <v>163</v>
      </c>
      <c r="D485" s="308"/>
      <c r="E485" s="308"/>
      <c r="F485" s="308"/>
      <c r="G485" s="308"/>
      <c r="H485" s="308"/>
      <c r="I485" s="308"/>
      <c r="J485" s="308"/>
      <c r="K485" s="308"/>
      <c r="L485" s="308"/>
      <c r="M485" s="308"/>
      <c r="N485" s="308">
        <f>N484</f>
        <v>0</v>
      </c>
      <c r="O485" s="308"/>
      <c r="P485" s="308"/>
      <c r="Q485" s="308"/>
      <c r="R485" s="308"/>
      <c r="S485" s="308"/>
      <c r="T485" s="308"/>
      <c r="U485" s="308"/>
      <c r="V485" s="308"/>
      <c r="W485" s="308"/>
      <c r="X485" s="308"/>
      <c r="Y485" s="773">
        <f>Y484</f>
        <v>0</v>
      </c>
      <c r="Z485" s="773">
        <f>Z484</f>
        <v>0</v>
      </c>
      <c r="AA485" s="773">
        <f t="shared" ref="AA485:AE485" si="265">AA484</f>
        <v>0</v>
      </c>
      <c r="AB485" s="773">
        <f t="shared" si="265"/>
        <v>0</v>
      </c>
      <c r="AC485" s="773">
        <f t="shared" si="265"/>
        <v>0</v>
      </c>
      <c r="AD485" s="773">
        <f t="shared" si="265"/>
        <v>0</v>
      </c>
      <c r="AE485" s="773">
        <f t="shared" si="265"/>
        <v>0</v>
      </c>
      <c r="AF485" s="423">
        <f t="shared" ref="AF485:AL485" si="266">AF484</f>
        <v>0</v>
      </c>
      <c r="AG485" s="423">
        <f t="shared" si="266"/>
        <v>0</v>
      </c>
      <c r="AH485" s="423">
        <f t="shared" si="266"/>
        <v>0</v>
      </c>
      <c r="AI485" s="423">
        <f t="shared" si="266"/>
        <v>0</v>
      </c>
      <c r="AJ485" s="423">
        <f t="shared" si="266"/>
        <v>0</v>
      </c>
      <c r="AK485" s="423">
        <f t="shared" si="266"/>
        <v>0</v>
      </c>
      <c r="AL485" s="423">
        <f t="shared" si="266"/>
        <v>0</v>
      </c>
      <c r="AM485" s="324"/>
    </row>
    <row r="486" spans="1:39" s="296" customFormat="1" ht="15" outlineLevel="1">
      <c r="A486" s="516"/>
      <c r="B486" s="327"/>
      <c r="C486" s="325"/>
      <c r="D486" s="763"/>
      <c r="E486" s="763"/>
      <c r="F486" s="763"/>
      <c r="G486" s="763"/>
      <c r="H486" s="763"/>
      <c r="I486" s="763"/>
      <c r="J486" s="763"/>
      <c r="K486" s="763"/>
      <c r="L486" s="763"/>
      <c r="M486" s="763"/>
      <c r="N486" s="763"/>
      <c r="O486" s="763"/>
      <c r="P486" s="763"/>
      <c r="Q486" s="763"/>
      <c r="R486" s="763"/>
      <c r="S486" s="763"/>
      <c r="T486" s="763"/>
      <c r="U486" s="763"/>
      <c r="V486" s="763"/>
      <c r="W486" s="763"/>
      <c r="X486" s="763"/>
      <c r="Y486" s="778"/>
      <c r="Z486" s="779"/>
      <c r="AA486" s="778"/>
      <c r="AB486" s="778"/>
      <c r="AC486" s="778"/>
      <c r="AD486" s="778"/>
      <c r="AE486" s="778"/>
      <c r="AF486" s="428"/>
      <c r="AG486" s="428"/>
      <c r="AH486" s="428"/>
      <c r="AI486" s="428"/>
      <c r="AJ486" s="428"/>
      <c r="AK486" s="428"/>
      <c r="AL486" s="428"/>
      <c r="AM486" s="326"/>
    </row>
    <row r="487" spans="1:39" ht="15.6" outlineLevel="1">
      <c r="A487" s="517"/>
      <c r="B487" s="301" t="s">
        <v>15</v>
      </c>
      <c r="C487" s="332"/>
      <c r="D487" s="769"/>
      <c r="E487" s="769"/>
      <c r="F487" s="769"/>
      <c r="G487" s="769"/>
      <c r="H487" s="769"/>
      <c r="I487" s="769"/>
      <c r="J487" s="769"/>
      <c r="K487" s="769"/>
      <c r="L487" s="769"/>
      <c r="M487" s="769"/>
      <c r="N487" s="763"/>
      <c r="O487" s="769"/>
      <c r="P487" s="769"/>
      <c r="Q487" s="769"/>
      <c r="R487" s="769"/>
      <c r="S487" s="769"/>
      <c r="T487" s="769"/>
      <c r="U487" s="769"/>
      <c r="V487" s="769"/>
      <c r="W487" s="769"/>
      <c r="X487" s="769"/>
      <c r="Y487" s="776"/>
      <c r="Z487" s="776"/>
      <c r="AA487" s="776"/>
      <c r="AB487" s="776"/>
      <c r="AC487" s="776"/>
      <c r="AD487" s="776"/>
      <c r="AE487" s="776"/>
      <c r="AF487" s="426"/>
      <c r="AG487" s="426"/>
      <c r="AH487" s="426"/>
      <c r="AI487" s="426"/>
      <c r="AJ487" s="426"/>
      <c r="AK487" s="426"/>
      <c r="AL487" s="426"/>
      <c r="AM487" s="305"/>
    </row>
    <row r="488" spans="1:39" ht="15" outlineLevel="1">
      <c r="A488" s="516">
        <v>26</v>
      </c>
      <c r="B488" s="333" t="s">
        <v>16</v>
      </c>
      <c r="C488" s="304" t="s">
        <v>25</v>
      </c>
      <c r="D488" s="308"/>
      <c r="E488" s="308"/>
      <c r="F488" s="308"/>
      <c r="G488" s="308"/>
      <c r="H488" s="308"/>
      <c r="I488" s="308"/>
      <c r="J488" s="308"/>
      <c r="K488" s="308"/>
      <c r="L488" s="308"/>
      <c r="M488" s="308"/>
      <c r="N488" s="308">
        <v>12</v>
      </c>
      <c r="O488" s="308"/>
      <c r="P488" s="308"/>
      <c r="Q488" s="308"/>
      <c r="R488" s="308"/>
      <c r="S488" s="308"/>
      <c r="T488" s="308"/>
      <c r="U488" s="308"/>
      <c r="V488" s="308"/>
      <c r="W488" s="308"/>
      <c r="X488" s="308"/>
      <c r="Y488" s="789"/>
      <c r="Z488" s="777"/>
      <c r="AA488" s="777"/>
      <c r="AB488" s="777"/>
      <c r="AC488" s="777"/>
      <c r="AD488" s="777"/>
      <c r="AE488" s="777"/>
      <c r="AF488" s="427"/>
      <c r="AG488" s="427"/>
      <c r="AH488" s="427"/>
      <c r="AI488" s="427"/>
      <c r="AJ488" s="427"/>
      <c r="AK488" s="427"/>
      <c r="AL488" s="427"/>
      <c r="AM488" s="309">
        <f>SUM(Y488:AL488)</f>
        <v>0</v>
      </c>
    </row>
    <row r="489" spans="1:39" ht="15" outlineLevel="1">
      <c r="B489" s="307" t="s">
        <v>259</v>
      </c>
      <c r="C489" s="304" t="s">
        <v>163</v>
      </c>
      <c r="D489" s="308"/>
      <c r="E489" s="308"/>
      <c r="F489" s="308"/>
      <c r="G489" s="308"/>
      <c r="H489" s="308"/>
      <c r="I489" s="308"/>
      <c r="J489" s="308"/>
      <c r="K489" s="308"/>
      <c r="L489" s="308"/>
      <c r="M489" s="308"/>
      <c r="N489" s="308">
        <f>N488</f>
        <v>12</v>
      </c>
      <c r="O489" s="308"/>
      <c r="P489" s="308"/>
      <c r="Q489" s="308"/>
      <c r="R489" s="308"/>
      <c r="S489" s="308"/>
      <c r="T489" s="308"/>
      <c r="U489" s="308"/>
      <c r="V489" s="308"/>
      <c r="W489" s="308"/>
      <c r="X489" s="308"/>
      <c r="Y489" s="773">
        <f>Y488</f>
        <v>0</v>
      </c>
      <c r="Z489" s="773">
        <f>Z488</f>
        <v>0</v>
      </c>
      <c r="AA489" s="773">
        <f t="shared" ref="AA489:AE489" si="267">AA488</f>
        <v>0</v>
      </c>
      <c r="AB489" s="773">
        <f t="shared" si="267"/>
        <v>0</v>
      </c>
      <c r="AC489" s="773">
        <f t="shared" si="267"/>
        <v>0</v>
      </c>
      <c r="AD489" s="773">
        <f t="shared" si="267"/>
        <v>0</v>
      </c>
      <c r="AE489" s="773">
        <f t="shared" si="267"/>
        <v>0</v>
      </c>
      <c r="AF489" s="423">
        <f t="shared" ref="AF489:AL489" si="268">AF488</f>
        <v>0</v>
      </c>
      <c r="AG489" s="423">
        <f t="shared" si="268"/>
        <v>0</v>
      </c>
      <c r="AH489" s="423">
        <f t="shared" si="268"/>
        <v>0</v>
      </c>
      <c r="AI489" s="423">
        <f t="shared" si="268"/>
        <v>0</v>
      </c>
      <c r="AJ489" s="423">
        <f t="shared" si="268"/>
        <v>0</v>
      </c>
      <c r="AK489" s="423">
        <f t="shared" si="268"/>
        <v>0</v>
      </c>
      <c r="AL489" s="423">
        <f t="shared" si="268"/>
        <v>0</v>
      </c>
      <c r="AM489" s="319"/>
    </row>
    <row r="490" spans="1:39" ht="15" outlineLevel="1">
      <c r="A490" s="519"/>
      <c r="B490" s="334"/>
      <c r="C490" s="304"/>
      <c r="D490" s="763"/>
      <c r="E490" s="763"/>
      <c r="F490" s="763"/>
      <c r="G490" s="763"/>
      <c r="H490" s="763"/>
      <c r="I490" s="763"/>
      <c r="J490" s="763"/>
      <c r="K490" s="763"/>
      <c r="L490" s="763"/>
      <c r="M490" s="763"/>
      <c r="N490" s="763"/>
      <c r="O490" s="763"/>
      <c r="P490" s="763"/>
      <c r="Q490" s="763"/>
      <c r="R490" s="763"/>
      <c r="S490" s="763"/>
      <c r="T490" s="763"/>
      <c r="U490" s="763"/>
      <c r="V490" s="763"/>
      <c r="W490" s="763"/>
      <c r="X490" s="763"/>
      <c r="Y490" s="785"/>
      <c r="Z490" s="786"/>
      <c r="AA490" s="786"/>
      <c r="AB490" s="786"/>
      <c r="AC490" s="786"/>
      <c r="AD490" s="786"/>
      <c r="AE490" s="786"/>
      <c r="AF490" s="434"/>
      <c r="AG490" s="434"/>
      <c r="AH490" s="434"/>
      <c r="AI490" s="434"/>
      <c r="AJ490" s="434"/>
      <c r="AK490" s="434"/>
      <c r="AL490" s="434"/>
      <c r="AM490" s="310"/>
    </row>
    <row r="491" spans="1:39" ht="15" outlineLevel="1">
      <c r="A491" s="516">
        <v>27</v>
      </c>
      <c r="B491" s="333" t="s">
        <v>17</v>
      </c>
      <c r="C491" s="304" t="s">
        <v>25</v>
      </c>
      <c r="D491" s="308">
        <f>'7.  Persistence Report'!AT88</f>
        <v>126131.6814</v>
      </c>
      <c r="E491" s="308">
        <f>'7.  Persistence Report'!AU88</f>
        <v>126131.6814</v>
      </c>
      <c r="F491" s="308">
        <f>'7.  Persistence Report'!AV88</f>
        <v>126131.6814</v>
      </c>
      <c r="G491" s="308">
        <f>'7.  Persistence Report'!AW88</f>
        <v>126131.6814</v>
      </c>
      <c r="H491" s="308">
        <f>'7.  Persistence Report'!AX88</f>
        <v>126131.6814</v>
      </c>
      <c r="I491" s="308">
        <f>'7.  Persistence Report'!AY88</f>
        <v>126131.6814</v>
      </c>
      <c r="J491" s="308">
        <f>'7.  Persistence Report'!AZ88</f>
        <v>126131.6814</v>
      </c>
      <c r="K491" s="308">
        <f>'7.  Persistence Report'!BA88</f>
        <v>126131.6814</v>
      </c>
      <c r="L491" s="308">
        <f>'7.  Persistence Report'!BB88</f>
        <v>104362.7694</v>
      </c>
      <c r="M491" s="308">
        <f>'7.  Persistence Report'!BC88</f>
        <v>104362.7694</v>
      </c>
      <c r="N491" s="308">
        <v>12</v>
      </c>
      <c r="O491" s="308">
        <f>'7.  Persistence Report'!O88</f>
        <v>24.329093839999999</v>
      </c>
      <c r="P491" s="308">
        <f>'7.  Persistence Report'!P88</f>
        <v>24.329093839999999</v>
      </c>
      <c r="Q491" s="308">
        <f>'7.  Persistence Report'!Q88</f>
        <v>24.329093839999999</v>
      </c>
      <c r="R491" s="308">
        <f>'7.  Persistence Report'!R88</f>
        <v>24.329093839999999</v>
      </c>
      <c r="S491" s="308">
        <f>'7.  Persistence Report'!S88</f>
        <v>24.329093839999999</v>
      </c>
      <c r="T491" s="308">
        <f>'7.  Persistence Report'!T88</f>
        <v>24.329093839999999</v>
      </c>
      <c r="U491" s="308">
        <f>'7.  Persistence Report'!U88</f>
        <v>24.329093839999999</v>
      </c>
      <c r="V491" s="308">
        <f>'7.  Persistence Report'!V88</f>
        <v>24.329093839999999</v>
      </c>
      <c r="W491" s="308">
        <f>'7.  Persistence Report'!W88</f>
        <v>17.742821840000001</v>
      </c>
      <c r="X491" s="308">
        <f>'7.  Persistence Report'!X88</f>
        <v>17.742821840000001</v>
      </c>
      <c r="Y491" s="789"/>
      <c r="Z491" s="777"/>
      <c r="AA491" s="777"/>
      <c r="AB491" s="777">
        <v>1</v>
      </c>
      <c r="AC491" s="777"/>
      <c r="AD491" s="777"/>
      <c r="AE491" s="777"/>
      <c r="AF491" s="427"/>
      <c r="AG491" s="427"/>
      <c r="AH491" s="427"/>
      <c r="AI491" s="427"/>
      <c r="AJ491" s="427"/>
      <c r="AK491" s="427"/>
      <c r="AL491" s="427"/>
      <c r="AM491" s="309">
        <f>SUM(Y491:AL491)</f>
        <v>1</v>
      </c>
    </row>
    <row r="492" spans="1:39" ht="15" outlineLevel="1">
      <c r="B492" s="307" t="s">
        <v>259</v>
      </c>
      <c r="C492" s="304" t="s">
        <v>163</v>
      </c>
      <c r="D492" s="308"/>
      <c r="E492" s="308"/>
      <c r="F492" s="308"/>
      <c r="G492" s="308"/>
      <c r="H492" s="308"/>
      <c r="I492" s="308"/>
      <c r="J492" s="308"/>
      <c r="K492" s="308"/>
      <c r="L492" s="308"/>
      <c r="M492" s="308"/>
      <c r="N492" s="308">
        <f>N491</f>
        <v>12</v>
      </c>
      <c r="O492" s="308"/>
      <c r="P492" s="308"/>
      <c r="Q492" s="308"/>
      <c r="R492" s="308"/>
      <c r="S492" s="308"/>
      <c r="T492" s="308"/>
      <c r="U492" s="308"/>
      <c r="V492" s="308"/>
      <c r="W492" s="308"/>
      <c r="X492" s="308"/>
      <c r="Y492" s="773">
        <f>Y491</f>
        <v>0</v>
      </c>
      <c r="Z492" s="773">
        <f>Z491</f>
        <v>0</v>
      </c>
      <c r="AA492" s="773">
        <f t="shared" ref="AA492:AE492" si="269">AA491</f>
        <v>0</v>
      </c>
      <c r="AB492" s="773">
        <f t="shared" si="269"/>
        <v>1</v>
      </c>
      <c r="AC492" s="773">
        <f t="shared" si="269"/>
        <v>0</v>
      </c>
      <c r="AD492" s="773">
        <f t="shared" si="269"/>
        <v>0</v>
      </c>
      <c r="AE492" s="773">
        <f t="shared" si="269"/>
        <v>0</v>
      </c>
      <c r="AF492" s="423">
        <f t="shared" ref="AF492:AL492" si="270">AF491</f>
        <v>0</v>
      </c>
      <c r="AG492" s="423">
        <f t="shared" si="270"/>
        <v>0</v>
      </c>
      <c r="AH492" s="423">
        <f t="shared" si="270"/>
        <v>0</v>
      </c>
      <c r="AI492" s="423">
        <f t="shared" si="270"/>
        <v>0</v>
      </c>
      <c r="AJ492" s="423">
        <f t="shared" si="270"/>
        <v>0</v>
      </c>
      <c r="AK492" s="423">
        <f t="shared" si="270"/>
        <v>0</v>
      </c>
      <c r="AL492" s="423">
        <f t="shared" si="270"/>
        <v>0</v>
      </c>
      <c r="AM492" s="319"/>
    </row>
    <row r="493" spans="1:39" ht="15.6" outlineLevel="1">
      <c r="A493" s="519"/>
      <c r="B493" s="335"/>
      <c r="C493" s="313"/>
      <c r="D493" s="763"/>
      <c r="E493" s="763"/>
      <c r="F493" s="763"/>
      <c r="G493" s="763"/>
      <c r="H493" s="763"/>
      <c r="I493" s="763"/>
      <c r="J493" s="763"/>
      <c r="K493" s="763"/>
      <c r="L493" s="763"/>
      <c r="M493" s="763"/>
      <c r="N493" s="771"/>
      <c r="O493" s="763"/>
      <c r="P493" s="763"/>
      <c r="Q493" s="763"/>
      <c r="R493" s="763"/>
      <c r="S493" s="763"/>
      <c r="T493" s="763"/>
      <c r="U493" s="763"/>
      <c r="V493" s="763"/>
      <c r="W493" s="763"/>
      <c r="X493" s="763"/>
      <c r="Y493" s="774"/>
      <c r="Z493" s="774"/>
      <c r="AA493" s="774"/>
      <c r="AB493" s="774"/>
      <c r="AC493" s="774"/>
      <c r="AD493" s="774"/>
      <c r="AE493" s="774"/>
      <c r="AF493" s="424"/>
      <c r="AG493" s="424"/>
      <c r="AH493" s="424"/>
      <c r="AI493" s="424"/>
      <c r="AJ493" s="424"/>
      <c r="AK493" s="424"/>
      <c r="AL493" s="424"/>
      <c r="AM493" s="319"/>
    </row>
    <row r="494" spans="1:39" ht="15" outlineLevel="1">
      <c r="A494" s="516">
        <v>28</v>
      </c>
      <c r="B494" s="333" t="s">
        <v>18</v>
      </c>
      <c r="C494" s="304" t="s">
        <v>25</v>
      </c>
      <c r="D494" s="308"/>
      <c r="E494" s="308"/>
      <c r="F494" s="308"/>
      <c r="G494" s="308"/>
      <c r="H494" s="308"/>
      <c r="I494" s="308"/>
      <c r="J494" s="308"/>
      <c r="K494" s="308"/>
      <c r="L494" s="308"/>
      <c r="M494" s="308"/>
      <c r="N494" s="308">
        <v>0</v>
      </c>
      <c r="O494" s="308"/>
      <c r="P494" s="308"/>
      <c r="Q494" s="308"/>
      <c r="R494" s="308"/>
      <c r="S494" s="308"/>
      <c r="T494" s="308"/>
      <c r="U494" s="308"/>
      <c r="V494" s="308"/>
      <c r="W494" s="308"/>
      <c r="X494" s="308"/>
      <c r="Y494" s="789"/>
      <c r="Z494" s="777"/>
      <c r="AA494" s="777"/>
      <c r="AB494" s="777"/>
      <c r="AC494" s="777"/>
      <c r="AD494" s="777"/>
      <c r="AE494" s="777"/>
      <c r="AF494" s="427"/>
      <c r="AG494" s="427"/>
      <c r="AH494" s="427"/>
      <c r="AI494" s="427"/>
      <c r="AJ494" s="427"/>
      <c r="AK494" s="427"/>
      <c r="AL494" s="427"/>
      <c r="AM494" s="309">
        <f>SUM(Y494:AL494)</f>
        <v>0</v>
      </c>
    </row>
    <row r="495" spans="1:39" ht="15" outlineLevel="1">
      <c r="B495" s="307" t="s">
        <v>259</v>
      </c>
      <c r="C495" s="304" t="s">
        <v>163</v>
      </c>
      <c r="D495" s="308"/>
      <c r="E495" s="308"/>
      <c r="F495" s="308"/>
      <c r="G495" s="308"/>
      <c r="H495" s="308"/>
      <c r="I495" s="308"/>
      <c r="J495" s="308"/>
      <c r="K495" s="308"/>
      <c r="L495" s="308"/>
      <c r="M495" s="308"/>
      <c r="N495" s="308">
        <f>N494</f>
        <v>0</v>
      </c>
      <c r="O495" s="308"/>
      <c r="P495" s="308"/>
      <c r="Q495" s="308"/>
      <c r="R495" s="308"/>
      <c r="S495" s="308"/>
      <c r="T495" s="308"/>
      <c r="U495" s="308"/>
      <c r="V495" s="308"/>
      <c r="W495" s="308"/>
      <c r="X495" s="308"/>
      <c r="Y495" s="773">
        <f>Y494</f>
        <v>0</v>
      </c>
      <c r="Z495" s="773">
        <f>Z494</f>
        <v>0</v>
      </c>
      <c r="AA495" s="773">
        <f t="shared" ref="AA495:AE495" si="271">AA494</f>
        <v>0</v>
      </c>
      <c r="AB495" s="773">
        <f t="shared" si="271"/>
        <v>0</v>
      </c>
      <c r="AC495" s="773">
        <f t="shared" si="271"/>
        <v>0</v>
      </c>
      <c r="AD495" s="773">
        <f t="shared" si="271"/>
        <v>0</v>
      </c>
      <c r="AE495" s="773">
        <f t="shared" si="271"/>
        <v>0</v>
      </c>
      <c r="AF495" s="423">
        <f t="shared" ref="AF495:AL495" si="272">AF494</f>
        <v>0</v>
      </c>
      <c r="AG495" s="423">
        <f t="shared" si="272"/>
        <v>0</v>
      </c>
      <c r="AH495" s="423">
        <f t="shared" si="272"/>
        <v>0</v>
      </c>
      <c r="AI495" s="423">
        <f t="shared" si="272"/>
        <v>0</v>
      </c>
      <c r="AJ495" s="423">
        <f t="shared" si="272"/>
        <v>0</v>
      </c>
      <c r="AK495" s="423">
        <f t="shared" si="272"/>
        <v>0</v>
      </c>
      <c r="AL495" s="423">
        <f t="shared" si="272"/>
        <v>0</v>
      </c>
      <c r="AM495" s="310"/>
    </row>
    <row r="496" spans="1:39" ht="15" outlineLevel="1">
      <c r="A496" s="519"/>
      <c r="B496" s="334"/>
      <c r="C496" s="304"/>
      <c r="D496" s="763"/>
      <c r="E496" s="763"/>
      <c r="F496" s="763"/>
      <c r="G496" s="763"/>
      <c r="H496" s="763"/>
      <c r="I496" s="763"/>
      <c r="J496" s="763"/>
      <c r="K496" s="763"/>
      <c r="L496" s="763"/>
      <c r="M496" s="763"/>
      <c r="N496" s="763"/>
      <c r="O496" s="763"/>
      <c r="P496" s="763"/>
      <c r="Q496" s="763"/>
      <c r="R496" s="763"/>
      <c r="S496" s="763"/>
      <c r="T496" s="763"/>
      <c r="U496" s="763"/>
      <c r="V496" s="763"/>
      <c r="W496" s="763"/>
      <c r="X496" s="763"/>
      <c r="Y496" s="774"/>
      <c r="Z496" s="774"/>
      <c r="AA496" s="774"/>
      <c r="AB496" s="774"/>
      <c r="AC496" s="774"/>
      <c r="AD496" s="774"/>
      <c r="AE496" s="774"/>
      <c r="AF496" s="424"/>
      <c r="AG496" s="424"/>
      <c r="AH496" s="424"/>
      <c r="AI496" s="424"/>
      <c r="AJ496" s="424"/>
      <c r="AK496" s="424"/>
      <c r="AL496" s="424"/>
      <c r="AM496" s="319"/>
    </row>
    <row r="497" spans="1:39" ht="15" outlineLevel="1">
      <c r="A497" s="516">
        <v>29</v>
      </c>
      <c r="B497" s="336" t="s">
        <v>19</v>
      </c>
      <c r="C497" s="304" t="s">
        <v>25</v>
      </c>
      <c r="D497" s="308"/>
      <c r="E497" s="308"/>
      <c r="F497" s="308"/>
      <c r="G497" s="308"/>
      <c r="H497" s="308"/>
      <c r="I497" s="308"/>
      <c r="J497" s="308"/>
      <c r="K497" s="308"/>
      <c r="L497" s="308"/>
      <c r="M497" s="308"/>
      <c r="N497" s="308">
        <v>0</v>
      </c>
      <c r="O497" s="308"/>
      <c r="P497" s="308"/>
      <c r="Q497" s="308"/>
      <c r="R497" s="308"/>
      <c r="S497" s="308"/>
      <c r="T497" s="308"/>
      <c r="U497" s="308"/>
      <c r="V497" s="308"/>
      <c r="W497" s="308"/>
      <c r="X497" s="308"/>
      <c r="Y497" s="789"/>
      <c r="Z497" s="777"/>
      <c r="AA497" s="777"/>
      <c r="AB497" s="777"/>
      <c r="AC497" s="777"/>
      <c r="AD497" s="777"/>
      <c r="AE497" s="777"/>
      <c r="AF497" s="427"/>
      <c r="AG497" s="427"/>
      <c r="AH497" s="427"/>
      <c r="AI497" s="427"/>
      <c r="AJ497" s="427"/>
      <c r="AK497" s="427"/>
      <c r="AL497" s="427"/>
      <c r="AM497" s="309">
        <f>SUM(Y497:AL497)</f>
        <v>0</v>
      </c>
    </row>
    <row r="498" spans="1:39" ht="15" outlineLevel="1">
      <c r="B498" s="336" t="s">
        <v>259</v>
      </c>
      <c r="C498" s="304" t="s">
        <v>163</v>
      </c>
      <c r="D498" s="308"/>
      <c r="E498" s="308"/>
      <c r="F498" s="308"/>
      <c r="G498" s="308"/>
      <c r="H498" s="308"/>
      <c r="I498" s="308"/>
      <c r="J498" s="308"/>
      <c r="K498" s="308"/>
      <c r="L498" s="308"/>
      <c r="M498" s="308"/>
      <c r="N498" s="308">
        <f>N497</f>
        <v>0</v>
      </c>
      <c r="O498" s="308"/>
      <c r="P498" s="308"/>
      <c r="Q498" s="308"/>
      <c r="R498" s="308"/>
      <c r="S498" s="308"/>
      <c r="T498" s="308"/>
      <c r="U498" s="308"/>
      <c r="V498" s="308"/>
      <c r="W498" s="308"/>
      <c r="X498" s="308"/>
      <c r="Y498" s="773">
        <f>Y497</f>
        <v>0</v>
      </c>
      <c r="Z498" s="773">
        <f t="shared" ref="Z498:AE498" si="273">Z497</f>
        <v>0</v>
      </c>
      <c r="AA498" s="773">
        <f t="shared" si="273"/>
        <v>0</v>
      </c>
      <c r="AB498" s="773">
        <f t="shared" si="273"/>
        <v>0</v>
      </c>
      <c r="AC498" s="773">
        <f t="shared" si="273"/>
        <v>0</v>
      </c>
      <c r="AD498" s="773">
        <f t="shared" si="273"/>
        <v>0</v>
      </c>
      <c r="AE498" s="773">
        <f t="shared" si="273"/>
        <v>0</v>
      </c>
      <c r="AF498" s="423">
        <f t="shared" ref="AF498:AL498" si="274">AF497</f>
        <v>0</v>
      </c>
      <c r="AG498" s="423">
        <f t="shared" si="274"/>
        <v>0</v>
      </c>
      <c r="AH498" s="423">
        <f t="shared" si="274"/>
        <v>0</v>
      </c>
      <c r="AI498" s="423">
        <f t="shared" si="274"/>
        <v>0</v>
      </c>
      <c r="AJ498" s="423">
        <f t="shared" si="274"/>
        <v>0</v>
      </c>
      <c r="AK498" s="423">
        <f t="shared" si="274"/>
        <v>0</v>
      </c>
      <c r="AL498" s="423">
        <f t="shared" si="274"/>
        <v>0</v>
      </c>
      <c r="AM498" s="310"/>
    </row>
    <row r="499" spans="1:39" ht="15" outlineLevel="1">
      <c r="B499" s="336"/>
      <c r="C499" s="304"/>
      <c r="D499" s="763"/>
      <c r="E499" s="763"/>
      <c r="F499" s="763"/>
      <c r="G499" s="763"/>
      <c r="H499" s="763"/>
      <c r="I499" s="763"/>
      <c r="J499" s="763"/>
      <c r="K499" s="763"/>
      <c r="L499" s="763"/>
      <c r="M499" s="763"/>
      <c r="N499" s="763"/>
      <c r="O499" s="763"/>
      <c r="P499" s="763"/>
      <c r="Q499" s="763"/>
      <c r="R499" s="763"/>
      <c r="S499" s="763"/>
      <c r="T499" s="763"/>
      <c r="U499" s="763"/>
      <c r="V499" s="763"/>
      <c r="W499" s="763"/>
      <c r="X499" s="763"/>
      <c r="Y499" s="785"/>
      <c r="Z499" s="785"/>
      <c r="AA499" s="785"/>
      <c r="AB499" s="785"/>
      <c r="AC499" s="785"/>
      <c r="AD499" s="785"/>
      <c r="AE499" s="785"/>
      <c r="AF499" s="433"/>
      <c r="AG499" s="433"/>
      <c r="AH499" s="433"/>
      <c r="AI499" s="433"/>
      <c r="AJ499" s="433"/>
      <c r="AK499" s="433"/>
      <c r="AL499" s="433"/>
      <c r="AM499" s="326"/>
    </row>
    <row r="500" spans="1:39" s="296" customFormat="1" ht="15" outlineLevel="1">
      <c r="A500" s="516">
        <v>30</v>
      </c>
      <c r="B500" s="327" t="s">
        <v>488</v>
      </c>
      <c r="C500" s="304" t="s">
        <v>25</v>
      </c>
      <c r="D500" s="308"/>
      <c r="E500" s="308"/>
      <c r="F500" s="308"/>
      <c r="G500" s="308"/>
      <c r="H500" s="308"/>
      <c r="I500" s="308"/>
      <c r="J500" s="308"/>
      <c r="K500" s="308"/>
      <c r="L500" s="308"/>
      <c r="M500" s="308"/>
      <c r="N500" s="308">
        <v>0</v>
      </c>
      <c r="O500" s="308"/>
      <c r="P500" s="308"/>
      <c r="Q500" s="308"/>
      <c r="R500" s="308"/>
      <c r="S500" s="308"/>
      <c r="T500" s="308"/>
      <c r="U500" s="308"/>
      <c r="V500" s="308"/>
      <c r="W500" s="308"/>
      <c r="X500" s="308"/>
      <c r="Y500" s="772"/>
      <c r="Z500" s="772"/>
      <c r="AA500" s="772"/>
      <c r="AB500" s="772"/>
      <c r="AC500" s="772"/>
      <c r="AD500" s="772"/>
      <c r="AE500" s="772"/>
      <c r="AF500" s="422"/>
      <c r="AG500" s="422"/>
      <c r="AH500" s="422"/>
      <c r="AI500" s="422"/>
      <c r="AJ500" s="422"/>
      <c r="AK500" s="422"/>
      <c r="AL500" s="422"/>
      <c r="AM500" s="309">
        <f>SUM(Y500:AL500)</f>
        <v>0</v>
      </c>
    </row>
    <row r="501" spans="1:39" s="296" customFormat="1" ht="15" outlineLevel="1">
      <c r="A501" s="516"/>
      <c r="B501" s="336" t="s">
        <v>259</v>
      </c>
      <c r="C501" s="304" t="s">
        <v>163</v>
      </c>
      <c r="D501" s="308"/>
      <c r="E501" s="308"/>
      <c r="F501" s="308"/>
      <c r="G501" s="308"/>
      <c r="H501" s="308"/>
      <c r="I501" s="308"/>
      <c r="J501" s="308"/>
      <c r="K501" s="308"/>
      <c r="L501" s="308"/>
      <c r="M501" s="308"/>
      <c r="N501" s="308">
        <f>N500</f>
        <v>0</v>
      </c>
      <c r="O501" s="308"/>
      <c r="P501" s="308"/>
      <c r="Q501" s="308"/>
      <c r="R501" s="308"/>
      <c r="S501" s="308"/>
      <c r="T501" s="308"/>
      <c r="U501" s="308"/>
      <c r="V501" s="308"/>
      <c r="W501" s="308"/>
      <c r="X501" s="308"/>
      <c r="Y501" s="773">
        <f>Y500</f>
        <v>0</v>
      </c>
      <c r="Z501" s="773">
        <f t="shared" ref="Z501:AE501" si="275">Z500</f>
        <v>0</v>
      </c>
      <c r="AA501" s="773">
        <f t="shared" si="275"/>
        <v>0</v>
      </c>
      <c r="AB501" s="773">
        <f t="shared" si="275"/>
        <v>0</v>
      </c>
      <c r="AC501" s="773">
        <f t="shared" si="275"/>
        <v>0</v>
      </c>
      <c r="AD501" s="773">
        <f t="shared" si="275"/>
        <v>0</v>
      </c>
      <c r="AE501" s="773">
        <f t="shared" si="275"/>
        <v>0</v>
      </c>
      <c r="AF501" s="423">
        <f t="shared" ref="AF501:AL501" si="276">AF500</f>
        <v>0</v>
      </c>
      <c r="AG501" s="423">
        <f t="shared" si="276"/>
        <v>0</v>
      </c>
      <c r="AH501" s="423">
        <f t="shared" si="276"/>
        <v>0</v>
      </c>
      <c r="AI501" s="423">
        <f t="shared" si="276"/>
        <v>0</v>
      </c>
      <c r="AJ501" s="423">
        <f t="shared" si="276"/>
        <v>0</v>
      </c>
      <c r="AK501" s="423">
        <f t="shared" si="276"/>
        <v>0</v>
      </c>
      <c r="AL501" s="423">
        <f t="shared" si="276"/>
        <v>0</v>
      </c>
      <c r="AM501" s="310"/>
    </row>
    <row r="502" spans="1:39" s="296" customFormat="1" ht="15" outlineLevel="1">
      <c r="A502" s="516"/>
      <c r="B502" s="336"/>
      <c r="C502" s="304"/>
      <c r="D502" s="763"/>
      <c r="E502" s="763"/>
      <c r="F502" s="763"/>
      <c r="G502" s="763"/>
      <c r="H502" s="763"/>
      <c r="I502" s="763"/>
      <c r="J502" s="763"/>
      <c r="K502" s="763"/>
      <c r="L502" s="763"/>
      <c r="M502" s="763"/>
      <c r="N502" s="763"/>
      <c r="O502" s="763"/>
      <c r="P502" s="763"/>
      <c r="Q502" s="763"/>
      <c r="R502" s="763"/>
      <c r="S502" s="763"/>
      <c r="T502" s="763"/>
      <c r="U502" s="763"/>
      <c r="V502" s="763"/>
      <c r="W502" s="763"/>
      <c r="X502" s="763"/>
      <c r="Y502" s="774"/>
      <c r="Z502" s="774"/>
      <c r="AA502" s="774"/>
      <c r="AB502" s="774"/>
      <c r="AC502" s="774"/>
      <c r="AD502" s="774"/>
      <c r="AE502" s="774"/>
      <c r="AF502" s="424"/>
      <c r="AG502" s="424"/>
      <c r="AH502" s="424"/>
      <c r="AI502" s="424"/>
      <c r="AJ502" s="424"/>
      <c r="AK502" s="424"/>
      <c r="AL502" s="424"/>
      <c r="AM502" s="326"/>
    </row>
    <row r="503" spans="1:39" s="296" customFormat="1" ht="15.6" outlineLevel="1">
      <c r="A503" s="516"/>
      <c r="B503" s="301" t="s">
        <v>489</v>
      </c>
      <c r="C503" s="304"/>
      <c r="D503" s="763"/>
      <c r="E503" s="763"/>
      <c r="F503" s="763"/>
      <c r="G503" s="763"/>
      <c r="H503" s="763"/>
      <c r="I503" s="763"/>
      <c r="J503" s="763"/>
      <c r="K503" s="763"/>
      <c r="L503" s="763"/>
      <c r="M503" s="763"/>
      <c r="N503" s="763"/>
      <c r="O503" s="763"/>
      <c r="P503" s="763"/>
      <c r="Q503" s="763"/>
      <c r="R503" s="763"/>
      <c r="S503" s="763"/>
      <c r="T503" s="763"/>
      <c r="U503" s="763"/>
      <c r="V503" s="763"/>
      <c r="W503" s="763"/>
      <c r="X503" s="763"/>
      <c r="Y503" s="774"/>
      <c r="Z503" s="774"/>
      <c r="AA503" s="774"/>
      <c r="AB503" s="774"/>
      <c r="AC503" s="774"/>
      <c r="AD503" s="774"/>
      <c r="AE503" s="774"/>
      <c r="AF503" s="424"/>
      <c r="AG503" s="424"/>
      <c r="AH503" s="424"/>
      <c r="AI503" s="424"/>
      <c r="AJ503" s="424"/>
      <c r="AK503" s="424"/>
      <c r="AL503" s="424"/>
      <c r="AM503" s="326"/>
    </row>
    <row r="504" spans="1:39" s="296" customFormat="1" ht="15" outlineLevel="1">
      <c r="A504" s="516">
        <v>31</v>
      </c>
      <c r="B504" s="336" t="s">
        <v>490</v>
      </c>
      <c r="C504" s="304" t="s">
        <v>25</v>
      </c>
      <c r="D504" s="308"/>
      <c r="E504" s="308"/>
      <c r="F504" s="308"/>
      <c r="G504" s="308"/>
      <c r="H504" s="308"/>
      <c r="I504" s="308"/>
      <c r="J504" s="308"/>
      <c r="K504" s="308"/>
      <c r="L504" s="308"/>
      <c r="M504" s="308"/>
      <c r="N504" s="308">
        <v>0</v>
      </c>
      <c r="O504" s="308"/>
      <c r="P504" s="308"/>
      <c r="Q504" s="308"/>
      <c r="R504" s="308"/>
      <c r="S504" s="308"/>
      <c r="T504" s="308"/>
      <c r="U504" s="308"/>
      <c r="V504" s="308"/>
      <c r="W504" s="308"/>
      <c r="X504" s="308"/>
      <c r="Y504" s="772"/>
      <c r="Z504" s="772"/>
      <c r="AA504" s="772"/>
      <c r="AB504" s="772"/>
      <c r="AC504" s="772"/>
      <c r="AD504" s="772"/>
      <c r="AE504" s="772"/>
      <c r="AF504" s="422"/>
      <c r="AG504" s="422"/>
      <c r="AH504" s="422"/>
      <c r="AI504" s="422"/>
      <c r="AJ504" s="422"/>
      <c r="AK504" s="422"/>
      <c r="AL504" s="422"/>
      <c r="AM504" s="309">
        <f>SUM(Y504:AL504)</f>
        <v>0</v>
      </c>
    </row>
    <row r="505" spans="1:39" s="296" customFormat="1" ht="15" outlineLevel="1">
      <c r="A505" s="516"/>
      <c r="B505" s="336" t="s">
        <v>259</v>
      </c>
      <c r="C505" s="304" t="s">
        <v>163</v>
      </c>
      <c r="D505" s="308"/>
      <c r="E505" s="308"/>
      <c r="F505" s="308"/>
      <c r="G505" s="308"/>
      <c r="H505" s="308"/>
      <c r="I505" s="308"/>
      <c r="J505" s="308"/>
      <c r="K505" s="308"/>
      <c r="L505" s="308"/>
      <c r="M505" s="308"/>
      <c r="N505" s="308">
        <f>N504</f>
        <v>0</v>
      </c>
      <c r="O505" s="308"/>
      <c r="P505" s="308"/>
      <c r="Q505" s="308"/>
      <c r="R505" s="308"/>
      <c r="S505" s="308"/>
      <c r="T505" s="308"/>
      <c r="U505" s="308"/>
      <c r="V505" s="308"/>
      <c r="W505" s="308"/>
      <c r="X505" s="308"/>
      <c r="Y505" s="773">
        <f>Y504</f>
        <v>0</v>
      </c>
      <c r="Z505" s="773">
        <f t="shared" ref="Z505:AE505" si="277">Z504</f>
        <v>0</v>
      </c>
      <c r="AA505" s="773">
        <f t="shared" si="277"/>
        <v>0</v>
      </c>
      <c r="AB505" s="773">
        <f t="shared" si="277"/>
        <v>0</v>
      </c>
      <c r="AC505" s="773">
        <f t="shared" si="277"/>
        <v>0</v>
      </c>
      <c r="AD505" s="773">
        <f t="shared" si="277"/>
        <v>0</v>
      </c>
      <c r="AE505" s="773">
        <f t="shared" si="277"/>
        <v>0</v>
      </c>
      <c r="AF505" s="423">
        <f t="shared" ref="AF505:AL505" si="278">AF504</f>
        <v>0</v>
      </c>
      <c r="AG505" s="423">
        <f t="shared" si="278"/>
        <v>0</v>
      </c>
      <c r="AH505" s="423">
        <f t="shared" si="278"/>
        <v>0</v>
      </c>
      <c r="AI505" s="423">
        <f t="shared" si="278"/>
        <v>0</v>
      </c>
      <c r="AJ505" s="423">
        <f t="shared" si="278"/>
        <v>0</v>
      </c>
      <c r="AK505" s="423">
        <f t="shared" si="278"/>
        <v>0</v>
      </c>
      <c r="AL505" s="423">
        <f t="shared" si="278"/>
        <v>0</v>
      </c>
      <c r="AM505" s="310"/>
    </row>
    <row r="506" spans="1:39" s="296" customFormat="1" ht="15" outlineLevel="1">
      <c r="A506" s="516"/>
      <c r="B506" s="336"/>
      <c r="C506" s="304"/>
      <c r="D506" s="763"/>
      <c r="E506" s="763"/>
      <c r="F506" s="763"/>
      <c r="G506" s="763"/>
      <c r="H506" s="763"/>
      <c r="I506" s="763"/>
      <c r="J506" s="763"/>
      <c r="K506" s="763"/>
      <c r="L506" s="763"/>
      <c r="M506" s="763"/>
      <c r="N506" s="763"/>
      <c r="O506" s="763"/>
      <c r="P506" s="763"/>
      <c r="Q506" s="763"/>
      <c r="R506" s="763"/>
      <c r="S506" s="763"/>
      <c r="T506" s="763"/>
      <c r="U506" s="763"/>
      <c r="V506" s="763"/>
      <c r="W506" s="763"/>
      <c r="X506" s="763"/>
      <c r="Y506" s="774"/>
      <c r="Z506" s="774"/>
      <c r="AA506" s="774"/>
      <c r="AB506" s="774"/>
      <c r="AC506" s="774"/>
      <c r="AD506" s="774"/>
      <c r="AE506" s="774"/>
      <c r="AF506" s="424"/>
      <c r="AG506" s="424"/>
      <c r="AH506" s="424"/>
      <c r="AI506" s="424"/>
      <c r="AJ506" s="424"/>
      <c r="AK506" s="424"/>
      <c r="AL506" s="424"/>
      <c r="AM506" s="326"/>
    </row>
    <row r="507" spans="1:39" s="296" customFormat="1" ht="15" outlineLevel="1">
      <c r="A507" s="516">
        <v>32</v>
      </c>
      <c r="B507" s="336" t="s">
        <v>491</v>
      </c>
      <c r="C507" s="304" t="s">
        <v>25</v>
      </c>
      <c r="D507" s="308">
        <f>'7.  Persistence Report'!AT100</f>
        <v>0</v>
      </c>
      <c r="E507" s="308">
        <f>'7.  Persistence Report'!AU100</f>
        <v>0</v>
      </c>
      <c r="F507" s="308">
        <f>'7.  Persistence Report'!AV100</f>
        <v>0</v>
      </c>
      <c r="G507" s="308">
        <f>'7.  Persistence Report'!AW100</f>
        <v>0</v>
      </c>
      <c r="H507" s="308">
        <f>'7.  Persistence Report'!AX100</f>
        <v>0</v>
      </c>
      <c r="I507" s="308">
        <f>'7.  Persistence Report'!AY100</f>
        <v>0</v>
      </c>
      <c r="J507" s="308">
        <f>'7.  Persistence Report'!AZ100</f>
        <v>0</v>
      </c>
      <c r="K507" s="308">
        <f>'7.  Persistence Report'!BA100</f>
        <v>0</v>
      </c>
      <c r="L507" s="308">
        <f>'7.  Persistence Report'!BB100</f>
        <v>0</v>
      </c>
      <c r="M507" s="308">
        <f>'7.  Persistence Report'!BC100</f>
        <v>0</v>
      </c>
      <c r="N507" s="308">
        <v>0</v>
      </c>
      <c r="O507" s="308">
        <f>'7.  Persistence Report'!O100</f>
        <v>253.36968239999996</v>
      </c>
      <c r="P507" s="308">
        <f>'7.  Persistence Report'!P100</f>
        <v>0</v>
      </c>
      <c r="Q507" s="308">
        <f>'7.  Persistence Report'!Q100</f>
        <v>0</v>
      </c>
      <c r="R507" s="308">
        <f>'7.  Persistence Report'!R100</f>
        <v>0</v>
      </c>
      <c r="S507" s="308">
        <f>'7.  Persistence Report'!S100</f>
        <v>0</v>
      </c>
      <c r="T507" s="308">
        <f>'7.  Persistence Report'!T100</f>
        <v>0</v>
      </c>
      <c r="U507" s="308">
        <f>'7.  Persistence Report'!U100</f>
        <v>0</v>
      </c>
      <c r="V507" s="308">
        <f>'7.  Persistence Report'!V100</f>
        <v>0</v>
      </c>
      <c r="W507" s="308">
        <f>'7.  Persistence Report'!W100</f>
        <v>0</v>
      </c>
      <c r="X507" s="308">
        <f>'7.  Persistence Report'!X100</f>
        <v>0</v>
      </c>
      <c r="Y507" s="772"/>
      <c r="Z507" s="772"/>
      <c r="AA507" s="772"/>
      <c r="AB507" s="772"/>
      <c r="AC507" s="772"/>
      <c r="AD507" s="772"/>
      <c r="AE507" s="772"/>
      <c r="AF507" s="422"/>
      <c r="AG507" s="422"/>
      <c r="AH507" s="422"/>
      <c r="AI507" s="422"/>
      <c r="AJ507" s="422"/>
      <c r="AK507" s="422"/>
      <c r="AL507" s="422"/>
      <c r="AM507" s="309">
        <f>SUM(Y507:AL507)</f>
        <v>0</v>
      </c>
    </row>
    <row r="508" spans="1:39" s="296" customFormat="1" ht="15" outlineLevel="1">
      <c r="A508" s="516"/>
      <c r="B508" s="336" t="s">
        <v>259</v>
      </c>
      <c r="C508" s="304" t="s">
        <v>163</v>
      </c>
      <c r="D508" s="308"/>
      <c r="E508" s="308"/>
      <c r="F508" s="308"/>
      <c r="G508" s="308"/>
      <c r="H508" s="308"/>
      <c r="I508" s="308"/>
      <c r="J508" s="308"/>
      <c r="K508" s="308"/>
      <c r="L508" s="308"/>
      <c r="M508" s="308"/>
      <c r="N508" s="308">
        <f>N507</f>
        <v>0</v>
      </c>
      <c r="O508" s="308"/>
      <c r="P508" s="308"/>
      <c r="Q508" s="308"/>
      <c r="R508" s="308"/>
      <c r="S508" s="308"/>
      <c r="T508" s="308"/>
      <c r="U508" s="308"/>
      <c r="V508" s="308"/>
      <c r="W508" s="308"/>
      <c r="X508" s="308"/>
      <c r="Y508" s="773">
        <f>Y507</f>
        <v>0</v>
      </c>
      <c r="Z508" s="773">
        <f t="shared" ref="Z508:AE508" si="279">Z507</f>
        <v>0</v>
      </c>
      <c r="AA508" s="773">
        <f t="shared" si="279"/>
        <v>0</v>
      </c>
      <c r="AB508" s="773">
        <f t="shared" si="279"/>
        <v>0</v>
      </c>
      <c r="AC508" s="773">
        <f t="shared" si="279"/>
        <v>0</v>
      </c>
      <c r="AD508" s="773">
        <f t="shared" si="279"/>
        <v>0</v>
      </c>
      <c r="AE508" s="773">
        <f t="shared" si="279"/>
        <v>0</v>
      </c>
      <c r="AF508" s="423">
        <f t="shared" ref="AF508:AL508" si="280">AF507</f>
        <v>0</v>
      </c>
      <c r="AG508" s="423">
        <f t="shared" si="280"/>
        <v>0</v>
      </c>
      <c r="AH508" s="423">
        <f t="shared" si="280"/>
        <v>0</v>
      </c>
      <c r="AI508" s="423">
        <f t="shared" si="280"/>
        <v>0</v>
      </c>
      <c r="AJ508" s="423">
        <f t="shared" si="280"/>
        <v>0</v>
      </c>
      <c r="AK508" s="423">
        <f t="shared" si="280"/>
        <v>0</v>
      </c>
      <c r="AL508" s="423">
        <f t="shared" si="280"/>
        <v>0</v>
      </c>
      <c r="AM508" s="310"/>
    </row>
    <row r="509" spans="1:39" s="296" customFormat="1" ht="15" outlineLevel="1">
      <c r="A509" s="516"/>
      <c r="B509" s="336"/>
      <c r="C509" s="304"/>
      <c r="D509" s="763"/>
      <c r="E509" s="763"/>
      <c r="F509" s="763"/>
      <c r="G509" s="763"/>
      <c r="H509" s="763"/>
      <c r="I509" s="763"/>
      <c r="J509" s="763"/>
      <c r="K509" s="763"/>
      <c r="L509" s="763"/>
      <c r="M509" s="763"/>
      <c r="N509" s="763"/>
      <c r="O509" s="763"/>
      <c r="P509" s="763"/>
      <c r="Q509" s="763"/>
      <c r="R509" s="763"/>
      <c r="S509" s="763"/>
      <c r="T509" s="763"/>
      <c r="U509" s="763"/>
      <c r="V509" s="763"/>
      <c r="W509" s="763"/>
      <c r="X509" s="763"/>
      <c r="Y509" s="774"/>
      <c r="Z509" s="774"/>
      <c r="AA509" s="774"/>
      <c r="AB509" s="774"/>
      <c r="AC509" s="774"/>
      <c r="AD509" s="774"/>
      <c r="AE509" s="774"/>
      <c r="AF509" s="424"/>
      <c r="AG509" s="424"/>
      <c r="AH509" s="424"/>
      <c r="AI509" s="424"/>
      <c r="AJ509" s="424"/>
      <c r="AK509" s="424"/>
      <c r="AL509" s="424"/>
      <c r="AM509" s="326"/>
    </row>
    <row r="510" spans="1:39" s="296" customFormat="1" ht="15" outlineLevel="1">
      <c r="A510" s="516">
        <v>33</v>
      </c>
      <c r="B510" s="336" t="s">
        <v>492</v>
      </c>
      <c r="C510" s="304" t="s">
        <v>25</v>
      </c>
      <c r="D510" s="308"/>
      <c r="E510" s="308"/>
      <c r="F510" s="308"/>
      <c r="G510" s="308"/>
      <c r="H510" s="308"/>
      <c r="I510" s="308"/>
      <c r="J510" s="308"/>
      <c r="K510" s="308"/>
      <c r="L510" s="308"/>
      <c r="M510" s="308"/>
      <c r="N510" s="308">
        <v>12</v>
      </c>
      <c r="O510" s="308"/>
      <c r="P510" s="308"/>
      <c r="Q510" s="308"/>
      <c r="R510" s="308"/>
      <c r="S510" s="308"/>
      <c r="T510" s="308"/>
      <c r="U510" s="308"/>
      <c r="V510" s="308"/>
      <c r="W510" s="308"/>
      <c r="X510" s="308"/>
      <c r="Y510" s="772"/>
      <c r="Z510" s="772"/>
      <c r="AA510" s="772"/>
      <c r="AB510" s="772"/>
      <c r="AC510" s="772"/>
      <c r="AD510" s="772"/>
      <c r="AE510" s="772"/>
      <c r="AF510" s="422"/>
      <c r="AG510" s="422"/>
      <c r="AH510" s="422"/>
      <c r="AI510" s="422"/>
      <c r="AJ510" s="422"/>
      <c r="AK510" s="422"/>
      <c r="AL510" s="422"/>
      <c r="AM510" s="309">
        <f>SUM(Y510:AL510)</f>
        <v>0</v>
      </c>
    </row>
    <row r="511" spans="1:39" s="296" customFormat="1" ht="15" outlineLevel="1">
      <c r="A511" s="516"/>
      <c r="B511" s="336" t="s">
        <v>259</v>
      </c>
      <c r="C511" s="304" t="s">
        <v>163</v>
      </c>
      <c r="D511" s="308"/>
      <c r="E511" s="308"/>
      <c r="F511" s="308"/>
      <c r="G511" s="308"/>
      <c r="H511" s="308"/>
      <c r="I511" s="308"/>
      <c r="J511" s="308"/>
      <c r="K511" s="308"/>
      <c r="L511" s="308"/>
      <c r="M511" s="308"/>
      <c r="N511" s="308">
        <f>N510</f>
        <v>12</v>
      </c>
      <c r="O511" s="308"/>
      <c r="P511" s="308"/>
      <c r="Q511" s="308"/>
      <c r="R511" s="308"/>
      <c r="S511" s="308"/>
      <c r="T511" s="308"/>
      <c r="U511" s="308"/>
      <c r="V511" s="308"/>
      <c r="W511" s="308"/>
      <c r="X511" s="308"/>
      <c r="Y511" s="773">
        <f>Y510</f>
        <v>0</v>
      </c>
      <c r="Z511" s="773">
        <f t="shared" ref="Z511:AE511" si="281">Z510</f>
        <v>0</v>
      </c>
      <c r="AA511" s="773">
        <f t="shared" si="281"/>
        <v>0</v>
      </c>
      <c r="AB511" s="773">
        <f t="shared" si="281"/>
        <v>0</v>
      </c>
      <c r="AC511" s="773">
        <f t="shared" si="281"/>
        <v>0</v>
      </c>
      <c r="AD511" s="773">
        <f t="shared" si="281"/>
        <v>0</v>
      </c>
      <c r="AE511" s="773">
        <f t="shared" si="281"/>
        <v>0</v>
      </c>
      <c r="AF511" s="423">
        <f t="shared" ref="AF511:AK511" si="282">AF510</f>
        <v>0</v>
      </c>
      <c r="AG511" s="423">
        <f t="shared" si="282"/>
        <v>0</v>
      </c>
      <c r="AH511" s="423">
        <f t="shared" si="282"/>
        <v>0</v>
      </c>
      <c r="AI511" s="423">
        <f t="shared" si="282"/>
        <v>0</v>
      </c>
      <c r="AJ511" s="423">
        <f t="shared" si="282"/>
        <v>0</v>
      </c>
      <c r="AK511" s="423">
        <f t="shared" si="282"/>
        <v>0</v>
      </c>
      <c r="AL511" s="423">
        <f>AL510</f>
        <v>0</v>
      </c>
      <c r="AM511" s="310"/>
    </row>
    <row r="512" spans="1:39" ht="15" outlineLevel="1">
      <c r="B512" s="328"/>
      <c r="C512" s="337"/>
      <c r="D512" s="304"/>
      <c r="E512" s="304"/>
      <c r="F512" s="304"/>
      <c r="G512" s="304"/>
      <c r="H512" s="304"/>
      <c r="I512" s="304"/>
      <c r="J512" s="304"/>
      <c r="K512" s="304"/>
      <c r="L512" s="304"/>
      <c r="M512" s="304"/>
      <c r="N512" s="313"/>
      <c r="O512" s="304"/>
      <c r="P512" s="338"/>
      <c r="Q512" s="338"/>
      <c r="R512" s="338"/>
      <c r="S512" s="338"/>
      <c r="T512" s="338"/>
      <c r="U512" s="338"/>
      <c r="V512" s="338"/>
      <c r="W512" s="338"/>
      <c r="X512" s="338"/>
      <c r="Y512" s="314"/>
      <c r="Z512" s="314"/>
      <c r="AA512" s="314"/>
      <c r="AB512" s="314"/>
      <c r="AC512" s="314"/>
      <c r="AD512" s="314"/>
      <c r="AE512" s="314"/>
      <c r="AF512" s="314"/>
      <c r="AG512" s="314"/>
      <c r="AH512" s="314"/>
      <c r="AI512" s="314"/>
      <c r="AJ512" s="314"/>
      <c r="AK512" s="314"/>
      <c r="AL512" s="314"/>
      <c r="AM512" s="319"/>
    </row>
    <row r="513" spans="2:41" ht="15.6">
      <c r="B513" s="339" t="s">
        <v>260</v>
      </c>
      <c r="C513" s="341"/>
      <c r="D513" s="341">
        <f>SUM(D408:D511)</f>
        <v>3124600.3824996725</v>
      </c>
      <c r="E513" s="341"/>
      <c r="F513" s="341"/>
      <c r="G513" s="341"/>
      <c r="H513" s="341"/>
      <c r="I513" s="341"/>
      <c r="J513" s="341"/>
      <c r="K513" s="341"/>
      <c r="L513" s="341"/>
      <c r="M513" s="341"/>
      <c r="N513" s="341"/>
      <c r="O513" s="341">
        <f>SUM(O408:O511)</f>
        <v>793.03098925559561</v>
      </c>
      <c r="P513" s="341"/>
      <c r="Q513" s="341"/>
      <c r="R513" s="341"/>
      <c r="S513" s="341"/>
      <c r="T513" s="341"/>
      <c r="U513" s="341"/>
      <c r="V513" s="341"/>
      <c r="W513" s="341"/>
      <c r="X513" s="341"/>
      <c r="Y513" s="341">
        <f>IF(Y407="kWh",SUMPRODUCT(D408:D511,Y408:Y511))</f>
        <v>1237902.9111696722</v>
      </c>
      <c r="Z513" s="341">
        <f>IF(Z407="kWh",SUMPRODUCT(D408:D511,Z408:Z511))</f>
        <v>541812.35390750004</v>
      </c>
      <c r="AA513" s="341">
        <f>IF(AA407="kW",SUMPRODUCT(N408:N511,O408:O511,AA408:AA511),SUMPRODUCT(D408:D511,AA408:AA511))</f>
        <v>2329.6945061472002</v>
      </c>
      <c r="AB513" s="341">
        <f>IF(AB407="kW",SUMPRODUCT(N408:N511,O408:O511,AB408:AB511),SUMPRODUCT(D408:D511,AB408:AB511))</f>
        <v>563.85029888279996</v>
      </c>
      <c r="AC513" s="341">
        <f>IF(AC407="kW",SUMPRODUCT(N408:N511,O408:O511,AC408:AC511),SUMPRODUCT(D408:D511,AC408:AC511))</f>
        <v>0</v>
      </c>
      <c r="AD513" s="341">
        <f>IF(AD407="kW",SUMPRODUCT(N408:N511,O408:O511,AD408:AD511),SUMPRODUCT(D408:D511,AD408:AD511))</f>
        <v>0</v>
      </c>
      <c r="AE513" s="341">
        <f>IF(AE407="kW",SUMPRODUCT(N408:N511,O408:O511,AE408:AE511),SUMPRODUCT(D408:D511,AE408:AE511))</f>
        <v>0</v>
      </c>
      <c r="AF513" s="341">
        <f>IF(AF407="kW",SUMPRODUCT(N408:N511,O408:O511,AF408:AF511),SUMPRODUCT(D408:D511,AF408:AF511))</f>
        <v>0</v>
      </c>
      <c r="AG513" s="341">
        <f>IF(AG407="kW",SUMPRODUCT(N408:N511,O408:O511,AG408:AG511),SUMPRODUCT(D408:D511,AG408:AG511))</f>
        <v>0</v>
      </c>
      <c r="AH513" s="341">
        <f>IF(AH407="kW",SUMPRODUCT(N408:N511,O408:O511,AH408:AH511),SUMPRODUCT(D408:D511,AH408:AH511))</f>
        <v>0</v>
      </c>
      <c r="AI513" s="341">
        <f>IF(AI407="kW",SUMPRODUCT(N408:N511,O408:O511,AI408:AI511),SUMPRODUCT(D408:D511,AI408:AI511))</f>
        <v>0</v>
      </c>
      <c r="AJ513" s="341">
        <f>IF(AJ407="kW",SUMPRODUCT(N408:N511,O408:O511,AJ408:AJ511),SUMPRODUCT(D408:D511,AJ408:AJ511))</f>
        <v>0</v>
      </c>
      <c r="AK513" s="341">
        <f>IF(AK407="kW",SUMPRODUCT(N408:N511,O408:O511,AK408:AK511),SUMPRODUCT(D408:D511,AK408:AK511))</f>
        <v>0</v>
      </c>
      <c r="AL513" s="341">
        <f>IF(AL407="kW",SUMPRODUCT(N408:N511,O408:O511,AL408:AL511),SUMPRODUCT(D408:D511,AL408:AL511))</f>
        <v>0</v>
      </c>
      <c r="AM513" s="342"/>
    </row>
    <row r="514" spans="2:41" ht="15.6">
      <c r="B514" s="403" t="s">
        <v>261</v>
      </c>
      <c r="C514" s="404"/>
      <c r="D514" s="404"/>
      <c r="E514" s="404"/>
      <c r="F514" s="404"/>
      <c r="G514" s="404"/>
      <c r="H514" s="404"/>
      <c r="I514" s="404"/>
      <c r="J514" s="404"/>
      <c r="K514" s="404"/>
      <c r="L514" s="404"/>
      <c r="M514" s="404"/>
      <c r="N514" s="404"/>
      <c r="O514" s="404"/>
      <c r="P514" s="404"/>
      <c r="Q514" s="404"/>
      <c r="R514" s="404"/>
      <c r="S514" s="404"/>
      <c r="T514" s="404"/>
      <c r="U514" s="404"/>
      <c r="V514" s="404"/>
      <c r="W514" s="404"/>
      <c r="X514" s="404"/>
      <c r="Y514" s="340">
        <f>HLOOKUP(Y406,'2. LRAMVA Threshold'!$B$42:$Q$53,6,FALSE)</f>
        <v>0</v>
      </c>
      <c r="Z514" s="340">
        <f>HLOOKUP(Z406,'2. LRAMVA Threshold'!$B$42:$Q$53,6,FALSE)</f>
        <v>0</v>
      </c>
      <c r="AA514" s="340">
        <f>HLOOKUP(AA406,'2. LRAMVA Threshold'!$B$42:$Q$53,6,FALSE)</f>
        <v>0</v>
      </c>
      <c r="AB514" s="340">
        <f>HLOOKUP(AB406,'2. LRAMVA Threshold'!$B$42:$Q$53,6,FALSE)</f>
        <v>0</v>
      </c>
      <c r="AC514" s="340">
        <f>HLOOKUP(AC406,'2. LRAMVA Threshold'!$B$42:$Q$53,6,FALSE)</f>
        <v>0</v>
      </c>
      <c r="AD514" s="340">
        <f>HLOOKUP(AD406,'2. LRAMVA Threshold'!$B$42:$Q$53,6,FALSE)</f>
        <v>0</v>
      </c>
      <c r="AE514" s="340">
        <f>HLOOKUP(AE406,'2. LRAMVA Threshold'!$B$42:$Q$53,6,FALSE)</f>
        <v>0</v>
      </c>
      <c r="AF514" s="340">
        <f>HLOOKUP(AF406,'2. LRAMVA Threshold'!$B$42:$Q$53,6,FALSE)</f>
        <v>0</v>
      </c>
      <c r="AG514" s="340">
        <f>HLOOKUP(AG406,'2. LRAMVA Threshold'!$B$42:$Q$53,6,FALSE)</f>
        <v>0</v>
      </c>
      <c r="AH514" s="340">
        <f>HLOOKUP(AH406,'2. LRAMVA Threshold'!$B$42:$Q$53,6,FALSE)</f>
        <v>0</v>
      </c>
      <c r="AI514" s="340">
        <f>HLOOKUP(AI406,'2. LRAMVA Threshold'!$B$42:$Q$53,6,FALSE)</f>
        <v>0</v>
      </c>
      <c r="AJ514" s="340">
        <f>HLOOKUP(AJ406,'2. LRAMVA Threshold'!$B$42:$Q$53,6,FALSE)</f>
        <v>0</v>
      </c>
      <c r="AK514" s="340">
        <f>HLOOKUP(AK406,'2. LRAMVA Threshold'!$B$42:$Q$53,6,FALSE)</f>
        <v>0</v>
      </c>
      <c r="AL514" s="340">
        <f>HLOOKUP(AL406,'2. LRAMVA Threshold'!$B$42:$Q$53,6,FALSE)</f>
        <v>0</v>
      </c>
      <c r="AM514" s="405"/>
    </row>
    <row r="515" spans="2:41" ht="15">
      <c r="B515" s="406"/>
      <c r="C515" s="407"/>
      <c r="D515" s="408"/>
      <c r="E515" s="408"/>
      <c r="F515" s="408"/>
      <c r="G515" s="408"/>
      <c r="H515" s="408"/>
      <c r="I515" s="408"/>
      <c r="J515" s="408"/>
      <c r="K515" s="408"/>
      <c r="L515" s="408"/>
      <c r="M515" s="408"/>
      <c r="N515" s="408"/>
      <c r="O515" s="409"/>
      <c r="P515" s="408"/>
      <c r="Q515" s="408"/>
      <c r="R515" s="408"/>
      <c r="S515" s="410"/>
      <c r="T515" s="410"/>
      <c r="U515" s="410"/>
      <c r="V515" s="410"/>
      <c r="W515" s="408"/>
      <c r="X515" s="408"/>
      <c r="Y515" s="411"/>
      <c r="Z515" s="411"/>
      <c r="AA515" s="411"/>
      <c r="AB515" s="411"/>
      <c r="AC515" s="411"/>
      <c r="AD515" s="411"/>
      <c r="AE515" s="411"/>
      <c r="AF515" s="411"/>
      <c r="AG515" s="411"/>
      <c r="AH515" s="411"/>
      <c r="AI515" s="411"/>
      <c r="AJ515" s="411"/>
      <c r="AK515" s="411"/>
      <c r="AL515" s="411"/>
      <c r="AM515" s="412"/>
    </row>
    <row r="516" spans="2:41" ht="15">
      <c r="B516" s="336" t="s">
        <v>167</v>
      </c>
      <c r="C516" s="350"/>
      <c r="D516" s="350"/>
      <c r="E516" s="388"/>
      <c r="F516" s="388"/>
      <c r="G516" s="388"/>
      <c r="H516" s="388"/>
      <c r="I516" s="388"/>
      <c r="J516" s="388"/>
      <c r="K516" s="388"/>
      <c r="L516" s="388"/>
      <c r="M516" s="388"/>
      <c r="N516" s="388"/>
      <c r="O516" s="304"/>
      <c r="P516" s="352"/>
      <c r="Q516" s="352"/>
      <c r="R516" s="352"/>
      <c r="S516" s="351"/>
      <c r="T516" s="351"/>
      <c r="U516" s="351"/>
      <c r="V516" s="351"/>
      <c r="W516" s="352"/>
      <c r="X516" s="352"/>
      <c r="Y516" s="353"/>
      <c r="Z516" s="353"/>
      <c r="AA516" s="353"/>
      <c r="AB516" s="353"/>
      <c r="AC516" s="353"/>
      <c r="AD516" s="353"/>
      <c r="AE516" s="353"/>
      <c r="AF516" s="353"/>
      <c r="AG516" s="353"/>
      <c r="AH516" s="353"/>
      <c r="AI516" s="353"/>
      <c r="AJ516" s="353"/>
      <c r="AK516" s="353"/>
      <c r="AL516" s="353"/>
      <c r="AM516" s="413"/>
    </row>
    <row r="517" spans="2:41" ht="15">
      <c r="B517" s="336" t="s">
        <v>159</v>
      </c>
      <c r="C517" s="357"/>
      <c r="D517" s="322"/>
      <c r="E517" s="292"/>
      <c r="F517" s="292"/>
      <c r="G517" s="292"/>
      <c r="H517" s="292"/>
      <c r="I517" s="292"/>
      <c r="J517" s="292"/>
      <c r="K517" s="292"/>
      <c r="L517" s="292"/>
      <c r="M517" s="292"/>
      <c r="N517" s="292"/>
      <c r="O517" s="304"/>
      <c r="P517" s="292"/>
      <c r="Q517" s="292"/>
      <c r="R517" s="292"/>
      <c r="S517" s="322"/>
      <c r="T517" s="322"/>
      <c r="U517" s="322"/>
      <c r="V517" s="322"/>
      <c r="W517" s="292"/>
      <c r="X517" s="292"/>
      <c r="Y517" s="390">
        <f>Y137*Y516</f>
        <v>0</v>
      </c>
      <c r="Z517" s="390">
        <f t="shared" ref="Z517:AL517" si="283">Z137*Z516</f>
        <v>0</v>
      </c>
      <c r="AA517" s="390">
        <f t="shared" si="283"/>
        <v>0</v>
      </c>
      <c r="AB517" s="390">
        <f t="shared" si="283"/>
        <v>0</v>
      </c>
      <c r="AC517" s="390">
        <f t="shared" si="283"/>
        <v>0</v>
      </c>
      <c r="AD517" s="390">
        <f t="shared" si="283"/>
        <v>0</v>
      </c>
      <c r="AE517" s="390">
        <f t="shared" si="283"/>
        <v>0</v>
      </c>
      <c r="AF517" s="390">
        <f t="shared" si="283"/>
        <v>0</v>
      </c>
      <c r="AG517" s="390">
        <f t="shared" si="283"/>
        <v>0</v>
      </c>
      <c r="AH517" s="390">
        <f t="shared" si="283"/>
        <v>0</v>
      </c>
      <c r="AI517" s="390">
        <f t="shared" si="283"/>
        <v>0</v>
      </c>
      <c r="AJ517" s="390">
        <f t="shared" si="283"/>
        <v>0</v>
      </c>
      <c r="AK517" s="390">
        <f t="shared" si="283"/>
        <v>0</v>
      </c>
      <c r="AL517" s="390">
        <f t="shared" si="283"/>
        <v>0</v>
      </c>
      <c r="AM517" s="635">
        <f>SUM(Y517:AL517)</f>
        <v>0</v>
      </c>
      <c r="AO517" s="296"/>
    </row>
    <row r="518" spans="2:41" ht="15">
      <c r="B518" s="336" t="s">
        <v>160</v>
      </c>
      <c r="C518" s="357"/>
      <c r="D518" s="322"/>
      <c r="E518" s="292"/>
      <c r="F518" s="292"/>
      <c r="G518" s="292"/>
      <c r="H518" s="292"/>
      <c r="I518" s="292"/>
      <c r="J518" s="292"/>
      <c r="K518" s="292"/>
      <c r="L518" s="292"/>
      <c r="M518" s="292"/>
      <c r="N518" s="292"/>
      <c r="O518" s="304"/>
      <c r="P518" s="292"/>
      <c r="Q518" s="292"/>
      <c r="R518" s="292"/>
      <c r="S518" s="322"/>
      <c r="T518" s="322"/>
      <c r="U518" s="322"/>
      <c r="V518" s="322"/>
      <c r="W518" s="292"/>
      <c r="X518" s="292"/>
      <c r="Y518" s="390">
        <f>Y266*Y516</f>
        <v>0</v>
      </c>
      <c r="Z518" s="390">
        <f t="shared" ref="Z518:AL518" si="284">Z266*Z516</f>
        <v>0</v>
      </c>
      <c r="AA518" s="390">
        <f t="shared" si="284"/>
        <v>0</v>
      </c>
      <c r="AB518" s="390">
        <f t="shared" si="284"/>
        <v>0</v>
      </c>
      <c r="AC518" s="390">
        <f t="shared" si="284"/>
        <v>0</v>
      </c>
      <c r="AD518" s="390">
        <f t="shared" si="284"/>
        <v>0</v>
      </c>
      <c r="AE518" s="390">
        <f t="shared" si="284"/>
        <v>0</v>
      </c>
      <c r="AF518" s="390">
        <f t="shared" si="284"/>
        <v>0</v>
      </c>
      <c r="AG518" s="390">
        <f t="shared" si="284"/>
        <v>0</v>
      </c>
      <c r="AH518" s="390">
        <f t="shared" si="284"/>
        <v>0</v>
      </c>
      <c r="AI518" s="390">
        <f t="shared" si="284"/>
        <v>0</v>
      </c>
      <c r="AJ518" s="390">
        <f t="shared" si="284"/>
        <v>0</v>
      </c>
      <c r="AK518" s="390">
        <f t="shared" si="284"/>
        <v>0</v>
      </c>
      <c r="AL518" s="390">
        <f t="shared" si="284"/>
        <v>0</v>
      </c>
      <c r="AM518" s="635">
        <f>SUM(Y518:AL518)</f>
        <v>0</v>
      </c>
    </row>
    <row r="519" spans="2:41" ht="15">
      <c r="B519" s="336" t="s">
        <v>161</v>
      </c>
      <c r="C519" s="357"/>
      <c r="D519" s="322"/>
      <c r="E519" s="292"/>
      <c r="F519" s="292"/>
      <c r="G519" s="292"/>
      <c r="H519" s="292"/>
      <c r="I519" s="292"/>
      <c r="J519" s="292"/>
      <c r="K519" s="292"/>
      <c r="L519" s="292"/>
      <c r="M519" s="292"/>
      <c r="N519" s="292"/>
      <c r="O519" s="304"/>
      <c r="P519" s="292"/>
      <c r="Q519" s="292"/>
      <c r="R519" s="292"/>
      <c r="S519" s="322"/>
      <c r="T519" s="322"/>
      <c r="U519" s="322"/>
      <c r="V519" s="322"/>
      <c r="W519" s="292"/>
      <c r="X519" s="292"/>
      <c r="Y519" s="390">
        <f>Y395*Y516</f>
        <v>0</v>
      </c>
      <c r="Z519" s="390">
        <f t="shared" ref="Z519:AL519" si="285">Z395*Z516</f>
        <v>0</v>
      </c>
      <c r="AA519" s="390">
        <f t="shared" si="285"/>
        <v>0</v>
      </c>
      <c r="AB519" s="390">
        <f t="shared" si="285"/>
        <v>0</v>
      </c>
      <c r="AC519" s="390">
        <f t="shared" si="285"/>
        <v>0</v>
      </c>
      <c r="AD519" s="390">
        <f t="shared" si="285"/>
        <v>0</v>
      </c>
      <c r="AE519" s="390">
        <f t="shared" si="285"/>
        <v>0</v>
      </c>
      <c r="AF519" s="390">
        <f t="shared" si="285"/>
        <v>0</v>
      </c>
      <c r="AG519" s="390">
        <f t="shared" si="285"/>
        <v>0</v>
      </c>
      <c r="AH519" s="390">
        <f t="shared" si="285"/>
        <v>0</v>
      </c>
      <c r="AI519" s="390">
        <f t="shared" si="285"/>
        <v>0</v>
      </c>
      <c r="AJ519" s="390">
        <f t="shared" si="285"/>
        <v>0</v>
      </c>
      <c r="AK519" s="390">
        <f t="shared" si="285"/>
        <v>0</v>
      </c>
      <c r="AL519" s="390">
        <f t="shared" si="285"/>
        <v>0</v>
      </c>
      <c r="AM519" s="635">
        <f>SUM(Y519:AL519)</f>
        <v>0</v>
      </c>
    </row>
    <row r="520" spans="2:41" ht="15">
      <c r="B520" s="336" t="s">
        <v>162</v>
      </c>
      <c r="C520" s="357"/>
      <c r="D520" s="322"/>
      <c r="E520" s="292"/>
      <c r="F520" s="292"/>
      <c r="G520" s="292"/>
      <c r="H520" s="292"/>
      <c r="I520" s="292"/>
      <c r="J520" s="292"/>
      <c r="K520" s="292"/>
      <c r="L520" s="292"/>
      <c r="M520" s="292"/>
      <c r="N520" s="292"/>
      <c r="O520" s="304"/>
      <c r="P520" s="292"/>
      <c r="Q520" s="292"/>
      <c r="R520" s="292"/>
      <c r="S520" s="322"/>
      <c r="T520" s="322"/>
      <c r="U520" s="322"/>
      <c r="V520" s="322"/>
      <c r="W520" s="292"/>
      <c r="X520" s="292"/>
      <c r="Y520" s="390">
        <f>Y513*Y516</f>
        <v>0</v>
      </c>
      <c r="Z520" s="390">
        <f t="shared" ref="Z520:AK520" si="286">Z513*Z516</f>
        <v>0</v>
      </c>
      <c r="AA520" s="390">
        <f t="shared" si="286"/>
        <v>0</v>
      </c>
      <c r="AB520" s="390">
        <f t="shared" si="286"/>
        <v>0</v>
      </c>
      <c r="AC520" s="390">
        <f t="shared" si="286"/>
        <v>0</v>
      </c>
      <c r="AD520" s="390">
        <f t="shared" si="286"/>
        <v>0</v>
      </c>
      <c r="AE520" s="390">
        <f t="shared" si="286"/>
        <v>0</v>
      </c>
      <c r="AF520" s="390">
        <f t="shared" si="286"/>
        <v>0</v>
      </c>
      <c r="AG520" s="390">
        <f t="shared" si="286"/>
        <v>0</v>
      </c>
      <c r="AH520" s="390">
        <f t="shared" si="286"/>
        <v>0</v>
      </c>
      <c r="AI520" s="390">
        <f>AI513*AI516</f>
        <v>0</v>
      </c>
      <c r="AJ520" s="390">
        <f t="shared" si="286"/>
        <v>0</v>
      </c>
      <c r="AK520" s="390">
        <f t="shared" si="286"/>
        <v>0</v>
      </c>
      <c r="AL520" s="390">
        <f>AL513*AL516</f>
        <v>0</v>
      </c>
      <c r="AM520" s="635">
        <f>SUM(Y520:AL520)</f>
        <v>0</v>
      </c>
    </row>
    <row r="521" spans="2:41" ht="15.6">
      <c r="B521" s="361" t="s">
        <v>262</v>
      </c>
      <c r="C521" s="357"/>
      <c r="D521" s="348"/>
      <c r="E521" s="346"/>
      <c r="F521" s="346"/>
      <c r="G521" s="346"/>
      <c r="H521" s="346"/>
      <c r="I521" s="346"/>
      <c r="J521" s="346"/>
      <c r="K521" s="346"/>
      <c r="L521" s="346"/>
      <c r="M521" s="346"/>
      <c r="N521" s="346"/>
      <c r="O521" s="313"/>
      <c r="P521" s="346"/>
      <c r="Q521" s="346"/>
      <c r="R521" s="346"/>
      <c r="S521" s="348"/>
      <c r="T521" s="348"/>
      <c r="U521" s="348"/>
      <c r="V521" s="348"/>
      <c r="W521" s="346"/>
      <c r="X521" s="346"/>
      <c r="Y521" s="358">
        <f>SUM(Y517:Y520)</f>
        <v>0</v>
      </c>
      <c r="Z521" s="358">
        <f t="shared" ref="Z521:AK521" si="287">SUM(Z517:Z520)</f>
        <v>0</v>
      </c>
      <c r="AA521" s="358">
        <f t="shared" si="287"/>
        <v>0</v>
      </c>
      <c r="AB521" s="358">
        <f t="shared" si="287"/>
        <v>0</v>
      </c>
      <c r="AC521" s="358">
        <f t="shared" si="287"/>
        <v>0</v>
      </c>
      <c r="AD521" s="358">
        <f t="shared" si="287"/>
        <v>0</v>
      </c>
      <c r="AE521" s="358">
        <f t="shared" si="287"/>
        <v>0</v>
      </c>
      <c r="AF521" s="358">
        <f t="shared" si="287"/>
        <v>0</v>
      </c>
      <c r="AG521" s="358">
        <f t="shared" si="287"/>
        <v>0</v>
      </c>
      <c r="AH521" s="358">
        <f t="shared" si="287"/>
        <v>0</v>
      </c>
      <c r="AI521" s="358">
        <f t="shared" si="287"/>
        <v>0</v>
      </c>
      <c r="AJ521" s="358">
        <f t="shared" si="287"/>
        <v>0</v>
      </c>
      <c r="AK521" s="358">
        <f t="shared" si="287"/>
        <v>0</v>
      </c>
      <c r="AL521" s="358">
        <f>SUM(AL517:AL520)</f>
        <v>0</v>
      </c>
      <c r="AM521" s="419">
        <f>SUM(AM517:AM520)</f>
        <v>0</v>
      </c>
    </row>
    <row r="522" spans="2:41" ht="15.6">
      <c r="B522" s="361" t="s">
        <v>263</v>
      </c>
      <c r="C522" s="357"/>
      <c r="D522" s="362"/>
      <c r="E522" s="346"/>
      <c r="F522" s="346"/>
      <c r="G522" s="346"/>
      <c r="H522" s="346"/>
      <c r="I522" s="346"/>
      <c r="J522" s="346"/>
      <c r="K522" s="346"/>
      <c r="L522" s="346"/>
      <c r="M522" s="346"/>
      <c r="N522" s="346"/>
      <c r="O522" s="313"/>
      <c r="P522" s="346"/>
      <c r="Q522" s="346"/>
      <c r="R522" s="346"/>
      <c r="S522" s="348"/>
      <c r="T522" s="348"/>
      <c r="U522" s="348"/>
      <c r="V522" s="348"/>
      <c r="W522" s="346"/>
      <c r="X522" s="346"/>
      <c r="Y522" s="359">
        <f>Y514*Y516</f>
        <v>0</v>
      </c>
      <c r="Z522" s="359">
        <f t="shared" ref="Z522:AJ522" si="288">Z514*Z516</f>
        <v>0</v>
      </c>
      <c r="AA522" s="359">
        <f>AA514*AA516</f>
        <v>0</v>
      </c>
      <c r="AB522" s="359">
        <f t="shared" si="288"/>
        <v>0</v>
      </c>
      <c r="AC522" s="359">
        <f t="shared" si="288"/>
        <v>0</v>
      </c>
      <c r="AD522" s="359">
        <f>AD514*AD516</f>
        <v>0</v>
      </c>
      <c r="AE522" s="359">
        <f t="shared" si="288"/>
        <v>0</v>
      </c>
      <c r="AF522" s="359">
        <f t="shared" si="288"/>
        <v>0</v>
      </c>
      <c r="AG522" s="359">
        <f t="shared" si="288"/>
        <v>0</v>
      </c>
      <c r="AH522" s="359">
        <f t="shared" si="288"/>
        <v>0</v>
      </c>
      <c r="AI522" s="359">
        <f t="shared" si="288"/>
        <v>0</v>
      </c>
      <c r="AJ522" s="359">
        <f t="shared" si="288"/>
        <v>0</v>
      </c>
      <c r="AK522" s="359">
        <f>AK514*AK516</f>
        <v>0</v>
      </c>
      <c r="AL522" s="359">
        <f>AL514*AL516</f>
        <v>0</v>
      </c>
      <c r="AM522" s="419">
        <f>SUM(Y522:AL522)</f>
        <v>0</v>
      </c>
    </row>
    <row r="523" spans="2:41" ht="15.6">
      <c r="B523" s="361" t="s">
        <v>265</v>
      </c>
      <c r="C523" s="357"/>
      <c r="D523" s="362"/>
      <c r="E523" s="346"/>
      <c r="F523" s="346"/>
      <c r="G523" s="346"/>
      <c r="H523" s="346"/>
      <c r="I523" s="346"/>
      <c r="J523" s="346"/>
      <c r="K523" s="346"/>
      <c r="L523" s="346"/>
      <c r="M523" s="346"/>
      <c r="N523" s="346"/>
      <c r="O523" s="313"/>
      <c r="P523" s="346"/>
      <c r="Q523" s="346"/>
      <c r="R523" s="346"/>
      <c r="S523" s="362"/>
      <c r="T523" s="362"/>
      <c r="U523" s="362"/>
      <c r="V523" s="362"/>
      <c r="W523" s="346"/>
      <c r="X523" s="346"/>
      <c r="Y523" s="363"/>
      <c r="Z523" s="363"/>
      <c r="AA523" s="363"/>
      <c r="AB523" s="363"/>
      <c r="AC523" s="363"/>
      <c r="AD523" s="363"/>
      <c r="AE523" s="363"/>
      <c r="AF523" s="363"/>
      <c r="AG523" s="363"/>
      <c r="AH523" s="363"/>
      <c r="AI523" s="363"/>
      <c r="AJ523" s="363"/>
      <c r="AK523" s="363"/>
      <c r="AL523" s="363"/>
      <c r="AM523" s="419">
        <f>AM521-AM522</f>
        <v>0</v>
      </c>
    </row>
    <row r="524" spans="2:41" ht="15.6">
      <c r="B524" s="361"/>
      <c r="C524" s="357"/>
      <c r="D524" s="362"/>
      <c r="E524" s="346"/>
      <c r="F524" s="346"/>
      <c r="G524" s="346"/>
      <c r="H524" s="346"/>
      <c r="I524" s="346"/>
      <c r="J524" s="346"/>
      <c r="K524" s="346"/>
      <c r="L524" s="346"/>
      <c r="M524" s="346"/>
      <c r="N524" s="346"/>
      <c r="O524" s="313"/>
      <c r="P524" s="346"/>
      <c r="Q524" s="346"/>
      <c r="R524" s="346"/>
      <c r="S524" s="362"/>
      <c r="T524" s="362"/>
      <c r="U524" s="362"/>
      <c r="V524" s="362"/>
      <c r="W524" s="346"/>
      <c r="X524" s="346"/>
      <c r="Y524" s="363"/>
      <c r="Z524" s="363"/>
      <c r="AA524" s="363"/>
      <c r="AB524" s="363"/>
      <c r="AC524" s="363"/>
      <c r="AD524" s="363"/>
      <c r="AE524" s="363"/>
      <c r="AF524" s="363"/>
      <c r="AG524" s="363"/>
      <c r="AH524" s="363"/>
      <c r="AI524" s="363"/>
      <c r="AJ524" s="363"/>
      <c r="AK524" s="363"/>
      <c r="AL524" s="363"/>
      <c r="AM524" s="419"/>
    </row>
    <row r="525" spans="2:41" ht="15.6">
      <c r="B525" s="361"/>
      <c r="C525" s="357"/>
      <c r="D525" s="362"/>
      <c r="E525" s="346"/>
      <c r="F525" s="346"/>
      <c r="G525" s="346"/>
      <c r="H525" s="346"/>
      <c r="I525" s="346"/>
      <c r="J525" s="346"/>
      <c r="K525" s="346"/>
      <c r="L525" s="346"/>
      <c r="M525" s="346"/>
      <c r="N525" s="346"/>
      <c r="O525" s="313"/>
      <c r="P525" s="346"/>
      <c r="Q525" s="346"/>
      <c r="R525" s="346"/>
      <c r="S525" s="362"/>
      <c r="T525" s="362"/>
      <c r="U525" s="362"/>
      <c r="V525" s="362"/>
      <c r="W525" s="346"/>
      <c r="X525" s="346"/>
      <c r="Y525" s="363"/>
      <c r="Z525" s="363"/>
      <c r="AA525" s="363"/>
      <c r="AB525" s="363"/>
      <c r="AC525" s="363"/>
      <c r="AD525" s="363"/>
      <c r="AE525" s="363"/>
      <c r="AF525" s="363"/>
      <c r="AG525" s="363"/>
      <c r="AH525" s="363"/>
      <c r="AI525" s="363"/>
      <c r="AJ525" s="363"/>
      <c r="AK525" s="363"/>
      <c r="AL525" s="363"/>
      <c r="AM525" s="420"/>
    </row>
    <row r="526" spans="2:41" ht="15">
      <c r="B526" s="336" t="s">
        <v>201</v>
      </c>
      <c r="C526" s="362"/>
      <c r="D526" s="362"/>
      <c r="E526" s="346"/>
      <c r="F526" s="346"/>
      <c r="G526" s="346"/>
      <c r="H526" s="346"/>
      <c r="I526" s="346"/>
      <c r="J526" s="346"/>
      <c r="K526" s="346"/>
      <c r="L526" s="346"/>
      <c r="M526" s="346"/>
      <c r="N526" s="346"/>
      <c r="O526" s="313"/>
      <c r="P526" s="346"/>
      <c r="Q526" s="346"/>
      <c r="R526" s="346"/>
      <c r="S526" s="362"/>
      <c r="T526" s="357"/>
      <c r="U526" s="362"/>
      <c r="V526" s="362"/>
      <c r="W526" s="346"/>
      <c r="X526" s="346"/>
      <c r="Y526" s="304">
        <f>SUMPRODUCT(E408:E511,Y408:Y511)</f>
        <v>1137516.263369672</v>
      </c>
      <c r="Z526" s="304">
        <f>SUMPRODUCT(E408:E511,Z408:Z511)</f>
        <v>541694.38363000005</v>
      </c>
      <c r="AA526" s="304">
        <f>IF(AA407="kW",SUMPRODUCT(N408:N511,P408:P511,AA408:AA511),SUMPRODUCT(E408:E511,AA408:AA511))</f>
        <v>2328.6532095232801</v>
      </c>
      <c r="AB526" s="304">
        <f>IF(AB407="kW",SUMPRODUCT(N408:N511,P408:P511,AB408:AB511),SUMPRODUCT(E408:E511,AB408:AB511))</f>
        <v>563.71978170971988</v>
      </c>
      <c r="AC526" s="304">
        <f>IF(AC407="kW",SUMPRODUCT(N408:N511,P408:P511,AC408:AC511),SUMPRODUCT(E408:E511,AC408:AC511))</f>
        <v>0</v>
      </c>
      <c r="AD526" s="304">
        <f>IF(AD407="kW",SUMPRODUCT(N408:N511,P408:P511,AD408:AD511),SUMPRODUCT(E408:E511,AD408:AD511))</f>
        <v>0</v>
      </c>
      <c r="AE526" s="304">
        <f>IF(AE407="kW",SUMPRODUCT(N408:N511,P408:P511,AE408:AE511),SUMPRODUCT(E408:E511,AE408:AE511))</f>
        <v>0</v>
      </c>
      <c r="AF526" s="304">
        <f>IF(AF407="kW",SUMPRODUCT(N408:N511,P408:P511,AF408:AF511),SUMPRODUCT(E408:E511,AF408:AF511))</f>
        <v>0</v>
      </c>
      <c r="AG526" s="304">
        <f>IF(AG407="kW",SUMPRODUCT(N408:N511,P408:P511,AG408:AG511),SUMPRODUCT(E408:E511,AG408:AG511))</f>
        <v>0</v>
      </c>
      <c r="AH526" s="304">
        <f>IF(AH407="kW",SUMPRODUCT(N408:N511,P408:P511,AH408:AH511),SUMPRODUCT(E408:E511,AH408:AH511))</f>
        <v>0</v>
      </c>
      <c r="AI526" s="304">
        <f>IF(AI407="kW",SUMPRODUCT(N408:N511,P408:P511,AI408:AI511),SUMPRODUCT(E408:E511,AI408:AI511))</f>
        <v>0</v>
      </c>
      <c r="AJ526" s="304">
        <f>IF(AJ407="kW",SUMPRODUCT(N408:N511,P408:P511,AJ408:AJ511),SUMPRODUCT(E408:E511,AJ408:AJ511))</f>
        <v>0</v>
      </c>
      <c r="AK526" s="304">
        <f>IF(AK407="kW",SUMPRODUCT(N408:N511,P408:P511,AK408:AK511),SUMPRODUCT(E408:E511,AK408:AK511))</f>
        <v>0</v>
      </c>
      <c r="AL526" s="304">
        <f>IF(AL407="kW",SUMPRODUCT(N408:N511,P408:P511,AL408:AL511),SUMPRODUCT(E408:E511,AL408:AL511))</f>
        <v>0</v>
      </c>
      <c r="AM526" s="365"/>
    </row>
    <row r="527" spans="2:41" ht="15">
      <c r="B527" s="336" t="s">
        <v>202</v>
      </c>
      <c r="C527" s="368"/>
      <c r="D527" s="292"/>
      <c r="E527" s="292"/>
      <c r="F527" s="292"/>
      <c r="G527" s="292"/>
      <c r="H527" s="292"/>
      <c r="I527" s="292"/>
      <c r="J527" s="292"/>
      <c r="K527" s="292"/>
      <c r="L527" s="292"/>
      <c r="M527" s="292"/>
      <c r="N527" s="292"/>
      <c r="O527" s="369"/>
      <c r="P527" s="292"/>
      <c r="Q527" s="292"/>
      <c r="R527" s="292"/>
      <c r="S527" s="317"/>
      <c r="T527" s="322"/>
      <c r="U527" s="322"/>
      <c r="V527" s="292"/>
      <c r="W527" s="292"/>
      <c r="X527" s="322"/>
      <c r="Y527" s="304"/>
      <c r="Z527" s="304"/>
      <c r="AA527" s="304"/>
      <c r="AB527" s="304"/>
      <c r="AC527" s="304"/>
      <c r="AD527" s="304"/>
      <c r="AE527" s="304"/>
      <c r="AF527" s="304"/>
      <c r="AG527" s="304"/>
      <c r="AH527" s="304"/>
      <c r="AI527" s="304"/>
      <c r="AJ527" s="304"/>
      <c r="AK527" s="304"/>
      <c r="AL527" s="304"/>
      <c r="AM527" s="349"/>
    </row>
    <row r="528" spans="2:41" ht="15">
      <c r="B528" s="336" t="s">
        <v>203</v>
      </c>
      <c r="C528" s="368"/>
      <c r="D528" s="292"/>
      <c r="E528" s="292"/>
      <c r="F528" s="292"/>
      <c r="G528" s="292"/>
      <c r="H528" s="292"/>
      <c r="I528" s="292"/>
      <c r="J528" s="292"/>
      <c r="K528" s="292"/>
      <c r="L528" s="292"/>
      <c r="M528" s="292"/>
      <c r="N528" s="292"/>
      <c r="O528" s="369"/>
      <c r="P528" s="292"/>
      <c r="Q528" s="292"/>
      <c r="R528" s="292"/>
      <c r="S528" s="317"/>
      <c r="T528" s="322"/>
      <c r="U528" s="322"/>
      <c r="V528" s="292"/>
      <c r="W528" s="292"/>
      <c r="X528" s="322"/>
      <c r="Y528" s="304"/>
      <c r="Z528" s="304"/>
      <c r="AA528" s="304"/>
      <c r="AB528" s="304"/>
      <c r="AC528" s="304"/>
      <c r="AD528" s="304"/>
      <c r="AE528" s="304"/>
      <c r="AF528" s="304"/>
      <c r="AG528" s="304"/>
      <c r="AH528" s="304"/>
      <c r="AI528" s="304"/>
      <c r="AJ528" s="304"/>
      <c r="AK528" s="304"/>
      <c r="AL528" s="304"/>
      <c r="AM528" s="349"/>
    </row>
    <row r="529" spans="2:39" ht="15">
      <c r="B529" s="336" t="s">
        <v>204</v>
      </c>
      <c r="C529" s="368"/>
      <c r="D529" s="292"/>
      <c r="E529" s="292"/>
      <c r="F529" s="292"/>
      <c r="G529" s="292"/>
      <c r="H529" s="292"/>
      <c r="I529" s="292"/>
      <c r="J529" s="292"/>
      <c r="K529" s="292"/>
      <c r="L529" s="292"/>
      <c r="M529" s="292"/>
      <c r="N529" s="292"/>
      <c r="O529" s="369"/>
      <c r="P529" s="292"/>
      <c r="Q529" s="292"/>
      <c r="R529" s="292"/>
      <c r="S529" s="317"/>
      <c r="T529" s="322"/>
      <c r="U529" s="322"/>
      <c r="V529" s="292"/>
      <c r="W529" s="292"/>
      <c r="X529" s="322"/>
      <c r="Y529" s="304"/>
      <c r="Z529" s="304"/>
      <c r="AA529" s="304"/>
      <c r="AB529" s="304"/>
      <c r="AC529" s="304"/>
      <c r="AD529" s="304"/>
      <c r="AE529" s="304"/>
      <c r="AF529" s="304"/>
      <c r="AG529" s="304"/>
      <c r="AH529" s="304"/>
      <c r="AI529" s="304"/>
      <c r="AJ529" s="304"/>
      <c r="AK529" s="304"/>
      <c r="AL529" s="304"/>
      <c r="AM529" s="349"/>
    </row>
    <row r="530" spans="2:39" ht="15">
      <c r="B530" s="336" t="s">
        <v>205</v>
      </c>
      <c r="C530" s="368"/>
      <c r="D530" s="292"/>
      <c r="E530" s="292"/>
      <c r="F530" s="292"/>
      <c r="G530" s="292"/>
      <c r="H530" s="292"/>
      <c r="I530" s="292"/>
      <c r="J530" s="292"/>
      <c r="K530" s="292"/>
      <c r="L530" s="292"/>
      <c r="M530" s="292"/>
      <c r="N530" s="292"/>
      <c r="O530" s="369"/>
      <c r="P530" s="292"/>
      <c r="Q530" s="292"/>
      <c r="R530" s="292"/>
      <c r="S530" s="317"/>
      <c r="T530" s="322"/>
      <c r="U530" s="322"/>
      <c r="V530" s="292"/>
      <c r="W530" s="292"/>
      <c r="X530" s="322"/>
      <c r="Y530" s="304"/>
      <c r="Z530" s="304"/>
      <c r="AA530" s="304"/>
      <c r="AB530" s="304"/>
      <c r="AC530" s="304"/>
      <c r="AD530" s="304"/>
      <c r="AE530" s="304"/>
      <c r="AF530" s="304"/>
      <c r="AG530" s="304"/>
      <c r="AH530" s="304"/>
      <c r="AI530" s="304"/>
      <c r="AJ530" s="304"/>
      <c r="AK530" s="304"/>
      <c r="AL530" s="304"/>
      <c r="AM530" s="349"/>
    </row>
    <row r="531" spans="2:39" ht="15">
      <c r="B531" s="393" t="s">
        <v>206</v>
      </c>
      <c r="C531" s="371"/>
      <c r="D531" s="396"/>
      <c r="E531" s="396"/>
      <c r="F531" s="396"/>
      <c r="G531" s="396"/>
      <c r="H531" s="396"/>
      <c r="I531" s="396"/>
      <c r="J531" s="396"/>
      <c r="K531" s="396"/>
      <c r="L531" s="396"/>
      <c r="M531" s="396"/>
      <c r="N531" s="396"/>
      <c r="O531" s="395"/>
      <c r="P531" s="396"/>
      <c r="Q531" s="396"/>
      <c r="R531" s="396"/>
      <c r="S531" s="376"/>
      <c r="T531" s="397"/>
      <c r="U531" s="397"/>
      <c r="V531" s="396"/>
      <c r="W531" s="396"/>
      <c r="X531" s="397"/>
      <c r="Y531" s="338"/>
      <c r="Z531" s="338"/>
      <c r="AA531" s="338"/>
      <c r="AB531" s="338"/>
      <c r="AC531" s="338"/>
      <c r="AD531" s="338"/>
      <c r="AE531" s="338"/>
      <c r="AF531" s="338"/>
      <c r="AG531" s="338"/>
      <c r="AH531" s="338"/>
      <c r="AI531" s="338"/>
      <c r="AJ531" s="338"/>
      <c r="AK531" s="338"/>
      <c r="AL531" s="338"/>
      <c r="AM531" s="398"/>
    </row>
    <row r="532" spans="2:39" ht="22.5" customHeight="1">
      <c r="B532" s="380" t="s">
        <v>586</v>
      </c>
      <c r="C532" s="399"/>
      <c r="D532" s="400"/>
      <c r="E532" s="400"/>
      <c r="F532" s="400"/>
      <c r="G532" s="400"/>
      <c r="H532" s="400"/>
      <c r="I532" s="400"/>
      <c r="J532" s="400"/>
      <c r="K532" s="400"/>
      <c r="L532" s="400"/>
      <c r="M532" s="400"/>
      <c r="N532" s="400"/>
      <c r="O532" s="400"/>
      <c r="P532" s="400"/>
      <c r="Q532" s="400"/>
      <c r="R532" s="400"/>
      <c r="S532" s="383"/>
      <c r="T532" s="384"/>
      <c r="U532" s="400"/>
      <c r="V532" s="400"/>
      <c r="W532" s="400"/>
      <c r="X532" s="400"/>
      <c r="Y532" s="421"/>
      <c r="Z532" s="421"/>
      <c r="AA532" s="421"/>
      <c r="AB532" s="421"/>
      <c r="AC532" s="421"/>
      <c r="AD532" s="421"/>
      <c r="AE532" s="421"/>
      <c r="AF532" s="421"/>
      <c r="AG532" s="421"/>
      <c r="AH532" s="421"/>
      <c r="AI532" s="421"/>
      <c r="AJ532" s="421"/>
      <c r="AK532" s="421"/>
      <c r="AL532" s="421"/>
      <c r="AM532" s="401"/>
    </row>
    <row r="534" spans="2:39" ht="14.4">
      <c r="B534" s="601"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9" right="0.23622047244094499" top="0.47244094488188998" bottom="0.47244094488188998" header="0.15748031496063" footer="0.15748031496063"/>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286" zoomScale="70" zoomScaleNormal="70" workbookViewId="0">
      <pane xSplit="2" topLeftCell="C1" activePane="topRight" state="frozen"/>
      <selection activeCell="D157" sqref="D157"/>
      <selection pane="topRight" activeCell="D305" sqref="D305"/>
    </sheetView>
  </sheetViews>
  <sheetFormatPr defaultColWidth="9" defaultRowHeight="14.4" outlineLevelRow="1" outlineLevelCol="1"/>
  <cols>
    <col min="1" max="1" width="4.5546875" style="529" customWidth="1"/>
    <col min="2" max="2" width="44" style="437" customWidth="1"/>
    <col min="3" max="3" width="13.44140625" style="437" customWidth="1"/>
    <col min="4" max="4" width="17" style="437" customWidth="1"/>
    <col min="5" max="13" width="11.109375" style="437" bestFit="1" customWidth="1" outlineLevel="1"/>
    <col min="14" max="14" width="13.5546875" style="437" customWidth="1" outlineLevel="1"/>
    <col min="15" max="15" width="15.5546875" style="437" customWidth="1"/>
    <col min="16" max="24" width="9" style="437" customWidth="1" outlineLevel="1"/>
    <col min="25" max="25" width="16.5546875" style="437" customWidth="1"/>
    <col min="26" max="27" width="15" style="437" customWidth="1"/>
    <col min="28" max="28" width="17.5546875" style="437" customWidth="1"/>
    <col min="29" max="29" width="19.5546875" style="437" customWidth="1"/>
    <col min="30" max="30" width="18.5546875" style="437" customWidth="1"/>
    <col min="31" max="35" width="15" style="437" customWidth="1"/>
    <col min="36" max="38" width="17.44140625" style="437" customWidth="1"/>
    <col min="39" max="39" width="14.5546875" style="437" customWidth="1"/>
    <col min="40" max="40" width="11.5546875" style="437" customWidth="1"/>
    <col min="41" max="16384" width="9" style="437"/>
  </cols>
  <sheetData>
    <row r="13" spans="2:39" ht="15" thickBot="1"/>
    <row r="14" spans="2:39" ht="26.25" customHeight="1" thickBot="1">
      <c r="B14" s="899" t="s">
        <v>171</v>
      </c>
      <c r="C14" s="270" t="s">
        <v>175</v>
      </c>
      <c r="D14" s="513"/>
      <c r="E14" s="278"/>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8"/>
      <c r="AL14" s="278"/>
      <c r="AM14" s="278"/>
    </row>
    <row r="15" spans="2:39" ht="26.25" customHeight="1" thickBot="1">
      <c r="B15" s="899"/>
      <c r="C15" s="274" t="s">
        <v>172</v>
      </c>
      <c r="D15" s="278"/>
      <c r="E15" s="278"/>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8"/>
      <c r="AL15" s="278"/>
      <c r="AM15" s="278"/>
    </row>
    <row r="16" spans="2:39" ht="28.5" customHeight="1" thickBot="1">
      <c r="B16" s="899"/>
      <c r="C16" s="896" t="s">
        <v>550</v>
      </c>
      <c r="D16" s="897"/>
      <c r="E16" s="278"/>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row>
    <row r="17" spans="2:39" ht="15.6">
      <c r="C17" s="278"/>
      <c r="D17" s="278"/>
      <c r="E17" s="278"/>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8"/>
      <c r="AL17" s="278"/>
      <c r="AM17" s="278"/>
    </row>
    <row r="18" spans="2:39" ht="71.25" customHeight="1">
      <c r="B18" s="899" t="s">
        <v>504</v>
      </c>
      <c r="C18" s="900" t="s">
        <v>690</v>
      </c>
      <c r="D18" s="900"/>
      <c r="E18" s="900"/>
      <c r="F18" s="900"/>
      <c r="G18" s="900"/>
      <c r="H18" s="900"/>
      <c r="I18" s="900"/>
      <c r="J18" s="900"/>
      <c r="K18" s="900"/>
      <c r="L18" s="900"/>
      <c r="M18" s="900"/>
      <c r="N18" s="900"/>
      <c r="O18" s="900"/>
      <c r="P18" s="900"/>
      <c r="Q18" s="900"/>
      <c r="R18" s="900"/>
      <c r="S18" s="900"/>
      <c r="T18" s="900"/>
      <c r="U18" s="900"/>
      <c r="V18" s="900"/>
      <c r="W18" s="900"/>
      <c r="X18" s="900"/>
      <c r="Y18" s="612"/>
      <c r="Z18" s="612"/>
      <c r="AA18" s="612"/>
      <c r="AB18" s="612"/>
      <c r="AC18" s="612"/>
      <c r="AD18" s="612"/>
      <c r="AE18" s="283"/>
      <c r="AF18" s="278"/>
      <c r="AG18" s="278"/>
      <c r="AH18" s="278"/>
      <c r="AI18" s="278"/>
      <c r="AJ18" s="278"/>
      <c r="AK18" s="278"/>
      <c r="AL18" s="278"/>
      <c r="AM18" s="278"/>
    </row>
    <row r="19" spans="2:39" ht="45.75" customHeight="1">
      <c r="B19" s="899"/>
      <c r="C19" s="900" t="s">
        <v>569</v>
      </c>
      <c r="D19" s="900"/>
      <c r="E19" s="900"/>
      <c r="F19" s="900"/>
      <c r="G19" s="900"/>
      <c r="H19" s="900"/>
      <c r="I19" s="900"/>
      <c r="J19" s="900"/>
      <c r="K19" s="900"/>
      <c r="L19" s="900"/>
      <c r="M19" s="900"/>
      <c r="N19" s="900"/>
      <c r="O19" s="900"/>
      <c r="P19" s="900"/>
      <c r="Q19" s="900"/>
      <c r="R19" s="900"/>
      <c r="S19" s="900"/>
      <c r="T19" s="900"/>
      <c r="U19" s="900"/>
      <c r="V19" s="900"/>
      <c r="W19" s="900"/>
      <c r="X19" s="900"/>
      <c r="Y19" s="612"/>
      <c r="Z19" s="612"/>
      <c r="AA19" s="612"/>
      <c r="AB19" s="612"/>
      <c r="AC19" s="612"/>
      <c r="AD19" s="612"/>
      <c r="AE19" s="283"/>
      <c r="AF19" s="278"/>
      <c r="AG19" s="278"/>
      <c r="AH19" s="278"/>
      <c r="AI19" s="278"/>
      <c r="AJ19" s="278"/>
      <c r="AK19" s="278"/>
      <c r="AL19" s="278"/>
      <c r="AM19" s="278"/>
    </row>
    <row r="20" spans="2:39" ht="62.25" customHeight="1">
      <c r="B20" s="286"/>
      <c r="C20" s="900" t="s">
        <v>567</v>
      </c>
      <c r="D20" s="900"/>
      <c r="E20" s="900"/>
      <c r="F20" s="900"/>
      <c r="G20" s="900"/>
      <c r="H20" s="900"/>
      <c r="I20" s="900"/>
      <c r="J20" s="900"/>
      <c r="K20" s="900"/>
      <c r="L20" s="900"/>
      <c r="M20" s="900"/>
      <c r="N20" s="900"/>
      <c r="O20" s="900"/>
      <c r="P20" s="900"/>
      <c r="Q20" s="900"/>
      <c r="R20" s="900"/>
      <c r="S20" s="900"/>
      <c r="T20" s="900"/>
      <c r="U20" s="900"/>
      <c r="V20" s="900"/>
      <c r="W20" s="900"/>
      <c r="X20" s="900"/>
      <c r="Y20" s="612"/>
      <c r="Z20" s="612"/>
      <c r="AA20" s="612"/>
      <c r="AB20" s="612"/>
      <c r="AC20" s="612"/>
      <c r="AD20" s="612"/>
      <c r="AE20" s="438"/>
      <c r="AF20" s="278"/>
      <c r="AG20" s="278"/>
      <c r="AH20" s="278"/>
      <c r="AI20" s="278"/>
      <c r="AJ20" s="278"/>
      <c r="AK20" s="278"/>
      <c r="AL20" s="278"/>
      <c r="AM20" s="278"/>
    </row>
    <row r="21" spans="2:39" ht="37.5" customHeight="1">
      <c r="B21" s="286"/>
      <c r="C21" s="900" t="s">
        <v>633</v>
      </c>
      <c r="D21" s="900"/>
      <c r="E21" s="900"/>
      <c r="F21" s="900"/>
      <c r="G21" s="900"/>
      <c r="H21" s="900"/>
      <c r="I21" s="900"/>
      <c r="J21" s="900"/>
      <c r="K21" s="900"/>
      <c r="L21" s="900"/>
      <c r="M21" s="900"/>
      <c r="N21" s="900"/>
      <c r="O21" s="900"/>
      <c r="P21" s="900"/>
      <c r="Q21" s="900"/>
      <c r="R21" s="900"/>
      <c r="S21" s="900"/>
      <c r="T21" s="900"/>
      <c r="U21" s="900"/>
      <c r="V21" s="900"/>
      <c r="W21" s="900"/>
      <c r="X21" s="900"/>
      <c r="Y21" s="612"/>
      <c r="Z21" s="612"/>
      <c r="AA21" s="612"/>
      <c r="AB21" s="612"/>
      <c r="AC21" s="612"/>
      <c r="AD21" s="612"/>
      <c r="AE21" s="289"/>
      <c r="AF21" s="278"/>
      <c r="AG21" s="278"/>
      <c r="AH21" s="278"/>
      <c r="AI21" s="278"/>
      <c r="AJ21" s="278"/>
      <c r="AK21" s="278"/>
      <c r="AL21" s="278"/>
      <c r="AM21" s="278"/>
    </row>
    <row r="22" spans="2:39" ht="54.75" customHeight="1">
      <c r="B22" s="286"/>
      <c r="C22" s="900" t="s">
        <v>617</v>
      </c>
      <c r="D22" s="900"/>
      <c r="E22" s="900"/>
      <c r="F22" s="900"/>
      <c r="G22" s="900"/>
      <c r="H22" s="900"/>
      <c r="I22" s="900"/>
      <c r="J22" s="900"/>
      <c r="K22" s="900"/>
      <c r="L22" s="900"/>
      <c r="M22" s="900"/>
      <c r="N22" s="900"/>
      <c r="O22" s="900"/>
      <c r="P22" s="900"/>
      <c r="Q22" s="900"/>
      <c r="R22" s="900"/>
      <c r="S22" s="900"/>
      <c r="T22" s="900"/>
      <c r="U22" s="900"/>
      <c r="V22" s="900"/>
      <c r="W22" s="900"/>
      <c r="X22" s="900"/>
      <c r="Y22" s="612"/>
      <c r="Z22" s="612"/>
      <c r="AA22" s="612"/>
      <c r="AB22" s="612"/>
      <c r="AC22" s="612"/>
      <c r="AD22" s="612"/>
      <c r="AE22" s="438"/>
      <c r="AF22" s="278"/>
      <c r="AG22" s="278"/>
      <c r="AH22" s="278"/>
      <c r="AI22" s="278"/>
      <c r="AJ22" s="278"/>
      <c r="AK22" s="278"/>
      <c r="AL22" s="278"/>
      <c r="AM22" s="278"/>
    </row>
    <row r="23" spans="2:39" ht="15.6">
      <c r="B23" s="286"/>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78"/>
      <c r="AG23" s="278"/>
      <c r="AH23" s="278"/>
      <c r="AI23" s="278"/>
      <c r="AJ23" s="278"/>
      <c r="AK23" s="278"/>
      <c r="AL23" s="278"/>
      <c r="AM23" s="278"/>
    </row>
    <row r="24" spans="2:39" ht="15.6">
      <c r="B24" s="899" t="s">
        <v>526</v>
      </c>
      <c r="C24" s="602" t="s">
        <v>528</v>
      </c>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78"/>
      <c r="AG24" s="278"/>
      <c r="AH24" s="278"/>
      <c r="AI24" s="278"/>
      <c r="AJ24" s="278"/>
      <c r="AK24" s="278"/>
      <c r="AL24" s="278"/>
      <c r="AM24" s="278"/>
    </row>
    <row r="25" spans="2:39" ht="15.6">
      <c r="B25" s="899"/>
      <c r="C25" s="602" t="s">
        <v>529</v>
      </c>
      <c r="D25" s="289"/>
      <c r="E25" s="289"/>
      <c r="F25" s="289"/>
      <c r="G25" s="289"/>
      <c r="H25" s="289"/>
      <c r="I25" s="289"/>
      <c r="J25" s="289"/>
      <c r="K25" s="289"/>
      <c r="L25" s="289"/>
      <c r="M25" s="289"/>
      <c r="N25" s="289"/>
      <c r="O25" s="289"/>
      <c r="P25" s="289"/>
      <c r="Q25" s="289"/>
      <c r="R25" s="289"/>
      <c r="S25" s="289"/>
      <c r="T25" s="289"/>
      <c r="U25" s="289"/>
      <c r="V25" s="289"/>
      <c r="W25" s="289"/>
      <c r="X25" s="289"/>
      <c r="Y25" s="289"/>
      <c r="Z25" s="289"/>
      <c r="AA25" s="289"/>
      <c r="AB25" s="289"/>
      <c r="AC25" s="289"/>
      <c r="AD25" s="289"/>
      <c r="AE25" s="289"/>
      <c r="AF25" s="278"/>
      <c r="AG25" s="278"/>
      <c r="AH25" s="278"/>
      <c r="AI25" s="278"/>
      <c r="AJ25" s="278"/>
      <c r="AK25" s="278"/>
      <c r="AL25" s="278"/>
      <c r="AM25" s="278"/>
    </row>
    <row r="26" spans="2:39" ht="15.6">
      <c r="B26" s="545"/>
      <c r="C26" s="602" t="s">
        <v>530</v>
      </c>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78"/>
      <c r="AG26" s="278"/>
      <c r="AH26" s="278"/>
      <c r="AI26" s="278"/>
      <c r="AJ26" s="278"/>
      <c r="AK26" s="278"/>
      <c r="AL26" s="278"/>
      <c r="AM26" s="278"/>
    </row>
    <row r="27" spans="2:39" ht="15.6">
      <c r="B27" s="545"/>
      <c r="C27" s="602" t="s">
        <v>531</v>
      </c>
      <c r="D27" s="289"/>
      <c r="E27" s="289"/>
      <c r="F27" s="289"/>
      <c r="G27" s="289"/>
      <c r="H27" s="289"/>
      <c r="I27" s="289"/>
      <c r="J27" s="289"/>
      <c r="K27" s="289"/>
      <c r="L27" s="289"/>
      <c r="M27" s="289"/>
      <c r="N27" s="289"/>
      <c r="O27" s="289"/>
      <c r="P27" s="289"/>
      <c r="Q27" s="289"/>
      <c r="R27" s="289"/>
      <c r="S27" s="289"/>
      <c r="T27" s="289"/>
      <c r="U27" s="289"/>
      <c r="V27" s="289"/>
      <c r="W27" s="289"/>
      <c r="X27" s="289"/>
      <c r="Y27" s="289"/>
      <c r="Z27" s="289"/>
      <c r="AA27" s="289"/>
      <c r="AB27" s="289"/>
      <c r="AC27" s="289"/>
      <c r="AD27" s="289"/>
      <c r="AE27" s="289"/>
      <c r="AF27" s="278"/>
      <c r="AG27" s="278"/>
      <c r="AH27" s="278"/>
      <c r="AI27" s="278"/>
      <c r="AJ27" s="278"/>
      <c r="AK27" s="278"/>
      <c r="AL27" s="278"/>
      <c r="AM27" s="278"/>
    </row>
    <row r="28" spans="2:39" ht="15.6">
      <c r="B28" s="545"/>
      <c r="C28" s="602" t="s">
        <v>532</v>
      </c>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78"/>
      <c r="AG28" s="278"/>
      <c r="AH28" s="278"/>
      <c r="AI28" s="278"/>
      <c r="AJ28" s="278"/>
      <c r="AK28" s="278"/>
      <c r="AL28" s="278"/>
      <c r="AM28" s="278"/>
    </row>
    <row r="29" spans="2:39" ht="15.6">
      <c r="B29" s="545"/>
      <c r="C29" s="602" t="s">
        <v>533</v>
      </c>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78"/>
      <c r="AG29" s="278"/>
      <c r="AH29" s="278"/>
      <c r="AI29" s="278"/>
      <c r="AJ29" s="278"/>
      <c r="AK29" s="278"/>
      <c r="AL29" s="278"/>
      <c r="AM29" s="278"/>
    </row>
    <row r="30" spans="2:39" ht="15.6">
      <c r="B30" s="545"/>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78"/>
      <c r="AG30" s="278"/>
      <c r="AH30" s="278"/>
      <c r="AI30" s="278"/>
      <c r="AJ30" s="278"/>
      <c r="AK30" s="278"/>
      <c r="AL30" s="278"/>
      <c r="AM30" s="278"/>
    </row>
    <row r="31" spans="2:39" ht="15.6">
      <c r="B31" s="545"/>
      <c r="C31" s="289"/>
      <c r="D31" s="289"/>
      <c r="E31" s="289"/>
      <c r="F31" s="289"/>
      <c r="G31" s="289"/>
      <c r="H31" s="289"/>
      <c r="I31" s="289"/>
      <c r="J31" s="289"/>
      <c r="K31" s="289"/>
      <c r="L31" s="289"/>
      <c r="M31" s="289"/>
      <c r="N31" s="289"/>
      <c r="O31" s="289"/>
      <c r="P31" s="289"/>
      <c r="Q31" s="289"/>
      <c r="R31" s="289"/>
      <c r="S31" s="289"/>
      <c r="T31" s="289"/>
      <c r="U31" s="289"/>
      <c r="V31" s="289"/>
      <c r="W31" s="289"/>
      <c r="X31" s="289"/>
      <c r="Y31" s="289"/>
      <c r="Z31" s="289"/>
      <c r="AA31" s="289"/>
      <c r="AB31" s="289"/>
      <c r="AC31" s="289"/>
      <c r="AD31" s="289"/>
      <c r="AE31" s="289"/>
      <c r="AF31" s="278"/>
      <c r="AG31" s="278"/>
      <c r="AH31" s="278"/>
      <c r="AI31" s="278"/>
      <c r="AJ31" s="278"/>
      <c r="AK31" s="278"/>
      <c r="AL31" s="278"/>
      <c r="AM31" s="278"/>
    </row>
    <row r="32" spans="2:39">
      <c r="C32" s="266"/>
      <c r="D32" s="266"/>
      <c r="E32" s="266"/>
      <c r="F32" s="266"/>
      <c r="G32" s="266"/>
      <c r="H32" s="266"/>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row>
    <row r="33" spans="1:39" ht="15.6">
      <c r="B33" s="293" t="s">
        <v>266</v>
      </c>
      <c r="C33" s="294"/>
      <c r="D33" s="596"/>
      <c r="E33" s="266"/>
      <c r="F33" s="266"/>
      <c r="G33" s="266"/>
      <c r="H33" s="266"/>
      <c r="I33" s="266"/>
      <c r="J33" s="266"/>
      <c r="K33" s="266"/>
      <c r="L33" s="266"/>
      <c r="M33" s="266"/>
      <c r="N33" s="266"/>
      <c r="O33" s="294"/>
      <c r="P33" s="266"/>
      <c r="Q33" s="266"/>
      <c r="R33" s="266"/>
      <c r="S33" s="266"/>
      <c r="T33" s="266"/>
      <c r="U33" s="266"/>
      <c r="V33" s="266"/>
      <c r="W33" s="266"/>
      <c r="X33" s="266"/>
      <c r="Y33" s="283"/>
      <c r="Z33" s="280"/>
      <c r="AA33" s="280"/>
      <c r="AB33" s="280"/>
      <c r="AC33" s="280"/>
      <c r="AD33" s="280"/>
      <c r="AE33" s="280"/>
      <c r="AF33" s="280"/>
      <c r="AG33" s="280"/>
      <c r="AH33" s="280"/>
      <c r="AI33" s="280"/>
      <c r="AJ33" s="280"/>
      <c r="AK33" s="280"/>
      <c r="AL33" s="280"/>
      <c r="AM33" s="295"/>
    </row>
    <row r="34" spans="1:39" ht="36.75" customHeight="1">
      <c r="B34" s="901" t="s">
        <v>211</v>
      </c>
      <c r="C34" s="903" t="s">
        <v>33</v>
      </c>
      <c r="D34" s="297" t="s">
        <v>421</v>
      </c>
      <c r="E34" s="905" t="s">
        <v>209</v>
      </c>
      <c r="F34" s="906"/>
      <c r="G34" s="906"/>
      <c r="H34" s="906"/>
      <c r="I34" s="906"/>
      <c r="J34" s="906"/>
      <c r="K34" s="906"/>
      <c r="L34" s="906"/>
      <c r="M34" s="907"/>
      <c r="N34" s="911" t="s">
        <v>213</v>
      </c>
      <c r="O34" s="297" t="s">
        <v>422</v>
      </c>
      <c r="P34" s="905" t="s">
        <v>212</v>
      </c>
      <c r="Q34" s="906"/>
      <c r="R34" s="906"/>
      <c r="S34" s="906"/>
      <c r="T34" s="906"/>
      <c r="U34" s="906"/>
      <c r="V34" s="906"/>
      <c r="W34" s="906"/>
      <c r="X34" s="907"/>
      <c r="Y34" s="908" t="s">
        <v>243</v>
      </c>
      <c r="Z34" s="909"/>
      <c r="AA34" s="909"/>
      <c r="AB34" s="909"/>
      <c r="AC34" s="909"/>
      <c r="AD34" s="909"/>
      <c r="AE34" s="909"/>
      <c r="AF34" s="909"/>
      <c r="AG34" s="909"/>
      <c r="AH34" s="909"/>
      <c r="AI34" s="909"/>
      <c r="AJ34" s="909"/>
      <c r="AK34" s="909"/>
      <c r="AL34" s="909"/>
      <c r="AM34" s="910"/>
    </row>
    <row r="35" spans="1:39" ht="65.25" customHeight="1">
      <c r="B35" s="902"/>
      <c r="C35" s="904"/>
      <c r="D35" s="298">
        <v>2015</v>
      </c>
      <c r="E35" s="298">
        <v>2016</v>
      </c>
      <c r="F35" s="298">
        <v>2017</v>
      </c>
      <c r="G35" s="298">
        <v>2018</v>
      </c>
      <c r="H35" s="298">
        <v>2019</v>
      </c>
      <c r="I35" s="298">
        <v>2020</v>
      </c>
      <c r="J35" s="298">
        <v>2021</v>
      </c>
      <c r="K35" s="298">
        <v>2022</v>
      </c>
      <c r="L35" s="298">
        <v>2023</v>
      </c>
      <c r="M35" s="439">
        <v>2024</v>
      </c>
      <c r="N35" s="912"/>
      <c r="O35" s="298">
        <v>2015</v>
      </c>
      <c r="P35" s="298">
        <v>2016</v>
      </c>
      <c r="Q35" s="298">
        <v>2017</v>
      </c>
      <c r="R35" s="298">
        <v>2018</v>
      </c>
      <c r="S35" s="298">
        <v>2019</v>
      </c>
      <c r="T35" s="298">
        <v>2020</v>
      </c>
      <c r="U35" s="298">
        <v>2021</v>
      </c>
      <c r="V35" s="298">
        <v>2022</v>
      </c>
      <c r="W35" s="298">
        <v>2023</v>
      </c>
      <c r="X35" s="439">
        <v>2024</v>
      </c>
      <c r="Y35" s="298" t="str">
        <f>'1.  LRAMVA Summary'!D52</f>
        <v>Residential</v>
      </c>
      <c r="Z35" s="298" t="str">
        <f>'1.  LRAMVA Summary'!E52</f>
        <v>GS&lt;50 kW</v>
      </c>
      <c r="AA35" s="298" t="str">
        <f>'1.  LRAMVA Summary'!F52</f>
        <v>GS 50 - 999 kW</v>
      </c>
      <c r="AB35" s="298" t="str">
        <f>'1.  LRAMVA Summary'!G52</f>
        <v>GS 1,000 - 4,999 kW</v>
      </c>
      <c r="AC35" s="298" t="str">
        <f>'1.  LRAMVA Summary'!H52</f>
        <v>USL</v>
      </c>
      <c r="AD35" s="298" t="str">
        <f>'1.  LRAMVA Summary'!I52</f>
        <v>Sentinel Lighting</v>
      </c>
      <c r="AE35" s="298" t="str">
        <f>'1.  LRAMVA Summary'!J52</f>
        <v>Street Lighting</v>
      </c>
      <c r="AF35" s="298" t="str">
        <f>'1.  LRAMVA Summary'!K52</f>
        <v/>
      </c>
      <c r="AG35" s="298" t="str">
        <f>'1.  LRAMVA Summary'!L52</f>
        <v/>
      </c>
      <c r="AH35" s="298" t="str">
        <f>'1.  LRAMVA Summary'!M52</f>
        <v/>
      </c>
      <c r="AI35" s="298" t="str">
        <f>'1.  LRAMVA Summary'!N52</f>
        <v/>
      </c>
      <c r="AJ35" s="298" t="str">
        <f>'1.  LRAMVA Summary'!O52</f>
        <v/>
      </c>
      <c r="AK35" s="298" t="str">
        <f>'1.  LRAMVA Summary'!P52</f>
        <v/>
      </c>
      <c r="AL35" s="298" t="str">
        <f>'1.  LRAMVA Summary'!Q52</f>
        <v/>
      </c>
      <c r="AM35" s="300" t="str">
        <f>'1.  LRAMVA Summary'!R52</f>
        <v>Total</v>
      </c>
    </row>
    <row r="36" spans="1:39" ht="16.5" customHeight="1">
      <c r="B36" s="525" t="s">
        <v>503</v>
      </c>
      <c r="C36" s="302"/>
      <c r="D36" s="302"/>
      <c r="E36" s="302"/>
      <c r="F36" s="302"/>
      <c r="G36" s="302"/>
      <c r="H36" s="302"/>
      <c r="I36" s="302"/>
      <c r="J36" s="302"/>
      <c r="K36" s="302"/>
      <c r="L36" s="302"/>
      <c r="M36" s="302"/>
      <c r="N36" s="303"/>
      <c r="O36" s="302"/>
      <c r="P36" s="302"/>
      <c r="Q36" s="302"/>
      <c r="R36" s="302"/>
      <c r="S36" s="302"/>
      <c r="T36" s="302"/>
      <c r="U36" s="302"/>
      <c r="V36" s="302"/>
      <c r="W36" s="302"/>
      <c r="X36" s="302"/>
      <c r="Y36" s="304" t="str">
        <f>'1.  LRAMVA Summary'!D53</f>
        <v>kWh</v>
      </c>
      <c r="Z36" s="304" t="str">
        <f>'1.  LRAMVA Summary'!E53</f>
        <v>kWh</v>
      </c>
      <c r="AA36" s="304" t="str">
        <f>'1.  LRAMVA Summary'!F53</f>
        <v>kW</v>
      </c>
      <c r="AB36" s="304" t="str">
        <f>'1.  LRAMVA Summary'!G53</f>
        <v>kW</v>
      </c>
      <c r="AC36" s="304" t="str">
        <f>'1.  LRAMVA Summary'!H53</f>
        <v>kWh</v>
      </c>
      <c r="AD36" s="304" t="str">
        <f>'1.  LRAMVA Summary'!I53</f>
        <v>kW</v>
      </c>
      <c r="AE36" s="304" t="str">
        <f>'1.  LRAMVA Summary'!J53</f>
        <v>kW</v>
      </c>
      <c r="AF36" s="304">
        <f>'1.  LRAMVA Summary'!K53</f>
        <v>0</v>
      </c>
      <c r="AG36" s="304">
        <f>'1.  LRAMVA Summary'!L53</f>
        <v>0</v>
      </c>
      <c r="AH36" s="304">
        <f>'1.  LRAMVA Summary'!M53</f>
        <v>0</v>
      </c>
      <c r="AI36" s="304">
        <f>'1.  LRAMVA Summary'!N53</f>
        <v>0</v>
      </c>
      <c r="AJ36" s="304">
        <f>'1.  LRAMVA Summary'!O53</f>
        <v>0</v>
      </c>
      <c r="AK36" s="304">
        <f>'1.  LRAMVA Summary'!P53</f>
        <v>0</v>
      </c>
      <c r="AL36" s="304">
        <f>'1.  LRAMVA Summary'!Q53</f>
        <v>0</v>
      </c>
      <c r="AM36" s="305"/>
    </row>
    <row r="37" spans="1:39" ht="16.5" customHeight="1" outlineLevel="1">
      <c r="B37" s="301" t="s">
        <v>496</v>
      </c>
      <c r="C37" s="302"/>
      <c r="D37" s="302"/>
      <c r="E37" s="302"/>
      <c r="F37" s="302"/>
      <c r="G37" s="302"/>
      <c r="H37" s="302"/>
      <c r="I37" s="302"/>
      <c r="J37" s="302"/>
      <c r="K37" s="302"/>
      <c r="L37" s="302"/>
      <c r="M37" s="302"/>
      <c r="N37" s="303"/>
      <c r="O37" s="302"/>
      <c r="P37" s="302"/>
      <c r="Q37" s="302"/>
      <c r="R37" s="302"/>
      <c r="S37" s="302"/>
      <c r="T37" s="302"/>
      <c r="U37" s="302"/>
      <c r="V37" s="302"/>
      <c r="W37" s="302"/>
      <c r="X37" s="302"/>
      <c r="Y37" s="304"/>
      <c r="Z37" s="304"/>
      <c r="AA37" s="304"/>
      <c r="AB37" s="304"/>
      <c r="AC37" s="304"/>
      <c r="AD37" s="304"/>
      <c r="AE37" s="304"/>
      <c r="AF37" s="304"/>
      <c r="AG37" s="304"/>
      <c r="AH37" s="304"/>
      <c r="AI37" s="304"/>
      <c r="AJ37" s="304"/>
      <c r="AK37" s="304"/>
      <c r="AL37" s="304"/>
      <c r="AM37" s="305"/>
    </row>
    <row r="38" spans="1:39" ht="15" outlineLevel="1">
      <c r="A38" s="529">
        <v>1</v>
      </c>
      <c r="B38" s="527" t="s">
        <v>95</v>
      </c>
      <c r="C38" s="304" t="s">
        <v>25</v>
      </c>
      <c r="D38" s="308">
        <f>'7.  Persistence Report'!AU105</f>
        <v>290873</v>
      </c>
      <c r="E38" s="308">
        <f>'7.  Persistence Report'!AV105</f>
        <v>288223</v>
      </c>
      <c r="F38" s="308">
        <f>'7.  Persistence Report'!AW105</f>
        <v>288223</v>
      </c>
      <c r="G38" s="308">
        <f>'7.  Persistence Report'!AX105</f>
        <v>288223</v>
      </c>
      <c r="H38" s="308">
        <f>'7.  Persistence Report'!AY105</f>
        <v>288223</v>
      </c>
      <c r="I38" s="308">
        <f>'7.  Persistence Report'!AZ105</f>
        <v>288223</v>
      </c>
      <c r="J38" s="308">
        <f>'7.  Persistence Report'!BA105</f>
        <v>288223</v>
      </c>
      <c r="K38" s="308">
        <f>'7.  Persistence Report'!BB105</f>
        <v>288160</v>
      </c>
      <c r="L38" s="308">
        <f>'7.  Persistence Report'!BC105</f>
        <v>288160</v>
      </c>
      <c r="M38" s="308">
        <f>'7.  Persistence Report'!BD105</f>
        <v>288160</v>
      </c>
      <c r="N38" s="763"/>
      <c r="O38" s="308">
        <f>'7.  Persistence Report'!P105</f>
        <v>19</v>
      </c>
      <c r="P38" s="308">
        <f>'7.  Persistence Report'!Q105</f>
        <v>19</v>
      </c>
      <c r="Q38" s="308">
        <f>'7.  Persistence Report'!R105</f>
        <v>19</v>
      </c>
      <c r="R38" s="308">
        <f>'7.  Persistence Report'!S105</f>
        <v>19</v>
      </c>
      <c r="S38" s="308">
        <f>'7.  Persistence Report'!T105</f>
        <v>19</v>
      </c>
      <c r="T38" s="308">
        <f>'7.  Persistence Report'!U105</f>
        <v>19</v>
      </c>
      <c r="U38" s="308">
        <f>'7.  Persistence Report'!V105</f>
        <v>19</v>
      </c>
      <c r="V38" s="308">
        <f>'7.  Persistence Report'!W105</f>
        <v>19</v>
      </c>
      <c r="W38" s="308">
        <f>'7.  Persistence Report'!X105</f>
        <v>19</v>
      </c>
      <c r="X38" s="308">
        <f>'7.  Persistence Report'!Y105</f>
        <v>19</v>
      </c>
      <c r="Y38" s="772">
        <v>1</v>
      </c>
      <c r="Z38" s="772"/>
      <c r="AA38" s="772"/>
      <c r="AB38" s="772"/>
      <c r="AC38" s="772"/>
      <c r="AD38" s="772"/>
      <c r="AE38" s="772"/>
      <c r="AF38" s="772"/>
      <c r="AG38" s="422"/>
      <c r="AH38" s="422"/>
      <c r="AI38" s="422"/>
      <c r="AJ38" s="422"/>
      <c r="AK38" s="422"/>
      <c r="AL38" s="422"/>
      <c r="AM38" s="309">
        <f>SUM(Y38:AL38)</f>
        <v>1</v>
      </c>
    </row>
    <row r="39" spans="1:39" ht="15" outlineLevel="1">
      <c r="B39" s="307" t="s">
        <v>267</v>
      </c>
      <c r="C39" s="304" t="s">
        <v>163</v>
      </c>
      <c r="D39" s="308">
        <f>'7.  Persistence Report'!AU111</f>
        <v>50161</v>
      </c>
      <c r="E39" s="308">
        <f>'7.  Persistence Report'!AV111</f>
        <v>49436</v>
      </c>
      <c r="F39" s="308">
        <f>'7.  Persistence Report'!AW111</f>
        <v>49436</v>
      </c>
      <c r="G39" s="308">
        <f>'7.  Persistence Report'!AX111</f>
        <v>49436</v>
      </c>
      <c r="H39" s="308">
        <f>'7.  Persistence Report'!AY111</f>
        <v>49436</v>
      </c>
      <c r="I39" s="308">
        <f>'7.  Persistence Report'!AZ111</f>
        <v>49436</v>
      </c>
      <c r="J39" s="308">
        <f>'7.  Persistence Report'!BA111</f>
        <v>49436</v>
      </c>
      <c r="K39" s="308">
        <f>'7.  Persistence Report'!BB111</f>
        <v>49417</v>
      </c>
      <c r="L39" s="308">
        <f>'7.  Persistence Report'!BC111</f>
        <v>49417</v>
      </c>
      <c r="M39" s="308">
        <f>'7.  Persistence Report'!BD111</f>
        <v>49417</v>
      </c>
      <c r="N39" s="764"/>
      <c r="O39" s="308">
        <f>'7.  Persistence Report'!P111</f>
        <v>3</v>
      </c>
      <c r="P39" s="308">
        <f>'7.  Persistence Report'!Q111</f>
        <v>3</v>
      </c>
      <c r="Q39" s="308">
        <f>'7.  Persistence Report'!R111</f>
        <v>3</v>
      </c>
      <c r="R39" s="308">
        <f>'7.  Persistence Report'!S111</f>
        <v>3</v>
      </c>
      <c r="S39" s="308">
        <f>'7.  Persistence Report'!T111</f>
        <v>3</v>
      </c>
      <c r="T39" s="308">
        <f>'7.  Persistence Report'!U111</f>
        <v>3</v>
      </c>
      <c r="U39" s="308">
        <f>'7.  Persistence Report'!V111</f>
        <v>3</v>
      </c>
      <c r="V39" s="308">
        <f>'7.  Persistence Report'!W111</f>
        <v>3</v>
      </c>
      <c r="W39" s="308">
        <f>'7.  Persistence Report'!X111</f>
        <v>3</v>
      </c>
      <c r="X39" s="308">
        <f>'7.  Persistence Report'!Y111</f>
        <v>3</v>
      </c>
      <c r="Y39" s="773">
        <f>Y38</f>
        <v>1</v>
      </c>
      <c r="Z39" s="773">
        <f t="shared" ref="Z39:AF39" si="0">Z38</f>
        <v>0</v>
      </c>
      <c r="AA39" s="773">
        <f t="shared" si="0"/>
        <v>0</v>
      </c>
      <c r="AB39" s="773">
        <f t="shared" si="0"/>
        <v>0</v>
      </c>
      <c r="AC39" s="773">
        <f t="shared" si="0"/>
        <v>0</v>
      </c>
      <c r="AD39" s="773">
        <f t="shared" si="0"/>
        <v>0</v>
      </c>
      <c r="AE39" s="773">
        <f t="shared" si="0"/>
        <v>0</v>
      </c>
      <c r="AF39" s="773">
        <f t="shared" si="0"/>
        <v>0</v>
      </c>
      <c r="AG39" s="423">
        <f t="shared" ref="AG39:AL39" si="1">AG38</f>
        <v>0</v>
      </c>
      <c r="AH39" s="423">
        <f t="shared" si="1"/>
        <v>0</v>
      </c>
      <c r="AI39" s="423">
        <f t="shared" si="1"/>
        <v>0</v>
      </c>
      <c r="AJ39" s="423">
        <f t="shared" si="1"/>
        <v>0</v>
      </c>
      <c r="AK39" s="423">
        <f t="shared" si="1"/>
        <v>0</v>
      </c>
      <c r="AL39" s="423">
        <f t="shared" si="1"/>
        <v>0</v>
      </c>
      <c r="AM39" s="310"/>
    </row>
    <row r="40" spans="1:39" ht="15.6" outlineLevel="1">
      <c r="B40" s="311"/>
      <c r="C40" s="312"/>
      <c r="D40" s="765"/>
      <c r="E40" s="765"/>
      <c r="F40" s="765"/>
      <c r="G40" s="765"/>
      <c r="H40" s="765"/>
      <c r="I40" s="765"/>
      <c r="J40" s="765"/>
      <c r="K40" s="765"/>
      <c r="L40" s="765"/>
      <c r="M40" s="765"/>
      <c r="N40" s="771"/>
      <c r="O40" s="765"/>
      <c r="P40" s="765"/>
      <c r="Q40" s="765"/>
      <c r="R40" s="765"/>
      <c r="S40" s="765"/>
      <c r="T40" s="765"/>
      <c r="U40" s="765"/>
      <c r="V40" s="765"/>
      <c r="W40" s="765"/>
      <c r="X40" s="765"/>
      <c r="Y40" s="774"/>
      <c r="Z40" s="775"/>
      <c r="AA40" s="775"/>
      <c r="AB40" s="775"/>
      <c r="AC40" s="775"/>
      <c r="AD40" s="775"/>
      <c r="AE40" s="775"/>
      <c r="AF40" s="775"/>
      <c r="AG40" s="425"/>
      <c r="AH40" s="425"/>
      <c r="AI40" s="425"/>
      <c r="AJ40" s="425"/>
      <c r="AK40" s="425"/>
      <c r="AL40" s="425"/>
      <c r="AM40" s="315"/>
    </row>
    <row r="41" spans="1:39" ht="15" outlineLevel="1">
      <c r="A41" s="529">
        <v>2</v>
      </c>
      <c r="B41" s="527" t="s">
        <v>96</v>
      </c>
      <c r="C41" s="304" t="s">
        <v>25</v>
      </c>
      <c r="D41" s="308">
        <f>'7.  Persistence Report'!AU106</f>
        <v>537244</v>
      </c>
      <c r="E41" s="308">
        <f>'7.  Persistence Report'!AV106</f>
        <v>527696</v>
      </c>
      <c r="F41" s="308">
        <f>'7.  Persistence Report'!AW106</f>
        <v>527696</v>
      </c>
      <c r="G41" s="308">
        <f>'7.  Persistence Report'!AX106</f>
        <v>527696</v>
      </c>
      <c r="H41" s="308">
        <f>'7.  Persistence Report'!AY106</f>
        <v>527696</v>
      </c>
      <c r="I41" s="308">
        <f>'7.  Persistence Report'!AZ106</f>
        <v>527696</v>
      </c>
      <c r="J41" s="308">
        <f>'7.  Persistence Report'!BA106</f>
        <v>527696</v>
      </c>
      <c r="K41" s="308">
        <f>'7.  Persistence Report'!BB106</f>
        <v>527419</v>
      </c>
      <c r="L41" s="308">
        <f>'7.  Persistence Report'!BC106</f>
        <v>527419</v>
      </c>
      <c r="M41" s="308">
        <f>'7.  Persistence Report'!BD106</f>
        <v>527419</v>
      </c>
      <c r="N41" s="763"/>
      <c r="O41" s="308">
        <f>'7.  Persistence Report'!P106</f>
        <v>36</v>
      </c>
      <c r="P41" s="308">
        <f>'7.  Persistence Report'!Q106</f>
        <v>36</v>
      </c>
      <c r="Q41" s="308">
        <f>'7.  Persistence Report'!R106</f>
        <v>36</v>
      </c>
      <c r="R41" s="308">
        <f>'7.  Persistence Report'!S106</f>
        <v>36</v>
      </c>
      <c r="S41" s="308">
        <f>'7.  Persistence Report'!T106</f>
        <v>36</v>
      </c>
      <c r="T41" s="308">
        <f>'7.  Persistence Report'!U106</f>
        <v>36</v>
      </c>
      <c r="U41" s="308">
        <f>'7.  Persistence Report'!V106</f>
        <v>36</v>
      </c>
      <c r="V41" s="308">
        <f>'7.  Persistence Report'!W106</f>
        <v>36</v>
      </c>
      <c r="W41" s="308">
        <f>'7.  Persistence Report'!X106</f>
        <v>36</v>
      </c>
      <c r="X41" s="308">
        <f>'7.  Persistence Report'!Y106</f>
        <v>36</v>
      </c>
      <c r="Y41" s="772">
        <v>1</v>
      </c>
      <c r="Z41" s="772"/>
      <c r="AA41" s="772"/>
      <c r="AB41" s="772"/>
      <c r="AC41" s="772"/>
      <c r="AD41" s="772"/>
      <c r="AE41" s="772"/>
      <c r="AF41" s="772"/>
      <c r="AG41" s="422"/>
      <c r="AH41" s="422"/>
      <c r="AI41" s="422"/>
      <c r="AJ41" s="422"/>
      <c r="AK41" s="422"/>
      <c r="AL41" s="422"/>
      <c r="AM41" s="309">
        <f>SUM(Y41:AL41)</f>
        <v>1</v>
      </c>
    </row>
    <row r="42" spans="1:39" ht="15" outlineLevel="1">
      <c r="B42" s="307" t="s">
        <v>267</v>
      </c>
      <c r="C42" s="304" t="s">
        <v>163</v>
      </c>
      <c r="D42" s="308">
        <f>'7.  Persistence Report'!AU112</f>
        <v>5557</v>
      </c>
      <c r="E42" s="308">
        <f>'7.  Persistence Report'!AV112</f>
        <v>5492</v>
      </c>
      <c r="F42" s="308">
        <f>'7.  Persistence Report'!AW112</f>
        <v>5492</v>
      </c>
      <c r="G42" s="308">
        <f>'7.  Persistence Report'!AX112</f>
        <v>5492</v>
      </c>
      <c r="H42" s="308">
        <f>'7.  Persistence Report'!AY112</f>
        <v>5492</v>
      </c>
      <c r="I42" s="308">
        <f>'7.  Persistence Report'!AZ112</f>
        <v>5492</v>
      </c>
      <c r="J42" s="308">
        <f>'7.  Persistence Report'!BA112</f>
        <v>5492</v>
      </c>
      <c r="K42" s="308">
        <f>'7.  Persistence Report'!BB112</f>
        <v>5478</v>
      </c>
      <c r="L42" s="308">
        <f>'7.  Persistence Report'!BC112</f>
        <v>5478</v>
      </c>
      <c r="M42" s="308">
        <f>'7.  Persistence Report'!BD112</f>
        <v>5478</v>
      </c>
      <c r="N42" s="764"/>
      <c r="O42" s="308">
        <f>'7.  Persistence Report'!P112</f>
        <v>0</v>
      </c>
      <c r="P42" s="308">
        <f>'7.  Persistence Report'!Q112</f>
        <v>0</v>
      </c>
      <c r="Q42" s="308">
        <f>'7.  Persistence Report'!R112</f>
        <v>0</v>
      </c>
      <c r="R42" s="308">
        <f>'7.  Persistence Report'!S112</f>
        <v>0</v>
      </c>
      <c r="S42" s="308">
        <f>'7.  Persistence Report'!T112</f>
        <v>0</v>
      </c>
      <c r="T42" s="308">
        <f>'7.  Persistence Report'!U112</f>
        <v>0</v>
      </c>
      <c r="U42" s="308">
        <f>'7.  Persistence Report'!V112</f>
        <v>0</v>
      </c>
      <c r="V42" s="308">
        <f>'7.  Persistence Report'!W112</f>
        <v>0</v>
      </c>
      <c r="W42" s="308">
        <f>'7.  Persistence Report'!X112</f>
        <v>0</v>
      </c>
      <c r="X42" s="308">
        <f>'7.  Persistence Report'!Y112</f>
        <v>0</v>
      </c>
      <c r="Y42" s="773">
        <f>Y41</f>
        <v>1</v>
      </c>
      <c r="Z42" s="773">
        <f t="shared" ref="Z42:AF42" si="2">Z41</f>
        <v>0</v>
      </c>
      <c r="AA42" s="773">
        <f t="shared" si="2"/>
        <v>0</v>
      </c>
      <c r="AB42" s="773">
        <f t="shared" si="2"/>
        <v>0</v>
      </c>
      <c r="AC42" s="773">
        <f t="shared" si="2"/>
        <v>0</v>
      </c>
      <c r="AD42" s="773">
        <f t="shared" si="2"/>
        <v>0</v>
      </c>
      <c r="AE42" s="773">
        <f t="shared" si="2"/>
        <v>0</v>
      </c>
      <c r="AF42" s="773">
        <f t="shared" si="2"/>
        <v>0</v>
      </c>
      <c r="AG42" s="423">
        <f t="shared" ref="AG42" si="3">AG41</f>
        <v>0</v>
      </c>
      <c r="AH42" s="423">
        <f t="shared" ref="AH42" si="4">AH41</f>
        <v>0</v>
      </c>
      <c r="AI42" s="423">
        <f t="shared" ref="AI42" si="5">AI41</f>
        <v>0</v>
      </c>
      <c r="AJ42" s="423">
        <f t="shared" ref="AJ42" si="6">AJ41</f>
        <v>0</v>
      </c>
      <c r="AK42" s="423">
        <f t="shared" ref="AK42" si="7">AK41</f>
        <v>0</v>
      </c>
      <c r="AL42" s="423">
        <f t="shared" ref="AL42" si="8">AL41</f>
        <v>0</v>
      </c>
      <c r="AM42" s="310"/>
    </row>
    <row r="43" spans="1:39" ht="15.6" outlineLevel="1">
      <c r="B43" s="311"/>
      <c r="C43" s="312"/>
      <c r="D43" s="766"/>
      <c r="E43" s="766"/>
      <c r="F43" s="766"/>
      <c r="G43" s="766"/>
      <c r="H43" s="766"/>
      <c r="I43" s="766"/>
      <c r="J43" s="766"/>
      <c r="K43" s="766"/>
      <c r="L43" s="766"/>
      <c r="M43" s="766"/>
      <c r="N43" s="771"/>
      <c r="O43" s="766"/>
      <c r="P43" s="766"/>
      <c r="Q43" s="766"/>
      <c r="R43" s="766"/>
      <c r="S43" s="766"/>
      <c r="T43" s="766"/>
      <c r="U43" s="766"/>
      <c r="V43" s="766"/>
      <c r="W43" s="766"/>
      <c r="X43" s="766"/>
      <c r="Y43" s="774"/>
      <c r="Z43" s="775"/>
      <c r="AA43" s="775"/>
      <c r="AB43" s="775"/>
      <c r="AC43" s="775"/>
      <c r="AD43" s="775"/>
      <c r="AE43" s="775"/>
      <c r="AF43" s="775"/>
      <c r="AG43" s="425"/>
      <c r="AH43" s="425"/>
      <c r="AI43" s="425"/>
      <c r="AJ43" s="425"/>
      <c r="AK43" s="425"/>
      <c r="AL43" s="425"/>
      <c r="AM43" s="315"/>
    </row>
    <row r="44" spans="1:39" ht="15" outlineLevel="1">
      <c r="A44" s="529">
        <v>3</v>
      </c>
      <c r="B44" s="527" t="s">
        <v>97</v>
      </c>
      <c r="C44" s="304" t="s">
        <v>25</v>
      </c>
      <c r="D44" s="308">
        <f>'7.  Persistence Report'!AU104</f>
        <v>13955</v>
      </c>
      <c r="E44" s="308">
        <f>'7.  Persistence Report'!AV104</f>
        <v>13955</v>
      </c>
      <c r="F44" s="308">
        <f>'7.  Persistence Report'!AW104</f>
        <v>13955</v>
      </c>
      <c r="G44" s="308">
        <f>'7.  Persistence Report'!AX104</f>
        <v>13955</v>
      </c>
      <c r="H44" s="308">
        <f>'7.  Persistence Report'!AY104</f>
        <v>6512</v>
      </c>
      <c r="I44" s="308">
        <f>'7.  Persistence Report'!AZ104</f>
        <v>0</v>
      </c>
      <c r="J44" s="308">
        <f>'7.  Persistence Report'!BA104</f>
        <v>0</v>
      </c>
      <c r="K44" s="308">
        <f>'7.  Persistence Report'!BB104</f>
        <v>0</v>
      </c>
      <c r="L44" s="308">
        <f>'7.  Persistence Report'!BC104</f>
        <v>0</v>
      </c>
      <c r="M44" s="308">
        <f>'7.  Persistence Report'!BD104</f>
        <v>0</v>
      </c>
      <c r="N44" s="763"/>
      <c r="O44" s="308">
        <f>'7.  Persistence Report'!P104</f>
        <v>2</v>
      </c>
      <c r="P44" s="308">
        <f>'7.  Persistence Report'!Q104</f>
        <v>2</v>
      </c>
      <c r="Q44" s="308">
        <f>'7.  Persistence Report'!R104</f>
        <v>2</v>
      </c>
      <c r="R44" s="308">
        <f>'7.  Persistence Report'!S104</f>
        <v>2</v>
      </c>
      <c r="S44" s="308">
        <f>'7.  Persistence Report'!T104</f>
        <v>1</v>
      </c>
      <c r="T44" s="308">
        <f>'7.  Persistence Report'!U104</f>
        <v>0</v>
      </c>
      <c r="U44" s="308">
        <f>'7.  Persistence Report'!V104</f>
        <v>0</v>
      </c>
      <c r="V44" s="308">
        <f>'7.  Persistence Report'!W104</f>
        <v>0</v>
      </c>
      <c r="W44" s="308">
        <f>'7.  Persistence Report'!X104</f>
        <v>0</v>
      </c>
      <c r="X44" s="308">
        <f>'7.  Persistence Report'!Y104</f>
        <v>0</v>
      </c>
      <c r="Y44" s="772">
        <v>1</v>
      </c>
      <c r="Z44" s="772"/>
      <c r="AA44" s="772"/>
      <c r="AB44" s="772"/>
      <c r="AC44" s="772"/>
      <c r="AD44" s="772"/>
      <c r="AE44" s="772"/>
      <c r="AF44" s="772"/>
      <c r="AG44" s="422"/>
      <c r="AH44" s="422"/>
      <c r="AI44" s="422"/>
      <c r="AJ44" s="422"/>
      <c r="AK44" s="422"/>
      <c r="AL44" s="422"/>
      <c r="AM44" s="309">
        <f>SUM(Y44:AL44)</f>
        <v>1</v>
      </c>
    </row>
    <row r="45" spans="1:39" ht="15" outlineLevel="1">
      <c r="B45" s="307" t="s">
        <v>267</v>
      </c>
      <c r="C45" s="304" t="s">
        <v>163</v>
      </c>
      <c r="D45" s="308"/>
      <c r="E45" s="308"/>
      <c r="F45" s="308"/>
      <c r="G45" s="308"/>
      <c r="H45" s="308"/>
      <c r="I45" s="308"/>
      <c r="J45" s="308"/>
      <c r="K45" s="308"/>
      <c r="L45" s="308"/>
      <c r="M45" s="308"/>
      <c r="N45" s="764"/>
      <c r="O45" s="308"/>
      <c r="P45" s="308"/>
      <c r="Q45" s="308"/>
      <c r="R45" s="308"/>
      <c r="S45" s="308"/>
      <c r="T45" s="308"/>
      <c r="U45" s="308"/>
      <c r="V45" s="308"/>
      <c r="W45" s="308"/>
      <c r="X45" s="308"/>
      <c r="Y45" s="773">
        <f>Y44</f>
        <v>1</v>
      </c>
      <c r="Z45" s="773">
        <f t="shared" ref="Z45:AF45" si="9">Z44</f>
        <v>0</v>
      </c>
      <c r="AA45" s="773">
        <f t="shared" si="9"/>
        <v>0</v>
      </c>
      <c r="AB45" s="773">
        <f t="shared" si="9"/>
        <v>0</v>
      </c>
      <c r="AC45" s="773">
        <f t="shared" si="9"/>
        <v>0</v>
      </c>
      <c r="AD45" s="773">
        <f t="shared" si="9"/>
        <v>0</v>
      </c>
      <c r="AE45" s="773">
        <f t="shared" si="9"/>
        <v>0</v>
      </c>
      <c r="AF45" s="773">
        <f t="shared" si="9"/>
        <v>0</v>
      </c>
      <c r="AG45" s="423">
        <f t="shared" ref="AG45" si="10">AG44</f>
        <v>0</v>
      </c>
      <c r="AH45" s="423">
        <f t="shared" ref="AH45" si="11">AH44</f>
        <v>0</v>
      </c>
      <c r="AI45" s="423">
        <f t="shared" ref="AI45" si="12">AI44</f>
        <v>0</v>
      </c>
      <c r="AJ45" s="423">
        <f t="shared" ref="AJ45" si="13">AJ44</f>
        <v>0</v>
      </c>
      <c r="AK45" s="423">
        <f t="shared" ref="AK45" si="14">AK44</f>
        <v>0</v>
      </c>
      <c r="AL45" s="423">
        <f t="shared" ref="AL45" si="15">AL44</f>
        <v>0</v>
      </c>
      <c r="AM45" s="310"/>
    </row>
    <row r="46" spans="1:39" ht="15" outlineLevel="1">
      <c r="B46" s="307"/>
      <c r="C46" s="318"/>
      <c r="D46" s="763"/>
      <c r="E46" s="763"/>
      <c r="F46" s="763"/>
      <c r="G46" s="763"/>
      <c r="H46" s="763"/>
      <c r="I46" s="763"/>
      <c r="J46" s="763"/>
      <c r="K46" s="763"/>
      <c r="L46" s="763"/>
      <c r="M46" s="763"/>
      <c r="N46" s="763"/>
      <c r="O46" s="763"/>
      <c r="P46" s="763"/>
      <c r="Q46" s="763"/>
      <c r="R46" s="763"/>
      <c r="S46" s="763"/>
      <c r="T46" s="763"/>
      <c r="U46" s="763"/>
      <c r="V46" s="763"/>
      <c r="W46" s="763"/>
      <c r="X46" s="763"/>
      <c r="Y46" s="774"/>
      <c r="Z46" s="774"/>
      <c r="AA46" s="774"/>
      <c r="AB46" s="774"/>
      <c r="AC46" s="774"/>
      <c r="AD46" s="774"/>
      <c r="AE46" s="774"/>
      <c r="AF46" s="774"/>
      <c r="AG46" s="424"/>
      <c r="AH46" s="424"/>
      <c r="AI46" s="424"/>
      <c r="AJ46" s="424"/>
      <c r="AK46" s="424"/>
      <c r="AL46" s="424"/>
      <c r="AM46" s="319"/>
    </row>
    <row r="47" spans="1:39" ht="15" outlineLevel="1">
      <c r="A47" s="529">
        <v>4</v>
      </c>
      <c r="B47" s="527" t="s">
        <v>676</v>
      </c>
      <c r="C47" s="304" t="s">
        <v>25</v>
      </c>
      <c r="D47" s="308">
        <f>'7.  Persistence Report'!AU107</f>
        <v>316186</v>
      </c>
      <c r="E47" s="308">
        <f>'7.  Persistence Report'!AV107</f>
        <v>316186</v>
      </c>
      <c r="F47" s="308">
        <f>'7.  Persistence Report'!AW107</f>
        <v>316186</v>
      </c>
      <c r="G47" s="308">
        <f>'7.  Persistence Report'!AX107</f>
        <v>316186</v>
      </c>
      <c r="H47" s="308">
        <f>'7.  Persistence Report'!AY107</f>
        <v>316186</v>
      </c>
      <c r="I47" s="308">
        <f>'7.  Persistence Report'!AZ107</f>
        <v>316186</v>
      </c>
      <c r="J47" s="308">
        <f>'7.  Persistence Report'!BA107</f>
        <v>316186</v>
      </c>
      <c r="K47" s="308">
        <f>'7.  Persistence Report'!BB107</f>
        <v>316186</v>
      </c>
      <c r="L47" s="308">
        <f>'7.  Persistence Report'!BC107</f>
        <v>316186</v>
      </c>
      <c r="M47" s="308">
        <f>'7.  Persistence Report'!BD107</f>
        <v>316186</v>
      </c>
      <c r="N47" s="763"/>
      <c r="O47" s="308">
        <f>'7.  Persistence Report'!P107</f>
        <v>165</v>
      </c>
      <c r="P47" s="308">
        <f>'7.  Persistence Report'!Q107</f>
        <v>165</v>
      </c>
      <c r="Q47" s="308">
        <f>'7.  Persistence Report'!R107</f>
        <v>165</v>
      </c>
      <c r="R47" s="308">
        <f>'7.  Persistence Report'!S107</f>
        <v>165</v>
      </c>
      <c r="S47" s="308">
        <f>'7.  Persistence Report'!T107</f>
        <v>165</v>
      </c>
      <c r="T47" s="308">
        <f>'7.  Persistence Report'!U107</f>
        <v>165</v>
      </c>
      <c r="U47" s="308">
        <f>'7.  Persistence Report'!V107</f>
        <v>165</v>
      </c>
      <c r="V47" s="308">
        <f>'7.  Persistence Report'!W107</f>
        <v>165</v>
      </c>
      <c r="W47" s="308">
        <f>'7.  Persistence Report'!X107</f>
        <v>165</v>
      </c>
      <c r="X47" s="308">
        <f>'7.  Persistence Report'!Y107</f>
        <v>165</v>
      </c>
      <c r="Y47" s="772">
        <v>1</v>
      </c>
      <c r="Z47" s="772"/>
      <c r="AA47" s="772"/>
      <c r="AB47" s="772"/>
      <c r="AC47" s="772"/>
      <c r="AD47" s="772"/>
      <c r="AE47" s="772"/>
      <c r="AF47" s="772"/>
      <c r="AG47" s="422"/>
      <c r="AH47" s="422"/>
      <c r="AI47" s="422"/>
      <c r="AJ47" s="422"/>
      <c r="AK47" s="422"/>
      <c r="AL47" s="422"/>
      <c r="AM47" s="309">
        <f>SUM(Y47:AL47)</f>
        <v>1</v>
      </c>
    </row>
    <row r="48" spans="1:39" ht="15" outlineLevel="1">
      <c r="B48" s="307" t="s">
        <v>267</v>
      </c>
      <c r="C48" s="304" t="s">
        <v>163</v>
      </c>
      <c r="D48" s="308">
        <f>'7.  Persistence Report'!AU113</f>
        <v>15881</v>
      </c>
      <c r="E48" s="308">
        <f>'7.  Persistence Report'!AV113</f>
        <v>15881</v>
      </c>
      <c r="F48" s="308">
        <f>'7.  Persistence Report'!AW113</f>
        <v>15881</v>
      </c>
      <c r="G48" s="308">
        <f>'7.  Persistence Report'!AX113</f>
        <v>15881</v>
      </c>
      <c r="H48" s="308">
        <f>'7.  Persistence Report'!AY113</f>
        <v>15881</v>
      </c>
      <c r="I48" s="308">
        <f>'7.  Persistence Report'!AZ113</f>
        <v>15881</v>
      </c>
      <c r="J48" s="308">
        <f>'7.  Persistence Report'!BA113</f>
        <v>15881</v>
      </c>
      <c r="K48" s="308">
        <f>'7.  Persistence Report'!BB113</f>
        <v>15881</v>
      </c>
      <c r="L48" s="308">
        <f>'7.  Persistence Report'!BC113</f>
        <v>15881</v>
      </c>
      <c r="M48" s="308">
        <f>'7.  Persistence Report'!BD113</f>
        <v>15881</v>
      </c>
      <c r="N48" s="764"/>
      <c r="O48" s="308">
        <f>'7.  Persistence Report'!P113</f>
        <v>8</v>
      </c>
      <c r="P48" s="308">
        <f>'7.  Persistence Report'!Q113</f>
        <v>8</v>
      </c>
      <c r="Q48" s="308">
        <f>'7.  Persistence Report'!R113</f>
        <v>8</v>
      </c>
      <c r="R48" s="308">
        <f>'7.  Persistence Report'!S113</f>
        <v>8</v>
      </c>
      <c r="S48" s="308">
        <f>'7.  Persistence Report'!T113</f>
        <v>8</v>
      </c>
      <c r="T48" s="308">
        <f>'7.  Persistence Report'!U113</f>
        <v>8</v>
      </c>
      <c r="U48" s="308">
        <f>'7.  Persistence Report'!V113</f>
        <v>8</v>
      </c>
      <c r="V48" s="308">
        <f>'7.  Persistence Report'!W113</f>
        <v>8</v>
      </c>
      <c r="W48" s="308">
        <f>'7.  Persistence Report'!X113</f>
        <v>8</v>
      </c>
      <c r="X48" s="308">
        <f>'7.  Persistence Report'!Y113</f>
        <v>8</v>
      </c>
      <c r="Y48" s="773">
        <f>Y47</f>
        <v>1</v>
      </c>
      <c r="Z48" s="773">
        <f t="shared" ref="Z48:AF48" si="16">Z47</f>
        <v>0</v>
      </c>
      <c r="AA48" s="773">
        <f t="shared" si="16"/>
        <v>0</v>
      </c>
      <c r="AB48" s="773">
        <f t="shared" si="16"/>
        <v>0</v>
      </c>
      <c r="AC48" s="773">
        <f t="shared" si="16"/>
        <v>0</v>
      </c>
      <c r="AD48" s="773">
        <f t="shared" si="16"/>
        <v>0</v>
      </c>
      <c r="AE48" s="773">
        <f t="shared" si="16"/>
        <v>0</v>
      </c>
      <c r="AF48" s="773">
        <f t="shared" si="16"/>
        <v>0</v>
      </c>
      <c r="AG48" s="423">
        <f t="shared" ref="AG48" si="17">AG47</f>
        <v>0</v>
      </c>
      <c r="AH48" s="423">
        <f t="shared" ref="AH48" si="18">AH47</f>
        <v>0</v>
      </c>
      <c r="AI48" s="423">
        <f t="shared" ref="AI48" si="19">AI47</f>
        <v>0</v>
      </c>
      <c r="AJ48" s="423">
        <f t="shared" ref="AJ48" si="20">AJ47</f>
        <v>0</v>
      </c>
      <c r="AK48" s="423">
        <f t="shared" ref="AK48" si="21">AK47</f>
        <v>0</v>
      </c>
      <c r="AL48" s="423">
        <f t="shared" ref="AL48" si="22">AL47</f>
        <v>0</v>
      </c>
      <c r="AM48" s="310"/>
    </row>
    <row r="49" spans="1:39" ht="15" outlineLevel="1">
      <c r="B49" s="307"/>
      <c r="C49" s="318"/>
      <c r="D49" s="766"/>
      <c r="E49" s="766"/>
      <c r="F49" s="766"/>
      <c r="G49" s="766"/>
      <c r="H49" s="766"/>
      <c r="I49" s="766"/>
      <c r="J49" s="766"/>
      <c r="K49" s="766"/>
      <c r="L49" s="766"/>
      <c r="M49" s="766"/>
      <c r="N49" s="763"/>
      <c r="O49" s="766"/>
      <c r="P49" s="766"/>
      <c r="Q49" s="766"/>
      <c r="R49" s="766"/>
      <c r="S49" s="766"/>
      <c r="T49" s="766"/>
      <c r="U49" s="766"/>
      <c r="V49" s="766"/>
      <c r="W49" s="766"/>
      <c r="X49" s="766"/>
      <c r="Y49" s="774"/>
      <c r="Z49" s="774"/>
      <c r="AA49" s="774"/>
      <c r="AB49" s="774"/>
      <c r="AC49" s="774"/>
      <c r="AD49" s="774"/>
      <c r="AE49" s="774"/>
      <c r="AF49" s="774"/>
      <c r="AG49" s="424"/>
      <c r="AH49" s="424"/>
      <c r="AI49" s="424"/>
      <c r="AJ49" s="424"/>
      <c r="AK49" s="424"/>
      <c r="AL49" s="424"/>
      <c r="AM49" s="319"/>
    </row>
    <row r="50" spans="1:39" ht="18" customHeight="1" outlineLevel="1">
      <c r="A50" s="529">
        <v>5</v>
      </c>
      <c r="B50" s="527" t="s">
        <v>98</v>
      </c>
      <c r="C50" s="304" t="s">
        <v>25</v>
      </c>
      <c r="D50" s="308"/>
      <c r="E50" s="308"/>
      <c r="F50" s="308"/>
      <c r="G50" s="308"/>
      <c r="H50" s="308"/>
      <c r="I50" s="308"/>
      <c r="J50" s="308"/>
      <c r="K50" s="308"/>
      <c r="L50" s="308"/>
      <c r="M50" s="308"/>
      <c r="N50" s="763"/>
      <c r="O50" s="308"/>
      <c r="P50" s="308"/>
      <c r="Q50" s="308"/>
      <c r="R50" s="308"/>
      <c r="S50" s="308"/>
      <c r="T50" s="308"/>
      <c r="U50" s="308"/>
      <c r="V50" s="308"/>
      <c r="W50" s="308"/>
      <c r="X50" s="308"/>
      <c r="Y50" s="772"/>
      <c r="Z50" s="772"/>
      <c r="AA50" s="772"/>
      <c r="AB50" s="772"/>
      <c r="AC50" s="772"/>
      <c r="AD50" s="772"/>
      <c r="AE50" s="772"/>
      <c r="AF50" s="772"/>
      <c r="AG50" s="422"/>
      <c r="AH50" s="422"/>
      <c r="AI50" s="422"/>
      <c r="AJ50" s="422"/>
      <c r="AK50" s="422"/>
      <c r="AL50" s="422"/>
      <c r="AM50" s="309">
        <f>SUM(Y50:AL50)</f>
        <v>0</v>
      </c>
    </row>
    <row r="51" spans="1:39" ht="15" outlineLevel="1">
      <c r="B51" s="307" t="s">
        <v>267</v>
      </c>
      <c r="C51" s="304" t="s">
        <v>163</v>
      </c>
      <c r="D51" s="308"/>
      <c r="E51" s="308"/>
      <c r="F51" s="308"/>
      <c r="G51" s="308"/>
      <c r="H51" s="308"/>
      <c r="I51" s="308"/>
      <c r="J51" s="308"/>
      <c r="K51" s="308"/>
      <c r="L51" s="308"/>
      <c r="M51" s="308"/>
      <c r="N51" s="764"/>
      <c r="O51" s="308"/>
      <c r="P51" s="308"/>
      <c r="Q51" s="308"/>
      <c r="R51" s="308"/>
      <c r="S51" s="308"/>
      <c r="T51" s="308"/>
      <c r="U51" s="308"/>
      <c r="V51" s="308"/>
      <c r="W51" s="308"/>
      <c r="X51" s="308"/>
      <c r="Y51" s="773">
        <f>Y50</f>
        <v>0</v>
      </c>
      <c r="Z51" s="773">
        <f t="shared" ref="Z51:AF51" si="23">Z50</f>
        <v>0</v>
      </c>
      <c r="AA51" s="773">
        <f t="shared" si="23"/>
        <v>0</v>
      </c>
      <c r="AB51" s="773">
        <f t="shared" si="23"/>
        <v>0</v>
      </c>
      <c r="AC51" s="773">
        <f t="shared" si="23"/>
        <v>0</v>
      </c>
      <c r="AD51" s="773">
        <f t="shared" si="23"/>
        <v>0</v>
      </c>
      <c r="AE51" s="773">
        <f t="shared" si="23"/>
        <v>0</v>
      </c>
      <c r="AF51" s="773">
        <f t="shared" si="23"/>
        <v>0</v>
      </c>
      <c r="AG51" s="423">
        <f t="shared" ref="AG51" si="24">AG50</f>
        <v>0</v>
      </c>
      <c r="AH51" s="423">
        <f t="shared" ref="AH51" si="25">AH50</f>
        <v>0</v>
      </c>
      <c r="AI51" s="423">
        <f t="shared" ref="AI51" si="26">AI50</f>
        <v>0</v>
      </c>
      <c r="AJ51" s="423">
        <f t="shared" ref="AJ51" si="27">AJ50</f>
        <v>0</v>
      </c>
      <c r="AK51" s="423">
        <f t="shared" ref="AK51" si="28">AK50</f>
        <v>0</v>
      </c>
      <c r="AL51" s="423">
        <f t="shared" ref="AL51" si="29">AL50</f>
        <v>0</v>
      </c>
      <c r="AM51" s="310"/>
    </row>
    <row r="52" spans="1:39" ht="15" outlineLevel="1">
      <c r="B52" s="307"/>
      <c r="C52" s="304"/>
      <c r="D52" s="763"/>
      <c r="E52" s="763"/>
      <c r="F52" s="763"/>
      <c r="G52" s="763"/>
      <c r="H52" s="763"/>
      <c r="I52" s="763"/>
      <c r="J52" s="763"/>
      <c r="K52" s="763"/>
      <c r="L52" s="763"/>
      <c r="M52" s="763"/>
      <c r="N52" s="763"/>
      <c r="O52" s="763"/>
      <c r="P52" s="763"/>
      <c r="Q52" s="763"/>
      <c r="R52" s="763"/>
      <c r="S52" s="763"/>
      <c r="T52" s="763"/>
      <c r="U52" s="763"/>
      <c r="V52" s="763"/>
      <c r="W52" s="763"/>
      <c r="X52" s="763"/>
      <c r="Y52" s="784"/>
      <c r="Z52" s="785"/>
      <c r="AA52" s="785"/>
      <c r="AB52" s="785"/>
      <c r="AC52" s="785"/>
      <c r="AD52" s="785"/>
      <c r="AE52" s="785"/>
      <c r="AF52" s="785"/>
      <c r="AG52" s="433"/>
      <c r="AH52" s="433"/>
      <c r="AI52" s="433"/>
      <c r="AJ52" s="433"/>
      <c r="AK52" s="433"/>
      <c r="AL52" s="433"/>
      <c r="AM52" s="310"/>
    </row>
    <row r="53" spans="1:39" ht="16.5" customHeight="1" outlineLevel="1">
      <c r="B53" s="331" t="s">
        <v>497</v>
      </c>
      <c r="C53" s="302"/>
      <c r="D53" s="767"/>
      <c r="E53" s="767"/>
      <c r="F53" s="767"/>
      <c r="G53" s="767"/>
      <c r="H53" s="767"/>
      <c r="I53" s="767"/>
      <c r="J53" s="767"/>
      <c r="K53" s="767"/>
      <c r="L53" s="767"/>
      <c r="M53" s="767"/>
      <c r="N53" s="769"/>
      <c r="O53" s="767"/>
      <c r="P53" s="767"/>
      <c r="Q53" s="767"/>
      <c r="R53" s="767"/>
      <c r="S53" s="767"/>
      <c r="T53" s="767"/>
      <c r="U53" s="767"/>
      <c r="V53" s="767"/>
      <c r="W53" s="767"/>
      <c r="X53" s="767"/>
      <c r="Y53" s="776"/>
      <c r="Z53" s="776"/>
      <c r="AA53" s="776"/>
      <c r="AB53" s="776"/>
      <c r="AC53" s="776"/>
      <c r="AD53" s="776"/>
      <c r="AE53" s="776"/>
      <c r="AF53" s="776"/>
      <c r="AG53" s="426"/>
      <c r="AH53" s="426"/>
      <c r="AI53" s="426"/>
      <c r="AJ53" s="426"/>
      <c r="AK53" s="426"/>
      <c r="AL53" s="426"/>
      <c r="AM53" s="305"/>
    </row>
    <row r="54" spans="1:39" ht="15" outlineLevel="1">
      <c r="A54" s="529">
        <v>6</v>
      </c>
      <c r="B54" s="527" t="s">
        <v>99</v>
      </c>
      <c r="C54" s="304" t="s">
        <v>25</v>
      </c>
      <c r="D54" s="308"/>
      <c r="E54" s="308"/>
      <c r="F54" s="308"/>
      <c r="G54" s="308"/>
      <c r="H54" s="308"/>
      <c r="I54" s="308"/>
      <c r="J54" s="308"/>
      <c r="K54" s="308"/>
      <c r="L54" s="308"/>
      <c r="M54" s="308"/>
      <c r="N54" s="308">
        <v>12</v>
      </c>
      <c r="O54" s="308"/>
      <c r="P54" s="308"/>
      <c r="Q54" s="308"/>
      <c r="R54" s="308"/>
      <c r="S54" s="308"/>
      <c r="T54" s="308"/>
      <c r="U54" s="308"/>
      <c r="V54" s="308"/>
      <c r="W54" s="308"/>
      <c r="X54" s="308"/>
      <c r="Y54" s="777"/>
      <c r="Z54" s="772"/>
      <c r="AA54" s="772"/>
      <c r="AB54" s="772"/>
      <c r="AC54" s="772"/>
      <c r="AD54" s="772"/>
      <c r="AE54" s="772"/>
      <c r="AF54" s="777"/>
      <c r="AG54" s="427"/>
      <c r="AH54" s="427"/>
      <c r="AI54" s="427"/>
      <c r="AJ54" s="427"/>
      <c r="AK54" s="427"/>
      <c r="AL54" s="427"/>
      <c r="AM54" s="309">
        <f>SUM(Y54:AL54)</f>
        <v>0</v>
      </c>
    </row>
    <row r="55" spans="1:39" ht="15" outlineLevel="1">
      <c r="B55" s="307" t="s">
        <v>267</v>
      </c>
      <c r="C55" s="304" t="s">
        <v>163</v>
      </c>
      <c r="D55" s="308"/>
      <c r="E55" s="308"/>
      <c r="F55" s="308"/>
      <c r="G55" s="308"/>
      <c r="H55" s="308"/>
      <c r="I55" s="308"/>
      <c r="J55" s="308"/>
      <c r="K55" s="308"/>
      <c r="L55" s="308"/>
      <c r="M55" s="308"/>
      <c r="N55" s="308">
        <f>N54</f>
        <v>12</v>
      </c>
      <c r="O55" s="308"/>
      <c r="P55" s="308"/>
      <c r="Q55" s="308"/>
      <c r="R55" s="308"/>
      <c r="S55" s="308"/>
      <c r="T55" s="308"/>
      <c r="U55" s="308"/>
      <c r="V55" s="308"/>
      <c r="W55" s="308"/>
      <c r="X55" s="308"/>
      <c r="Y55" s="773">
        <f>Y54</f>
        <v>0</v>
      </c>
      <c r="Z55" s="773">
        <f t="shared" ref="Z55:AF55" si="30">Z54</f>
        <v>0</v>
      </c>
      <c r="AA55" s="773">
        <f t="shared" si="30"/>
        <v>0</v>
      </c>
      <c r="AB55" s="773">
        <f t="shared" si="30"/>
        <v>0</v>
      </c>
      <c r="AC55" s="773">
        <f t="shared" si="30"/>
        <v>0</v>
      </c>
      <c r="AD55" s="773">
        <f t="shared" si="30"/>
        <v>0</v>
      </c>
      <c r="AE55" s="773">
        <f t="shared" si="30"/>
        <v>0</v>
      </c>
      <c r="AF55" s="773">
        <f t="shared" si="30"/>
        <v>0</v>
      </c>
      <c r="AG55" s="423">
        <f t="shared" ref="AG55" si="31">AG54</f>
        <v>0</v>
      </c>
      <c r="AH55" s="423">
        <f t="shared" ref="AH55" si="32">AH54</f>
        <v>0</v>
      </c>
      <c r="AI55" s="423">
        <f t="shared" ref="AI55" si="33">AI54</f>
        <v>0</v>
      </c>
      <c r="AJ55" s="423">
        <f t="shared" ref="AJ55" si="34">AJ54</f>
        <v>0</v>
      </c>
      <c r="AK55" s="423">
        <f t="shared" ref="AK55" si="35">AK54</f>
        <v>0</v>
      </c>
      <c r="AL55" s="423">
        <f t="shared" ref="AL55" si="36">AL54</f>
        <v>0</v>
      </c>
      <c r="AM55" s="324"/>
    </row>
    <row r="56" spans="1:39" ht="15" outlineLevel="1">
      <c r="B56" s="323"/>
      <c r="C56" s="325"/>
      <c r="D56" s="763"/>
      <c r="E56" s="763"/>
      <c r="F56" s="763"/>
      <c r="G56" s="763"/>
      <c r="H56" s="763"/>
      <c r="I56" s="763"/>
      <c r="J56" s="763"/>
      <c r="K56" s="763"/>
      <c r="L56" s="763"/>
      <c r="M56" s="763"/>
      <c r="N56" s="763"/>
      <c r="O56" s="763"/>
      <c r="P56" s="763"/>
      <c r="Q56" s="763"/>
      <c r="R56" s="763"/>
      <c r="S56" s="763"/>
      <c r="T56" s="763"/>
      <c r="U56" s="763"/>
      <c r="V56" s="763"/>
      <c r="W56" s="763"/>
      <c r="X56" s="763"/>
      <c r="Y56" s="778"/>
      <c r="Z56" s="778"/>
      <c r="AA56" s="778"/>
      <c r="AB56" s="778"/>
      <c r="AC56" s="778"/>
      <c r="AD56" s="778"/>
      <c r="AE56" s="778"/>
      <c r="AF56" s="778"/>
      <c r="AG56" s="428"/>
      <c r="AH56" s="428"/>
      <c r="AI56" s="428"/>
      <c r="AJ56" s="428"/>
      <c r="AK56" s="428"/>
      <c r="AL56" s="428"/>
      <c r="AM56" s="326"/>
    </row>
    <row r="57" spans="1:39" ht="28.5" customHeight="1" outlineLevel="1">
      <c r="A57" s="529">
        <v>7</v>
      </c>
      <c r="B57" s="527" t="s">
        <v>100</v>
      </c>
      <c r="C57" s="304" t="s">
        <v>25</v>
      </c>
      <c r="D57" s="308">
        <f>'7.  Persistence Report'!AU108</f>
        <v>4647879</v>
      </c>
      <c r="E57" s="308">
        <f>'7.  Persistence Report'!AV108</f>
        <v>4647879</v>
      </c>
      <c r="F57" s="308">
        <f>'7.  Persistence Report'!AW108</f>
        <v>4583665</v>
      </c>
      <c r="G57" s="308">
        <f>'7.  Persistence Report'!AX108</f>
        <v>4583558</v>
      </c>
      <c r="H57" s="308">
        <f>'7.  Persistence Report'!AY108</f>
        <v>4583558</v>
      </c>
      <c r="I57" s="308">
        <f>'7.  Persistence Report'!AZ108</f>
        <v>4359005</v>
      </c>
      <c r="J57" s="308">
        <f>'7.  Persistence Report'!BA108</f>
        <v>4302487</v>
      </c>
      <c r="K57" s="308">
        <f>'7.  Persistence Report'!BB108</f>
        <v>4302487</v>
      </c>
      <c r="L57" s="308">
        <f>'7.  Persistence Report'!BC108</f>
        <v>4266744</v>
      </c>
      <c r="M57" s="308">
        <f>'7.  Persistence Report'!BD108</f>
        <v>4071369</v>
      </c>
      <c r="N57" s="308">
        <v>12</v>
      </c>
      <c r="O57" s="308">
        <f>'7.  Persistence Report'!P108</f>
        <v>545</v>
      </c>
      <c r="P57" s="308">
        <f>'7.  Persistence Report'!Q108</f>
        <v>545</v>
      </c>
      <c r="Q57" s="308">
        <f>'7.  Persistence Report'!R108</f>
        <v>525</v>
      </c>
      <c r="R57" s="308">
        <f>'7.  Persistence Report'!S108</f>
        <v>524</v>
      </c>
      <c r="S57" s="308">
        <f>'7.  Persistence Report'!T108</f>
        <v>524</v>
      </c>
      <c r="T57" s="308">
        <f>'7.  Persistence Report'!U108</f>
        <v>456</v>
      </c>
      <c r="U57" s="308">
        <f>'7.  Persistence Report'!V108</f>
        <v>448</v>
      </c>
      <c r="V57" s="308">
        <f>'7.  Persistence Report'!W108</f>
        <v>448</v>
      </c>
      <c r="W57" s="308">
        <f>'7.  Persistence Report'!X108</f>
        <v>445</v>
      </c>
      <c r="X57" s="308">
        <f>'7.  Persistence Report'!Y108</f>
        <v>417</v>
      </c>
      <c r="Y57" s="792"/>
      <c r="Z57" s="792">
        <v>0.33</v>
      </c>
      <c r="AA57" s="792">
        <v>0.33</v>
      </c>
      <c r="AB57" s="772">
        <v>0.34</v>
      </c>
      <c r="AC57" s="792"/>
      <c r="AD57" s="772"/>
      <c r="AE57" s="772"/>
      <c r="AF57" s="777"/>
      <c r="AG57" s="427"/>
      <c r="AH57" s="427"/>
      <c r="AI57" s="427"/>
      <c r="AJ57" s="427"/>
      <c r="AK57" s="427"/>
      <c r="AL57" s="427"/>
      <c r="AM57" s="309">
        <f>SUM(Y57:AL57)</f>
        <v>1</v>
      </c>
    </row>
    <row r="58" spans="1:39" ht="15" outlineLevel="1">
      <c r="B58" s="307" t="s">
        <v>267</v>
      </c>
      <c r="C58" s="304" t="s">
        <v>163</v>
      </c>
      <c r="D58" s="308">
        <f>'7.  Persistence Report'!AU114+'7.  Persistence Report'!AU115+'7.  Persistence Report'!AU139</f>
        <v>146713.54171905172</v>
      </c>
      <c r="E58" s="308">
        <f>'7.  Persistence Report'!AV114+'7.  Persistence Report'!AV115+'7.  Persistence Report'!AV139</f>
        <v>29571.43198804665</v>
      </c>
      <c r="F58" s="308">
        <f>'7.  Persistence Report'!AW114+'7.  Persistence Report'!AW115+'7.  Persistence Report'!AW139</f>
        <v>93784.43198804665</v>
      </c>
      <c r="G58" s="308">
        <f>'7.  Persistence Report'!AX114+'7.  Persistence Report'!AX115+'7.  Persistence Report'!AX139</f>
        <v>93892.43198804665</v>
      </c>
      <c r="H58" s="308">
        <f>'7.  Persistence Report'!AY114+'7.  Persistence Report'!AY115+'7.  Persistence Report'!AY139</f>
        <v>93892.43198804665</v>
      </c>
      <c r="I58" s="308">
        <f>'7.  Persistence Report'!AZ114+'7.  Persistence Report'!AZ115+'7.  Persistence Report'!AZ139</f>
        <v>93892.43198804665</v>
      </c>
      <c r="J58" s="308">
        <f>'7.  Persistence Report'!BA114+'7.  Persistence Report'!BA115</f>
        <v>286992</v>
      </c>
      <c r="K58" s="308">
        <f>'7.  Persistence Report'!BB114+'7.  Persistence Report'!BB115</f>
        <v>286992</v>
      </c>
      <c r="L58" s="308">
        <f>'7.  Persistence Report'!BC114+'7.  Persistence Report'!BC115</f>
        <v>316280</v>
      </c>
      <c r="M58" s="308">
        <f>'7.  Persistence Report'!BD114+'7.  Persistence Report'!BD115</f>
        <v>276891</v>
      </c>
      <c r="N58" s="308">
        <f>N57</f>
        <v>12</v>
      </c>
      <c r="O58" s="308">
        <f>'7.  Persistence Report'!P114+'7.  Persistence Report'!P115+'7.  Persistence Report'!P139</f>
        <v>17.56601673126583</v>
      </c>
      <c r="P58" s="308">
        <f>'7.  Persistence Report'!Q114+'7.  Persistence Report'!Q115+'7.  Persistence Report'!Q139</f>
        <v>2.867788623292217</v>
      </c>
      <c r="Q58" s="308">
        <f>'7.  Persistence Report'!R114+'7.  Persistence Report'!R115+'7.  Persistence Report'!R139</f>
        <v>22.867788623292217</v>
      </c>
      <c r="R58" s="308">
        <f>'7.  Persistence Report'!S114+'7.  Persistence Report'!S115+'7.  Persistence Report'!S139</f>
        <v>22.867788623292217</v>
      </c>
      <c r="S58" s="308">
        <f>'7.  Persistence Report'!T114+'7.  Persistence Report'!T115+'7.  Persistence Report'!T139</f>
        <v>22.867788623292217</v>
      </c>
      <c r="T58" s="308">
        <f>'7.  Persistence Report'!U114+'7.  Persistence Report'!U115+'7.  Persistence Report'!U139</f>
        <v>23.093475625578275</v>
      </c>
      <c r="U58" s="308">
        <f>'7.  Persistence Report'!V114+'7.  Persistence Report'!V115</f>
        <v>49</v>
      </c>
      <c r="V58" s="308">
        <f>'7.  Persistence Report'!W114+'7.  Persistence Report'!W115</f>
        <v>49</v>
      </c>
      <c r="W58" s="308">
        <f>'7.  Persistence Report'!X114+'7.  Persistence Report'!X115</f>
        <v>49</v>
      </c>
      <c r="X58" s="308">
        <f>'7.  Persistence Report'!Y114+'7.  Persistence Report'!Y115</f>
        <v>40</v>
      </c>
      <c r="Y58" s="773">
        <f>Y57</f>
        <v>0</v>
      </c>
      <c r="Z58" s="773">
        <f>Z57</f>
        <v>0.33</v>
      </c>
      <c r="AA58" s="773">
        <f t="shared" ref="AA58:AF58" si="37">AA57</f>
        <v>0.33</v>
      </c>
      <c r="AB58" s="773">
        <f t="shared" si="37"/>
        <v>0.34</v>
      </c>
      <c r="AC58" s="773">
        <f t="shared" si="37"/>
        <v>0</v>
      </c>
      <c r="AD58" s="773">
        <f t="shared" si="37"/>
        <v>0</v>
      </c>
      <c r="AE58" s="773">
        <f t="shared" si="37"/>
        <v>0</v>
      </c>
      <c r="AF58" s="773">
        <f t="shared" si="37"/>
        <v>0</v>
      </c>
      <c r="AG58" s="423">
        <f t="shared" ref="AG58" si="38">AG57</f>
        <v>0</v>
      </c>
      <c r="AH58" s="423">
        <f t="shared" ref="AH58" si="39">AH57</f>
        <v>0</v>
      </c>
      <c r="AI58" s="423">
        <f t="shared" ref="AI58" si="40">AI57</f>
        <v>0</v>
      </c>
      <c r="AJ58" s="423">
        <f t="shared" ref="AJ58" si="41">AJ57</f>
        <v>0</v>
      </c>
      <c r="AK58" s="423">
        <f t="shared" ref="AK58" si="42">AK57</f>
        <v>0</v>
      </c>
      <c r="AL58" s="423">
        <f t="shared" ref="AL58" si="43">AL57</f>
        <v>0</v>
      </c>
      <c r="AM58" s="324"/>
    </row>
    <row r="59" spans="1:39" ht="15" outlineLevel="1">
      <c r="B59" s="327"/>
      <c r="C59" s="325"/>
      <c r="D59" s="763"/>
      <c r="E59" s="763"/>
      <c r="F59" s="763"/>
      <c r="G59" s="763"/>
      <c r="H59" s="763"/>
      <c r="I59" s="763"/>
      <c r="J59" s="763"/>
      <c r="K59" s="763"/>
      <c r="L59" s="763"/>
      <c r="M59" s="763"/>
      <c r="N59" s="763"/>
      <c r="O59" s="763"/>
      <c r="P59" s="763"/>
      <c r="Q59" s="763"/>
      <c r="R59" s="763"/>
      <c r="S59" s="763"/>
      <c r="T59" s="763"/>
      <c r="U59" s="763"/>
      <c r="V59" s="763"/>
      <c r="W59" s="763"/>
      <c r="X59" s="763"/>
      <c r="Y59" s="778"/>
      <c r="Z59" s="779"/>
      <c r="AA59" s="778"/>
      <c r="AB59" s="778"/>
      <c r="AC59" s="778"/>
      <c r="AD59" s="778"/>
      <c r="AE59" s="778"/>
      <c r="AF59" s="778"/>
      <c r="AG59" s="428"/>
      <c r="AH59" s="428"/>
      <c r="AI59" s="428"/>
      <c r="AJ59" s="428"/>
      <c r="AK59" s="428"/>
      <c r="AL59" s="428"/>
      <c r="AM59" s="326"/>
    </row>
    <row r="60" spans="1:39" ht="30" outlineLevel="1">
      <c r="A60" s="529">
        <v>8</v>
      </c>
      <c r="B60" s="527" t="s">
        <v>101</v>
      </c>
      <c r="C60" s="304" t="s">
        <v>25</v>
      </c>
      <c r="D60" s="308">
        <f>'7.  Persistence Report'!AU109</f>
        <v>19224</v>
      </c>
      <c r="E60" s="308">
        <f>'7.  Persistence Report'!AV109</f>
        <v>18917</v>
      </c>
      <c r="F60" s="308">
        <f>'7.  Persistence Report'!AW109</f>
        <v>9456</v>
      </c>
      <c r="G60" s="308">
        <f>'7.  Persistence Report'!AX109</f>
        <v>9456</v>
      </c>
      <c r="H60" s="308">
        <f>'7.  Persistence Report'!AY109</f>
        <v>9456</v>
      </c>
      <c r="I60" s="308">
        <f>'7.  Persistence Report'!AZ109</f>
        <v>9456</v>
      </c>
      <c r="J60" s="308">
        <f>'7.  Persistence Report'!BA109</f>
        <v>9456</v>
      </c>
      <c r="K60" s="308">
        <f>'7.  Persistence Report'!BB109</f>
        <v>9456</v>
      </c>
      <c r="L60" s="308">
        <f>'7.  Persistence Report'!BC109</f>
        <v>9456</v>
      </c>
      <c r="M60" s="308">
        <f>'7.  Persistence Report'!BD109</f>
        <v>9456</v>
      </c>
      <c r="N60" s="308">
        <v>12</v>
      </c>
      <c r="O60" s="308">
        <f>'7.  Persistence Report'!P109</f>
        <v>5</v>
      </c>
      <c r="P60" s="308">
        <f>'7.  Persistence Report'!Q109</f>
        <v>5</v>
      </c>
      <c r="Q60" s="308">
        <f>'7.  Persistence Report'!R109</f>
        <v>2</v>
      </c>
      <c r="R60" s="308">
        <f>'7.  Persistence Report'!S109</f>
        <v>2</v>
      </c>
      <c r="S60" s="308">
        <f>'7.  Persistence Report'!T109</f>
        <v>2</v>
      </c>
      <c r="T60" s="308">
        <f>'7.  Persistence Report'!U109</f>
        <v>2</v>
      </c>
      <c r="U60" s="308">
        <f>'7.  Persistence Report'!V109</f>
        <v>2</v>
      </c>
      <c r="V60" s="308">
        <f>'7.  Persistence Report'!W109</f>
        <v>2</v>
      </c>
      <c r="W60" s="308">
        <f>'7.  Persistence Report'!X109</f>
        <v>2</v>
      </c>
      <c r="X60" s="308">
        <f>'7.  Persistence Report'!Y109</f>
        <v>2</v>
      </c>
      <c r="Y60" s="777"/>
      <c r="Z60" s="792">
        <v>1</v>
      </c>
      <c r="AA60" s="772"/>
      <c r="AB60" s="772"/>
      <c r="AC60" s="772"/>
      <c r="AD60" s="772"/>
      <c r="AE60" s="772"/>
      <c r="AF60" s="777"/>
      <c r="AG60" s="427"/>
      <c r="AH60" s="427"/>
      <c r="AI60" s="427"/>
      <c r="AJ60" s="427"/>
      <c r="AK60" s="427"/>
      <c r="AL60" s="427"/>
      <c r="AM60" s="309">
        <f>SUM(Y60:AL60)</f>
        <v>1</v>
      </c>
    </row>
    <row r="61" spans="1:39" ht="15" outlineLevel="1">
      <c r="B61" s="307" t="s">
        <v>267</v>
      </c>
      <c r="C61" s="304" t="s">
        <v>163</v>
      </c>
      <c r="D61" s="308">
        <f>'7.  Persistence Report'!AU116</f>
        <v>-6723</v>
      </c>
      <c r="E61" s="308">
        <f>'7.  Persistence Report'!AV116</f>
        <v>-6416</v>
      </c>
      <c r="F61" s="308">
        <f>'7.  Persistence Report'!AW116</f>
        <v>3045</v>
      </c>
      <c r="G61" s="308">
        <f>'7.  Persistence Report'!AX116</f>
        <v>3140</v>
      </c>
      <c r="H61" s="308">
        <f>'7.  Persistence Report'!AY116</f>
        <v>3140</v>
      </c>
      <c r="I61" s="308">
        <f>'7.  Persistence Report'!AZ116</f>
        <v>3140</v>
      </c>
      <c r="J61" s="308">
        <f>'7.  Persistence Report'!BA116</f>
        <v>3140</v>
      </c>
      <c r="K61" s="308">
        <f>'7.  Persistence Report'!BB116</f>
        <v>3140</v>
      </c>
      <c r="L61" s="308">
        <f>'7.  Persistence Report'!BC116</f>
        <v>3140</v>
      </c>
      <c r="M61" s="308">
        <f>'7.  Persistence Report'!BD116</f>
        <v>3140</v>
      </c>
      <c r="N61" s="308">
        <f>N60</f>
        <v>12</v>
      </c>
      <c r="O61" s="308">
        <f>'7.  Persistence Report'!P116</f>
        <v>-2</v>
      </c>
      <c r="P61" s="308">
        <f>'7.  Persistence Report'!Q116</f>
        <v>-2</v>
      </c>
      <c r="Q61" s="308">
        <f>'7.  Persistence Report'!R116</f>
        <v>1</v>
      </c>
      <c r="R61" s="308">
        <f>'7.  Persistence Report'!S116</f>
        <v>1</v>
      </c>
      <c r="S61" s="308">
        <f>'7.  Persistence Report'!T116</f>
        <v>1</v>
      </c>
      <c r="T61" s="308">
        <f>'7.  Persistence Report'!U116</f>
        <v>1</v>
      </c>
      <c r="U61" s="308">
        <f>'7.  Persistence Report'!V116</f>
        <v>1</v>
      </c>
      <c r="V61" s="308">
        <f>'7.  Persistence Report'!W116</f>
        <v>1</v>
      </c>
      <c r="W61" s="308">
        <f>'7.  Persistence Report'!X116</f>
        <v>1</v>
      </c>
      <c r="X61" s="308">
        <f>'7.  Persistence Report'!Y116</f>
        <v>1</v>
      </c>
      <c r="Y61" s="773">
        <f>Y60</f>
        <v>0</v>
      </c>
      <c r="Z61" s="773">
        <f t="shared" ref="Z61:AF61" si="44">Z60</f>
        <v>1</v>
      </c>
      <c r="AA61" s="773">
        <f t="shared" si="44"/>
        <v>0</v>
      </c>
      <c r="AB61" s="773">
        <f t="shared" si="44"/>
        <v>0</v>
      </c>
      <c r="AC61" s="773">
        <f t="shared" si="44"/>
        <v>0</v>
      </c>
      <c r="AD61" s="773">
        <f t="shared" si="44"/>
        <v>0</v>
      </c>
      <c r="AE61" s="773">
        <f t="shared" si="44"/>
        <v>0</v>
      </c>
      <c r="AF61" s="773">
        <f t="shared" si="44"/>
        <v>0</v>
      </c>
      <c r="AG61" s="423">
        <f t="shared" ref="AG61" si="45">AG60</f>
        <v>0</v>
      </c>
      <c r="AH61" s="423">
        <f t="shared" ref="AH61" si="46">AH60</f>
        <v>0</v>
      </c>
      <c r="AI61" s="423">
        <f t="shared" ref="AI61" si="47">AI60</f>
        <v>0</v>
      </c>
      <c r="AJ61" s="423">
        <f t="shared" ref="AJ61" si="48">AJ60</f>
        <v>0</v>
      </c>
      <c r="AK61" s="423">
        <f t="shared" ref="AK61" si="49">AK60</f>
        <v>0</v>
      </c>
      <c r="AL61" s="423">
        <f t="shared" ref="AL61" si="50">AL60</f>
        <v>0</v>
      </c>
      <c r="AM61" s="324"/>
    </row>
    <row r="62" spans="1:39" ht="15" outlineLevel="1">
      <c r="B62" s="327"/>
      <c r="C62" s="325"/>
      <c r="D62" s="768"/>
      <c r="E62" s="768"/>
      <c r="F62" s="768"/>
      <c r="G62" s="768"/>
      <c r="H62" s="768"/>
      <c r="I62" s="768"/>
      <c r="J62" s="768"/>
      <c r="K62" s="768"/>
      <c r="L62" s="768"/>
      <c r="M62" s="768"/>
      <c r="N62" s="763"/>
      <c r="O62" s="768"/>
      <c r="P62" s="768"/>
      <c r="Q62" s="768"/>
      <c r="R62" s="768"/>
      <c r="S62" s="768"/>
      <c r="T62" s="768"/>
      <c r="U62" s="768"/>
      <c r="V62" s="768"/>
      <c r="W62" s="768"/>
      <c r="X62" s="768"/>
      <c r="Y62" s="778"/>
      <c r="Z62" s="779"/>
      <c r="AA62" s="778"/>
      <c r="AB62" s="778"/>
      <c r="AC62" s="778"/>
      <c r="AD62" s="778"/>
      <c r="AE62" s="778"/>
      <c r="AF62" s="778"/>
      <c r="AG62" s="428"/>
      <c r="AH62" s="428"/>
      <c r="AI62" s="428"/>
      <c r="AJ62" s="428"/>
      <c r="AK62" s="428"/>
      <c r="AL62" s="428"/>
      <c r="AM62" s="326"/>
    </row>
    <row r="63" spans="1:39" ht="30" outlineLevel="1">
      <c r="A63" s="529">
        <v>9</v>
      </c>
      <c r="B63" s="527" t="s">
        <v>102</v>
      </c>
      <c r="C63" s="304" t="s">
        <v>25</v>
      </c>
      <c r="D63" s="308"/>
      <c r="E63" s="308"/>
      <c r="F63" s="308"/>
      <c r="G63" s="308"/>
      <c r="H63" s="308"/>
      <c r="I63" s="308"/>
      <c r="J63" s="308"/>
      <c r="K63" s="308"/>
      <c r="L63" s="308"/>
      <c r="M63" s="308"/>
      <c r="N63" s="308">
        <v>12</v>
      </c>
      <c r="O63" s="308"/>
      <c r="P63" s="308"/>
      <c r="Q63" s="308"/>
      <c r="R63" s="308"/>
      <c r="S63" s="308"/>
      <c r="T63" s="308"/>
      <c r="U63" s="308"/>
      <c r="V63" s="308"/>
      <c r="W63" s="308"/>
      <c r="X63" s="308"/>
      <c r="Y63" s="777"/>
      <c r="Z63" s="772"/>
      <c r="AA63" s="772"/>
      <c r="AB63" s="772"/>
      <c r="AC63" s="772"/>
      <c r="AD63" s="772"/>
      <c r="AE63" s="772"/>
      <c r="AF63" s="777"/>
      <c r="AG63" s="427"/>
      <c r="AH63" s="427"/>
      <c r="AI63" s="427"/>
      <c r="AJ63" s="427"/>
      <c r="AK63" s="427"/>
      <c r="AL63" s="427"/>
      <c r="AM63" s="309">
        <f>SUM(Y63:AL63)</f>
        <v>0</v>
      </c>
    </row>
    <row r="64" spans="1:39" ht="15" outlineLevel="1">
      <c r="B64" s="307" t="s">
        <v>267</v>
      </c>
      <c r="C64" s="304" t="s">
        <v>163</v>
      </c>
      <c r="D64" s="308"/>
      <c r="E64" s="308"/>
      <c r="F64" s="308"/>
      <c r="G64" s="308"/>
      <c r="H64" s="308"/>
      <c r="I64" s="308"/>
      <c r="J64" s="308"/>
      <c r="K64" s="308"/>
      <c r="L64" s="308"/>
      <c r="M64" s="308"/>
      <c r="N64" s="308">
        <f>N63</f>
        <v>12</v>
      </c>
      <c r="O64" s="308"/>
      <c r="P64" s="308"/>
      <c r="Q64" s="308"/>
      <c r="R64" s="308"/>
      <c r="S64" s="308"/>
      <c r="T64" s="308"/>
      <c r="U64" s="308"/>
      <c r="V64" s="308"/>
      <c r="W64" s="308"/>
      <c r="X64" s="308"/>
      <c r="Y64" s="773">
        <f>Y63</f>
        <v>0</v>
      </c>
      <c r="Z64" s="773">
        <f t="shared" ref="Z64:AF64" si="51">Z63</f>
        <v>0</v>
      </c>
      <c r="AA64" s="773">
        <f t="shared" si="51"/>
        <v>0</v>
      </c>
      <c r="AB64" s="773">
        <f t="shared" si="51"/>
        <v>0</v>
      </c>
      <c r="AC64" s="773">
        <f t="shared" si="51"/>
        <v>0</v>
      </c>
      <c r="AD64" s="773">
        <f t="shared" si="51"/>
        <v>0</v>
      </c>
      <c r="AE64" s="773">
        <f t="shared" si="51"/>
        <v>0</v>
      </c>
      <c r="AF64" s="773">
        <f t="shared" si="51"/>
        <v>0</v>
      </c>
      <c r="AG64" s="423">
        <f t="shared" ref="AG64" si="52">AG63</f>
        <v>0</v>
      </c>
      <c r="AH64" s="423">
        <f t="shared" ref="AH64" si="53">AH63</f>
        <v>0</v>
      </c>
      <c r="AI64" s="423">
        <f t="shared" ref="AI64" si="54">AI63</f>
        <v>0</v>
      </c>
      <c r="AJ64" s="423">
        <f t="shared" ref="AJ64" si="55">AJ63</f>
        <v>0</v>
      </c>
      <c r="AK64" s="423">
        <f t="shared" ref="AK64" si="56">AK63</f>
        <v>0</v>
      </c>
      <c r="AL64" s="423">
        <f t="shared" ref="AL64" si="57">AL63</f>
        <v>0</v>
      </c>
      <c r="AM64" s="324"/>
    </row>
    <row r="65" spans="1:39" ht="15" outlineLevel="1">
      <c r="B65" s="327"/>
      <c r="C65" s="325"/>
      <c r="D65" s="768"/>
      <c r="E65" s="768"/>
      <c r="F65" s="768"/>
      <c r="G65" s="768"/>
      <c r="H65" s="768"/>
      <c r="I65" s="768"/>
      <c r="J65" s="768"/>
      <c r="K65" s="768"/>
      <c r="L65" s="768"/>
      <c r="M65" s="768"/>
      <c r="N65" s="763"/>
      <c r="O65" s="768"/>
      <c r="P65" s="768"/>
      <c r="Q65" s="768"/>
      <c r="R65" s="768"/>
      <c r="S65" s="768"/>
      <c r="T65" s="768"/>
      <c r="U65" s="768"/>
      <c r="V65" s="768"/>
      <c r="W65" s="768"/>
      <c r="X65" s="768"/>
      <c r="Y65" s="778"/>
      <c r="Z65" s="778"/>
      <c r="AA65" s="778"/>
      <c r="AB65" s="778"/>
      <c r="AC65" s="778"/>
      <c r="AD65" s="778"/>
      <c r="AE65" s="778"/>
      <c r="AF65" s="778"/>
      <c r="AG65" s="428"/>
      <c r="AH65" s="428"/>
      <c r="AI65" s="428"/>
      <c r="AJ65" s="428"/>
      <c r="AK65" s="428"/>
      <c r="AL65" s="428"/>
      <c r="AM65" s="326"/>
    </row>
    <row r="66" spans="1:39" ht="30" outlineLevel="1">
      <c r="A66" s="529">
        <v>10</v>
      </c>
      <c r="B66" s="527" t="s">
        <v>103</v>
      </c>
      <c r="C66" s="304" t="s">
        <v>25</v>
      </c>
      <c r="D66" s="308"/>
      <c r="E66" s="308"/>
      <c r="F66" s="308"/>
      <c r="G66" s="308"/>
      <c r="H66" s="308"/>
      <c r="I66" s="308"/>
      <c r="J66" s="308"/>
      <c r="K66" s="308"/>
      <c r="L66" s="308"/>
      <c r="M66" s="308"/>
      <c r="N66" s="308">
        <v>3</v>
      </c>
      <c r="O66" s="308"/>
      <c r="P66" s="308"/>
      <c r="Q66" s="308"/>
      <c r="R66" s="308"/>
      <c r="S66" s="308"/>
      <c r="T66" s="308"/>
      <c r="U66" s="308"/>
      <c r="V66" s="308"/>
      <c r="W66" s="308"/>
      <c r="X66" s="308"/>
      <c r="Y66" s="777"/>
      <c r="Z66" s="772"/>
      <c r="AA66" s="772"/>
      <c r="AB66" s="772"/>
      <c r="AC66" s="772"/>
      <c r="AD66" s="772"/>
      <c r="AE66" s="772"/>
      <c r="AF66" s="777"/>
      <c r="AG66" s="427"/>
      <c r="AH66" s="427"/>
      <c r="AI66" s="427"/>
      <c r="AJ66" s="427"/>
      <c r="AK66" s="427"/>
      <c r="AL66" s="427"/>
      <c r="AM66" s="309">
        <f>SUM(Y66:AL66)</f>
        <v>0</v>
      </c>
    </row>
    <row r="67" spans="1:39" ht="15" outlineLevel="1">
      <c r="B67" s="307" t="s">
        <v>267</v>
      </c>
      <c r="C67" s="304" t="s">
        <v>163</v>
      </c>
      <c r="D67" s="308"/>
      <c r="E67" s="308"/>
      <c r="F67" s="308"/>
      <c r="G67" s="308"/>
      <c r="H67" s="308"/>
      <c r="I67" s="308"/>
      <c r="J67" s="308"/>
      <c r="K67" s="308"/>
      <c r="L67" s="308"/>
      <c r="M67" s="308"/>
      <c r="N67" s="308">
        <f>N66</f>
        <v>3</v>
      </c>
      <c r="O67" s="308"/>
      <c r="P67" s="308"/>
      <c r="Q67" s="308"/>
      <c r="R67" s="308"/>
      <c r="S67" s="308"/>
      <c r="T67" s="308"/>
      <c r="U67" s="308"/>
      <c r="V67" s="308"/>
      <c r="W67" s="308"/>
      <c r="X67" s="308"/>
      <c r="Y67" s="773">
        <f>Y66</f>
        <v>0</v>
      </c>
      <c r="Z67" s="773">
        <f t="shared" ref="Z67:AF67" si="58">Z66</f>
        <v>0</v>
      </c>
      <c r="AA67" s="773">
        <f t="shared" si="58"/>
        <v>0</v>
      </c>
      <c r="AB67" s="773">
        <f t="shared" si="58"/>
        <v>0</v>
      </c>
      <c r="AC67" s="773">
        <f t="shared" si="58"/>
        <v>0</v>
      </c>
      <c r="AD67" s="773">
        <f t="shared" si="58"/>
        <v>0</v>
      </c>
      <c r="AE67" s="773">
        <f t="shared" si="58"/>
        <v>0</v>
      </c>
      <c r="AF67" s="773">
        <f t="shared" si="58"/>
        <v>0</v>
      </c>
      <c r="AG67" s="423">
        <f t="shared" ref="AG67" si="59">AG66</f>
        <v>0</v>
      </c>
      <c r="AH67" s="423">
        <f t="shared" ref="AH67" si="60">AH66</f>
        <v>0</v>
      </c>
      <c r="AI67" s="423">
        <f t="shared" ref="AI67" si="61">AI66</f>
        <v>0</v>
      </c>
      <c r="AJ67" s="423">
        <f t="shared" ref="AJ67" si="62">AJ66</f>
        <v>0</v>
      </c>
      <c r="AK67" s="423">
        <f t="shared" ref="AK67" si="63">AK66</f>
        <v>0</v>
      </c>
      <c r="AL67" s="423">
        <f t="shared" ref="AL67" si="64">AL66</f>
        <v>0</v>
      </c>
      <c r="AM67" s="324"/>
    </row>
    <row r="68" spans="1:39" ht="15" outlineLevel="1">
      <c r="B68" s="327"/>
      <c r="C68" s="325"/>
      <c r="D68" s="768"/>
      <c r="E68" s="768"/>
      <c r="F68" s="768"/>
      <c r="G68" s="768"/>
      <c r="H68" s="768"/>
      <c r="I68" s="768"/>
      <c r="J68" s="768"/>
      <c r="K68" s="768"/>
      <c r="L68" s="768"/>
      <c r="M68" s="768"/>
      <c r="N68" s="763"/>
      <c r="O68" s="768"/>
      <c r="P68" s="768"/>
      <c r="Q68" s="768"/>
      <c r="R68" s="768"/>
      <c r="S68" s="768"/>
      <c r="T68" s="768"/>
      <c r="U68" s="768"/>
      <c r="V68" s="768"/>
      <c r="W68" s="768"/>
      <c r="X68" s="768"/>
      <c r="Y68" s="778"/>
      <c r="Z68" s="779"/>
      <c r="AA68" s="778"/>
      <c r="AB68" s="778"/>
      <c r="AC68" s="778"/>
      <c r="AD68" s="778"/>
      <c r="AE68" s="778"/>
      <c r="AF68" s="778"/>
      <c r="AG68" s="428"/>
      <c r="AH68" s="428"/>
      <c r="AI68" s="428"/>
      <c r="AJ68" s="428"/>
      <c r="AK68" s="428"/>
      <c r="AL68" s="428"/>
      <c r="AM68" s="326"/>
    </row>
    <row r="69" spans="1:39" ht="15.6" outlineLevel="1">
      <c r="B69" s="301" t="s">
        <v>10</v>
      </c>
      <c r="C69" s="302"/>
      <c r="D69" s="767"/>
      <c r="E69" s="767"/>
      <c r="F69" s="767"/>
      <c r="G69" s="767"/>
      <c r="H69" s="767"/>
      <c r="I69" s="767"/>
      <c r="J69" s="767"/>
      <c r="K69" s="767"/>
      <c r="L69" s="767"/>
      <c r="M69" s="767"/>
      <c r="N69" s="769"/>
      <c r="O69" s="767"/>
      <c r="P69" s="767"/>
      <c r="Q69" s="767"/>
      <c r="R69" s="767"/>
      <c r="S69" s="767"/>
      <c r="T69" s="767"/>
      <c r="U69" s="767"/>
      <c r="V69" s="767"/>
      <c r="W69" s="767"/>
      <c r="X69" s="767"/>
      <c r="Y69" s="776"/>
      <c r="Z69" s="776"/>
      <c r="AA69" s="776"/>
      <c r="AB69" s="776"/>
      <c r="AC69" s="776"/>
      <c r="AD69" s="776"/>
      <c r="AE69" s="776"/>
      <c r="AF69" s="776"/>
      <c r="AG69" s="426"/>
      <c r="AH69" s="426"/>
      <c r="AI69" s="426"/>
      <c r="AJ69" s="426"/>
      <c r="AK69" s="426"/>
      <c r="AL69" s="426"/>
      <c r="AM69" s="305"/>
    </row>
    <row r="70" spans="1:39" ht="30" outlineLevel="1">
      <c r="A70" s="529">
        <v>11</v>
      </c>
      <c r="B70" s="527" t="s">
        <v>104</v>
      </c>
      <c r="C70" s="304" t="s">
        <v>25</v>
      </c>
      <c r="D70" s="308"/>
      <c r="E70" s="308"/>
      <c r="F70" s="308"/>
      <c r="G70" s="308"/>
      <c r="H70" s="308"/>
      <c r="I70" s="308"/>
      <c r="J70" s="308"/>
      <c r="K70" s="308"/>
      <c r="L70" s="308"/>
      <c r="M70" s="308"/>
      <c r="N70" s="308">
        <v>12</v>
      </c>
      <c r="O70" s="308"/>
      <c r="P70" s="308"/>
      <c r="Q70" s="308"/>
      <c r="R70" s="308"/>
      <c r="S70" s="308"/>
      <c r="T70" s="308"/>
      <c r="U70" s="308"/>
      <c r="V70" s="308"/>
      <c r="W70" s="308"/>
      <c r="X70" s="308"/>
      <c r="Y70" s="789"/>
      <c r="Z70" s="772"/>
      <c r="AA70" s="772"/>
      <c r="AB70" s="772"/>
      <c r="AC70" s="772"/>
      <c r="AD70" s="772"/>
      <c r="AE70" s="772"/>
      <c r="AF70" s="777"/>
      <c r="AG70" s="427"/>
      <c r="AH70" s="427"/>
      <c r="AI70" s="427"/>
      <c r="AJ70" s="427"/>
      <c r="AK70" s="427"/>
      <c r="AL70" s="427"/>
      <c r="AM70" s="309">
        <f>SUM(Y70:AL70)</f>
        <v>0</v>
      </c>
    </row>
    <row r="71" spans="1:39" ht="15" outlineLevel="1">
      <c r="B71" s="307" t="s">
        <v>267</v>
      </c>
      <c r="C71" s="304" t="s">
        <v>163</v>
      </c>
      <c r="D71" s="308"/>
      <c r="E71" s="308"/>
      <c r="F71" s="308"/>
      <c r="G71" s="308"/>
      <c r="H71" s="308"/>
      <c r="I71" s="308"/>
      <c r="J71" s="308"/>
      <c r="K71" s="308"/>
      <c r="L71" s="308"/>
      <c r="M71" s="308"/>
      <c r="N71" s="308">
        <f>N70</f>
        <v>12</v>
      </c>
      <c r="O71" s="308"/>
      <c r="P71" s="308"/>
      <c r="Q71" s="308"/>
      <c r="R71" s="308"/>
      <c r="S71" s="308"/>
      <c r="T71" s="308"/>
      <c r="U71" s="308"/>
      <c r="V71" s="308"/>
      <c r="W71" s="308"/>
      <c r="X71" s="308"/>
      <c r="Y71" s="773">
        <f>Y70</f>
        <v>0</v>
      </c>
      <c r="Z71" s="773">
        <f t="shared" ref="Z71:AF71" si="65">Z70</f>
        <v>0</v>
      </c>
      <c r="AA71" s="773">
        <f t="shared" si="65"/>
        <v>0</v>
      </c>
      <c r="AB71" s="773">
        <f t="shared" si="65"/>
        <v>0</v>
      </c>
      <c r="AC71" s="773">
        <f t="shared" si="65"/>
        <v>0</v>
      </c>
      <c r="AD71" s="773">
        <f t="shared" si="65"/>
        <v>0</v>
      </c>
      <c r="AE71" s="773">
        <f t="shared" si="65"/>
        <v>0</v>
      </c>
      <c r="AF71" s="773">
        <f t="shared" si="65"/>
        <v>0</v>
      </c>
      <c r="AG71" s="423">
        <f t="shared" ref="AG71" si="66">AG70</f>
        <v>0</v>
      </c>
      <c r="AH71" s="423">
        <f t="shared" ref="AH71" si="67">AH70</f>
        <v>0</v>
      </c>
      <c r="AI71" s="423">
        <f t="shared" ref="AI71" si="68">AI70</f>
        <v>0</v>
      </c>
      <c r="AJ71" s="423">
        <f t="shared" ref="AJ71" si="69">AJ70</f>
        <v>0</v>
      </c>
      <c r="AK71" s="423">
        <f t="shared" ref="AK71" si="70">AK70</f>
        <v>0</v>
      </c>
      <c r="AL71" s="423">
        <f t="shared" ref="AL71" si="71">AL70</f>
        <v>0</v>
      </c>
      <c r="AM71" s="310"/>
    </row>
    <row r="72" spans="1:39" ht="15" outlineLevel="1">
      <c r="B72" s="328"/>
      <c r="C72" s="318"/>
      <c r="D72" s="763"/>
      <c r="E72" s="763"/>
      <c r="F72" s="763"/>
      <c r="G72" s="763"/>
      <c r="H72" s="763"/>
      <c r="I72" s="763"/>
      <c r="J72" s="763"/>
      <c r="K72" s="763"/>
      <c r="L72" s="763"/>
      <c r="M72" s="763"/>
      <c r="N72" s="763"/>
      <c r="O72" s="763"/>
      <c r="P72" s="763"/>
      <c r="Q72" s="763"/>
      <c r="R72" s="763"/>
      <c r="S72" s="763"/>
      <c r="T72" s="763"/>
      <c r="U72" s="763"/>
      <c r="V72" s="763"/>
      <c r="W72" s="763"/>
      <c r="X72" s="763"/>
      <c r="Y72" s="774"/>
      <c r="Z72" s="783"/>
      <c r="AA72" s="783"/>
      <c r="AB72" s="783"/>
      <c r="AC72" s="783"/>
      <c r="AD72" s="783"/>
      <c r="AE72" s="783"/>
      <c r="AF72" s="783"/>
      <c r="AG72" s="431"/>
      <c r="AH72" s="431"/>
      <c r="AI72" s="431"/>
      <c r="AJ72" s="431"/>
      <c r="AK72" s="431"/>
      <c r="AL72" s="431"/>
      <c r="AM72" s="319"/>
    </row>
    <row r="73" spans="1:39" ht="30" outlineLevel="1">
      <c r="A73" s="529">
        <v>12</v>
      </c>
      <c r="B73" s="527" t="s">
        <v>105</v>
      </c>
      <c r="C73" s="304" t="s">
        <v>25</v>
      </c>
      <c r="D73" s="308"/>
      <c r="E73" s="308"/>
      <c r="F73" s="308"/>
      <c r="G73" s="308"/>
      <c r="H73" s="308"/>
      <c r="I73" s="308"/>
      <c r="J73" s="308"/>
      <c r="K73" s="308"/>
      <c r="L73" s="308"/>
      <c r="M73" s="308"/>
      <c r="N73" s="308">
        <v>12</v>
      </c>
      <c r="O73" s="308"/>
      <c r="P73" s="308"/>
      <c r="Q73" s="308"/>
      <c r="R73" s="308"/>
      <c r="S73" s="308"/>
      <c r="T73" s="308"/>
      <c r="U73" s="308"/>
      <c r="V73" s="308"/>
      <c r="W73" s="308"/>
      <c r="X73" s="308"/>
      <c r="Y73" s="772"/>
      <c r="Z73" s="772"/>
      <c r="AA73" s="772"/>
      <c r="AB73" s="772"/>
      <c r="AC73" s="772"/>
      <c r="AD73" s="772"/>
      <c r="AE73" s="772"/>
      <c r="AF73" s="777"/>
      <c r="AG73" s="427"/>
      <c r="AH73" s="427"/>
      <c r="AI73" s="427"/>
      <c r="AJ73" s="427"/>
      <c r="AK73" s="427"/>
      <c r="AL73" s="427"/>
      <c r="AM73" s="309">
        <f>SUM(Y73:AL73)</f>
        <v>0</v>
      </c>
    </row>
    <row r="74" spans="1:39" ht="15" outlineLevel="1">
      <c r="B74" s="527" t="s">
        <v>267</v>
      </c>
      <c r="C74" s="304" t="s">
        <v>163</v>
      </c>
      <c r="D74" s="308"/>
      <c r="E74" s="308"/>
      <c r="F74" s="308"/>
      <c r="G74" s="308"/>
      <c r="H74" s="308"/>
      <c r="I74" s="308"/>
      <c r="J74" s="308"/>
      <c r="K74" s="308"/>
      <c r="L74" s="308"/>
      <c r="M74" s="308"/>
      <c r="N74" s="308">
        <f>N73</f>
        <v>12</v>
      </c>
      <c r="O74" s="308"/>
      <c r="P74" s="308"/>
      <c r="Q74" s="308"/>
      <c r="R74" s="308"/>
      <c r="S74" s="308"/>
      <c r="T74" s="308"/>
      <c r="U74" s="308"/>
      <c r="V74" s="308"/>
      <c r="W74" s="308"/>
      <c r="X74" s="308"/>
      <c r="Y74" s="773">
        <f>Y73</f>
        <v>0</v>
      </c>
      <c r="Z74" s="773">
        <f t="shared" ref="Z74:AF74" si="72">Z73</f>
        <v>0</v>
      </c>
      <c r="AA74" s="773">
        <f t="shared" si="72"/>
        <v>0</v>
      </c>
      <c r="AB74" s="773">
        <f t="shared" si="72"/>
        <v>0</v>
      </c>
      <c r="AC74" s="773">
        <f t="shared" si="72"/>
        <v>0</v>
      </c>
      <c r="AD74" s="773">
        <f t="shared" si="72"/>
        <v>0</v>
      </c>
      <c r="AE74" s="773">
        <f t="shared" si="72"/>
        <v>0</v>
      </c>
      <c r="AF74" s="773">
        <f t="shared" si="72"/>
        <v>0</v>
      </c>
      <c r="AG74" s="423">
        <f t="shared" ref="AG74" si="73">AG73</f>
        <v>0</v>
      </c>
      <c r="AH74" s="423">
        <f t="shared" ref="AH74" si="74">AH73</f>
        <v>0</v>
      </c>
      <c r="AI74" s="423">
        <f t="shared" ref="AI74" si="75">AI73</f>
        <v>0</v>
      </c>
      <c r="AJ74" s="423">
        <f t="shared" ref="AJ74" si="76">AJ73</f>
        <v>0</v>
      </c>
      <c r="AK74" s="423">
        <f t="shared" ref="AK74" si="77">AK73</f>
        <v>0</v>
      </c>
      <c r="AL74" s="423">
        <f t="shared" ref="AL74" si="78">AL73</f>
        <v>0</v>
      </c>
      <c r="AM74" s="310"/>
    </row>
    <row r="75" spans="1:39" ht="15" outlineLevel="1">
      <c r="B75" s="527"/>
      <c r="C75" s="318"/>
      <c r="D75" s="763"/>
      <c r="E75" s="763"/>
      <c r="F75" s="763"/>
      <c r="G75" s="763"/>
      <c r="H75" s="763"/>
      <c r="I75" s="763"/>
      <c r="J75" s="763"/>
      <c r="K75" s="763"/>
      <c r="L75" s="763"/>
      <c r="M75" s="763"/>
      <c r="N75" s="763"/>
      <c r="O75" s="763"/>
      <c r="P75" s="763"/>
      <c r="Q75" s="763"/>
      <c r="R75" s="763"/>
      <c r="S75" s="763"/>
      <c r="T75" s="763"/>
      <c r="U75" s="763"/>
      <c r="V75" s="763"/>
      <c r="W75" s="763"/>
      <c r="X75" s="763"/>
      <c r="Y75" s="784"/>
      <c r="Z75" s="784"/>
      <c r="AA75" s="774"/>
      <c r="AB75" s="774"/>
      <c r="AC75" s="774"/>
      <c r="AD75" s="774"/>
      <c r="AE75" s="774"/>
      <c r="AF75" s="774"/>
      <c r="AG75" s="424"/>
      <c r="AH75" s="424"/>
      <c r="AI75" s="424"/>
      <c r="AJ75" s="424"/>
      <c r="AK75" s="424"/>
      <c r="AL75" s="424"/>
      <c r="AM75" s="319"/>
    </row>
    <row r="76" spans="1:39" ht="30" outlineLevel="1">
      <c r="A76" s="529">
        <v>13</v>
      </c>
      <c r="B76" s="527" t="s">
        <v>106</v>
      </c>
      <c r="C76" s="304" t="s">
        <v>25</v>
      </c>
      <c r="D76" s="308"/>
      <c r="E76" s="308"/>
      <c r="F76" s="308"/>
      <c r="G76" s="308"/>
      <c r="H76" s="308"/>
      <c r="I76" s="308"/>
      <c r="J76" s="308"/>
      <c r="K76" s="308"/>
      <c r="L76" s="308"/>
      <c r="M76" s="308"/>
      <c r="N76" s="308">
        <v>12</v>
      </c>
      <c r="O76" s="308"/>
      <c r="P76" s="308"/>
      <c r="Q76" s="308"/>
      <c r="R76" s="308"/>
      <c r="S76" s="308"/>
      <c r="T76" s="308"/>
      <c r="U76" s="308"/>
      <c r="V76" s="308"/>
      <c r="W76" s="308"/>
      <c r="X76" s="308"/>
      <c r="Y76" s="772"/>
      <c r="Z76" s="772"/>
      <c r="AA76" s="772"/>
      <c r="AB76" s="772"/>
      <c r="AC76" s="772"/>
      <c r="AD76" s="772"/>
      <c r="AE76" s="772"/>
      <c r="AF76" s="777"/>
      <c r="AG76" s="427"/>
      <c r="AH76" s="427"/>
      <c r="AI76" s="427"/>
      <c r="AJ76" s="427"/>
      <c r="AK76" s="427"/>
      <c r="AL76" s="427"/>
      <c r="AM76" s="309">
        <f>SUM(Y76:AL76)</f>
        <v>0</v>
      </c>
    </row>
    <row r="77" spans="1:39" ht="15" outlineLevel="1">
      <c r="B77" s="527" t="s">
        <v>267</v>
      </c>
      <c r="C77" s="304" t="s">
        <v>163</v>
      </c>
      <c r="D77" s="308"/>
      <c r="E77" s="308"/>
      <c r="F77" s="308"/>
      <c r="G77" s="308"/>
      <c r="H77" s="308"/>
      <c r="I77" s="308"/>
      <c r="J77" s="308"/>
      <c r="K77" s="308"/>
      <c r="L77" s="308"/>
      <c r="M77" s="308"/>
      <c r="N77" s="308">
        <f>N76</f>
        <v>12</v>
      </c>
      <c r="O77" s="308"/>
      <c r="P77" s="308"/>
      <c r="Q77" s="308"/>
      <c r="R77" s="308"/>
      <c r="S77" s="308"/>
      <c r="T77" s="308"/>
      <c r="U77" s="308"/>
      <c r="V77" s="308"/>
      <c r="W77" s="308"/>
      <c r="X77" s="308"/>
      <c r="Y77" s="773">
        <f>Y76</f>
        <v>0</v>
      </c>
      <c r="Z77" s="773">
        <f t="shared" ref="Z77:AF77" si="79">Z76</f>
        <v>0</v>
      </c>
      <c r="AA77" s="773">
        <f t="shared" si="79"/>
        <v>0</v>
      </c>
      <c r="AB77" s="773">
        <f t="shared" si="79"/>
        <v>0</v>
      </c>
      <c r="AC77" s="773">
        <f t="shared" si="79"/>
        <v>0</v>
      </c>
      <c r="AD77" s="773">
        <f t="shared" si="79"/>
        <v>0</v>
      </c>
      <c r="AE77" s="773">
        <f t="shared" si="79"/>
        <v>0</v>
      </c>
      <c r="AF77" s="773">
        <f t="shared" si="79"/>
        <v>0</v>
      </c>
      <c r="AG77" s="423">
        <f t="shared" ref="AG77:AL77" si="80">AG76</f>
        <v>0</v>
      </c>
      <c r="AH77" s="423">
        <f t="shared" si="80"/>
        <v>0</v>
      </c>
      <c r="AI77" s="423">
        <f t="shared" si="80"/>
        <v>0</v>
      </c>
      <c r="AJ77" s="423">
        <f t="shared" si="80"/>
        <v>0</v>
      </c>
      <c r="AK77" s="423">
        <f t="shared" si="80"/>
        <v>0</v>
      </c>
      <c r="AL77" s="423">
        <f t="shared" si="80"/>
        <v>0</v>
      </c>
      <c r="AM77" s="319"/>
    </row>
    <row r="78" spans="1:39" ht="15" outlineLevel="1">
      <c r="B78" s="527"/>
      <c r="C78" s="318"/>
      <c r="D78" s="763"/>
      <c r="E78" s="763"/>
      <c r="F78" s="763"/>
      <c r="G78" s="763"/>
      <c r="H78" s="763"/>
      <c r="I78" s="763"/>
      <c r="J78" s="763"/>
      <c r="K78" s="763"/>
      <c r="L78" s="763"/>
      <c r="M78" s="763"/>
      <c r="N78" s="763"/>
      <c r="O78" s="763"/>
      <c r="P78" s="763"/>
      <c r="Q78" s="763"/>
      <c r="R78" s="763"/>
      <c r="S78" s="763"/>
      <c r="T78" s="763"/>
      <c r="U78" s="763"/>
      <c r="V78" s="763"/>
      <c r="W78" s="763"/>
      <c r="X78" s="763"/>
      <c r="Y78" s="774"/>
      <c r="Z78" s="774"/>
      <c r="AA78" s="774"/>
      <c r="AB78" s="774"/>
      <c r="AC78" s="774"/>
      <c r="AD78" s="774"/>
      <c r="AE78" s="774"/>
      <c r="AF78" s="774"/>
      <c r="AG78" s="424"/>
      <c r="AH78" s="424"/>
      <c r="AI78" s="424"/>
      <c r="AJ78" s="424"/>
      <c r="AK78" s="424"/>
      <c r="AL78" s="424"/>
      <c r="AM78" s="319"/>
    </row>
    <row r="79" spans="1:39" ht="15.6" outlineLevel="1">
      <c r="B79" s="301" t="s">
        <v>107</v>
      </c>
      <c r="C79" s="302"/>
      <c r="D79" s="769"/>
      <c r="E79" s="769"/>
      <c r="F79" s="769"/>
      <c r="G79" s="769"/>
      <c r="H79" s="769"/>
      <c r="I79" s="769"/>
      <c r="J79" s="769"/>
      <c r="K79" s="769"/>
      <c r="L79" s="769"/>
      <c r="M79" s="769"/>
      <c r="N79" s="769"/>
      <c r="O79" s="769"/>
      <c r="P79" s="767"/>
      <c r="Q79" s="767"/>
      <c r="R79" s="767"/>
      <c r="S79" s="767"/>
      <c r="T79" s="767"/>
      <c r="U79" s="767"/>
      <c r="V79" s="767"/>
      <c r="W79" s="767"/>
      <c r="X79" s="767"/>
      <c r="Y79" s="776"/>
      <c r="Z79" s="776"/>
      <c r="AA79" s="776"/>
      <c r="AB79" s="776"/>
      <c r="AC79" s="776"/>
      <c r="AD79" s="776"/>
      <c r="AE79" s="776"/>
      <c r="AF79" s="776"/>
      <c r="AG79" s="426"/>
      <c r="AH79" s="426"/>
      <c r="AI79" s="426"/>
      <c r="AJ79" s="426"/>
      <c r="AK79" s="426"/>
      <c r="AL79" s="426"/>
      <c r="AM79" s="305"/>
    </row>
    <row r="80" spans="1:39" ht="15" outlineLevel="1">
      <c r="A80" s="529">
        <v>14</v>
      </c>
      <c r="B80" s="328" t="s">
        <v>108</v>
      </c>
      <c r="C80" s="304" t="s">
        <v>25</v>
      </c>
      <c r="D80" s="308"/>
      <c r="E80" s="308"/>
      <c r="F80" s="308"/>
      <c r="G80" s="308"/>
      <c r="H80" s="308"/>
      <c r="I80" s="308"/>
      <c r="J80" s="308"/>
      <c r="K80" s="308"/>
      <c r="L80" s="308"/>
      <c r="M80" s="308"/>
      <c r="N80" s="308">
        <v>12</v>
      </c>
      <c r="O80" s="308"/>
      <c r="P80" s="308"/>
      <c r="Q80" s="308"/>
      <c r="R80" s="308"/>
      <c r="S80" s="308"/>
      <c r="T80" s="308"/>
      <c r="U80" s="308"/>
      <c r="V80" s="308"/>
      <c r="W80" s="308"/>
      <c r="X80" s="308"/>
      <c r="Y80" s="792"/>
      <c r="Z80" s="772"/>
      <c r="AA80" s="772"/>
      <c r="AB80" s="772"/>
      <c r="AC80" s="772"/>
      <c r="AD80" s="772"/>
      <c r="AE80" s="772"/>
      <c r="AF80" s="772"/>
      <c r="AG80" s="422"/>
      <c r="AH80" s="422"/>
      <c r="AI80" s="422"/>
      <c r="AJ80" s="422"/>
      <c r="AK80" s="422"/>
      <c r="AL80" s="422"/>
      <c r="AM80" s="309">
        <f>SUM(Y80:AL80)</f>
        <v>0</v>
      </c>
    </row>
    <row r="81" spans="1:40" ht="15" outlineLevel="1">
      <c r="B81" s="307" t="s">
        <v>267</v>
      </c>
      <c r="C81" s="304" t="s">
        <v>163</v>
      </c>
      <c r="D81" s="308"/>
      <c r="E81" s="308"/>
      <c r="F81" s="308"/>
      <c r="G81" s="308"/>
      <c r="H81" s="308"/>
      <c r="I81" s="308"/>
      <c r="J81" s="308"/>
      <c r="K81" s="308"/>
      <c r="L81" s="308"/>
      <c r="M81" s="308"/>
      <c r="N81" s="308">
        <f>N80</f>
        <v>12</v>
      </c>
      <c r="O81" s="308"/>
      <c r="P81" s="308"/>
      <c r="Q81" s="308"/>
      <c r="R81" s="308"/>
      <c r="S81" s="308"/>
      <c r="T81" s="308"/>
      <c r="U81" s="308"/>
      <c r="V81" s="308"/>
      <c r="W81" s="308"/>
      <c r="X81" s="308"/>
      <c r="Y81" s="773">
        <f>Y80</f>
        <v>0</v>
      </c>
      <c r="Z81" s="773">
        <f t="shared" ref="Z81:AC81" si="81">Z80</f>
        <v>0</v>
      </c>
      <c r="AA81" s="773">
        <f t="shared" si="81"/>
        <v>0</v>
      </c>
      <c r="AB81" s="773">
        <f t="shared" si="81"/>
        <v>0</v>
      </c>
      <c r="AC81" s="773">
        <f t="shared" si="81"/>
        <v>0</v>
      </c>
      <c r="AD81" s="773">
        <f>AD80</f>
        <v>0</v>
      </c>
      <c r="AE81" s="773">
        <f t="shared" ref="AE81:AF81" si="82">AE80</f>
        <v>0</v>
      </c>
      <c r="AF81" s="773">
        <f t="shared" si="82"/>
        <v>0</v>
      </c>
      <c r="AG81" s="423">
        <f t="shared" ref="AG81" si="83">AG80</f>
        <v>0</v>
      </c>
      <c r="AH81" s="423">
        <f t="shared" ref="AH81" si="84">AH80</f>
        <v>0</v>
      </c>
      <c r="AI81" s="423">
        <f t="shared" ref="AI81" si="85">AI80</f>
        <v>0</v>
      </c>
      <c r="AJ81" s="423">
        <f t="shared" ref="AJ81" si="86">AJ80</f>
        <v>0</v>
      </c>
      <c r="AK81" s="423">
        <f t="shared" ref="AK81" si="87">AK80</f>
        <v>0</v>
      </c>
      <c r="AL81" s="423">
        <f t="shared" ref="AL81" si="88">AL80</f>
        <v>0</v>
      </c>
      <c r="AM81" s="310"/>
    </row>
    <row r="82" spans="1:40" s="522" customFormat="1" ht="15" outlineLevel="1">
      <c r="A82" s="530"/>
      <c r="B82" s="307"/>
      <c r="C82" s="304"/>
      <c r="D82" s="763"/>
      <c r="E82" s="763"/>
      <c r="F82" s="763"/>
      <c r="G82" s="763"/>
      <c r="H82" s="763"/>
      <c r="I82" s="763"/>
      <c r="J82" s="763"/>
      <c r="K82" s="763"/>
      <c r="L82" s="763"/>
      <c r="M82" s="763"/>
      <c r="N82" s="764"/>
      <c r="O82" s="763"/>
      <c r="P82" s="763"/>
      <c r="Q82" s="763"/>
      <c r="R82" s="763"/>
      <c r="S82" s="763"/>
      <c r="T82" s="763"/>
      <c r="U82" s="763"/>
      <c r="V82" s="763"/>
      <c r="W82" s="763"/>
      <c r="X82" s="763"/>
      <c r="Y82" s="773"/>
      <c r="Z82" s="773"/>
      <c r="AA82" s="773"/>
      <c r="AB82" s="773"/>
      <c r="AC82" s="773"/>
      <c r="AD82" s="773"/>
      <c r="AE82" s="773"/>
      <c r="AF82" s="773"/>
      <c r="AG82" s="423"/>
      <c r="AH82" s="423"/>
      <c r="AI82" s="423"/>
      <c r="AJ82" s="423"/>
      <c r="AK82" s="423"/>
      <c r="AL82" s="423"/>
      <c r="AM82" s="523"/>
      <c r="AN82" s="636"/>
    </row>
    <row r="83" spans="1:40" s="322" customFormat="1" ht="15.6" outlineLevel="1">
      <c r="A83" s="530"/>
      <c r="B83" s="301" t="s">
        <v>489</v>
      </c>
      <c r="C83" s="304"/>
      <c r="D83" s="763"/>
      <c r="E83" s="763"/>
      <c r="F83" s="763"/>
      <c r="G83" s="763"/>
      <c r="H83" s="763"/>
      <c r="I83" s="763"/>
      <c r="J83" s="763"/>
      <c r="K83" s="763"/>
      <c r="L83" s="763"/>
      <c r="M83" s="763"/>
      <c r="N83" s="763"/>
      <c r="O83" s="763"/>
      <c r="P83" s="763"/>
      <c r="Q83" s="763"/>
      <c r="R83" s="763"/>
      <c r="S83" s="763"/>
      <c r="T83" s="763"/>
      <c r="U83" s="763"/>
      <c r="V83" s="763"/>
      <c r="W83" s="763"/>
      <c r="X83" s="763"/>
      <c r="Y83" s="774"/>
      <c r="Z83" s="774"/>
      <c r="AA83" s="774"/>
      <c r="AB83" s="774"/>
      <c r="AC83" s="774"/>
      <c r="AD83" s="774"/>
      <c r="AE83" s="778"/>
      <c r="AF83" s="778"/>
      <c r="AG83" s="428"/>
      <c r="AH83" s="428"/>
      <c r="AI83" s="428"/>
      <c r="AJ83" s="428"/>
      <c r="AK83" s="428"/>
      <c r="AL83" s="428"/>
      <c r="AM83" s="524"/>
      <c r="AN83" s="637"/>
    </row>
    <row r="84" spans="1:40" ht="15" outlineLevel="1">
      <c r="A84" s="529">
        <v>15</v>
      </c>
      <c r="B84" s="307" t="s">
        <v>494</v>
      </c>
      <c r="C84" s="304" t="s">
        <v>25</v>
      </c>
      <c r="D84" s="308"/>
      <c r="E84" s="308"/>
      <c r="F84" s="308"/>
      <c r="G84" s="308"/>
      <c r="H84" s="308"/>
      <c r="I84" s="308"/>
      <c r="J84" s="308"/>
      <c r="K84" s="308"/>
      <c r="L84" s="308"/>
      <c r="M84" s="308"/>
      <c r="N84" s="308">
        <v>0</v>
      </c>
      <c r="O84" s="308"/>
      <c r="P84" s="308"/>
      <c r="Q84" s="308"/>
      <c r="R84" s="308"/>
      <c r="S84" s="308"/>
      <c r="T84" s="308"/>
      <c r="U84" s="308"/>
      <c r="V84" s="308"/>
      <c r="W84" s="308"/>
      <c r="X84" s="308"/>
      <c r="Y84" s="772"/>
      <c r="Z84" s="772"/>
      <c r="AA84" s="772"/>
      <c r="AB84" s="772"/>
      <c r="AC84" s="772"/>
      <c r="AD84" s="772"/>
      <c r="AE84" s="772"/>
      <c r="AF84" s="772"/>
      <c r="AG84" s="422"/>
      <c r="AH84" s="422"/>
      <c r="AI84" s="422"/>
      <c r="AJ84" s="422"/>
      <c r="AK84" s="422"/>
      <c r="AL84" s="422"/>
      <c r="AM84" s="309">
        <f>SUM(Y84:AL84)</f>
        <v>0</v>
      </c>
    </row>
    <row r="85" spans="1:40" ht="15" outlineLevel="1">
      <c r="B85" s="307" t="s">
        <v>267</v>
      </c>
      <c r="C85" s="304" t="s">
        <v>163</v>
      </c>
      <c r="D85" s="308"/>
      <c r="E85" s="308"/>
      <c r="F85" s="308"/>
      <c r="G85" s="308"/>
      <c r="H85" s="308"/>
      <c r="I85" s="308"/>
      <c r="J85" s="308"/>
      <c r="K85" s="308"/>
      <c r="L85" s="308"/>
      <c r="M85" s="308"/>
      <c r="N85" s="308">
        <f>N84</f>
        <v>0</v>
      </c>
      <c r="O85" s="308"/>
      <c r="P85" s="308"/>
      <c r="Q85" s="308"/>
      <c r="R85" s="308"/>
      <c r="S85" s="308"/>
      <c r="T85" s="308"/>
      <c r="U85" s="308"/>
      <c r="V85" s="308"/>
      <c r="W85" s="308"/>
      <c r="X85" s="308"/>
      <c r="Y85" s="773">
        <f>Y84</f>
        <v>0</v>
      </c>
      <c r="Z85" s="773">
        <f t="shared" ref="Z85:AC85" si="89">Z84</f>
        <v>0</v>
      </c>
      <c r="AA85" s="773">
        <f t="shared" si="89"/>
        <v>0</v>
      </c>
      <c r="AB85" s="773">
        <f t="shared" si="89"/>
        <v>0</v>
      </c>
      <c r="AC85" s="773">
        <f t="shared" si="89"/>
        <v>0</v>
      </c>
      <c r="AD85" s="773">
        <f>AD84</f>
        <v>0</v>
      </c>
      <c r="AE85" s="773">
        <f t="shared" ref="AE85:AF85" si="90">AE84</f>
        <v>0</v>
      </c>
      <c r="AF85" s="773">
        <f t="shared" si="90"/>
        <v>0</v>
      </c>
      <c r="AG85" s="423">
        <f t="shared" ref="AG85:AL85" si="91">AG84</f>
        <v>0</v>
      </c>
      <c r="AH85" s="423">
        <f t="shared" si="91"/>
        <v>0</v>
      </c>
      <c r="AI85" s="423">
        <f t="shared" si="91"/>
        <v>0</v>
      </c>
      <c r="AJ85" s="423">
        <f t="shared" si="91"/>
        <v>0</v>
      </c>
      <c r="AK85" s="423">
        <f t="shared" si="91"/>
        <v>0</v>
      </c>
      <c r="AL85" s="423">
        <f t="shared" si="91"/>
        <v>0</v>
      </c>
      <c r="AM85" s="310"/>
    </row>
    <row r="86" spans="1:40" ht="15" outlineLevel="1">
      <c r="B86" s="328"/>
      <c r="C86" s="318"/>
      <c r="D86" s="763"/>
      <c r="E86" s="763"/>
      <c r="F86" s="763"/>
      <c r="G86" s="763"/>
      <c r="H86" s="763"/>
      <c r="I86" s="763"/>
      <c r="J86" s="763"/>
      <c r="K86" s="763"/>
      <c r="L86" s="763"/>
      <c r="M86" s="763"/>
      <c r="N86" s="763"/>
      <c r="O86" s="763"/>
      <c r="P86" s="763"/>
      <c r="Q86" s="763"/>
      <c r="R86" s="763"/>
      <c r="S86" s="763"/>
      <c r="T86" s="763"/>
      <c r="U86" s="763"/>
      <c r="V86" s="763"/>
      <c r="W86" s="763"/>
      <c r="X86" s="763"/>
      <c r="Y86" s="774"/>
      <c r="Z86" s="774"/>
      <c r="AA86" s="774"/>
      <c r="AB86" s="774"/>
      <c r="AC86" s="774"/>
      <c r="AD86" s="774"/>
      <c r="AE86" s="774"/>
      <c r="AF86" s="774"/>
      <c r="AG86" s="424"/>
      <c r="AH86" s="424"/>
      <c r="AI86" s="424"/>
      <c r="AJ86" s="424"/>
      <c r="AK86" s="424"/>
      <c r="AL86" s="424"/>
      <c r="AM86" s="319"/>
    </row>
    <row r="87" spans="1:40" s="296" customFormat="1" ht="15" outlineLevel="1">
      <c r="A87" s="529">
        <v>16</v>
      </c>
      <c r="B87" s="336" t="s">
        <v>490</v>
      </c>
      <c r="C87" s="304" t="s">
        <v>25</v>
      </c>
      <c r="D87" s="308"/>
      <c r="E87" s="308"/>
      <c r="F87" s="308"/>
      <c r="G87" s="308"/>
      <c r="H87" s="308"/>
      <c r="I87" s="308"/>
      <c r="J87" s="308"/>
      <c r="K87" s="308"/>
      <c r="L87" s="308"/>
      <c r="M87" s="308"/>
      <c r="N87" s="308">
        <v>0</v>
      </c>
      <c r="O87" s="308"/>
      <c r="P87" s="308"/>
      <c r="Q87" s="308"/>
      <c r="R87" s="308"/>
      <c r="S87" s="308"/>
      <c r="T87" s="308"/>
      <c r="U87" s="308"/>
      <c r="V87" s="308"/>
      <c r="W87" s="308"/>
      <c r="X87" s="308"/>
      <c r="Y87" s="772"/>
      <c r="Z87" s="772"/>
      <c r="AA87" s="772"/>
      <c r="AB87" s="772"/>
      <c r="AC87" s="772"/>
      <c r="AD87" s="772"/>
      <c r="AE87" s="772"/>
      <c r="AF87" s="772"/>
      <c r="AG87" s="422"/>
      <c r="AH87" s="422"/>
      <c r="AI87" s="422"/>
      <c r="AJ87" s="422"/>
      <c r="AK87" s="422"/>
      <c r="AL87" s="422"/>
      <c r="AM87" s="309">
        <f>SUM(Y87:AL87)</f>
        <v>0</v>
      </c>
    </row>
    <row r="88" spans="1:40" s="296" customFormat="1" ht="15" outlineLevel="1">
      <c r="A88" s="529"/>
      <c r="B88" s="336" t="s">
        <v>267</v>
      </c>
      <c r="C88" s="304" t="s">
        <v>163</v>
      </c>
      <c r="D88" s="308"/>
      <c r="E88" s="308"/>
      <c r="F88" s="308"/>
      <c r="G88" s="308"/>
      <c r="H88" s="308"/>
      <c r="I88" s="308"/>
      <c r="J88" s="308"/>
      <c r="K88" s="308"/>
      <c r="L88" s="308"/>
      <c r="M88" s="308"/>
      <c r="N88" s="308">
        <f>N87</f>
        <v>0</v>
      </c>
      <c r="O88" s="308"/>
      <c r="P88" s="308"/>
      <c r="Q88" s="308"/>
      <c r="R88" s="308"/>
      <c r="S88" s="308"/>
      <c r="T88" s="308"/>
      <c r="U88" s="308"/>
      <c r="V88" s="308"/>
      <c r="W88" s="308"/>
      <c r="X88" s="308"/>
      <c r="Y88" s="773">
        <f>Y87</f>
        <v>0</v>
      </c>
      <c r="Z88" s="773">
        <f t="shared" ref="Z88:AC88" si="92">Z87</f>
        <v>0</v>
      </c>
      <c r="AA88" s="773">
        <f t="shared" si="92"/>
        <v>0</v>
      </c>
      <c r="AB88" s="773">
        <f t="shared" si="92"/>
        <v>0</v>
      </c>
      <c r="AC88" s="773">
        <f t="shared" si="92"/>
        <v>0</v>
      </c>
      <c r="AD88" s="773">
        <f>AD87</f>
        <v>0</v>
      </c>
      <c r="AE88" s="773">
        <f t="shared" ref="AE88:AF88" si="93">AE87</f>
        <v>0</v>
      </c>
      <c r="AF88" s="773">
        <f t="shared" si="93"/>
        <v>0</v>
      </c>
      <c r="AG88" s="423">
        <f t="shared" ref="AG88:AL88" si="94">AG87</f>
        <v>0</v>
      </c>
      <c r="AH88" s="423">
        <f t="shared" si="94"/>
        <v>0</v>
      </c>
      <c r="AI88" s="423">
        <f t="shared" si="94"/>
        <v>0</v>
      </c>
      <c r="AJ88" s="423">
        <f t="shared" si="94"/>
        <v>0</v>
      </c>
      <c r="AK88" s="423">
        <f t="shared" si="94"/>
        <v>0</v>
      </c>
      <c r="AL88" s="423">
        <f t="shared" si="94"/>
        <v>0</v>
      </c>
      <c r="AM88" s="310"/>
    </row>
    <row r="89" spans="1:40" s="296" customFormat="1" ht="15" outlineLevel="1">
      <c r="A89" s="529"/>
      <c r="B89" s="336"/>
      <c r="C89" s="304"/>
      <c r="D89" s="763"/>
      <c r="E89" s="763"/>
      <c r="F89" s="763"/>
      <c r="G89" s="763"/>
      <c r="H89" s="763"/>
      <c r="I89" s="763"/>
      <c r="J89" s="763"/>
      <c r="K89" s="763"/>
      <c r="L89" s="763"/>
      <c r="M89" s="763"/>
      <c r="N89" s="763"/>
      <c r="O89" s="763"/>
      <c r="P89" s="763"/>
      <c r="Q89" s="763"/>
      <c r="R89" s="763"/>
      <c r="S89" s="763"/>
      <c r="T89" s="763"/>
      <c r="U89" s="763"/>
      <c r="V89" s="763"/>
      <c r="W89" s="763"/>
      <c r="X89" s="763"/>
      <c r="Y89" s="774"/>
      <c r="Z89" s="774"/>
      <c r="AA89" s="774"/>
      <c r="AB89" s="774"/>
      <c r="AC89" s="774"/>
      <c r="AD89" s="774"/>
      <c r="AE89" s="778"/>
      <c r="AF89" s="778"/>
      <c r="AG89" s="428"/>
      <c r="AH89" s="428"/>
      <c r="AI89" s="428"/>
      <c r="AJ89" s="428"/>
      <c r="AK89" s="428"/>
      <c r="AL89" s="428"/>
      <c r="AM89" s="326"/>
    </row>
    <row r="90" spans="1:40" ht="15.6" outlineLevel="1">
      <c r="B90" s="526" t="s">
        <v>495</v>
      </c>
      <c r="C90" s="332"/>
      <c r="D90" s="769"/>
      <c r="E90" s="767"/>
      <c r="F90" s="767"/>
      <c r="G90" s="767"/>
      <c r="H90" s="767"/>
      <c r="I90" s="767"/>
      <c r="J90" s="767"/>
      <c r="K90" s="767"/>
      <c r="L90" s="767"/>
      <c r="M90" s="767"/>
      <c r="N90" s="769"/>
      <c r="O90" s="767"/>
      <c r="P90" s="767"/>
      <c r="Q90" s="767"/>
      <c r="R90" s="767"/>
      <c r="S90" s="767"/>
      <c r="T90" s="767"/>
      <c r="U90" s="767"/>
      <c r="V90" s="767"/>
      <c r="W90" s="767"/>
      <c r="X90" s="767"/>
      <c r="Y90" s="776"/>
      <c r="Z90" s="776"/>
      <c r="AA90" s="776"/>
      <c r="AB90" s="776"/>
      <c r="AC90" s="776"/>
      <c r="AD90" s="776"/>
      <c r="AE90" s="776"/>
      <c r="AF90" s="776"/>
      <c r="AG90" s="426"/>
      <c r="AH90" s="426"/>
      <c r="AI90" s="426"/>
      <c r="AJ90" s="426"/>
      <c r="AK90" s="426"/>
      <c r="AL90" s="426"/>
      <c r="AM90" s="305"/>
    </row>
    <row r="91" spans="1:40" ht="15" outlineLevel="1">
      <c r="A91" s="529">
        <v>17</v>
      </c>
      <c r="B91" s="527" t="s">
        <v>112</v>
      </c>
      <c r="C91" s="304" t="s">
        <v>25</v>
      </c>
      <c r="D91" s="308"/>
      <c r="E91" s="308"/>
      <c r="F91" s="308"/>
      <c r="G91" s="308"/>
      <c r="H91" s="308"/>
      <c r="I91" s="308"/>
      <c r="J91" s="308"/>
      <c r="K91" s="308"/>
      <c r="L91" s="308"/>
      <c r="M91" s="308"/>
      <c r="N91" s="308">
        <v>12</v>
      </c>
      <c r="O91" s="308"/>
      <c r="P91" s="308"/>
      <c r="Q91" s="308"/>
      <c r="R91" s="308"/>
      <c r="S91" s="308"/>
      <c r="T91" s="308"/>
      <c r="U91" s="308"/>
      <c r="V91" s="308"/>
      <c r="W91" s="308"/>
      <c r="X91" s="308"/>
      <c r="Y91" s="789"/>
      <c r="Z91" s="772"/>
      <c r="AA91" s="772"/>
      <c r="AB91" s="772"/>
      <c r="AC91" s="772"/>
      <c r="AD91" s="772"/>
      <c r="AE91" s="772"/>
      <c r="AF91" s="777"/>
      <c r="AG91" s="427"/>
      <c r="AH91" s="427"/>
      <c r="AI91" s="427"/>
      <c r="AJ91" s="427"/>
      <c r="AK91" s="427"/>
      <c r="AL91" s="427"/>
      <c r="AM91" s="309">
        <f>SUM(Y91:AL91)</f>
        <v>0</v>
      </c>
    </row>
    <row r="92" spans="1:40" ht="15" outlineLevel="1">
      <c r="B92" s="307" t="s">
        <v>267</v>
      </c>
      <c r="C92" s="304" t="s">
        <v>163</v>
      </c>
      <c r="D92" s="308"/>
      <c r="E92" s="308"/>
      <c r="F92" s="308"/>
      <c r="G92" s="308"/>
      <c r="H92" s="308"/>
      <c r="I92" s="308"/>
      <c r="J92" s="308"/>
      <c r="K92" s="308"/>
      <c r="L92" s="308"/>
      <c r="M92" s="308"/>
      <c r="N92" s="308">
        <f>N91</f>
        <v>12</v>
      </c>
      <c r="O92" s="308"/>
      <c r="P92" s="308"/>
      <c r="Q92" s="308"/>
      <c r="R92" s="308"/>
      <c r="S92" s="308"/>
      <c r="T92" s="308"/>
      <c r="U92" s="308"/>
      <c r="V92" s="308"/>
      <c r="W92" s="308"/>
      <c r="X92" s="308"/>
      <c r="Y92" s="773">
        <f>Y91</f>
        <v>0</v>
      </c>
      <c r="Z92" s="773">
        <f t="shared" ref="Z92:AF92" si="95">Z91</f>
        <v>0</v>
      </c>
      <c r="AA92" s="773">
        <f t="shared" si="95"/>
        <v>0</v>
      </c>
      <c r="AB92" s="773">
        <f t="shared" si="95"/>
        <v>0</v>
      </c>
      <c r="AC92" s="773">
        <f t="shared" si="95"/>
        <v>0</v>
      </c>
      <c r="AD92" s="773">
        <f t="shared" si="95"/>
        <v>0</v>
      </c>
      <c r="AE92" s="773">
        <f t="shared" si="95"/>
        <v>0</v>
      </c>
      <c r="AF92" s="773">
        <f t="shared" si="95"/>
        <v>0</v>
      </c>
      <c r="AG92" s="423">
        <f t="shared" ref="AG92:AL92" si="96">AG91</f>
        <v>0</v>
      </c>
      <c r="AH92" s="423">
        <f t="shared" si="96"/>
        <v>0</v>
      </c>
      <c r="AI92" s="423">
        <f t="shared" si="96"/>
        <v>0</v>
      </c>
      <c r="AJ92" s="423">
        <f t="shared" si="96"/>
        <v>0</v>
      </c>
      <c r="AK92" s="423">
        <f t="shared" si="96"/>
        <v>0</v>
      </c>
      <c r="AL92" s="423">
        <f t="shared" si="96"/>
        <v>0</v>
      </c>
      <c r="AM92" s="319"/>
    </row>
    <row r="93" spans="1:40" ht="15" outlineLevel="1">
      <c r="B93" s="307"/>
      <c r="C93" s="304"/>
      <c r="D93" s="763"/>
      <c r="E93" s="763"/>
      <c r="F93" s="763"/>
      <c r="G93" s="763"/>
      <c r="H93" s="763"/>
      <c r="I93" s="763"/>
      <c r="J93" s="763"/>
      <c r="K93" s="763"/>
      <c r="L93" s="763"/>
      <c r="M93" s="763"/>
      <c r="N93" s="763"/>
      <c r="O93" s="763"/>
      <c r="P93" s="763"/>
      <c r="Q93" s="763"/>
      <c r="R93" s="763"/>
      <c r="S93" s="763"/>
      <c r="T93" s="763"/>
      <c r="U93" s="763"/>
      <c r="V93" s="763"/>
      <c r="W93" s="763"/>
      <c r="X93" s="763"/>
      <c r="Y93" s="784"/>
      <c r="Z93" s="793"/>
      <c r="AA93" s="793"/>
      <c r="AB93" s="793"/>
      <c r="AC93" s="793"/>
      <c r="AD93" s="793"/>
      <c r="AE93" s="793"/>
      <c r="AF93" s="793"/>
      <c r="AG93" s="435"/>
      <c r="AH93" s="435"/>
      <c r="AI93" s="435"/>
      <c r="AJ93" s="435"/>
      <c r="AK93" s="435"/>
      <c r="AL93" s="435"/>
      <c r="AM93" s="319"/>
    </row>
    <row r="94" spans="1:40" ht="15" outlineLevel="1">
      <c r="A94" s="529">
        <v>18</v>
      </c>
      <c r="B94" s="527" t="s">
        <v>109</v>
      </c>
      <c r="C94" s="304" t="s">
        <v>25</v>
      </c>
      <c r="D94" s="308"/>
      <c r="E94" s="308"/>
      <c r="F94" s="308"/>
      <c r="G94" s="308"/>
      <c r="H94" s="308"/>
      <c r="I94" s="308"/>
      <c r="J94" s="308"/>
      <c r="K94" s="308"/>
      <c r="L94" s="308"/>
      <c r="M94" s="308"/>
      <c r="N94" s="308">
        <v>12</v>
      </c>
      <c r="O94" s="308"/>
      <c r="P94" s="308"/>
      <c r="Q94" s="308"/>
      <c r="R94" s="308"/>
      <c r="S94" s="308"/>
      <c r="T94" s="308"/>
      <c r="U94" s="308"/>
      <c r="V94" s="308"/>
      <c r="W94" s="308"/>
      <c r="X94" s="308"/>
      <c r="Y94" s="789"/>
      <c r="Z94" s="772"/>
      <c r="AA94" s="772"/>
      <c r="AB94" s="772"/>
      <c r="AC94" s="772"/>
      <c r="AD94" s="772"/>
      <c r="AE94" s="772"/>
      <c r="AF94" s="777"/>
      <c r="AG94" s="427"/>
      <c r="AH94" s="427"/>
      <c r="AI94" s="427"/>
      <c r="AJ94" s="427"/>
      <c r="AK94" s="427"/>
      <c r="AL94" s="427"/>
      <c r="AM94" s="309">
        <f>SUM(Y94:AL94)</f>
        <v>0</v>
      </c>
    </row>
    <row r="95" spans="1:40" ht="15" outlineLevel="1">
      <c r="B95" s="307" t="s">
        <v>267</v>
      </c>
      <c r="C95" s="304" t="s">
        <v>163</v>
      </c>
      <c r="D95" s="308"/>
      <c r="E95" s="308"/>
      <c r="F95" s="308"/>
      <c r="G95" s="308"/>
      <c r="H95" s="308"/>
      <c r="I95" s="308"/>
      <c r="J95" s="308"/>
      <c r="K95" s="308"/>
      <c r="L95" s="308"/>
      <c r="M95" s="308"/>
      <c r="N95" s="308">
        <f>N94</f>
        <v>12</v>
      </c>
      <c r="O95" s="308"/>
      <c r="P95" s="308"/>
      <c r="Q95" s="308"/>
      <c r="R95" s="308"/>
      <c r="S95" s="308"/>
      <c r="T95" s="308"/>
      <c r="U95" s="308"/>
      <c r="V95" s="308"/>
      <c r="W95" s="308"/>
      <c r="X95" s="308"/>
      <c r="Y95" s="773">
        <f>Y94</f>
        <v>0</v>
      </c>
      <c r="Z95" s="773">
        <f t="shared" ref="Z95:AF95" si="97">Z94</f>
        <v>0</v>
      </c>
      <c r="AA95" s="773">
        <f t="shared" si="97"/>
        <v>0</v>
      </c>
      <c r="AB95" s="773">
        <f t="shared" si="97"/>
        <v>0</v>
      </c>
      <c r="AC95" s="773">
        <f t="shared" si="97"/>
        <v>0</v>
      </c>
      <c r="AD95" s="773">
        <f t="shared" si="97"/>
        <v>0</v>
      </c>
      <c r="AE95" s="773">
        <f t="shared" si="97"/>
        <v>0</v>
      </c>
      <c r="AF95" s="773">
        <f t="shared" si="97"/>
        <v>0</v>
      </c>
      <c r="AG95" s="423">
        <f t="shared" ref="AG95" si="98">AG94</f>
        <v>0</v>
      </c>
      <c r="AH95" s="423">
        <f t="shared" ref="AH95" si="99">AH94</f>
        <v>0</v>
      </c>
      <c r="AI95" s="423">
        <f t="shared" ref="AI95" si="100">AI94</f>
        <v>0</v>
      </c>
      <c r="AJ95" s="423">
        <f t="shared" ref="AJ95" si="101">AJ94</f>
        <v>0</v>
      </c>
      <c r="AK95" s="423">
        <f t="shared" ref="AK95" si="102">AK94</f>
        <v>0</v>
      </c>
      <c r="AL95" s="423">
        <f t="shared" ref="AL95" si="103">AL94</f>
        <v>0</v>
      </c>
      <c r="AM95" s="319"/>
    </row>
    <row r="96" spans="1:40" ht="15" outlineLevel="1">
      <c r="B96" s="334"/>
      <c r="C96" s="304"/>
      <c r="D96" s="763"/>
      <c r="E96" s="763"/>
      <c r="F96" s="763"/>
      <c r="G96" s="763"/>
      <c r="H96" s="763"/>
      <c r="I96" s="763"/>
      <c r="J96" s="763"/>
      <c r="K96" s="763"/>
      <c r="L96" s="763"/>
      <c r="M96" s="763"/>
      <c r="N96" s="763"/>
      <c r="O96" s="763"/>
      <c r="P96" s="763"/>
      <c r="Q96" s="763"/>
      <c r="R96" s="763"/>
      <c r="S96" s="763"/>
      <c r="T96" s="763"/>
      <c r="U96" s="763"/>
      <c r="V96" s="763"/>
      <c r="W96" s="763"/>
      <c r="X96" s="763"/>
      <c r="Y96" s="785"/>
      <c r="Z96" s="786"/>
      <c r="AA96" s="786"/>
      <c r="AB96" s="786"/>
      <c r="AC96" s="786"/>
      <c r="AD96" s="786"/>
      <c r="AE96" s="786"/>
      <c r="AF96" s="786"/>
      <c r="AG96" s="434"/>
      <c r="AH96" s="434"/>
      <c r="AI96" s="434"/>
      <c r="AJ96" s="434"/>
      <c r="AK96" s="434"/>
      <c r="AL96" s="434"/>
      <c r="AM96" s="310"/>
    </row>
    <row r="97" spans="1:39" ht="15" outlineLevel="1">
      <c r="A97" s="529">
        <v>19</v>
      </c>
      <c r="B97" s="527" t="s">
        <v>111</v>
      </c>
      <c r="C97" s="304" t="s">
        <v>25</v>
      </c>
      <c r="D97" s="308"/>
      <c r="E97" s="308"/>
      <c r="F97" s="308"/>
      <c r="G97" s="308"/>
      <c r="H97" s="308"/>
      <c r="I97" s="308"/>
      <c r="J97" s="308"/>
      <c r="K97" s="308"/>
      <c r="L97" s="308"/>
      <c r="M97" s="308"/>
      <c r="N97" s="308">
        <v>12</v>
      </c>
      <c r="O97" s="308"/>
      <c r="P97" s="308"/>
      <c r="Q97" s="308"/>
      <c r="R97" s="308"/>
      <c r="S97" s="308"/>
      <c r="T97" s="308"/>
      <c r="U97" s="308"/>
      <c r="V97" s="308"/>
      <c r="W97" s="308"/>
      <c r="X97" s="308"/>
      <c r="Y97" s="789"/>
      <c r="Z97" s="772"/>
      <c r="AA97" s="772"/>
      <c r="AB97" s="772"/>
      <c r="AC97" s="772"/>
      <c r="AD97" s="772"/>
      <c r="AE97" s="772"/>
      <c r="AF97" s="777"/>
      <c r="AG97" s="427"/>
      <c r="AH97" s="427"/>
      <c r="AI97" s="427"/>
      <c r="AJ97" s="427"/>
      <c r="AK97" s="427"/>
      <c r="AL97" s="427"/>
      <c r="AM97" s="309">
        <f>SUM(Y97:AL97)</f>
        <v>0</v>
      </c>
    </row>
    <row r="98" spans="1:39" ht="15" outlineLevel="1">
      <c r="B98" s="307" t="s">
        <v>267</v>
      </c>
      <c r="C98" s="304" t="s">
        <v>163</v>
      </c>
      <c r="D98" s="308"/>
      <c r="E98" s="308"/>
      <c r="F98" s="308"/>
      <c r="G98" s="308"/>
      <c r="H98" s="308"/>
      <c r="I98" s="308"/>
      <c r="J98" s="308"/>
      <c r="K98" s="308"/>
      <c r="L98" s="308"/>
      <c r="M98" s="308"/>
      <c r="N98" s="308">
        <f>N97</f>
        <v>12</v>
      </c>
      <c r="O98" s="308"/>
      <c r="P98" s="308"/>
      <c r="Q98" s="308"/>
      <c r="R98" s="308"/>
      <c r="S98" s="308"/>
      <c r="T98" s="308"/>
      <c r="U98" s="308"/>
      <c r="V98" s="308"/>
      <c r="W98" s="308"/>
      <c r="X98" s="308"/>
      <c r="Y98" s="773">
        <f>Y97</f>
        <v>0</v>
      </c>
      <c r="Z98" s="773">
        <f t="shared" ref="Z98:AF98" si="104">Z97</f>
        <v>0</v>
      </c>
      <c r="AA98" s="773">
        <f t="shared" si="104"/>
        <v>0</v>
      </c>
      <c r="AB98" s="773">
        <f t="shared" si="104"/>
        <v>0</v>
      </c>
      <c r="AC98" s="773">
        <f t="shared" si="104"/>
        <v>0</v>
      </c>
      <c r="AD98" s="773">
        <f t="shared" si="104"/>
        <v>0</v>
      </c>
      <c r="AE98" s="773">
        <f t="shared" si="104"/>
        <v>0</v>
      </c>
      <c r="AF98" s="773">
        <f t="shared" si="104"/>
        <v>0</v>
      </c>
      <c r="AG98" s="423">
        <f t="shared" ref="AG98:AL98" si="105">AG97</f>
        <v>0</v>
      </c>
      <c r="AH98" s="423">
        <f t="shared" si="105"/>
        <v>0</v>
      </c>
      <c r="AI98" s="423">
        <f t="shared" si="105"/>
        <v>0</v>
      </c>
      <c r="AJ98" s="423">
        <f t="shared" si="105"/>
        <v>0</v>
      </c>
      <c r="AK98" s="423">
        <f t="shared" si="105"/>
        <v>0</v>
      </c>
      <c r="AL98" s="423">
        <f t="shared" si="105"/>
        <v>0</v>
      </c>
      <c r="AM98" s="310"/>
    </row>
    <row r="99" spans="1:39" ht="15" outlineLevel="1">
      <c r="B99" s="334"/>
      <c r="C99" s="304"/>
      <c r="D99" s="763"/>
      <c r="E99" s="763"/>
      <c r="F99" s="763"/>
      <c r="G99" s="763"/>
      <c r="H99" s="763"/>
      <c r="I99" s="763"/>
      <c r="J99" s="763"/>
      <c r="K99" s="763"/>
      <c r="L99" s="763"/>
      <c r="M99" s="763"/>
      <c r="N99" s="763"/>
      <c r="O99" s="763"/>
      <c r="P99" s="763"/>
      <c r="Q99" s="763"/>
      <c r="R99" s="763"/>
      <c r="S99" s="763"/>
      <c r="T99" s="763"/>
      <c r="U99" s="763"/>
      <c r="V99" s="763"/>
      <c r="W99" s="763"/>
      <c r="X99" s="763"/>
      <c r="Y99" s="774"/>
      <c r="Z99" s="774"/>
      <c r="AA99" s="774"/>
      <c r="AB99" s="774"/>
      <c r="AC99" s="774"/>
      <c r="AD99" s="774"/>
      <c r="AE99" s="774"/>
      <c r="AF99" s="774"/>
      <c r="AG99" s="424"/>
      <c r="AH99" s="424"/>
      <c r="AI99" s="424"/>
      <c r="AJ99" s="424"/>
      <c r="AK99" s="424"/>
      <c r="AL99" s="424"/>
      <c r="AM99" s="319"/>
    </row>
    <row r="100" spans="1:39" ht="15" outlineLevel="1">
      <c r="A100" s="529">
        <v>20</v>
      </c>
      <c r="B100" s="527" t="s">
        <v>110</v>
      </c>
      <c r="C100" s="304" t="s">
        <v>25</v>
      </c>
      <c r="D100" s="308"/>
      <c r="E100" s="308"/>
      <c r="F100" s="308"/>
      <c r="G100" s="308"/>
      <c r="H100" s="308"/>
      <c r="I100" s="308"/>
      <c r="J100" s="308"/>
      <c r="K100" s="308"/>
      <c r="L100" s="308"/>
      <c r="M100" s="308"/>
      <c r="N100" s="308">
        <v>12</v>
      </c>
      <c r="O100" s="308"/>
      <c r="P100" s="308"/>
      <c r="Q100" s="308"/>
      <c r="R100" s="308"/>
      <c r="S100" s="308"/>
      <c r="T100" s="308"/>
      <c r="U100" s="308"/>
      <c r="V100" s="308"/>
      <c r="W100" s="308"/>
      <c r="X100" s="308"/>
      <c r="Y100" s="789"/>
      <c r="Z100" s="772"/>
      <c r="AA100" s="772"/>
      <c r="AB100" s="772"/>
      <c r="AC100" s="772"/>
      <c r="AD100" s="772"/>
      <c r="AE100" s="772"/>
      <c r="AF100" s="777"/>
      <c r="AG100" s="427"/>
      <c r="AH100" s="427"/>
      <c r="AI100" s="427"/>
      <c r="AJ100" s="427"/>
      <c r="AK100" s="427"/>
      <c r="AL100" s="427"/>
      <c r="AM100" s="309">
        <f>SUM(Y100:AL100)</f>
        <v>0</v>
      </c>
    </row>
    <row r="101" spans="1:39" ht="15" outlineLevel="1">
      <c r="B101" s="307" t="s">
        <v>267</v>
      </c>
      <c r="C101" s="304" t="s">
        <v>163</v>
      </c>
      <c r="D101" s="308"/>
      <c r="E101" s="308"/>
      <c r="F101" s="308"/>
      <c r="G101" s="308"/>
      <c r="H101" s="308"/>
      <c r="I101" s="308"/>
      <c r="J101" s="308"/>
      <c r="K101" s="308"/>
      <c r="L101" s="308"/>
      <c r="M101" s="308"/>
      <c r="N101" s="308">
        <f>N100</f>
        <v>12</v>
      </c>
      <c r="O101" s="308"/>
      <c r="P101" s="308"/>
      <c r="Q101" s="308"/>
      <c r="R101" s="308"/>
      <c r="S101" s="308"/>
      <c r="T101" s="308"/>
      <c r="U101" s="308"/>
      <c r="V101" s="308"/>
      <c r="W101" s="308"/>
      <c r="X101" s="308"/>
      <c r="Y101" s="773">
        <f t="shared" ref="Y101:AF101" si="106">Y100</f>
        <v>0</v>
      </c>
      <c r="Z101" s="773">
        <f t="shared" si="106"/>
        <v>0</v>
      </c>
      <c r="AA101" s="773">
        <f t="shared" si="106"/>
        <v>0</v>
      </c>
      <c r="AB101" s="773">
        <f t="shared" si="106"/>
        <v>0</v>
      </c>
      <c r="AC101" s="773">
        <f t="shared" si="106"/>
        <v>0</v>
      </c>
      <c r="AD101" s="773">
        <f t="shared" si="106"/>
        <v>0</v>
      </c>
      <c r="AE101" s="773">
        <f t="shared" si="106"/>
        <v>0</v>
      </c>
      <c r="AF101" s="773">
        <f t="shared" si="106"/>
        <v>0</v>
      </c>
      <c r="AG101" s="423">
        <f t="shared" ref="AG101:AL101" si="107">AG100</f>
        <v>0</v>
      </c>
      <c r="AH101" s="423">
        <f t="shared" si="107"/>
        <v>0</v>
      </c>
      <c r="AI101" s="423">
        <f t="shared" si="107"/>
        <v>0</v>
      </c>
      <c r="AJ101" s="423">
        <f t="shared" si="107"/>
        <v>0</v>
      </c>
      <c r="AK101" s="423">
        <f t="shared" si="107"/>
        <v>0</v>
      </c>
      <c r="AL101" s="423">
        <f t="shared" si="107"/>
        <v>0</v>
      </c>
      <c r="AM101" s="319"/>
    </row>
    <row r="102" spans="1:39" ht="15.6" outlineLevel="1">
      <c r="B102" s="335"/>
      <c r="C102" s="313"/>
      <c r="D102" s="763"/>
      <c r="E102" s="763"/>
      <c r="F102" s="763"/>
      <c r="G102" s="763"/>
      <c r="H102" s="763"/>
      <c r="I102" s="763"/>
      <c r="J102" s="763"/>
      <c r="K102" s="763"/>
      <c r="L102" s="763"/>
      <c r="M102" s="763"/>
      <c r="N102" s="771"/>
      <c r="O102" s="763"/>
      <c r="P102" s="763"/>
      <c r="Q102" s="763"/>
      <c r="R102" s="763"/>
      <c r="S102" s="763"/>
      <c r="T102" s="763"/>
      <c r="U102" s="763"/>
      <c r="V102" s="763"/>
      <c r="W102" s="763"/>
      <c r="X102" s="763"/>
      <c r="Y102" s="774"/>
      <c r="Z102" s="774"/>
      <c r="AA102" s="774"/>
      <c r="AB102" s="774"/>
      <c r="AC102" s="774"/>
      <c r="AD102" s="774"/>
      <c r="AE102" s="774"/>
      <c r="AF102" s="774"/>
      <c r="AG102" s="424"/>
      <c r="AH102" s="424"/>
      <c r="AI102" s="424"/>
      <c r="AJ102" s="424"/>
      <c r="AK102" s="424"/>
      <c r="AL102" s="424"/>
      <c r="AM102" s="319"/>
    </row>
    <row r="103" spans="1:39" ht="15.6" outlineLevel="1">
      <c r="B103" s="525" t="s">
        <v>502</v>
      </c>
      <c r="C103" s="304"/>
      <c r="D103" s="763"/>
      <c r="E103" s="763"/>
      <c r="F103" s="763"/>
      <c r="G103" s="763"/>
      <c r="H103" s="763"/>
      <c r="I103" s="763"/>
      <c r="J103" s="763"/>
      <c r="K103" s="763"/>
      <c r="L103" s="763"/>
      <c r="M103" s="763"/>
      <c r="N103" s="763"/>
      <c r="O103" s="763"/>
      <c r="P103" s="763"/>
      <c r="Q103" s="763"/>
      <c r="R103" s="763"/>
      <c r="S103" s="763"/>
      <c r="T103" s="763"/>
      <c r="U103" s="763"/>
      <c r="V103" s="763"/>
      <c r="W103" s="763"/>
      <c r="X103" s="763"/>
      <c r="Y103" s="784"/>
      <c r="Z103" s="793"/>
      <c r="AA103" s="793"/>
      <c r="AB103" s="793"/>
      <c r="AC103" s="793"/>
      <c r="AD103" s="793"/>
      <c r="AE103" s="793"/>
      <c r="AF103" s="793"/>
      <c r="AG103" s="435"/>
      <c r="AH103" s="435"/>
      <c r="AI103" s="435"/>
      <c r="AJ103" s="435"/>
      <c r="AK103" s="435"/>
      <c r="AL103" s="435"/>
      <c r="AM103" s="319"/>
    </row>
    <row r="104" spans="1:39" ht="15.6" outlineLevel="1">
      <c r="B104" s="301" t="s">
        <v>498</v>
      </c>
      <c r="C104" s="304"/>
      <c r="D104" s="763"/>
      <c r="E104" s="763"/>
      <c r="F104" s="763"/>
      <c r="G104" s="763"/>
      <c r="H104" s="763"/>
      <c r="I104" s="763"/>
      <c r="J104" s="763"/>
      <c r="K104" s="763"/>
      <c r="L104" s="763"/>
      <c r="M104" s="763"/>
      <c r="N104" s="763"/>
      <c r="O104" s="763"/>
      <c r="P104" s="763"/>
      <c r="Q104" s="763"/>
      <c r="R104" s="763"/>
      <c r="S104" s="763"/>
      <c r="T104" s="763"/>
      <c r="U104" s="763"/>
      <c r="V104" s="763"/>
      <c r="W104" s="763"/>
      <c r="X104" s="763"/>
      <c r="Y104" s="784"/>
      <c r="Z104" s="793"/>
      <c r="AA104" s="793"/>
      <c r="AB104" s="793"/>
      <c r="AC104" s="793"/>
      <c r="AD104" s="793"/>
      <c r="AE104" s="793"/>
      <c r="AF104" s="793"/>
      <c r="AG104" s="435"/>
      <c r="AH104" s="435"/>
      <c r="AI104" s="435"/>
      <c r="AJ104" s="435"/>
      <c r="AK104" s="435"/>
      <c r="AL104" s="435"/>
      <c r="AM104" s="319"/>
    </row>
    <row r="105" spans="1:39" ht="15" outlineLevel="1">
      <c r="A105" s="529">
        <v>21</v>
      </c>
      <c r="B105" s="527" t="s">
        <v>113</v>
      </c>
      <c r="C105" s="304" t="s">
        <v>25</v>
      </c>
      <c r="D105" s="308"/>
      <c r="E105" s="308"/>
      <c r="F105" s="308"/>
      <c r="G105" s="308"/>
      <c r="H105" s="308"/>
      <c r="I105" s="308"/>
      <c r="J105" s="308"/>
      <c r="K105" s="308"/>
      <c r="L105" s="308"/>
      <c r="M105" s="308"/>
      <c r="N105" s="763"/>
      <c r="O105" s="308"/>
      <c r="P105" s="308"/>
      <c r="Q105" s="308"/>
      <c r="R105" s="308"/>
      <c r="S105" s="308"/>
      <c r="T105" s="308"/>
      <c r="U105" s="308"/>
      <c r="V105" s="308"/>
      <c r="W105" s="308"/>
      <c r="X105" s="308"/>
      <c r="Y105" s="792"/>
      <c r="Z105" s="772"/>
      <c r="AA105" s="772"/>
      <c r="AB105" s="772"/>
      <c r="AC105" s="772"/>
      <c r="AD105" s="772"/>
      <c r="AE105" s="772"/>
      <c r="AF105" s="772"/>
      <c r="AG105" s="422"/>
      <c r="AH105" s="422"/>
      <c r="AI105" s="422"/>
      <c r="AJ105" s="422"/>
      <c r="AK105" s="422"/>
      <c r="AL105" s="422"/>
      <c r="AM105" s="309">
        <f>SUM(Y105:AL105)</f>
        <v>0</v>
      </c>
    </row>
    <row r="106" spans="1:39" ht="15" outlineLevel="1">
      <c r="B106" s="307" t="s">
        <v>267</v>
      </c>
      <c r="C106" s="304" t="s">
        <v>163</v>
      </c>
      <c r="D106" s="308"/>
      <c r="E106" s="308"/>
      <c r="F106" s="308"/>
      <c r="G106" s="308"/>
      <c r="H106" s="308"/>
      <c r="I106" s="308"/>
      <c r="J106" s="308"/>
      <c r="K106" s="308"/>
      <c r="L106" s="308"/>
      <c r="M106" s="308"/>
      <c r="N106" s="763"/>
      <c r="O106" s="308"/>
      <c r="P106" s="308"/>
      <c r="Q106" s="308"/>
      <c r="R106" s="308"/>
      <c r="S106" s="308"/>
      <c r="T106" s="308"/>
      <c r="U106" s="308"/>
      <c r="V106" s="308"/>
      <c r="W106" s="308"/>
      <c r="X106" s="308"/>
      <c r="Y106" s="773">
        <f>Y105</f>
        <v>0</v>
      </c>
      <c r="Z106" s="773">
        <f t="shared" ref="Z106:AF106" si="108">Z105</f>
        <v>0</v>
      </c>
      <c r="AA106" s="773">
        <f t="shared" si="108"/>
        <v>0</v>
      </c>
      <c r="AB106" s="773">
        <f t="shared" si="108"/>
        <v>0</v>
      </c>
      <c r="AC106" s="773">
        <f t="shared" si="108"/>
        <v>0</v>
      </c>
      <c r="AD106" s="773">
        <f t="shared" si="108"/>
        <v>0</v>
      </c>
      <c r="AE106" s="773">
        <f t="shared" si="108"/>
        <v>0</v>
      </c>
      <c r="AF106" s="773">
        <f t="shared" si="108"/>
        <v>0</v>
      </c>
      <c r="AG106" s="423">
        <f t="shared" ref="AG106" si="109">AG105</f>
        <v>0</v>
      </c>
      <c r="AH106" s="423">
        <f t="shared" ref="AH106" si="110">AH105</f>
        <v>0</v>
      </c>
      <c r="AI106" s="423">
        <f t="shared" ref="AI106" si="111">AI105</f>
        <v>0</v>
      </c>
      <c r="AJ106" s="423">
        <f t="shared" ref="AJ106" si="112">AJ105</f>
        <v>0</v>
      </c>
      <c r="AK106" s="423">
        <f t="shared" ref="AK106" si="113">AK105</f>
        <v>0</v>
      </c>
      <c r="AL106" s="423">
        <f t="shared" ref="AL106" si="114">AL105</f>
        <v>0</v>
      </c>
      <c r="AM106" s="319"/>
    </row>
    <row r="107" spans="1:39" ht="15" outlineLevel="1">
      <c r="B107" s="307"/>
      <c r="C107" s="304"/>
      <c r="D107" s="763"/>
      <c r="E107" s="763"/>
      <c r="F107" s="763"/>
      <c r="G107" s="763"/>
      <c r="H107" s="763"/>
      <c r="I107" s="763"/>
      <c r="J107" s="763"/>
      <c r="K107" s="763"/>
      <c r="L107" s="763"/>
      <c r="M107" s="763"/>
      <c r="N107" s="763"/>
      <c r="O107" s="763"/>
      <c r="P107" s="763"/>
      <c r="Q107" s="763"/>
      <c r="R107" s="763"/>
      <c r="S107" s="763"/>
      <c r="T107" s="763"/>
      <c r="U107" s="763"/>
      <c r="V107" s="763"/>
      <c r="W107" s="763"/>
      <c r="X107" s="763"/>
      <c r="Y107" s="784"/>
      <c r="Z107" s="793"/>
      <c r="AA107" s="793"/>
      <c r="AB107" s="793"/>
      <c r="AC107" s="793"/>
      <c r="AD107" s="793"/>
      <c r="AE107" s="793"/>
      <c r="AF107" s="793"/>
      <c r="AG107" s="435"/>
      <c r="AH107" s="435"/>
      <c r="AI107" s="435"/>
      <c r="AJ107" s="435"/>
      <c r="AK107" s="435"/>
      <c r="AL107" s="435"/>
      <c r="AM107" s="319"/>
    </row>
    <row r="108" spans="1:39" ht="30" outlineLevel="1">
      <c r="A108" s="529">
        <v>22</v>
      </c>
      <c r="B108" s="527" t="s">
        <v>114</v>
      </c>
      <c r="C108" s="304" t="s">
        <v>25</v>
      </c>
      <c r="D108" s="308"/>
      <c r="E108" s="308"/>
      <c r="F108" s="308"/>
      <c r="G108" s="308"/>
      <c r="H108" s="308"/>
      <c r="I108" s="308"/>
      <c r="J108" s="308"/>
      <c r="K108" s="308"/>
      <c r="L108" s="308"/>
      <c r="M108" s="308"/>
      <c r="N108" s="763"/>
      <c r="O108" s="308"/>
      <c r="P108" s="308"/>
      <c r="Q108" s="308"/>
      <c r="R108" s="308"/>
      <c r="S108" s="308"/>
      <c r="T108" s="308"/>
      <c r="U108" s="308"/>
      <c r="V108" s="308"/>
      <c r="W108" s="308"/>
      <c r="X108" s="308"/>
      <c r="Y108" s="792"/>
      <c r="Z108" s="772"/>
      <c r="AA108" s="772"/>
      <c r="AB108" s="772"/>
      <c r="AC108" s="772"/>
      <c r="AD108" s="772"/>
      <c r="AE108" s="772"/>
      <c r="AF108" s="772"/>
      <c r="AG108" s="422"/>
      <c r="AH108" s="422"/>
      <c r="AI108" s="422"/>
      <c r="AJ108" s="422"/>
      <c r="AK108" s="422"/>
      <c r="AL108" s="422"/>
      <c r="AM108" s="309">
        <f>SUM(Y108:AL108)</f>
        <v>0</v>
      </c>
    </row>
    <row r="109" spans="1:39" ht="15" outlineLevel="1">
      <c r="B109" s="307" t="s">
        <v>267</v>
      </c>
      <c r="C109" s="304" t="s">
        <v>163</v>
      </c>
      <c r="D109" s="308"/>
      <c r="E109" s="308"/>
      <c r="F109" s="308"/>
      <c r="G109" s="308"/>
      <c r="H109" s="308"/>
      <c r="I109" s="308"/>
      <c r="J109" s="308"/>
      <c r="K109" s="308"/>
      <c r="L109" s="308"/>
      <c r="M109" s="308"/>
      <c r="N109" s="763"/>
      <c r="O109" s="308"/>
      <c r="P109" s="308"/>
      <c r="Q109" s="308"/>
      <c r="R109" s="308"/>
      <c r="S109" s="308"/>
      <c r="T109" s="308"/>
      <c r="U109" s="308"/>
      <c r="V109" s="308"/>
      <c r="W109" s="308"/>
      <c r="X109" s="308"/>
      <c r="Y109" s="773">
        <f>Y108</f>
        <v>0</v>
      </c>
      <c r="Z109" s="773">
        <f t="shared" ref="Z109:AF109" si="115">Z108</f>
        <v>0</v>
      </c>
      <c r="AA109" s="773">
        <f t="shared" si="115"/>
        <v>0</v>
      </c>
      <c r="AB109" s="773">
        <f t="shared" si="115"/>
        <v>0</v>
      </c>
      <c r="AC109" s="773">
        <f t="shared" si="115"/>
        <v>0</v>
      </c>
      <c r="AD109" s="773">
        <f t="shared" si="115"/>
        <v>0</v>
      </c>
      <c r="AE109" s="773">
        <f t="shared" si="115"/>
        <v>0</v>
      </c>
      <c r="AF109" s="773">
        <f t="shared" si="115"/>
        <v>0</v>
      </c>
      <c r="AG109" s="423">
        <f t="shared" ref="AG109" si="116">AG108</f>
        <v>0</v>
      </c>
      <c r="AH109" s="423">
        <f t="shared" ref="AH109" si="117">AH108</f>
        <v>0</v>
      </c>
      <c r="AI109" s="423">
        <f t="shared" ref="AI109" si="118">AI108</f>
        <v>0</v>
      </c>
      <c r="AJ109" s="423">
        <f t="shared" ref="AJ109" si="119">AJ108</f>
        <v>0</v>
      </c>
      <c r="AK109" s="423">
        <f t="shared" ref="AK109" si="120">AK108</f>
        <v>0</v>
      </c>
      <c r="AL109" s="423">
        <f t="shared" ref="AL109" si="121">AL108</f>
        <v>0</v>
      </c>
      <c r="AM109" s="319"/>
    </row>
    <row r="110" spans="1:39" ht="15" outlineLevel="1">
      <c r="B110" s="307"/>
      <c r="C110" s="304"/>
      <c r="D110" s="763"/>
      <c r="E110" s="763"/>
      <c r="F110" s="763"/>
      <c r="G110" s="763"/>
      <c r="H110" s="763"/>
      <c r="I110" s="763"/>
      <c r="J110" s="763"/>
      <c r="K110" s="763"/>
      <c r="L110" s="763"/>
      <c r="M110" s="763"/>
      <c r="N110" s="763"/>
      <c r="O110" s="763"/>
      <c r="P110" s="763"/>
      <c r="Q110" s="763"/>
      <c r="R110" s="763"/>
      <c r="S110" s="763"/>
      <c r="T110" s="763"/>
      <c r="U110" s="763"/>
      <c r="V110" s="763"/>
      <c r="W110" s="763"/>
      <c r="X110" s="763"/>
      <c r="Y110" s="784"/>
      <c r="Z110" s="793"/>
      <c r="AA110" s="793"/>
      <c r="AB110" s="793"/>
      <c r="AC110" s="793"/>
      <c r="AD110" s="793"/>
      <c r="AE110" s="793"/>
      <c r="AF110" s="793"/>
      <c r="AG110" s="435"/>
      <c r="AH110" s="435"/>
      <c r="AI110" s="435"/>
      <c r="AJ110" s="435"/>
      <c r="AK110" s="435"/>
      <c r="AL110" s="435"/>
      <c r="AM110" s="319"/>
    </row>
    <row r="111" spans="1:39" ht="30" outlineLevel="1">
      <c r="A111" s="529">
        <v>23</v>
      </c>
      <c r="B111" s="527" t="s">
        <v>115</v>
      </c>
      <c r="C111" s="304" t="s">
        <v>25</v>
      </c>
      <c r="D111" s="308"/>
      <c r="E111" s="308"/>
      <c r="F111" s="308"/>
      <c r="G111" s="308"/>
      <c r="H111" s="308"/>
      <c r="I111" s="308"/>
      <c r="J111" s="308"/>
      <c r="K111" s="308"/>
      <c r="L111" s="308"/>
      <c r="M111" s="308"/>
      <c r="N111" s="763"/>
      <c r="O111" s="308"/>
      <c r="P111" s="308"/>
      <c r="Q111" s="308"/>
      <c r="R111" s="308"/>
      <c r="S111" s="308"/>
      <c r="T111" s="308"/>
      <c r="U111" s="308"/>
      <c r="V111" s="308"/>
      <c r="W111" s="308"/>
      <c r="X111" s="308"/>
      <c r="Y111" s="772"/>
      <c r="Z111" s="772"/>
      <c r="AA111" s="772"/>
      <c r="AB111" s="772"/>
      <c r="AC111" s="772"/>
      <c r="AD111" s="772"/>
      <c r="AE111" s="772"/>
      <c r="AF111" s="772"/>
      <c r="AG111" s="422"/>
      <c r="AH111" s="422"/>
      <c r="AI111" s="422"/>
      <c r="AJ111" s="422"/>
      <c r="AK111" s="422"/>
      <c r="AL111" s="422"/>
      <c r="AM111" s="309">
        <f>SUM(Y111:AL111)</f>
        <v>0</v>
      </c>
    </row>
    <row r="112" spans="1:39" ht="15" outlineLevel="1">
      <c r="B112" s="307" t="s">
        <v>267</v>
      </c>
      <c r="C112" s="304" t="s">
        <v>163</v>
      </c>
      <c r="D112" s="308"/>
      <c r="E112" s="308"/>
      <c r="F112" s="308"/>
      <c r="G112" s="308"/>
      <c r="H112" s="308"/>
      <c r="I112" s="308"/>
      <c r="J112" s="308"/>
      <c r="K112" s="308"/>
      <c r="L112" s="308"/>
      <c r="M112" s="308"/>
      <c r="N112" s="763"/>
      <c r="O112" s="308"/>
      <c r="P112" s="308"/>
      <c r="Q112" s="308"/>
      <c r="R112" s="308"/>
      <c r="S112" s="308"/>
      <c r="T112" s="308"/>
      <c r="U112" s="308"/>
      <c r="V112" s="308"/>
      <c r="W112" s="308"/>
      <c r="X112" s="308"/>
      <c r="Y112" s="773">
        <f>Y111</f>
        <v>0</v>
      </c>
      <c r="Z112" s="773">
        <f t="shared" ref="Z112:AF112" si="122">Z111</f>
        <v>0</v>
      </c>
      <c r="AA112" s="773">
        <f t="shared" si="122"/>
        <v>0</v>
      </c>
      <c r="AB112" s="773">
        <f t="shared" si="122"/>
        <v>0</v>
      </c>
      <c r="AC112" s="773">
        <f t="shared" si="122"/>
        <v>0</v>
      </c>
      <c r="AD112" s="773">
        <f t="shared" si="122"/>
        <v>0</v>
      </c>
      <c r="AE112" s="773">
        <f t="shared" si="122"/>
        <v>0</v>
      </c>
      <c r="AF112" s="773">
        <f t="shared" si="122"/>
        <v>0</v>
      </c>
      <c r="AG112" s="423">
        <f t="shared" ref="AG112" si="123">AG111</f>
        <v>0</v>
      </c>
      <c r="AH112" s="423">
        <f t="shared" ref="AH112" si="124">AH111</f>
        <v>0</v>
      </c>
      <c r="AI112" s="423">
        <f t="shared" ref="AI112" si="125">AI111</f>
        <v>0</v>
      </c>
      <c r="AJ112" s="423">
        <f t="shared" ref="AJ112" si="126">AJ111</f>
        <v>0</v>
      </c>
      <c r="AK112" s="423">
        <f t="shared" ref="AK112" si="127">AK111</f>
        <v>0</v>
      </c>
      <c r="AL112" s="423">
        <f t="shared" ref="AL112" si="128">AL111</f>
        <v>0</v>
      </c>
      <c r="AM112" s="319"/>
    </row>
    <row r="113" spans="1:39" ht="15" outlineLevel="1">
      <c r="B113" s="334"/>
      <c r="C113" s="304"/>
      <c r="D113" s="763"/>
      <c r="E113" s="763"/>
      <c r="F113" s="763"/>
      <c r="G113" s="763"/>
      <c r="H113" s="763"/>
      <c r="I113" s="763"/>
      <c r="J113" s="763"/>
      <c r="K113" s="763"/>
      <c r="L113" s="763"/>
      <c r="M113" s="763"/>
      <c r="N113" s="763"/>
      <c r="O113" s="763"/>
      <c r="P113" s="763"/>
      <c r="Q113" s="763"/>
      <c r="R113" s="763"/>
      <c r="S113" s="763"/>
      <c r="T113" s="763"/>
      <c r="U113" s="763"/>
      <c r="V113" s="763"/>
      <c r="W113" s="763"/>
      <c r="X113" s="763"/>
      <c r="Y113" s="784"/>
      <c r="Z113" s="793"/>
      <c r="AA113" s="793"/>
      <c r="AB113" s="793"/>
      <c r="AC113" s="793"/>
      <c r="AD113" s="793"/>
      <c r="AE113" s="793"/>
      <c r="AF113" s="793"/>
      <c r="AG113" s="435"/>
      <c r="AH113" s="435"/>
      <c r="AI113" s="435"/>
      <c r="AJ113" s="435"/>
      <c r="AK113" s="435"/>
      <c r="AL113" s="435"/>
      <c r="AM113" s="319"/>
    </row>
    <row r="114" spans="1:39" ht="15" outlineLevel="1">
      <c r="A114" s="529">
        <v>24</v>
      </c>
      <c r="B114" s="527" t="s">
        <v>116</v>
      </c>
      <c r="C114" s="304" t="s">
        <v>25</v>
      </c>
      <c r="D114" s="308"/>
      <c r="E114" s="308"/>
      <c r="F114" s="308"/>
      <c r="G114" s="308"/>
      <c r="H114" s="308"/>
      <c r="I114" s="308"/>
      <c r="J114" s="308"/>
      <c r="K114" s="308"/>
      <c r="L114" s="308"/>
      <c r="M114" s="308"/>
      <c r="N114" s="763"/>
      <c r="O114" s="308"/>
      <c r="P114" s="308"/>
      <c r="Q114" s="308"/>
      <c r="R114" s="308"/>
      <c r="S114" s="308"/>
      <c r="T114" s="308"/>
      <c r="U114" s="308"/>
      <c r="V114" s="308"/>
      <c r="W114" s="308"/>
      <c r="X114" s="308"/>
      <c r="Y114" s="772"/>
      <c r="Z114" s="772"/>
      <c r="AA114" s="772"/>
      <c r="AB114" s="772"/>
      <c r="AC114" s="772"/>
      <c r="AD114" s="772"/>
      <c r="AE114" s="772"/>
      <c r="AF114" s="772"/>
      <c r="AG114" s="422"/>
      <c r="AH114" s="422"/>
      <c r="AI114" s="422"/>
      <c r="AJ114" s="422"/>
      <c r="AK114" s="422"/>
      <c r="AL114" s="422"/>
      <c r="AM114" s="309">
        <f>SUM(Y114:AL114)</f>
        <v>0</v>
      </c>
    </row>
    <row r="115" spans="1:39" ht="15" outlineLevel="1">
      <c r="B115" s="307" t="s">
        <v>267</v>
      </c>
      <c r="C115" s="304" t="s">
        <v>163</v>
      </c>
      <c r="D115" s="308"/>
      <c r="E115" s="308"/>
      <c r="F115" s="308"/>
      <c r="G115" s="308"/>
      <c r="H115" s="308"/>
      <c r="I115" s="308"/>
      <c r="J115" s="308"/>
      <c r="K115" s="308"/>
      <c r="L115" s="308"/>
      <c r="M115" s="308"/>
      <c r="N115" s="763"/>
      <c r="O115" s="308"/>
      <c r="P115" s="308"/>
      <c r="Q115" s="308"/>
      <c r="R115" s="308"/>
      <c r="S115" s="308"/>
      <c r="T115" s="308"/>
      <c r="U115" s="308"/>
      <c r="V115" s="308"/>
      <c r="W115" s="308"/>
      <c r="X115" s="308"/>
      <c r="Y115" s="773">
        <f>Y114</f>
        <v>0</v>
      </c>
      <c r="Z115" s="773">
        <f t="shared" ref="Z115:AF115" si="129">Z114</f>
        <v>0</v>
      </c>
      <c r="AA115" s="773">
        <f t="shared" si="129"/>
        <v>0</v>
      </c>
      <c r="AB115" s="773">
        <f t="shared" si="129"/>
        <v>0</v>
      </c>
      <c r="AC115" s="773">
        <f t="shared" si="129"/>
        <v>0</v>
      </c>
      <c r="AD115" s="773">
        <f t="shared" si="129"/>
        <v>0</v>
      </c>
      <c r="AE115" s="773">
        <f t="shared" si="129"/>
        <v>0</v>
      </c>
      <c r="AF115" s="773">
        <f t="shared" si="129"/>
        <v>0</v>
      </c>
      <c r="AG115" s="423">
        <f t="shared" ref="AG115" si="130">AG114</f>
        <v>0</v>
      </c>
      <c r="AH115" s="423">
        <f t="shared" ref="AH115" si="131">AH114</f>
        <v>0</v>
      </c>
      <c r="AI115" s="423">
        <f t="shared" ref="AI115" si="132">AI114</f>
        <v>0</v>
      </c>
      <c r="AJ115" s="423">
        <f t="shared" ref="AJ115" si="133">AJ114</f>
        <v>0</v>
      </c>
      <c r="AK115" s="423">
        <f t="shared" ref="AK115" si="134">AK114</f>
        <v>0</v>
      </c>
      <c r="AL115" s="423">
        <f t="shared" ref="AL115" si="135">AL114</f>
        <v>0</v>
      </c>
      <c r="AM115" s="319"/>
    </row>
    <row r="116" spans="1:39" ht="15" outlineLevel="1">
      <c r="B116" s="307"/>
      <c r="C116" s="304"/>
      <c r="D116" s="763"/>
      <c r="E116" s="763"/>
      <c r="F116" s="763"/>
      <c r="G116" s="763"/>
      <c r="H116" s="763"/>
      <c r="I116" s="763"/>
      <c r="J116" s="763"/>
      <c r="K116" s="763"/>
      <c r="L116" s="763"/>
      <c r="M116" s="763"/>
      <c r="N116" s="763"/>
      <c r="O116" s="763"/>
      <c r="P116" s="763"/>
      <c r="Q116" s="763"/>
      <c r="R116" s="763"/>
      <c r="S116" s="763"/>
      <c r="T116" s="763"/>
      <c r="U116" s="763"/>
      <c r="V116" s="763"/>
      <c r="W116" s="763"/>
      <c r="X116" s="763"/>
      <c r="Y116" s="774"/>
      <c r="Z116" s="793"/>
      <c r="AA116" s="793"/>
      <c r="AB116" s="793"/>
      <c r="AC116" s="793"/>
      <c r="AD116" s="793"/>
      <c r="AE116" s="793"/>
      <c r="AF116" s="793"/>
      <c r="AG116" s="435"/>
      <c r="AH116" s="435"/>
      <c r="AI116" s="435"/>
      <c r="AJ116" s="435"/>
      <c r="AK116" s="435"/>
      <c r="AL116" s="435"/>
      <c r="AM116" s="319"/>
    </row>
    <row r="117" spans="1:39" ht="15.6" outlineLevel="1">
      <c r="B117" s="301" t="s">
        <v>499</v>
      </c>
      <c r="C117" s="304"/>
      <c r="D117" s="763"/>
      <c r="E117" s="763"/>
      <c r="F117" s="763"/>
      <c r="G117" s="763"/>
      <c r="H117" s="763"/>
      <c r="I117" s="763"/>
      <c r="J117" s="763"/>
      <c r="K117" s="763"/>
      <c r="L117" s="763"/>
      <c r="M117" s="763"/>
      <c r="N117" s="763"/>
      <c r="O117" s="763"/>
      <c r="P117" s="763"/>
      <c r="Q117" s="763"/>
      <c r="R117" s="763"/>
      <c r="S117" s="763"/>
      <c r="T117" s="763"/>
      <c r="U117" s="763"/>
      <c r="V117" s="763"/>
      <c r="W117" s="763"/>
      <c r="X117" s="763"/>
      <c r="Y117" s="774"/>
      <c r="Z117" s="793"/>
      <c r="AA117" s="793"/>
      <c r="AB117" s="793"/>
      <c r="AC117" s="793"/>
      <c r="AD117" s="793"/>
      <c r="AE117" s="793"/>
      <c r="AF117" s="793"/>
      <c r="AG117" s="435"/>
      <c r="AH117" s="435"/>
      <c r="AI117" s="435"/>
      <c r="AJ117" s="435"/>
      <c r="AK117" s="435"/>
      <c r="AL117" s="435"/>
      <c r="AM117" s="319"/>
    </row>
    <row r="118" spans="1:39" ht="15" outlineLevel="1">
      <c r="A118" s="529">
        <v>25</v>
      </c>
      <c r="B118" s="527" t="s">
        <v>117</v>
      </c>
      <c r="C118" s="304" t="s">
        <v>25</v>
      </c>
      <c r="D118" s="308"/>
      <c r="E118" s="308"/>
      <c r="F118" s="308"/>
      <c r="G118" s="308"/>
      <c r="H118" s="308"/>
      <c r="I118" s="308"/>
      <c r="J118" s="308"/>
      <c r="K118" s="308"/>
      <c r="L118" s="308"/>
      <c r="M118" s="308"/>
      <c r="N118" s="308">
        <v>12</v>
      </c>
      <c r="O118" s="308"/>
      <c r="P118" s="308"/>
      <c r="Q118" s="308"/>
      <c r="R118" s="308"/>
      <c r="S118" s="308"/>
      <c r="T118" s="308"/>
      <c r="U118" s="308"/>
      <c r="V118" s="308"/>
      <c r="W118" s="308"/>
      <c r="X118" s="308"/>
      <c r="Y118" s="789"/>
      <c r="Z118" s="772"/>
      <c r="AA118" s="772"/>
      <c r="AB118" s="772"/>
      <c r="AC118" s="772"/>
      <c r="AD118" s="772"/>
      <c r="AE118" s="772"/>
      <c r="AF118" s="777"/>
      <c r="AG118" s="427"/>
      <c r="AH118" s="427"/>
      <c r="AI118" s="427"/>
      <c r="AJ118" s="427"/>
      <c r="AK118" s="427"/>
      <c r="AL118" s="427"/>
      <c r="AM118" s="309">
        <f>SUM(Y118:AL118)</f>
        <v>0</v>
      </c>
    </row>
    <row r="119" spans="1:39" ht="15" outlineLevel="1">
      <c r="B119" s="307" t="s">
        <v>267</v>
      </c>
      <c r="C119" s="304" t="s">
        <v>163</v>
      </c>
      <c r="D119" s="308"/>
      <c r="E119" s="308"/>
      <c r="F119" s="308"/>
      <c r="G119" s="308"/>
      <c r="H119" s="308"/>
      <c r="I119" s="308"/>
      <c r="J119" s="308"/>
      <c r="K119" s="308"/>
      <c r="L119" s="308"/>
      <c r="M119" s="308"/>
      <c r="N119" s="308">
        <f>N118</f>
        <v>12</v>
      </c>
      <c r="O119" s="308"/>
      <c r="P119" s="308"/>
      <c r="Q119" s="308"/>
      <c r="R119" s="308"/>
      <c r="S119" s="308"/>
      <c r="T119" s="308"/>
      <c r="U119" s="308"/>
      <c r="V119" s="308"/>
      <c r="W119" s="308"/>
      <c r="X119" s="308"/>
      <c r="Y119" s="773">
        <f>Y118</f>
        <v>0</v>
      </c>
      <c r="Z119" s="773">
        <f t="shared" ref="Z119:AF119" si="136">Z118</f>
        <v>0</v>
      </c>
      <c r="AA119" s="773">
        <f t="shared" si="136"/>
        <v>0</v>
      </c>
      <c r="AB119" s="773">
        <f t="shared" si="136"/>
        <v>0</v>
      </c>
      <c r="AC119" s="773">
        <f t="shared" si="136"/>
        <v>0</v>
      </c>
      <c r="AD119" s="773">
        <f t="shared" si="136"/>
        <v>0</v>
      </c>
      <c r="AE119" s="773">
        <f t="shared" si="136"/>
        <v>0</v>
      </c>
      <c r="AF119" s="773">
        <f t="shared" si="136"/>
        <v>0</v>
      </c>
      <c r="AG119" s="423">
        <f t="shared" ref="AG119" si="137">AG118</f>
        <v>0</v>
      </c>
      <c r="AH119" s="423">
        <f t="shared" ref="AH119" si="138">AH118</f>
        <v>0</v>
      </c>
      <c r="AI119" s="423">
        <f t="shared" ref="AI119" si="139">AI118</f>
        <v>0</v>
      </c>
      <c r="AJ119" s="423">
        <f t="shared" ref="AJ119" si="140">AJ118</f>
        <v>0</v>
      </c>
      <c r="AK119" s="423">
        <f t="shared" ref="AK119" si="141">AK118</f>
        <v>0</v>
      </c>
      <c r="AL119" s="423">
        <f t="shared" ref="AL119" si="142">AL118</f>
        <v>0</v>
      </c>
      <c r="AM119" s="319"/>
    </row>
    <row r="120" spans="1:39" ht="15" outlineLevel="1">
      <c r="B120" s="307"/>
      <c r="C120" s="304"/>
      <c r="D120" s="763"/>
      <c r="E120" s="763"/>
      <c r="F120" s="763"/>
      <c r="G120" s="763"/>
      <c r="H120" s="763"/>
      <c r="I120" s="763"/>
      <c r="J120" s="763"/>
      <c r="K120" s="763"/>
      <c r="L120" s="763"/>
      <c r="M120" s="763"/>
      <c r="N120" s="763"/>
      <c r="O120" s="763"/>
      <c r="P120" s="763"/>
      <c r="Q120" s="763"/>
      <c r="R120" s="763"/>
      <c r="S120" s="763"/>
      <c r="T120" s="763"/>
      <c r="U120" s="763"/>
      <c r="V120" s="763"/>
      <c r="W120" s="763"/>
      <c r="X120" s="763"/>
      <c r="Y120" s="774"/>
      <c r="Z120" s="793"/>
      <c r="AA120" s="793"/>
      <c r="AB120" s="793"/>
      <c r="AC120" s="793"/>
      <c r="AD120" s="793"/>
      <c r="AE120" s="793"/>
      <c r="AF120" s="793"/>
      <c r="AG120" s="435"/>
      <c r="AH120" s="435"/>
      <c r="AI120" s="435"/>
      <c r="AJ120" s="435"/>
      <c r="AK120" s="435"/>
      <c r="AL120" s="435"/>
      <c r="AM120" s="319"/>
    </row>
    <row r="121" spans="1:39" ht="15" outlineLevel="1">
      <c r="A121" s="529">
        <v>26</v>
      </c>
      <c r="B121" s="527" t="s">
        <v>118</v>
      </c>
      <c r="C121" s="304" t="s">
        <v>25</v>
      </c>
      <c r="D121" s="308"/>
      <c r="E121" s="308"/>
      <c r="F121" s="308"/>
      <c r="G121" s="308"/>
      <c r="H121" s="308"/>
      <c r="I121" s="308"/>
      <c r="J121" s="308"/>
      <c r="K121" s="308"/>
      <c r="L121" s="308"/>
      <c r="M121" s="308"/>
      <c r="N121" s="308">
        <v>12</v>
      </c>
      <c r="O121" s="308"/>
      <c r="P121" s="308"/>
      <c r="Q121" s="308"/>
      <c r="R121" s="308"/>
      <c r="S121" s="308"/>
      <c r="T121" s="308"/>
      <c r="U121" s="308"/>
      <c r="V121" s="308"/>
      <c r="W121" s="308"/>
      <c r="X121" s="308"/>
      <c r="Y121" s="789"/>
      <c r="Z121" s="792">
        <v>0.1275</v>
      </c>
      <c r="AA121" s="792">
        <v>0.2319</v>
      </c>
      <c r="AB121" s="772">
        <v>0.64059999999999995</v>
      </c>
      <c r="AC121" s="792"/>
      <c r="AD121" s="772"/>
      <c r="AE121" s="772"/>
      <c r="AF121" s="777"/>
      <c r="AG121" s="427"/>
      <c r="AH121" s="427"/>
      <c r="AI121" s="427"/>
      <c r="AJ121" s="427"/>
      <c r="AK121" s="427"/>
      <c r="AL121" s="427"/>
      <c r="AM121" s="309">
        <f>SUM(Y121:AL121)</f>
        <v>1</v>
      </c>
    </row>
    <row r="122" spans="1:39" ht="15" outlineLevel="1">
      <c r="B122" s="307" t="s">
        <v>267</v>
      </c>
      <c r="C122" s="304" t="s">
        <v>163</v>
      </c>
      <c r="D122" s="308">
        <f>'7.  Persistence Report'!AU110</f>
        <v>4307</v>
      </c>
      <c r="E122" s="308">
        <f>'7.  Persistence Report'!AV110</f>
        <v>4307</v>
      </c>
      <c r="F122" s="308">
        <f>'7.  Persistence Report'!AW110</f>
        <v>4307</v>
      </c>
      <c r="G122" s="308">
        <f>'7.  Persistence Report'!AX110</f>
        <v>4307</v>
      </c>
      <c r="H122" s="308">
        <f>'7.  Persistence Report'!AY110</f>
        <v>4307</v>
      </c>
      <c r="I122" s="308">
        <f>'7.  Persistence Report'!AZ110</f>
        <v>4307</v>
      </c>
      <c r="J122" s="308">
        <f>'7.  Persistence Report'!BA110</f>
        <v>4307</v>
      </c>
      <c r="K122" s="308">
        <f>'7.  Persistence Report'!BB110</f>
        <v>4307</v>
      </c>
      <c r="L122" s="308">
        <f>'7.  Persistence Report'!BC110</f>
        <v>4307</v>
      </c>
      <c r="M122" s="308">
        <f>'7.  Persistence Report'!BD110</f>
        <v>4307</v>
      </c>
      <c r="N122" s="308">
        <f>N121</f>
        <v>12</v>
      </c>
      <c r="O122" s="308">
        <f>'7.  Persistence Report'!P110</f>
        <v>0</v>
      </c>
      <c r="P122" s="308">
        <f>'7.  Persistence Report'!Q110</f>
        <v>0</v>
      </c>
      <c r="Q122" s="308">
        <f>'7.  Persistence Report'!R110</f>
        <v>0</v>
      </c>
      <c r="R122" s="308">
        <f>'7.  Persistence Report'!S110</f>
        <v>0</v>
      </c>
      <c r="S122" s="308">
        <f>'7.  Persistence Report'!T110</f>
        <v>0</v>
      </c>
      <c r="T122" s="308">
        <f>'7.  Persistence Report'!U110</f>
        <v>0</v>
      </c>
      <c r="U122" s="308">
        <f>'7.  Persistence Report'!V110</f>
        <v>0</v>
      </c>
      <c r="V122" s="308">
        <f>'7.  Persistence Report'!W110</f>
        <v>0</v>
      </c>
      <c r="W122" s="308">
        <f>'7.  Persistence Report'!X110</f>
        <v>0</v>
      </c>
      <c r="X122" s="308">
        <f>'7.  Persistence Report'!Y110</f>
        <v>0</v>
      </c>
      <c r="Y122" s="773">
        <f>Y121</f>
        <v>0</v>
      </c>
      <c r="Z122" s="773">
        <f t="shared" ref="Z122:AF122" si="143">Z121</f>
        <v>0.1275</v>
      </c>
      <c r="AA122" s="773">
        <f t="shared" si="143"/>
        <v>0.2319</v>
      </c>
      <c r="AB122" s="773">
        <f t="shared" si="143"/>
        <v>0.64059999999999995</v>
      </c>
      <c r="AC122" s="773">
        <f t="shared" si="143"/>
        <v>0</v>
      </c>
      <c r="AD122" s="773">
        <f t="shared" si="143"/>
        <v>0</v>
      </c>
      <c r="AE122" s="773">
        <f t="shared" si="143"/>
        <v>0</v>
      </c>
      <c r="AF122" s="773">
        <f t="shared" si="143"/>
        <v>0</v>
      </c>
      <c r="AG122" s="423">
        <f t="shared" ref="AG122" si="144">AG121</f>
        <v>0</v>
      </c>
      <c r="AH122" s="423">
        <f t="shared" ref="AH122" si="145">AH121</f>
        <v>0</v>
      </c>
      <c r="AI122" s="423">
        <f t="shared" ref="AI122" si="146">AI121</f>
        <v>0</v>
      </c>
      <c r="AJ122" s="423">
        <f t="shared" ref="AJ122" si="147">AJ121</f>
        <v>0</v>
      </c>
      <c r="AK122" s="423">
        <f t="shared" ref="AK122" si="148">AK121</f>
        <v>0</v>
      </c>
      <c r="AL122" s="423">
        <f t="shared" ref="AL122" si="149">AL121</f>
        <v>0</v>
      </c>
      <c r="AM122" s="319"/>
    </row>
    <row r="123" spans="1:39" ht="15" outlineLevel="1">
      <c r="B123" s="307"/>
      <c r="C123" s="304"/>
      <c r="D123" s="763"/>
      <c r="E123" s="763"/>
      <c r="F123" s="763"/>
      <c r="G123" s="763"/>
      <c r="H123" s="763"/>
      <c r="I123" s="763"/>
      <c r="J123" s="763"/>
      <c r="K123" s="763"/>
      <c r="L123" s="763"/>
      <c r="M123" s="763"/>
      <c r="N123" s="763"/>
      <c r="O123" s="763"/>
      <c r="P123" s="763"/>
      <c r="Q123" s="763"/>
      <c r="R123" s="763"/>
      <c r="S123" s="763"/>
      <c r="T123" s="763"/>
      <c r="U123" s="763"/>
      <c r="V123" s="763"/>
      <c r="W123" s="763"/>
      <c r="X123" s="763"/>
      <c r="Y123" s="774"/>
      <c r="Z123" s="793"/>
      <c r="AA123" s="793"/>
      <c r="AB123" s="793"/>
      <c r="AC123" s="793"/>
      <c r="AD123" s="793"/>
      <c r="AE123" s="793"/>
      <c r="AF123" s="793"/>
      <c r="AG123" s="435"/>
      <c r="AH123" s="435"/>
      <c r="AI123" s="435"/>
      <c r="AJ123" s="435"/>
      <c r="AK123" s="435"/>
      <c r="AL123" s="435"/>
      <c r="AM123" s="319"/>
    </row>
    <row r="124" spans="1:39" ht="30" outlineLevel="1">
      <c r="A124" s="529">
        <v>27</v>
      </c>
      <c r="B124" s="527" t="s">
        <v>119</v>
      </c>
      <c r="C124" s="304" t="s">
        <v>25</v>
      </c>
      <c r="D124" s="308"/>
      <c r="E124" s="308"/>
      <c r="F124" s="308"/>
      <c r="G124" s="308"/>
      <c r="H124" s="308"/>
      <c r="I124" s="308"/>
      <c r="J124" s="308"/>
      <c r="K124" s="308"/>
      <c r="L124" s="308"/>
      <c r="M124" s="308"/>
      <c r="N124" s="308">
        <v>12</v>
      </c>
      <c r="O124" s="308"/>
      <c r="P124" s="308"/>
      <c r="Q124" s="308"/>
      <c r="R124" s="308"/>
      <c r="S124" s="308"/>
      <c r="T124" s="308"/>
      <c r="U124" s="308"/>
      <c r="V124" s="308"/>
      <c r="W124" s="308"/>
      <c r="X124" s="308"/>
      <c r="Y124" s="789"/>
      <c r="Z124" s="772"/>
      <c r="AA124" s="772"/>
      <c r="AB124" s="772"/>
      <c r="AC124" s="772"/>
      <c r="AD124" s="772"/>
      <c r="AE124" s="772"/>
      <c r="AF124" s="777"/>
      <c r="AG124" s="427"/>
      <c r="AH124" s="427"/>
      <c r="AI124" s="427"/>
      <c r="AJ124" s="427"/>
      <c r="AK124" s="427"/>
      <c r="AL124" s="427"/>
      <c r="AM124" s="309">
        <f>SUM(Y124:AL124)</f>
        <v>0</v>
      </c>
    </row>
    <row r="125" spans="1:39" ht="15" outlineLevel="1">
      <c r="B125" s="307" t="s">
        <v>267</v>
      </c>
      <c r="C125" s="304" t="s">
        <v>163</v>
      </c>
      <c r="D125" s="308"/>
      <c r="E125" s="308"/>
      <c r="F125" s="308"/>
      <c r="G125" s="308"/>
      <c r="H125" s="308"/>
      <c r="I125" s="308"/>
      <c r="J125" s="308"/>
      <c r="K125" s="308"/>
      <c r="L125" s="308"/>
      <c r="M125" s="308"/>
      <c r="N125" s="308">
        <f>N124</f>
        <v>12</v>
      </c>
      <c r="O125" s="308"/>
      <c r="P125" s="308"/>
      <c r="Q125" s="308"/>
      <c r="R125" s="308"/>
      <c r="S125" s="308"/>
      <c r="T125" s="308"/>
      <c r="U125" s="308"/>
      <c r="V125" s="308"/>
      <c r="W125" s="308"/>
      <c r="X125" s="308"/>
      <c r="Y125" s="773">
        <f>Y124</f>
        <v>0</v>
      </c>
      <c r="Z125" s="773">
        <f t="shared" ref="Z125:AF125" si="150">Z124</f>
        <v>0</v>
      </c>
      <c r="AA125" s="773">
        <f t="shared" si="150"/>
        <v>0</v>
      </c>
      <c r="AB125" s="773">
        <f t="shared" si="150"/>
        <v>0</v>
      </c>
      <c r="AC125" s="773">
        <f t="shared" si="150"/>
        <v>0</v>
      </c>
      <c r="AD125" s="773">
        <f t="shared" si="150"/>
        <v>0</v>
      </c>
      <c r="AE125" s="773">
        <f t="shared" si="150"/>
        <v>0</v>
      </c>
      <c r="AF125" s="773">
        <f t="shared" si="150"/>
        <v>0</v>
      </c>
      <c r="AG125" s="423">
        <f t="shared" ref="AG125" si="151">AG124</f>
        <v>0</v>
      </c>
      <c r="AH125" s="423">
        <f t="shared" ref="AH125" si="152">AH124</f>
        <v>0</v>
      </c>
      <c r="AI125" s="423">
        <f t="shared" ref="AI125" si="153">AI124</f>
        <v>0</v>
      </c>
      <c r="AJ125" s="423">
        <f t="shared" ref="AJ125" si="154">AJ124</f>
        <v>0</v>
      </c>
      <c r="AK125" s="423">
        <f t="shared" ref="AK125" si="155">AK124</f>
        <v>0</v>
      </c>
      <c r="AL125" s="423">
        <f t="shared" ref="AL125" si="156">AL124</f>
        <v>0</v>
      </c>
      <c r="AM125" s="319"/>
    </row>
    <row r="126" spans="1:39" ht="15" outlineLevel="1">
      <c r="B126" s="307"/>
      <c r="C126" s="304"/>
      <c r="D126" s="763"/>
      <c r="E126" s="763"/>
      <c r="F126" s="763"/>
      <c r="G126" s="763"/>
      <c r="H126" s="763"/>
      <c r="I126" s="763"/>
      <c r="J126" s="763"/>
      <c r="K126" s="763"/>
      <c r="L126" s="763"/>
      <c r="M126" s="763"/>
      <c r="N126" s="763"/>
      <c r="O126" s="763"/>
      <c r="P126" s="763"/>
      <c r="Q126" s="763"/>
      <c r="R126" s="763"/>
      <c r="S126" s="763"/>
      <c r="T126" s="763"/>
      <c r="U126" s="763"/>
      <c r="V126" s="763"/>
      <c r="W126" s="763"/>
      <c r="X126" s="763"/>
      <c r="Y126" s="774"/>
      <c r="Z126" s="793"/>
      <c r="AA126" s="793"/>
      <c r="AB126" s="793"/>
      <c r="AC126" s="793"/>
      <c r="AD126" s="793"/>
      <c r="AE126" s="793"/>
      <c r="AF126" s="793"/>
      <c r="AG126" s="435"/>
      <c r="AH126" s="435"/>
      <c r="AI126" s="435"/>
      <c r="AJ126" s="435"/>
      <c r="AK126" s="435"/>
      <c r="AL126" s="435"/>
      <c r="AM126" s="319"/>
    </row>
    <row r="127" spans="1:39" ht="30" outlineLevel="1">
      <c r="A127" s="529">
        <v>28</v>
      </c>
      <c r="B127" s="527" t="s">
        <v>120</v>
      </c>
      <c r="C127" s="304" t="s">
        <v>25</v>
      </c>
      <c r="D127" s="308"/>
      <c r="E127" s="308"/>
      <c r="F127" s="308"/>
      <c r="G127" s="308"/>
      <c r="H127" s="308"/>
      <c r="I127" s="308"/>
      <c r="J127" s="308"/>
      <c r="K127" s="308"/>
      <c r="L127" s="308"/>
      <c r="M127" s="308"/>
      <c r="N127" s="308">
        <v>12</v>
      </c>
      <c r="O127" s="308"/>
      <c r="P127" s="308"/>
      <c r="Q127" s="308"/>
      <c r="R127" s="308"/>
      <c r="S127" s="308"/>
      <c r="T127" s="308"/>
      <c r="U127" s="308"/>
      <c r="V127" s="308"/>
      <c r="W127" s="308"/>
      <c r="X127" s="308"/>
      <c r="Y127" s="789"/>
      <c r="Z127" s="772"/>
      <c r="AA127" s="772"/>
      <c r="AB127" s="772"/>
      <c r="AC127" s="772"/>
      <c r="AD127" s="772"/>
      <c r="AE127" s="772"/>
      <c r="AF127" s="777"/>
      <c r="AG127" s="427"/>
      <c r="AH127" s="427"/>
      <c r="AI127" s="427"/>
      <c r="AJ127" s="427"/>
      <c r="AK127" s="427"/>
      <c r="AL127" s="427"/>
      <c r="AM127" s="309">
        <f>SUM(Y127:AL127)</f>
        <v>0</v>
      </c>
    </row>
    <row r="128" spans="1:39" ht="15" outlineLevel="1">
      <c r="B128" s="307" t="s">
        <v>267</v>
      </c>
      <c r="C128" s="304" t="s">
        <v>163</v>
      </c>
      <c r="D128" s="308"/>
      <c r="E128" s="308"/>
      <c r="F128" s="308"/>
      <c r="G128" s="308"/>
      <c r="H128" s="308"/>
      <c r="I128" s="308"/>
      <c r="J128" s="308"/>
      <c r="K128" s="308"/>
      <c r="L128" s="308"/>
      <c r="M128" s="308"/>
      <c r="N128" s="308">
        <f>N127</f>
        <v>12</v>
      </c>
      <c r="O128" s="308"/>
      <c r="P128" s="308"/>
      <c r="Q128" s="308"/>
      <c r="R128" s="308"/>
      <c r="S128" s="308"/>
      <c r="T128" s="308"/>
      <c r="U128" s="308"/>
      <c r="V128" s="308"/>
      <c r="W128" s="308"/>
      <c r="X128" s="308"/>
      <c r="Y128" s="773">
        <f>Y127</f>
        <v>0</v>
      </c>
      <c r="Z128" s="773">
        <f t="shared" ref="Z128:AF128" si="157">Z127</f>
        <v>0</v>
      </c>
      <c r="AA128" s="773">
        <f t="shared" si="157"/>
        <v>0</v>
      </c>
      <c r="AB128" s="773">
        <f t="shared" si="157"/>
        <v>0</v>
      </c>
      <c r="AC128" s="773">
        <f t="shared" si="157"/>
        <v>0</v>
      </c>
      <c r="AD128" s="773">
        <f t="shared" si="157"/>
        <v>0</v>
      </c>
      <c r="AE128" s="773">
        <f t="shared" si="157"/>
        <v>0</v>
      </c>
      <c r="AF128" s="773">
        <f t="shared" si="157"/>
        <v>0</v>
      </c>
      <c r="AG128" s="423">
        <f t="shared" ref="AG128" si="158">AG127</f>
        <v>0</v>
      </c>
      <c r="AH128" s="423">
        <f t="shared" ref="AH128" si="159">AH127</f>
        <v>0</v>
      </c>
      <c r="AI128" s="423">
        <f t="shared" ref="AI128" si="160">AI127</f>
        <v>0</v>
      </c>
      <c r="AJ128" s="423">
        <f t="shared" ref="AJ128" si="161">AJ127</f>
        <v>0</v>
      </c>
      <c r="AK128" s="423">
        <f t="shared" ref="AK128" si="162">AK127</f>
        <v>0</v>
      </c>
      <c r="AL128" s="423">
        <f t="shared" ref="AL128" si="163">AL127</f>
        <v>0</v>
      </c>
      <c r="AM128" s="319"/>
    </row>
    <row r="129" spans="1:39" ht="15" outlineLevel="1">
      <c r="B129" s="307"/>
      <c r="C129" s="304"/>
      <c r="D129" s="763"/>
      <c r="E129" s="763"/>
      <c r="F129" s="763"/>
      <c r="G129" s="763"/>
      <c r="H129" s="763"/>
      <c r="I129" s="763"/>
      <c r="J129" s="763"/>
      <c r="K129" s="763"/>
      <c r="L129" s="763"/>
      <c r="M129" s="763"/>
      <c r="N129" s="763"/>
      <c r="O129" s="763"/>
      <c r="P129" s="763"/>
      <c r="Q129" s="763"/>
      <c r="R129" s="763"/>
      <c r="S129" s="763"/>
      <c r="T129" s="763"/>
      <c r="U129" s="763"/>
      <c r="V129" s="763"/>
      <c r="W129" s="763"/>
      <c r="X129" s="763"/>
      <c r="Y129" s="774"/>
      <c r="Z129" s="793"/>
      <c r="AA129" s="793"/>
      <c r="AB129" s="793"/>
      <c r="AC129" s="793"/>
      <c r="AD129" s="793"/>
      <c r="AE129" s="793"/>
      <c r="AF129" s="793"/>
      <c r="AG129" s="435"/>
      <c r="AH129" s="435"/>
      <c r="AI129" s="435"/>
      <c r="AJ129" s="435"/>
      <c r="AK129" s="435"/>
      <c r="AL129" s="435"/>
      <c r="AM129" s="319"/>
    </row>
    <row r="130" spans="1:39" ht="30" outlineLevel="1">
      <c r="A130" s="529">
        <v>29</v>
      </c>
      <c r="B130" s="527" t="s">
        <v>121</v>
      </c>
      <c r="C130" s="304" t="s">
        <v>25</v>
      </c>
      <c r="D130" s="308"/>
      <c r="E130" s="308"/>
      <c r="F130" s="308"/>
      <c r="G130" s="308"/>
      <c r="H130" s="308"/>
      <c r="I130" s="308"/>
      <c r="J130" s="308"/>
      <c r="K130" s="308"/>
      <c r="L130" s="308"/>
      <c r="M130" s="308"/>
      <c r="N130" s="308">
        <v>3</v>
      </c>
      <c r="O130" s="308"/>
      <c r="P130" s="308"/>
      <c r="Q130" s="308"/>
      <c r="R130" s="308"/>
      <c r="S130" s="308"/>
      <c r="T130" s="308"/>
      <c r="U130" s="308"/>
      <c r="V130" s="308"/>
      <c r="W130" s="308"/>
      <c r="X130" s="308"/>
      <c r="Y130" s="789"/>
      <c r="Z130" s="772"/>
      <c r="AA130" s="772"/>
      <c r="AB130" s="772"/>
      <c r="AC130" s="772"/>
      <c r="AD130" s="772"/>
      <c r="AE130" s="772"/>
      <c r="AF130" s="777"/>
      <c r="AG130" s="427"/>
      <c r="AH130" s="427"/>
      <c r="AI130" s="427"/>
      <c r="AJ130" s="427"/>
      <c r="AK130" s="427"/>
      <c r="AL130" s="427"/>
      <c r="AM130" s="309">
        <f>SUM(Y130:AL130)</f>
        <v>0</v>
      </c>
    </row>
    <row r="131" spans="1:39" ht="15" outlineLevel="1">
      <c r="B131" s="307" t="s">
        <v>267</v>
      </c>
      <c r="C131" s="304" t="s">
        <v>163</v>
      </c>
      <c r="D131" s="308"/>
      <c r="E131" s="308"/>
      <c r="F131" s="308"/>
      <c r="G131" s="308"/>
      <c r="H131" s="308"/>
      <c r="I131" s="308"/>
      <c r="J131" s="308"/>
      <c r="K131" s="308"/>
      <c r="L131" s="308"/>
      <c r="M131" s="308"/>
      <c r="N131" s="308">
        <f>N130</f>
        <v>3</v>
      </c>
      <c r="O131" s="308"/>
      <c r="P131" s="308"/>
      <c r="Q131" s="308"/>
      <c r="R131" s="308"/>
      <c r="S131" s="308"/>
      <c r="T131" s="308"/>
      <c r="U131" s="308"/>
      <c r="V131" s="308"/>
      <c r="W131" s="308"/>
      <c r="X131" s="308"/>
      <c r="Y131" s="773">
        <f>Y130</f>
        <v>0</v>
      </c>
      <c r="Z131" s="773">
        <f t="shared" ref="Z131:AF131" si="164">Z130</f>
        <v>0</v>
      </c>
      <c r="AA131" s="773">
        <f t="shared" si="164"/>
        <v>0</v>
      </c>
      <c r="AB131" s="773">
        <f t="shared" si="164"/>
        <v>0</v>
      </c>
      <c r="AC131" s="773">
        <f t="shared" si="164"/>
        <v>0</v>
      </c>
      <c r="AD131" s="773">
        <f t="shared" si="164"/>
        <v>0</v>
      </c>
      <c r="AE131" s="773">
        <f t="shared" si="164"/>
        <v>0</v>
      </c>
      <c r="AF131" s="773">
        <f t="shared" si="164"/>
        <v>0</v>
      </c>
      <c r="AG131" s="423">
        <f t="shared" ref="AG131" si="165">AG130</f>
        <v>0</v>
      </c>
      <c r="AH131" s="423">
        <f t="shared" ref="AH131" si="166">AH130</f>
        <v>0</v>
      </c>
      <c r="AI131" s="423">
        <f t="shared" ref="AI131" si="167">AI130</f>
        <v>0</v>
      </c>
      <c r="AJ131" s="423">
        <f t="shared" ref="AJ131" si="168">AJ130</f>
        <v>0</v>
      </c>
      <c r="AK131" s="423">
        <f t="shared" ref="AK131" si="169">AK130</f>
        <v>0</v>
      </c>
      <c r="AL131" s="423">
        <f t="shared" ref="AL131" si="170">AL130</f>
        <v>0</v>
      </c>
      <c r="AM131" s="319"/>
    </row>
    <row r="132" spans="1:39" ht="15" outlineLevel="1">
      <c r="B132" s="307"/>
      <c r="C132" s="304"/>
      <c r="D132" s="763"/>
      <c r="E132" s="763"/>
      <c r="F132" s="763"/>
      <c r="G132" s="763"/>
      <c r="H132" s="763"/>
      <c r="I132" s="763"/>
      <c r="J132" s="763"/>
      <c r="K132" s="763"/>
      <c r="L132" s="763"/>
      <c r="M132" s="763"/>
      <c r="N132" s="763"/>
      <c r="O132" s="763"/>
      <c r="P132" s="763"/>
      <c r="Q132" s="763"/>
      <c r="R132" s="763"/>
      <c r="S132" s="763"/>
      <c r="T132" s="763"/>
      <c r="U132" s="763"/>
      <c r="V132" s="763"/>
      <c r="W132" s="763"/>
      <c r="X132" s="763"/>
      <c r="Y132" s="774"/>
      <c r="Z132" s="793"/>
      <c r="AA132" s="793"/>
      <c r="AB132" s="793"/>
      <c r="AC132" s="793"/>
      <c r="AD132" s="793"/>
      <c r="AE132" s="793"/>
      <c r="AF132" s="793"/>
      <c r="AG132" s="435"/>
      <c r="AH132" s="435"/>
      <c r="AI132" s="435"/>
      <c r="AJ132" s="435"/>
      <c r="AK132" s="435"/>
      <c r="AL132" s="435"/>
      <c r="AM132" s="319"/>
    </row>
    <row r="133" spans="1:39" ht="30" outlineLevel="1">
      <c r="A133" s="529">
        <v>30</v>
      </c>
      <c r="B133" s="527" t="s">
        <v>122</v>
      </c>
      <c r="C133" s="304" t="s">
        <v>25</v>
      </c>
      <c r="D133" s="308"/>
      <c r="E133" s="308"/>
      <c r="F133" s="308"/>
      <c r="G133" s="308"/>
      <c r="H133" s="308"/>
      <c r="I133" s="308"/>
      <c r="J133" s="308"/>
      <c r="K133" s="308"/>
      <c r="L133" s="308"/>
      <c r="M133" s="308"/>
      <c r="N133" s="308">
        <v>12</v>
      </c>
      <c r="O133" s="308"/>
      <c r="P133" s="308"/>
      <c r="Q133" s="308"/>
      <c r="R133" s="308"/>
      <c r="S133" s="308"/>
      <c r="T133" s="308"/>
      <c r="U133" s="308"/>
      <c r="V133" s="308"/>
      <c r="W133" s="308"/>
      <c r="X133" s="308"/>
      <c r="Y133" s="789"/>
      <c r="Z133" s="772"/>
      <c r="AA133" s="772"/>
      <c r="AB133" s="772"/>
      <c r="AC133" s="772"/>
      <c r="AD133" s="772"/>
      <c r="AE133" s="772"/>
      <c r="AF133" s="777"/>
      <c r="AG133" s="427"/>
      <c r="AH133" s="427"/>
      <c r="AI133" s="427"/>
      <c r="AJ133" s="427"/>
      <c r="AK133" s="427"/>
      <c r="AL133" s="427"/>
      <c r="AM133" s="309">
        <f>SUM(Y133:AL133)</f>
        <v>0</v>
      </c>
    </row>
    <row r="134" spans="1:39" ht="15" outlineLevel="1">
      <c r="B134" s="307" t="s">
        <v>267</v>
      </c>
      <c r="C134" s="304" t="s">
        <v>163</v>
      </c>
      <c r="D134" s="308"/>
      <c r="E134" s="308"/>
      <c r="F134" s="308"/>
      <c r="G134" s="308"/>
      <c r="H134" s="308"/>
      <c r="I134" s="308"/>
      <c r="J134" s="308"/>
      <c r="K134" s="308"/>
      <c r="L134" s="308"/>
      <c r="M134" s="308"/>
      <c r="N134" s="308">
        <f>N133</f>
        <v>12</v>
      </c>
      <c r="O134" s="308"/>
      <c r="P134" s="308"/>
      <c r="Q134" s="308"/>
      <c r="R134" s="308"/>
      <c r="S134" s="308"/>
      <c r="T134" s="308"/>
      <c r="U134" s="308"/>
      <c r="V134" s="308"/>
      <c r="W134" s="308"/>
      <c r="X134" s="308"/>
      <c r="Y134" s="773">
        <f>Y133</f>
        <v>0</v>
      </c>
      <c r="Z134" s="773">
        <f t="shared" ref="Z134:AF134" si="171">Z133</f>
        <v>0</v>
      </c>
      <c r="AA134" s="773">
        <f t="shared" si="171"/>
        <v>0</v>
      </c>
      <c r="AB134" s="773">
        <f t="shared" si="171"/>
        <v>0</v>
      </c>
      <c r="AC134" s="773">
        <f t="shared" si="171"/>
        <v>0</v>
      </c>
      <c r="AD134" s="773">
        <f t="shared" si="171"/>
        <v>0</v>
      </c>
      <c r="AE134" s="773">
        <f t="shared" si="171"/>
        <v>0</v>
      </c>
      <c r="AF134" s="773">
        <f t="shared" si="171"/>
        <v>0</v>
      </c>
      <c r="AG134" s="423">
        <f t="shared" ref="AG134" si="172">AG133</f>
        <v>0</v>
      </c>
      <c r="AH134" s="423">
        <f t="shared" ref="AH134" si="173">AH133</f>
        <v>0</v>
      </c>
      <c r="AI134" s="423">
        <f t="shared" ref="AI134" si="174">AI133</f>
        <v>0</v>
      </c>
      <c r="AJ134" s="423">
        <f t="shared" ref="AJ134" si="175">AJ133</f>
        <v>0</v>
      </c>
      <c r="AK134" s="423">
        <f t="shared" ref="AK134" si="176">AK133</f>
        <v>0</v>
      </c>
      <c r="AL134" s="423">
        <f t="shared" ref="AL134" si="177">AL133</f>
        <v>0</v>
      </c>
      <c r="AM134" s="319"/>
    </row>
    <row r="135" spans="1:39" ht="15" outlineLevel="1">
      <c r="B135" s="307"/>
      <c r="C135" s="304"/>
      <c r="D135" s="763"/>
      <c r="E135" s="763"/>
      <c r="F135" s="763"/>
      <c r="G135" s="763"/>
      <c r="H135" s="763"/>
      <c r="I135" s="763"/>
      <c r="J135" s="763"/>
      <c r="K135" s="763"/>
      <c r="L135" s="763"/>
      <c r="M135" s="763"/>
      <c r="N135" s="763"/>
      <c r="O135" s="763"/>
      <c r="P135" s="763"/>
      <c r="Q135" s="763"/>
      <c r="R135" s="763"/>
      <c r="S135" s="763"/>
      <c r="T135" s="763"/>
      <c r="U135" s="763"/>
      <c r="V135" s="763"/>
      <c r="W135" s="763"/>
      <c r="X135" s="763"/>
      <c r="Y135" s="774"/>
      <c r="Z135" s="793"/>
      <c r="AA135" s="793"/>
      <c r="AB135" s="793"/>
      <c r="AC135" s="793"/>
      <c r="AD135" s="793"/>
      <c r="AE135" s="793"/>
      <c r="AF135" s="793"/>
      <c r="AG135" s="435"/>
      <c r="AH135" s="435"/>
      <c r="AI135" s="435"/>
      <c r="AJ135" s="435"/>
      <c r="AK135" s="435"/>
      <c r="AL135" s="435"/>
      <c r="AM135" s="319"/>
    </row>
    <row r="136" spans="1:39" ht="30" outlineLevel="1">
      <c r="A136" s="529">
        <v>31</v>
      </c>
      <c r="B136" s="527" t="s">
        <v>123</v>
      </c>
      <c r="C136" s="304" t="s">
        <v>25</v>
      </c>
      <c r="D136" s="308"/>
      <c r="E136" s="308"/>
      <c r="F136" s="308"/>
      <c r="G136" s="308"/>
      <c r="H136" s="308"/>
      <c r="I136" s="308"/>
      <c r="J136" s="308"/>
      <c r="K136" s="308"/>
      <c r="L136" s="308"/>
      <c r="M136" s="308"/>
      <c r="N136" s="308">
        <v>12</v>
      </c>
      <c r="O136" s="308"/>
      <c r="P136" s="308"/>
      <c r="Q136" s="308"/>
      <c r="R136" s="308"/>
      <c r="S136" s="308"/>
      <c r="T136" s="308"/>
      <c r="U136" s="308"/>
      <c r="V136" s="308"/>
      <c r="W136" s="308"/>
      <c r="X136" s="308"/>
      <c r="Y136" s="789"/>
      <c r="Z136" s="772"/>
      <c r="AA136" s="772"/>
      <c r="AB136" s="772"/>
      <c r="AC136" s="772"/>
      <c r="AD136" s="772"/>
      <c r="AE136" s="772"/>
      <c r="AF136" s="777"/>
      <c r="AG136" s="427"/>
      <c r="AH136" s="427"/>
      <c r="AI136" s="427"/>
      <c r="AJ136" s="427"/>
      <c r="AK136" s="427"/>
      <c r="AL136" s="427"/>
      <c r="AM136" s="309">
        <f>SUM(Y136:AL136)</f>
        <v>0</v>
      </c>
    </row>
    <row r="137" spans="1:39" ht="15" outlineLevel="1">
      <c r="B137" s="307" t="s">
        <v>267</v>
      </c>
      <c r="C137" s="304" t="s">
        <v>163</v>
      </c>
      <c r="D137" s="308"/>
      <c r="E137" s="308"/>
      <c r="F137" s="308"/>
      <c r="G137" s="308"/>
      <c r="H137" s="308"/>
      <c r="I137" s="308"/>
      <c r="J137" s="308"/>
      <c r="K137" s="308"/>
      <c r="L137" s="308"/>
      <c r="M137" s="308"/>
      <c r="N137" s="308">
        <f>N136</f>
        <v>12</v>
      </c>
      <c r="O137" s="308"/>
      <c r="P137" s="308"/>
      <c r="Q137" s="308"/>
      <c r="R137" s="308"/>
      <c r="S137" s="308"/>
      <c r="T137" s="308"/>
      <c r="U137" s="308"/>
      <c r="V137" s="308"/>
      <c r="W137" s="308"/>
      <c r="X137" s="308"/>
      <c r="Y137" s="773">
        <f>Y136</f>
        <v>0</v>
      </c>
      <c r="Z137" s="773">
        <f t="shared" ref="Z137:AF137" si="178">Z136</f>
        <v>0</v>
      </c>
      <c r="AA137" s="773">
        <f t="shared" si="178"/>
        <v>0</v>
      </c>
      <c r="AB137" s="773">
        <f t="shared" si="178"/>
        <v>0</v>
      </c>
      <c r="AC137" s="773">
        <f t="shared" si="178"/>
        <v>0</v>
      </c>
      <c r="AD137" s="773">
        <f t="shared" si="178"/>
        <v>0</v>
      </c>
      <c r="AE137" s="773">
        <f t="shared" si="178"/>
        <v>0</v>
      </c>
      <c r="AF137" s="773">
        <f t="shared" si="178"/>
        <v>0</v>
      </c>
      <c r="AG137" s="423">
        <f t="shared" ref="AG137" si="179">AG136</f>
        <v>0</v>
      </c>
      <c r="AH137" s="423">
        <f t="shared" ref="AH137" si="180">AH136</f>
        <v>0</v>
      </c>
      <c r="AI137" s="423">
        <f t="shared" ref="AI137" si="181">AI136</f>
        <v>0</v>
      </c>
      <c r="AJ137" s="423">
        <f t="shared" ref="AJ137" si="182">AJ136</f>
        <v>0</v>
      </c>
      <c r="AK137" s="423">
        <f t="shared" ref="AK137" si="183">AK136</f>
        <v>0</v>
      </c>
      <c r="AL137" s="423">
        <f t="shared" ref="AL137" si="184">AL136</f>
        <v>0</v>
      </c>
      <c r="AM137" s="319"/>
    </row>
    <row r="138" spans="1:39" ht="15" outlineLevel="1">
      <c r="B138" s="527"/>
      <c r="C138" s="304"/>
      <c r="D138" s="763"/>
      <c r="E138" s="763"/>
      <c r="F138" s="763"/>
      <c r="G138" s="763"/>
      <c r="H138" s="763"/>
      <c r="I138" s="763"/>
      <c r="J138" s="763"/>
      <c r="K138" s="763"/>
      <c r="L138" s="763"/>
      <c r="M138" s="763"/>
      <c r="N138" s="763"/>
      <c r="O138" s="763"/>
      <c r="P138" s="763"/>
      <c r="Q138" s="763"/>
      <c r="R138" s="763"/>
      <c r="S138" s="763"/>
      <c r="T138" s="763"/>
      <c r="U138" s="763"/>
      <c r="V138" s="763"/>
      <c r="W138" s="763"/>
      <c r="X138" s="763"/>
      <c r="Y138" s="774"/>
      <c r="Z138" s="793"/>
      <c r="AA138" s="793"/>
      <c r="AB138" s="793"/>
      <c r="AC138" s="793"/>
      <c r="AD138" s="793"/>
      <c r="AE138" s="793"/>
      <c r="AF138" s="793"/>
      <c r="AG138" s="435"/>
      <c r="AH138" s="435"/>
      <c r="AI138" s="435"/>
      <c r="AJ138" s="435"/>
      <c r="AK138" s="435"/>
      <c r="AL138" s="435"/>
      <c r="AM138" s="319"/>
    </row>
    <row r="139" spans="1:39" ht="15.75" customHeight="1" outlineLevel="1">
      <c r="A139" s="529">
        <v>32</v>
      </c>
      <c r="B139" s="527" t="s">
        <v>124</v>
      </c>
      <c r="C139" s="304" t="s">
        <v>25</v>
      </c>
      <c r="D139" s="308"/>
      <c r="E139" s="308"/>
      <c r="F139" s="308"/>
      <c r="G139" s="308"/>
      <c r="H139" s="308"/>
      <c r="I139" s="308"/>
      <c r="J139" s="308"/>
      <c r="K139" s="308"/>
      <c r="L139" s="308"/>
      <c r="M139" s="308"/>
      <c r="N139" s="308">
        <v>12</v>
      </c>
      <c r="O139" s="308"/>
      <c r="P139" s="308"/>
      <c r="Q139" s="308"/>
      <c r="R139" s="308"/>
      <c r="S139" s="308"/>
      <c r="T139" s="308"/>
      <c r="U139" s="308"/>
      <c r="V139" s="308"/>
      <c r="W139" s="308"/>
      <c r="X139" s="308"/>
      <c r="Y139" s="789"/>
      <c r="Z139" s="772"/>
      <c r="AA139" s="772"/>
      <c r="AB139" s="772"/>
      <c r="AC139" s="772"/>
      <c r="AD139" s="772"/>
      <c r="AE139" s="772"/>
      <c r="AF139" s="777"/>
      <c r="AG139" s="427"/>
      <c r="AH139" s="427"/>
      <c r="AI139" s="427"/>
      <c r="AJ139" s="427"/>
      <c r="AK139" s="427"/>
      <c r="AL139" s="427"/>
      <c r="AM139" s="309">
        <f>SUM(Y139:AL139)</f>
        <v>0</v>
      </c>
    </row>
    <row r="140" spans="1:39" ht="15" outlineLevel="1">
      <c r="B140" s="307" t="s">
        <v>267</v>
      </c>
      <c r="C140" s="304" t="s">
        <v>163</v>
      </c>
      <c r="D140" s="308"/>
      <c r="E140" s="308"/>
      <c r="F140" s="308"/>
      <c r="G140" s="308"/>
      <c r="H140" s="308"/>
      <c r="I140" s="308"/>
      <c r="J140" s="308"/>
      <c r="K140" s="308"/>
      <c r="L140" s="308"/>
      <c r="M140" s="308"/>
      <c r="N140" s="308">
        <f>N139</f>
        <v>12</v>
      </c>
      <c r="O140" s="308"/>
      <c r="P140" s="308"/>
      <c r="Q140" s="308"/>
      <c r="R140" s="308"/>
      <c r="S140" s="308"/>
      <c r="T140" s="308"/>
      <c r="U140" s="308"/>
      <c r="V140" s="308"/>
      <c r="W140" s="308"/>
      <c r="X140" s="308"/>
      <c r="Y140" s="773">
        <f>Y139</f>
        <v>0</v>
      </c>
      <c r="Z140" s="773">
        <f t="shared" ref="Z140:AF140" si="185">Z139</f>
        <v>0</v>
      </c>
      <c r="AA140" s="773">
        <f t="shared" si="185"/>
        <v>0</v>
      </c>
      <c r="AB140" s="773">
        <f t="shared" si="185"/>
        <v>0</v>
      </c>
      <c r="AC140" s="773">
        <f t="shared" si="185"/>
        <v>0</v>
      </c>
      <c r="AD140" s="773">
        <f t="shared" si="185"/>
        <v>0</v>
      </c>
      <c r="AE140" s="773">
        <f t="shared" si="185"/>
        <v>0</v>
      </c>
      <c r="AF140" s="773">
        <f t="shared" si="185"/>
        <v>0</v>
      </c>
      <c r="AG140" s="423">
        <f t="shared" ref="AG140" si="186">AG139</f>
        <v>0</v>
      </c>
      <c r="AH140" s="423">
        <f t="shared" ref="AH140" si="187">AH139</f>
        <v>0</v>
      </c>
      <c r="AI140" s="423">
        <f t="shared" ref="AI140" si="188">AI139</f>
        <v>0</v>
      </c>
      <c r="AJ140" s="423">
        <f t="shared" ref="AJ140" si="189">AJ139</f>
        <v>0</v>
      </c>
      <c r="AK140" s="423">
        <f t="shared" ref="AK140" si="190">AK139</f>
        <v>0</v>
      </c>
      <c r="AL140" s="423">
        <f t="shared" ref="AL140" si="191">AL139</f>
        <v>0</v>
      </c>
      <c r="AM140" s="319"/>
    </row>
    <row r="141" spans="1:39" ht="15" outlineLevel="1">
      <c r="B141" s="527"/>
      <c r="C141" s="304"/>
      <c r="D141" s="763"/>
      <c r="E141" s="763"/>
      <c r="F141" s="763"/>
      <c r="G141" s="763"/>
      <c r="H141" s="763"/>
      <c r="I141" s="763"/>
      <c r="J141" s="763"/>
      <c r="K141" s="763"/>
      <c r="L141" s="763"/>
      <c r="M141" s="763"/>
      <c r="N141" s="763"/>
      <c r="O141" s="763"/>
      <c r="P141" s="763"/>
      <c r="Q141" s="763"/>
      <c r="R141" s="763"/>
      <c r="S141" s="763"/>
      <c r="T141" s="763"/>
      <c r="U141" s="763"/>
      <c r="V141" s="763"/>
      <c r="W141" s="763"/>
      <c r="X141" s="763"/>
      <c r="Y141" s="774"/>
      <c r="Z141" s="793"/>
      <c r="AA141" s="793"/>
      <c r="AB141" s="793"/>
      <c r="AC141" s="793"/>
      <c r="AD141" s="793"/>
      <c r="AE141" s="793"/>
      <c r="AF141" s="793"/>
      <c r="AG141" s="435"/>
      <c r="AH141" s="435"/>
      <c r="AI141" s="435"/>
      <c r="AJ141" s="435"/>
      <c r="AK141" s="435"/>
      <c r="AL141" s="435"/>
      <c r="AM141" s="319"/>
    </row>
    <row r="142" spans="1:39" ht="15.6" outlineLevel="1">
      <c r="B142" s="301" t="s">
        <v>500</v>
      </c>
      <c r="C142" s="304"/>
      <c r="D142" s="763"/>
      <c r="E142" s="763"/>
      <c r="F142" s="763"/>
      <c r="G142" s="763"/>
      <c r="H142" s="763"/>
      <c r="I142" s="763"/>
      <c r="J142" s="763"/>
      <c r="K142" s="763"/>
      <c r="L142" s="763"/>
      <c r="M142" s="763"/>
      <c r="N142" s="763"/>
      <c r="O142" s="763"/>
      <c r="P142" s="763"/>
      <c r="Q142" s="763"/>
      <c r="R142" s="763"/>
      <c r="S142" s="763"/>
      <c r="T142" s="763"/>
      <c r="U142" s="763"/>
      <c r="V142" s="763"/>
      <c r="W142" s="763"/>
      <c r="X142" s="763"/>
      <c r="Y142" s="774"/>
      <c r="Z142" s="793"/>
      <c r="AA142" s="793"/>
      <c r="AB142" s="793"/>
      <c r="AC142" s="793"/>
      <c r="AD142" s="793"/>
      <c r="AE142" s="793"/>
      <c r="AF142" s="793"/>
      <c r="AG142" s="435"/>
      <c r="AH142" s="435"/>
      <c r="AI142" s="435"/>
      <c r="AJ142" s="435"/>
      <c r="AK142" s="435"/>
      <c r="AL142" s="435"/>
      <c r="AM142" s="319"/>
    </row>
    <row r="143" spans="1:39" ht="15" outlineLevel="1">
      <c r="A143" s="529">
        <v>33</v>
      </c>
      <c r="B143" s="527" t="s">
        <v>125</v>
      </c>
      <c r="C143" s="304" t="s">
        <v>25</v>
      </c>
      <c r="D143" s="308"/>
      <c r="E143" s="308"/>
      <c r="F143" s="308"/>
      <c r="G143" s="308"/>
      <c r="H143" s="308"/>
      <c r="I143" s="308"/>
      <c r="J143" s="308"/>
      <c r="K143" s="308"/>
      <c r="L143" s="308"/>
      <c r="M143" s="308"/>
      <c r="N143" s="308">
        <v>0</v>
      </c>
      <c r="O143" s="308"/>
      <c r="P143" s="308"/>
      <c r="Q143" s="308"/>
      <c r="R143" s="308"/>
      <c r="S143" s="308"/>
      <c r="T143" s="308"/>
      <c r="U143" s="308"/>
      <c r="V143" s="308"/>
      <c r="W143" s="308"/>
      <c r="X143" s="308"/>
      <c r="Y143" s="789"/>
      <c r="Z143" s="772"/>
      <c r="AA143" s="772"/>
      <c r="AB143" s="772"/>
      <c r="AC143" s="772"/>
      <c r="AD143" s="772"/>
      <c r="AE143" s="772"/>
      <c r="AF143" s="777"/>
      <c r="AG143" s="427"/>
      <c r="AH143" s="427"/>
      <c r="AI143" s="427"/>
      <c r="AJ143" s="427"/>
      <c r="AK143" s="427"/>
      <c r="AL143" s="427"/>
      <c r="AM143" s="309">
        <f>SUM(Y143:AL143)</f>
        <v>0</v>
      </c>
    </row>
    <row r="144" spans="1:39" ht="15" outlineLevel="1">
      <c r="B144" s="307" t="s">
        <v>267</v>
      </c>
      <c r="C144" s="304" t="s">
        <v>163</v>
      </c>
      <c r="D144" s="308"/>
      <c r="E144" s="308"/>
      <c r="F144" s="308"/>
      <c r="G144" s="308"/>
      <c r="H144" s="308"/>
      <c r="I144" s="308"/>
      <c r="J144" s="308"/>
      <c r="K144" s="308"/>
      <c r="L144" s="308"/>
      <c r="M144" s="308"/>
      <c r="N144" s="308">
        <f>N143</f>
        <v>0</v>
      </c>
      <c r="O144" s="308"/>
      <c r="P144" s="308"/>
      <c r="Q144" s="308"/>
      <c r="R144" s="308"/>
      <c r="S144" s="308"/>
      <c r="T144" s="308"/>
      <c r="U144" s="308"/>
      <c r="V144" s="308"/>
      <c r="W144" s="308"/>
      <c r="X144" s="308"/>
      <c r="Y144" s="773">
        <f>Y143</f>
        <v>0</v>
      </c>
      <c r="Z144" s="773">
        <f t="shared" ref="Z144:AF144" si="192">Z143</f>
        <v>0</v>
      </c>
      <c r="AA144" s="773">
        <f t="shared" si="192"/>
        <v>0</v>
      </c>
      <c r="AB144" s="773">
        <f t="shared" si="192"/>
        <v>0</v>
      </c>
      <c r="AC144" s="773">
        <f t="shared" si="192"/>
        <v>0</v>
      </c>
      <c r="AD144" s="773">
        <f t="shared" si="192"/>
        <v>0</v>
      </c>
      <c r="AE144" s="773">
        <f t="shared" si="192"/>
        <v>0</v>
      </c>
      <c r="AF144" s="773">
        <f t="shared" si="192"/>
        <v>0</v>
      </c>
      <c r="AG144" s="423">
        <f t="shared" ref="AG144" si="193">AG143</f>
        <v>0</v>
      </c>
      <c r="AH144" s="423">
        <f t="shared" ref="AH144" si="194">AH143</f>
        <v>0</v>
      </c>
      <c r="AI144" s="423">
        <f t="shared" ref="AI144" si="195">AI143</f>
        <v>0</v>
      </c>
      <c r="AJ144" s="423">
        <f t="shared" ref="AJ144" si="196">AJ143</f>
        <v>0</v>
      </c>
      <c r="AK144" s="423">
        <f t="shared" ref="AK144" si="197">AK143</f>
        <v>0</v>
      </c>
      <c r="AL144" s="423">
        <f t="shared" ref="AL144" si="198">AL143</f>
        <v>0</v>
      </c>
      <c r="AM144" s="319"/>
    </row>
    <row r="145" spans="1:39" ht="15" outlineLevel="1">
      <c r="B145" s="527"/>
      <c r="C145" s="304"/>
      <c r="D145" s="763"/>
      <c r="E145" s="763"/>
      <c r="F145" s="763"/>
      <c r="G145" s="763"/>
      <c r="H145" s="763"/>
      <c r="I145" s="763"/>
      <c r="J145" s="763"/>
      <c r="K145" s="763"/>
      <c r="L145" s="763"/>
      <c r="M145" s="763"/>
      <c r="N145" s="763"/>
      <c r="O145" s="763"/>
      <c r="P145" s="763"/>
      <c r="Q145" s="763"/>
      <c r="R145" s="763"/>
      <c r="S145" s="763"/>
      <c r="T145" s="763"/>
      <c r="U145" s="763"/>
      <c r="V145" s="763"/>
      <c r="W145" s="763"/>
      <c r="X145" s="763"/>
      <c r="Y145" s="774"/>
      <c r="Z145" s="793"/>
      <c r="AA145" s="793"/>
      <c r="AB145" s="793"/>
      <c r="AC145" s="793"/>
      <c r="AD145" s="793"/>
      <c r="AE145" s="793"/>
      <c r="AF145" s="793"/>
      <c r="AG145" s="435"/>
      <c r="AH145" s="435"/>
      <c r="AI145" s="435"/>
      <c r="AJ145" s="435"/>
      <c r="AK145" s="435"/>
      <c r="AL145" s="435"/>
      <c r="AM145" s="319"/>
    </row>
    <row r="146" spans="1:39" ht="15" outlineLevel="1">
      <c r="A146" s="529">
        <v>34</v>
      </c>
      <c r="B146" s="527" t="s">
        <v>126</v>
      </c>
      <c r="C146" s="304" t="s">
        <v>25</v>
      </c>
      <c r="D146" s="308"/>
      <c r="E146" s="308"/>
      <c r="F146" s="308"/>
      <c r="G146" s="308"/>
      <c r="H146" s="308"/>
      <c r="I146" s="308"/>
      <c r="J146" s="308"/>
      <c r="K146" s="308"/>
      <c r="L146" s="308"/>
      <c r="M146" s="308"/>
      <c r="N146" s="308">
        <v>0</v>
      </c>
      <c r="O146" s="308"/>
      <c r="P146" s="308"/>
      <c r="Q146" s="308"/>
      <c r="R146" s="308"/>
      <c r="S146" s="308"/>
      <c r="T146" s="308"/>
      <c r="U146" s="308"/>
      <c r="V146" s="308"/>
      <c r="W146" s="308"/>
      <c r="X146" s="308"/>
      <c r="Y146" s="789"/>
      <c r="Z146" s="772"/>
      <c r="AA146" s="772"/>
      <c r="AB146" s="772"/>
      <c r="AC146" s="772"/>
      <c r="AD146" s="772"/>
      <c r="AE146" s="772"/>
      <c r="AF146" s="777"/>
      <c r="AG146" s="427"/>
      <c r="AH146" s="427"/>
      <c r="AI146" s="427"/>
      <c r="AJ146" s="427"/>
      <c r="AK146" s="427"/>
      <c r="AL146" s="427"/>
      <c r="AM146" s="309">
        <f>SUM(Y146:AL146)</f>
        <v>0</v>
      </c>
    </row>
    <row r="147" spans="1:39" ht="15" outlineLevel="1">
      <c r="B147" s="307" t="s">
        <v>267</v>
      </c>
      <c r="C147" s="304" t="s">
        <v>163</v>
      </c>
      <c r="D147" s="308"/>
      <c r="E147" s="308"/>
      <c r="F147" s="308"/>
      <c r="G147" s="308"/>
      <c r="H147" s="308"/>
      <c r="I147" s="308"/>
      <c r="J147" s="308"/>
      <c r="K147" s="308"/>
      <c r="L147" s="308"/>
      <c r="M147" s="308"/>
      <c r="N147" s="308">
        <f>N146</f>
        <v>0</v>
      </c>
      <c r="O147" s="308"/>
      <c r="P147" s="308"/>
      <c r="Q147" s="308"/>
      <c r="R147" s="308"/>
      <c r="S147" s="308"/>
      <c r="T147" s="308"/>
      <c r="U147" s="308"/>
      <c r="V147" s="308"/>
      <c r="W147" s="308"/>
      <c r="X147" s="308"/>
      <c r="Y147" s="773">
        <f>Y146</f>
        <v>0</v>
      </c>
      <c r="Z147" s="773">
        <f t="shared" ref="Z147:AF147" si="199">Z146</f>
        <v>0</v>
      </c>
      <c r="AA147" s="773">
        <f t="shared" si="199"/>
        <v>0</v>
      </c>
      <c r="AB147" s="773">
        <f t="shared" si="199"/>
        <v>0</v>
      </c>
      <c r="AC147" s="773">
        <f t="shared" si="199"/>
        <v>0</v>
      </c>
      <c r="AD147" s="773">
        <f t="shared" si="199"/>
        <v>0</v>
      </c>
      <c r="AE147" s="773">
        <f t="shared" si="199"/>
        <v>0</v>
      </c>
      <c r="AF147" s="773">
        <f t="shared" si="199"/>
        <v>0</v>
      </c>
      <c r="AG147" s="423">
        <f t="shared" ref="AG147" si="200">AG146</f>
        <v>0</v>
      </c>
      <c r="AH147" s="423">
        <f t="shared" ref="AH147" si="201">AH146</f>
        <v>0</v>
      </c>
      <c r="AI147" s="423">
        <f t="shared" ref="AI147" si="202">AI146</f>
        <v>0</v>
      </c>
      <c r="AJ147" s="423">
        <f t="shared" ref="AJ147" si="203">AJ146</f>
        <v>0</v>
      </c>
      <c r="AK147" s="423">
        <f t="shared" ref="AK147" si="204">AK146</f>
        <v>0</v>
      </c>
      <c r="AL147" s="423">
        <f t="shared" ref="AL147" si="205">AL146</f>
        <v>0</v>
      </c>
      <c r="AM147" s="319"/>
    </row>
    <row r="148" spans="1:39" ht="15" outlineLevel="1">
      <c r="B148" s="527"/>
      <c r="C148" s="304"/>
      <c r="D148" s="763"/>
      <c r="E148" s="763"/>
      <c r="F148" s="763"/>
      <c r="G148" s="763"/>
      <c r="H148" s="763"/>
      <c r="I148" s="763"/>
      <c r="J148" s="763"/>
      <c r="K148" s="763"/>
      <c r="L148" s="763"/>
      <c r="M148" s="763"/>
      <c r="N148" s="763"/>
      <c r="O148" s="763"/>
      <c r="P148" s="763"/>
      <c r="Q148" s="763"/>
      <c r="R148" s="763"/>
      <c r="S148" s="763"/>
      <c r="T148" s="763"/>
      <c r="U148" s="763"/>
      <c r="V148" s="763"/>
      <c r="W148" s="763"/>
      <c r="X148" s="763"/>
      <c r="Y148" s="774"/>
      <c r="Z148" s="793"/>
      <c r="AA148" s="793"/>
      <c r="AB148" s="793"/>
      <c r="AC148" s="793"/>
      <c r="AD148" s="793"/>
      <c r="AE148" s="793"/>
      <c r="AF148" s="793"/>
      <c r="AG148" s="435"/>
      <c r="AH148" s="435"/>
      <c r="AI148" s="435"/>
      <c r="AJ148" s="435"/>
      <c r="AK148" s="435"/>
      <c r="AL148" s="435"/>
      <c r="AM148" s="319"/>
    </row>
    <row r="149" spans="1:39" ht="15" outlineLevel="1">
      <c r="A149" s="529">
        <v>35</v>
      </c>
      <c r="B149" s="527" t="s">
        <v>127</v>
      </c>
      <c r="C149" s="304" t="s">
        <v>25</v>
      </c>
      <c r="D149" s="308"/>
      <c r="E149" s="308"/>
      <c r="F149" s="308"/>
      <c r="G149" s="308"/>
      <c r="H149" s="308"/>
      <c r="I149" s="308"/>
      <c r="J149" s="308"/>
      <c r="K149" s="308"/>
      <c r="L149" s="308"/>
      <c r="M149" s="308"/>
      <c r="N149" s="308">
        <v>0</v>
      </c>
      <c r="O149" s="308"/>
      <c r="P149" s="308"/>
      <c r="Q149" s="308"/>
      <c r="R149" s="308"/>
      <c r="S149" s="308"/>
      <c r="T149" s="308"/>
      <c r="U149" s="308"/>
      <c r="V149" s="308"/>
      <c r="W149" s="308"/>
      <c r="X149" s="308"/>
      <c r="Y149" s="789"/>
      <c r="Z149" s="772"/>
      <c r="AA149" s="772"/>
      <c r="AB149" s="772"/>
      <c r="AC149" s="772"/>
      <c r="AD149" s="772"/>
      <c r="AE149" s="772"/>
      <c r="AF149" s="777"/>
      <c r="AG149" s="427"/>
      <c r="AH149" s="427"/>
      <c r="AI149" s="427"/>
      <c r="AJ149" s="427"/>
      <c r="AK149" s="427"/>
      <c r="AL149" s="427"/>
      <c r="AM149" s="309">
        <f>SUM(Y149:AL149)</f>
        <v>0</v>
      </c>
    </row>
    <row r="150" spans="1:39" ht="15" outlineLevel="1">
      <c r="B150" s="307" t="s">
        <v>267</v>
      </c>
      <c r="C150" s="304" t="s">
        <v>163</v>
      </c>
      <c r="D150" s="308"/>
      <c r="E150" s="308"/>
      <c r="F150" s="308"/>
      <c r="G150" s="308"/>
      <c r="H150" s="308"/>
      <c r="I150" s="308"/>
      <c r="J150" s="308"/>
      <c r="K150" s="308"/>
      <c r="L150" s="308"/>
      <c r="M150" s="308"/>
      <c r="N150" s="308">
        <f>N149</f>
        <v>0</v>
      </c>
      <c r="O150" s="308"/>
      <c r="P150" s="308"/>
      <c r="Q150" s="308"/>
      <c r="R150" s="308"/>
      <c r="S150" s="308"/>
      <c r="T150" s="308"/>
      <c r="U150" s="308"/>
      <c r="V150" s="308"/>
      <c r="W150" s="308"/>
      <c r="X150" s="308"/>
      <c r="Y150" s="773">
        <f>Y149</f>
        <v>0</v>
      </c>
      <c r="Z150" s="773">
        <f t="shared" ref="Z150:AF150" si="206">Z149</f>
        <v>0</v>
      </c>
      <c r="AA150" s="773">
        <f t="shared" si="206"/>
        <v>0</v>
      </c>
      <c r="AB150" s="773">
        <f t="shared" si="206"/>
        <v>0</v>
      </c>
      <c r="AC150" s="773">
        <f t="shared" si="206"/>
        <v>0</v>
      </c>
      <c r="AD150" s="773">
        <f t="shared" si="206"/>
        <v>0</v>
      </c>
      <c r="AE150" s="773">
        <f t="shared" si="206"/>
        <v>0</v>
      </c>
      <c r="AF150" s="773">
        <f t="shared" si="206"/>
        <v>0</v>
      </c>
      <c r="AG150" s="423">
        <f t="shared" ref="AG150" si="207">AG149</f>
        <v>0</v>
      </c>
      <c r="AH150" s="423">
        <f t="shared" ref="AH150" si="208">AH149</f>
        <v>0</v>
      </c>
      <c r="AI150" s="423">
        <f t="shared" ref="AI150" si="209">AI149</f>
        <v>0</v>
      </c>
      <c r="AJ150" s="423">
        <f t="shared" ref="AJ150" si="210">AJ149</f>
        <v>0</v>
      </c>
      <c r="AK150" s="423">
        <f t="shared" ref="AK150" si="211">AK149</f>
        <v>0</v>
      </c>
      <c r="AL150" s="423">
        <f t="shared" ref="AL150" si="212">AL149</f>
        <v>0</v>
      </c>
      <c r="AM150" s="319"/>
    </row>
    <row r="151" spans="1:39" ht="15" outlineLevel="1">
      <c r="B151" s="307"/>
      <c r="C151" s="304"/>
      <c r="D151" s="763"/>
      <c r="E151" s="763"/>
      <c r="F151" s="763"/>
      <c r="G151" s="763"/>
      <c r="H151" s="763"/>
      <c r="I151" s="763"/>
      <c r="J151" s="763"/>
      <c r="K151" s="763"/>
      <c r="L151" s="763"/>
      <c r="M151" s="763"/>
      <c r="N151" s="763"/>
      <c r="O151" s="763"/>
      <c r="P151" s="763"/>
      <c r="Q151" s="763"/>
      <c r="R151" s="763"/>
      <c r="S151" s="763"/>
      <c r="T151" s="763"/>
      <c r="U151" s="763"/>
      <c r="V151" s="763"/>
      <c r="W151" s="763"/>
      <c r="X151" s="763"/>
      <c r="Y151" s="774"/>
      <c r="Z151" s="793"/>
      <c r="AA151" s="793"/>
      <c r="AB151" s="793"/>
      <c r="AC151" s="793"/>
      <c r="AD151" s="793"/>
      <c r="AE151" s="793"/>
      <c r="AF151" s="793"/>
      <c r="AG151" s="435"/>
      <c r="AH151" s="435"/>
      <c r="AI151" s="435"/>
      <c r="AJ151" s="435"/>
      <c r="AK151" s="435"/>
      <c r="AL151" s="435"/>
      <c r="AM151" s="319"/>
    </row>
    <row r="152" spans="1:39" ht="15.6" outlineLevel="1">
      <c r="B152" s="301" t="s">
        <v>501</v>
      </c>
      <c r="C152" s="304"/>
      <c r="D152" s="763"/>
      <c r="E152" s="763"/>
      <c r="F152" s="763"/>
      <c r="G152" s="763"/>
      <c r="H152" s="763"/>
      <c r="I152" s="763"/>
      <c r="J152" s="763"/>
      <c r="K152" s="763"/>
      <c r="L152" s="763"/>
      <c r="M152" s="763"/>
      <c r="N152" s="763"/>
      <c r="O152" s="763"/>
      <c r="P152" s="763"/>
      <c r="Q152" s="763"/>
      <c r="R152" s="763"/>
      <c r="S152" s="763"/>
      <c r="T152" s="763"/>
      <c r="U152" s="763"/>
      <c r="V152" s="763"/>
      <c r="W152" s="763"/>
      <c r="X152" s="763"/>
      <c r="Y152" s="774"/>
      <c r="Z152" s="793"/>
      <c r="AA152" s="793"/>
      <c r="AB152" s="793"/>
      <c r="AC152" s="793"/>
      <c r="AD152" s="793"/>
      <c r="AE152" s="793"/>
      <c r="AF152" s="793"/>
      <c r="AG152" s="435"/>
      <c r="AH152" s="435"/>
      <c r="AI152" s="435"/>
      <c r="AJ152" s="435"/>
      <c r="AK152" s="435"/>
      <c r="AL152" s="435"/>
      <c r="AM152" s="319"/>
    </row>
    <row r="153" spans="1:39" ht="45" outlineLevel="1">
      <c r="A153" s="529">
        <v>36</v>
      </c>
      <c r="B153" s="527" t="s">
        <v>128</v>
      </c>
      <c r="C153" s="304" t="s">
        <v>25</v>
      </c>
      <c r="D153" s="308"/>
      <c r="E153" s="308"/>
      <c r="F153" s="308"/>
      <c r="G153" s="308"/>
      <c r="H153" s="308"/>
      <c r="I153" s="308"/>
      <c r="J153" s="308"/>
      <c r="K153" s="308"/>
      <c r="L153" s="308"/>
      <c r="M153" s="308"/>
      <c r="N153" s="308">
        <v>12</v>
      </c>
      <c r="O153" s="308"/>
      <c r="P153" s="308"/>
      <c r="Q153" s="308"/>
      <c r="R153" s="308"/>
      <c r="S153" s="308"/>
      <c r="T153" s="308"/>
      <c r="U153" s="308"/>
      <c r="V153" s="308"/>
      <c r="W153" s="308"/>
      <c r="X153" s="308"/>
      <c r="Y153" s="789"/>
      <c r="Z153" s="772"/>
      <c r="AA153" s="772"/>
      <c r="AB153" s="772"/>
      <c r="AC153" s="772"/>
      <c r="AD153" s="772"/>
      <c r="AE153" s="772"/>
      <c r="AF153" s="777"/>
      <c r="AG153" s="427"/>
      <c r="AH153" s="427"/>
      <c r="AI153" s="427"/>
      <c r="AJ153" s="427"/>
      <c r="AK153" s="427"/>
      <c r="AL153" s="427"/>
      <c r="AM153" s="309">
        <f>SUM(Y153:AL153)</f>
        <v>0</v>
      </c>
    </row>
    <row r="154" spans="1:39" ht="15" outlineLevel="1">
      <c r="B154" s="307" t="s">
        <v>267</v>
      </c>
      <c r="C154" s="304" t="s">
        <v>163</v>
      </c>
      <c r="D154" s="308"/>
      <c r="E154" s="308"/>
      <c r="F154" s="308"/>
      <c r="G154" s="308"/>
      <c r="H154" s="308"/>
      <c r="I154" s="308"/>
      <c r="J154" s="308"/>
      <c r="K154" s="308"/>
      <c r="L154" s="308"/>
      <c r="M154" s="308"/>
      <c r="N154" s="308">
        <f>N153</f>
        <v>12</v>
      </c>
      <c r="O154" s="308"/>
      <c r="P154" s="308"/>
      <c r="Q154" s="308"/>
      <c r="R154" s="308"/>
      <c r="S154" s="308"/>
      <c r="T154" s="308"/>
      <c r="U154" s="308"/>
      <c r="V154" s="308"/>
      <c r="W154" s="308"/>
      <c r="X154" s="308"/>
      <c r="Y154" s="773">
        <f>Y153</f>
        <v>0</v>
      </c>
      <c r="Z154" s="773">
        <f t="shared" ref="Z154:AF154" si="213">Z153</f>
        <v>0</v>
      </c>
      <c r="AA154" s="773">
        <f t="shared" si="213"/>
        <v>0</v>
      </c>
      <c r="AB154" s="773">
        <f t="shared" si="213"/>
        <v>0</v>
      </c>
      <c r="AC154" s="773">
        <f t="shared" si="213"/>
        <v>0</v>
      </c>
      <c r="AD154" s="773">
        <f t="shared" si="213"/>
        <v>0</v>
      </c>
      <c r="AE154" s="773">
        <f t="shared" si="213"/>
        <v>0</v>
      </c>
      <c r="AF154" s="773">
        <f t="shared" si="213"/>
        <v>0</v>
      </c>
      <c r="AG154" s="423">
        <f t="shared" ref="AG154" si="214">AG153</f>
        <v>0</v>
      </c>
      <c r="AH154" s="423">
        <f t="shared" ref="AH154" si="215">AH153</f>
        <v>0</v>
      </c>
      <c r="AI154" s="423">
        <f t="shared" ref="AI154" si="216">AI153</f>
        <v>0</v>
      </c>
      <c r="AJ154" s="423">
        <f t="shared" ref="AJ154" si="217">AJ153</f>
        <v>0</v>
      </c>
      <c r="AK154" s="423">
        <f t="shared" ref="AK154" si="218">AK153</f>
        <v>0</v>
      </c>
      <c r="AL154" s="423">
        <f t="shared" ref="AL154" si="219">AL153</f>
        <v>0</v>
      </c>
      <c r="AM154" s="319"/>
    </row>
    <row r="155" spans="1:39" ht="15" outlineLevel="1">
      <c r="B155" s="527"/>
      <c r="C155" s="304"/>
      <c r="D155" s="763"/>
      <c r="E155" s="763"/>
      <c r="F155" s="763"/>
      <c r="G155" s="763"/>
      <c r="H155" s="763"/>
      <c r="I155" s="763"/>
      <c r="J155" s="763"/>
      <c r="K155" s="763"/>
      <c r="L155" s="763"/>
      <c r="M155" s="763"/>
      <c r="N155" s="763"/>
      <c r="O155" s="763"/>
      <c r="P155" s="763"/>
      <c r="Q155" s="763"/>
      <c r="R155" s="763"/>
      <c r="S155" s="763"/>
      <c r="T155" s="763"/>
      <c r="U155" s="763"/>
      <c r="V155" s="763"/>
      <c r="W155" s="763"/>
      <c r="X155" s="763"/>
      <c r="Y155" s="774"/>
      <c r="Z155" s="793"/>
      <c r="AA155" s="793"/>
      <c r="AB155" s="793"/>
      <c r="AC155" s="793"/>
      <c r="AD155" s="793"/>
      <c r="AE155" s="793"/>
      <c r="AF155" s="793"/>
      <c r="AG155" s="435"/>
      <c r="AH155" s="435"/>
      <c r="AI155" s="435"/>
      <c r="AJ155" s="435"/>
      <c r="AK155" s="435"/>
      <c r="AL155" s="435"/>
      <c r="AM155" s="319"/>
    </row>
    <row r="156" spans="1:39" ht="30" outlineLevel="1">
      <c r="A156" s="529">
        <v>37</v>
      </c>
      <c r="B156" s="527" t="s">
        <v>129</v>
      </c>
      <c r="C156" s="304" t="s">
        <v>25</v>
      </c>
      <c r="D156" s="308"/>
      <c r="E156" s="308"/>
      <c r="F156" s="308"/>
      <c r="G156" s="308"/>
      <c r="H156" s="308"/>
      <c r="I156" s="308"/>
      <c r="J156" s="308"/>
      <c r="K156" s="308"/>
      <c r="L156" s="308"/>
      <c r="M156" s="308"/>
      <c r="N156" s="308">
        <v>12</v>
      </c>
      <c r="O156" s="308"/>
      <c r="P156" s="308"/>
      <c r="Q156" s="308"/>
      <c r="R156" s="308"/>
      <c r="S156" s="308"/>
      <c r="T156" s="308"/>
      <c r="U156" s="308"/>
      <c r="V156" s="308"/>
      <c r="W156" s="308"/>
      <c r="X156" s="308"/>
      <c r="Y156" s="789"/>
      <c r="Z156" s="772"/>
      <c r="AA156" s="772"/>
      <c r="AB156" s="772"/>
      <c r="AC156" s="772"/>
      <c r="AD156" s="772"/>
      <c r="AE156" s="772"/>
      <c r="AF156" s="777"/>
      <c r="AG156" s="427"/>
      <c r="AH156" s="427"/>
      <c r="AI156" s="427"/>
      <c r="AJ156" s="427"/>
      <c r="AK156" s="427"/>
      <c r="AL156" s="427"/>
      <c r="AM156" s="309">
        <f>SUM(Y156:AL156)</f>
        <v>0</v>
      </c>
    </row>
    <row r="157" spans="1:39" ht="15" outlineLevel="1">
      <c r="B157" s="307" t="s">
        <v>267</v>
      </c>
      <c r="C157" s="304" t="s">
        <v>163</v>
      </c>
      <c r="D157" s="308"/>
      <c r="E157" s="308"/>
      <c r="F157" s="308"/>
      <c r="G157" s="308"/>
      <c r="H157" s="308"/>
      <c r="I157" s="308"/>
      <c r="J157" s="308"/>
      <c r="K157" s="308"/>
      <c r="L157" s="308"/>
      <c r="M157" s="308"/>
      <c r="N157" s="308">
        <f>N156</f>
        <v>12</v>
      </c>
      <c r="O157" s="308"/>
      <c r="P157" s="308"/>
      <c r="Q157" s="308"/>
      <c r="R157" s="308"/>
      <c r="S157" s="308"/>
      <c r="T157" s="308"/>
      <c r="U157" s="308"/>
      <c r="V157" s="308"/>
      <c r="W157" s="308"/>
      <c r="X157" s="308"/>
      <c r="Y157" s="773">
        <f>Y156</f>
        <v>0</v>
      </c>
      <c r="Z157" s="773">
        <f t="shared" ref="Z157:AF157" si="220">Z156</f>
        <v>0</v>
      </c>
      <c r="AA157" s="773">
        <f t="shared" si="220"/>
        <v>0</v>
      </c>
      <c r="AB157" s="773">
        <f t="shared" si="220"/>
        <v>0</v>
      </c>
      <c r="AC157" s="773">
        <f t="shared" si="220"/>
        <v>0</v>
      </c>
      <c r="AD157" s="773">
        <f t="shared" si="220"/>
        <v>0</v>
      </c>
      <c r="AE157" s="773">
        <f t="shared" si="220"/>
        <v>0</v>
      </c>
      <c r="AF157" s="773">
        <f t="shared" si="220"/>
        <v>0</v>
      </c>
      <c r="AG157" s="423">
        <f t="shared" ref="AG157" si="221">AG156</f>
        <v>0</v>
      </c>
      <c r="AH157" s="423">
        <f t="shared" ref="AH157" si="222">AH156</f>
        <v>0</v>
      </c>
      <c r="AI157" s="423">
        <f t="shared" ref="AI157" si="223">AI156</f>
        <v>0</v>
      </c>
      <c r="AJ157" s="423">
        <f t="shared" ref="AJ157" si="224">AJ156</f>
        <v>0</v>
      </c>
      <c r="AK157" s="423">
        <f t="shared" ref="AK157" si="225">AK156</f>
        <v>0</v>
      </c>
      <c r="AL157" s="423">
        <f t="shared" ref="AL157" si="226">AL156</f>
        <v>0</v>
      </c>
      <c r="AM157" s="319"/>
    </row>
    <row r="158" spans="1:39" ht="15" outlineLevel="1">
      <c r="B158" s="527"/>
      <c r="C158" s="304"/>
      <c r="D158" s="763"/>
      <c r="E158" s="763"/>
      <c r="F158" s="763"/>
      <c r="G158" s="763"/>
      <c r="H158" s="763"/>
      <c r="I158" s="763"/>
      <c r="J158" s="763"/>
      <c r="K158" s="763"/>
      <c r="L158" s="763"/>
      <c r="M158" s="763"/>
      <c r="N158" s="763"/>
      <c r="O158" s="763"/>
      <c r="P158" s="763"/>
      <c r="Q158" s="763"/>
      <c r="R158" s="763"/>
      <c r="S158" s="763"/>
      <c r="T158" s="763"/>
      <c r="U158" s="763"/>
      <c r="V158" s="763"/>
      <c r="W158" s="763"/>
      <c r="X158" s="763"/>
      <c r="Y158" s="774"/>
      <c r="Z158" s="793"/>
      <c r="AA158" s="793"/>
      <c r="AB158" s="793"/>
      <c r="AC158" s="793"/>
      <c r="AD158" s="793"/>
      <c r="AE158" s="793"/>
      <c r="AF158" s="793"/>
      <c r="AG158" s="435"/>
      <c r="AH158" s="435"/>
      <c r="AI158" s="435"/>
      <c r="AJ158" s="435"/>
      <c r="AK158" s="435"/>
      <c r="AL158" s="435"/>
      <c r="AM158" s="319"/>
    </row>
    <row r="159" spans="1:39" ht="15" outlineLevel="1">
      <c r="A159" s="529">
        <v>38</v>
      </c>
      <c r="B159" s="527" t="s">
        <v>130</v>
      </c>
      <c r="C159" s="304" t="s">
        <v>25</v>
      </c>
      <c r="D159" s="308"/>
      <c r="E159" s="308"/>
      <c r="F159" s="308"/>
      <c r="G159" s="308"/>
      <c r="H159" s="308"/>
      <c r="I159" s="308"/>
      <c r="J159" s="308"/>
      <c r="K159" s="308"/>
      <c r="L159" s="308"/>
      <c r="M159" s="308"/>
      <c r="N159" s="308">
        <v>12</v>
      </c>
      <c r="O159" s="308"/>
      <c r="P159" s="308"/>
      <c r="Q159" s="308"/>
      <c r="R159" s="308"/>
      <c r="S159" s="308"/>
      <c r="T159" s="308"/>
      <c r="U159" s="308"/>
      <c r="V159" s="308"/>
      <c r="W159" s="308"/>
      <c r="X159" s="308"/>
      <c r="Y159" s="789"/>
      <c r="Z159" s="772"/>
      <c r="AA159" s="772"/>
      <c r="AB159" s="772"/>
      <c r="AC159" s="772"/>
      <c r="AD159" s="772"/>
      <c r="AE159" s="772"/>
      <c r="AF159" s="777"/>
      <c r="AG159" s="427"/>
      <c r="AH159" s="427"/>
      <c r="AI159" s="427"/>
      <c r="AJ159" s="427"/>
      <c r="AK159" s="427"/>
      <c r="AL159" s="427"/>
      <c r="AM159" s="309">
        <f>SUM(Y159:AL159)</f>
        <v>0</v>
      </c>
    </row>
    <row r="160" spans="1:39" ht="15" outlineLevel="1">
      <c r="B160" s="307" t="s">
        <v>267</v>
      </c>
      <c r="C160" s="304" t="s">
        <v>163</v>
      </c>
      <c r="D160" s="308"/>
      <c r="E160" s="308"/>
      <c r="F160" s="308"/>
      <c r="G160" s="308"/>
      <c r="H160" s="308"/>
      <c r="I160" s="308"/>
      <c r="J160" s="308"/>
      <c r="K160" s="308"/>
      <c r="L160" s="308"/>
      <c r="M160" s="308"/>
      <c r="N160" s="308">
        <f>N159</f>
        <v>12</v>
      </c>
      <c r="O160" s="308"/>
      <c r="P160" s="308"/>
      <c r="Q160" s="308"/>
      <c r="R160" s="308"/>
      <c r="S160" s="308"/>
      <c r="T160" s="308"/>
      <c r="U160" s="308"/>
      <c r="V160" s="308"/>
      <c r="W160" s="308"/>
      <c r="X160" s="308"/>
      <c r="Y160" s="773">
        <f>Y159</f>
        <v>0</v>
      </c>
      <c r="Z160" s="773">
        <f t="shared" ref="Z160:AF160" si="227">Z159</f>
        <v>0</v>
      </c>
      <c r="AA160" s="773">
        <f t="shared" si="227"/>
        <v>0</v>
      </c>
      <c r="AB160" s="773">
        <f t="shared" si="227"/>
        <v>0</v>
      </c>
      <c r="AC160" s="773">
        <f t="shared" si="227"/>
        <v>0</v>
      </c>
      <c r="AD160" s="773">
        <f t="shared" si="227"/>
        <v>0</v>
      </c>
      <c r="AE160" s="773">
        <f t="shared" si="227"/>
        <v>0</v>
      </c>
      <c r="AF160" s="773">
        <f t="shared" si="227"/>
        <v>0</v>
      </c>
      <c r="AG160" s="423">
        <f t="shared" ref="AG160" si="228">AG159</f>
        <v>0</v>
      </c>
      <c r="AH160" s="423">
        <f t="shared" ref="AH160" si="229">AH159</f>
        <v>0</v>
      </c>
      <c r="AI160" s="423">
        <f t="shared" ref="AI160" si="230">AI159</f>
        <v>0</v>
      </c>
      <c r="AJ160" s="423">
        <f t="shared" ref="AJ160" si="231">AJ159</f>
        <v>0</v>
      </c>
      <c r="AK160" s="423">
        <f t="shared" ref="AK160" si="232">AK159</f>
        <v>0</v>
      </c>
      <c r="AL160" s="423">
        <f t="shared" ref="AL160" si="233">AL159</f>
        <v>0</v>
      </c>
      <c r="AM160" s="319"/>
    </row>
    <row r="161" spans="1:39" ht="15" outlineLevel="1">
      <c r="B161" s="527"/>
      <c r="C161" s="304"/>
      <c r="D161" s="763"/>
      <c r="E161" s="763"/>
      <c r="F161" s="763"/>
      <c r="G161" s="763"/>
      <c r="H161" s="763"/>
      <c r="I161" s="763"/>
      <c r="J161" s="763"/>
      <c r="K161" s="763"/>
      <c r="L161" s="763"/>
      <c r="M161" s="763"/>
      <c r="N161" s="763"/>
      <c r="O161" s="763"/>
      <c r="P161" s="763"/>
      <c r="Q161" s="763"/>
      <c r="R161" s="763"/>
      <c r="S161" s="763"/>
      <c r="T161" s="763"/>
      <c r="U161" s="763"/>
      <c r="V161" s="763"/>
      <c r="W161" s="763"/>
      <c r="X161" s="763"/>
      <c r="Y161" s="774"/>
      <c r="Z161" s="793"/>
      <c r="AA161" s="793"/>
      <c r="AB161" s="793"/>
      <c r="AC161" s="793"/>
      <c r="AD161" s="793"/>
      <c r="AE161" s="793"/>
      <c r="AF161" s="793"/>
      <c r="AG161" s="435"/>
      <c r="AH161" s="435"/>
      <c r="AI161" s="435"/>
      <c r="AJ161" s="435"/>
      <c r="AK161" s="435"/>
      <c r="AL161" s="435"/>
      <c r="AM161" s="319"/>
    </row>
    <row r="162" spans="1:39" ht="30" outlineLevel="1">
      <c r="A162" s="529">
        <v>39</v>
      </c>
      <c r="B162" s="527" t="s">
        <v>131</v>
      </c>
      <c r="C162" s="304" t="s">
        <v>25</v>
      </c>
      <c r="D162" s="308"/>
      <c r="E162" s="308"/>
      <c r="F162" s="308"/>
      <c r="G162" s="308"/>
      <c r="H162" s="308"/>
      <c r="I162" s="308"/>
      <c r="J162" s="308"/>
      <c r="K162" s="308"/>
      <c r="L162" s="308"/>
      <c r="M162" s="308"/>
      <c r="N162" s="308">
        <v>12</v>
      </c>
      <c r="O162" s="308"/>
      <c r="P162" s="308"/>
      <c r="Q162" s="308"/>
      <c r="R162" s="308"/>
      <c r="S162" s="308"/>
      <c r="T162" s="308"/>
      <c r="U162" s="308"/>
      <c r="V162" s="308"/>
      <c r="W162" s="308"/>
      <c r="X162" s="308"/>
      <c r="Y162" s="789"/>
      <c r="Z162" s="772"/>
      <c r="AA162" s="772"/>
      <c r="AB162" s="772"/>
      <c r="AC162" s="772"/>
      <c r="AD162" s="772"/>
      <c r="AE162" s="772"/>
      <c r="AF162" s="777"/>
      <c r="AG162" s="427"/>
      <c r="AH162" s="427"/>
      <c r="AI162" s="427"/>
      <c r="AJ162" s="427"/>
      <c r="AK162" s="427"/>
      <c r="AL162" s="427"/>
      <c r="AM162" s="309">
        <f>SUM(Y162:AL162)</f>
        <v>0</v>
      </c>
    </row>
    <row r="163" spans="1:39" ht="15" outlineLevel="1">
      <c r="B163" s="307" t="s">
        <v>267</v>
      </c>
      <c r="C163" s="304" t="s">
        <v>163</v>
      </c>
      <c r="D163" s="308"/>
      <c r="E163" s="308"/>
      <c r="F163" s="308"/>
      <c r="G163" s="308"/>
      <c r="H163" s="308"/>
      <c r="I163" s="308"/>
      <c r="J163" s="308"/>
      <c r="K163" s="308"/>
      <c r="L163" s="308"/>
      <c r="M163" s="308"/>
      <c r="N163" s="308">
        <f>N162</f>
        <v>12</v>
      </c>
      <c r="O163" s="308"/>
      <c r="P163" s="308"/>
      <c r="Q163" s="308"/>
      <c r="R163" s="308"/>
      <c r="S163" s="308"/>
      <c r="T163" s="308"/>
      <c r="U163" s="308"/>
      <c r="V163" s="308"/>
      <c r="W163" s="308"/>
      <c r="X163" s="308"/>
      <c r="Y163" s="773">
        <f>Y162</f>
        <v>0</v>
      </c>
      <c r="Z163" s="773">
        <f t="shared" ref="Z163:AF163" si="234">Z162</f>
        <v>0</v>
      </c>
      <c r="AA163" s="773">
        <f t="shared" si="234"/>
        <v>0</v>
      </c>
      <c r="AB163" s="773">
        <f t="shared" si="234"/>
        <v>0</v>
      </c>
      <c r="AC163" s="773">
        <f t="shared" si="234"/>
        <v>0</v>
      </c>
      <c r="AD163" s="773">
        <f t="shared" si="234"/>
        <v>0</v>
      </c>
      <c r="AE163" s="773">
        <f t="shared" si="234"/>
        <v>0</v>
      </c>
      <c r="AF163" s="773">
        <f t="shared" si="234"/>
        <v>0</v>
      </c>
      <c r="AG163" s="423">
        <f t="shared" ref="AG163" si="235">AG162</f>
        <v>0</v>
      </c>
      <c r="AH163" s="423">
        <f t="shared" ref="AH163" si="236">AH162</f>
        <v>0</v>
      </c>
      <c r="AI163" s="423">
        <f t="shared" ref="AI163" si="237">AI162</f>
        <v>0</v>
      </c>
      <c r="AJ163" s="423">
        <f t="shared" ref="AJ163" si="238">AJ162</f>
        <v>0</v>
      </c>
      <c r="AK163" s="423">
        <f t="shared" ref="AK163" si="239">AK162</f>
        <v>0</v>
      </c>
      <c r="AL163" s="423">
        <f t="shared" ref="AL163" si="240">AL162</f>
        <v>0</v>
      </c>
      <c r="AM163" s="319"/>
    </row>
    <row r="164" spans="1:39" ht="15" outlineLevel="1">
      <c r="B164" s="527"/>
      <c r="C164" s="304"/>
      <c r="D164" s="763"/>
      <c r="E164" s="763"/>
      <c r="F164" s="763"/>
      <c r="G164" s="763"/>
      <c r="H164" s="763"/>
      <c r="I164" s="763"/>
      <c r="J164" s="763"/>
      <c r="K164" s="763"/>
      <c r="L164" s="763"/>
      <c r="M164" s="763"/>
      <c r="N164" s="763"/>
      <c r="O164" s="763"/>
      <c r="P164" s="763"/>
      <c r="Q164" s="763"/>
      <c r="R164" s="763"/>
      <c r="S164" s="763"/>
      <c r="T164" s="763"/>
      <c r="U164" s="763"/>
      <c r="V164" s="763"/>
      <c r="W164" s="763"/>
      <c r="X164" s="763"/>
      <c r="Y164" s="774"/>
      <c r="Z164" s="793"/>
      <c r="AA164" s="793"/>
      <c r="AB164" s="793"/>
      <c r="AC164" s="793"/>
      <c r="AD164" s="793"/>
      <c r="AE164" s="793"/>
      <c r="AF164" s="793"/>
      <c r="AG164" s="435"/>
      <c r="AH164" s="435"/>
      <c r="AI164" s="435"/>
      <c r="AJ164" s="435"/>
      <c r="AK164" s="435"/>
      <c r="AL164" s="435"/>
      <c r="AM164" s="319"/>
    </row>
    <row r="165" spans="1:39" ht="30" outlineLevel="1">
      <c r="A165" s="529">
        <v>40</v>
      </c>
      <c r="B165" s="527" t="s">
        <v>132</v>
      </c>
      <c r="C165" s="304" t="s">
        <v>25</v>
      </c>
      <c r="D165" s="308"/>
      <c r="E165" s="308"/>
      <c r="F165" s="308"/>
      <c r="G165" s="308"/>
      <c r="H165" s="308"/>
      <c r="I165" s="308"/>
      <c r="J165" s="308"/>
      <c r="K165" s="308"/>
      <c r="L165" s="308"/>
      <c r="M165" s="308"/>
      <c r="N165" s="308">
        <v>12</v>
      </c>
      <c r="O165" s="308"/>
      <c r="P165" s="308"/>
      <c r="Q165" s="308"/>
      <c r="R165" s="308"/>
      <c r="S165" s="308"/>
      <c r="T165" s="308"/>
      <c r="U165" s="308"/>
      <c r="V165" s="308"/>
      <c r="W165" s="308"/>
      <c r="X165" s="308"/>
      <c r="Y165" s="789"/>
      <c r="Z165" s="772"/>
      <c r="AA165" s="772"/>
      <c r="AB165" s="772"/>
      <c r="AC165" s="772"/>
      <c r="AD165" s="772"/>
      <c r="AE165" s="772"/>
      <c r="AF165" s="777"/>
      <c r="AG165" s="427"/>
      <c r="AH165" s="427"/>
      <c r="AI165" s="427"/>
      <c r="AJ165" s="427"/>
      <c r="AK165" s="427"/>
      <c r="AL165" s="427"/>
      <c r="AM165" s="309">
        <f>SUM(Y165:AL165)</f>
        <v>0</v>
      </c>
    </row>
    <row r="166" spans="1:39" ht="15" outlineLevel="1">
      <c r="B166" s="307" t="s">
        <v>267</v>
      </c>
      <c r="C166" s="304" t="s">
        <v>163</v>
      </c>
      <c r="D166" s="308"/>
      <c r="E166" s="308"/>
      <c r="F166" s="308"/>
      <c r="G166" s="308"/>
      <c r="H166" s="308"/>
      <c r="I166" s="308"/>
      <c r="J166" s="308"/>
      <c r="K166" s="308"/>
      <c r="L166" s="308"/>
      <c r="M166" s="308"/>
      <c r="N166" s="308">
        <f>N165</f>
        <v>12</v>
      </c>
      <c r="O166" s="308"/>
      <c r="P166" s="308"/>
      <c r="Q166" s="308"/>
      <c r="R166" s="308"/>
      <c r="S166" s="308"/>
      <c r="T166" s="308"/>
      <c r="U166" s="308"/>
      <c r="V166" s="308"/>
      <c r="W166" s="308"/>
      <c r="X166" s="308"/>
      <c r="Y166" s="773">
        <f>Y165</f>
        <v>0</v>
      </c>
      <c r="Z166" s="773">
        <f t="shared" ref="Z166:AF166" si="241">Z165</f>
        <v>0</v>
      </c>
      <c r="AA166" s="773">
        <f t="shared" si="241"/>
        <v>0</v>
      </c>
      <c r="AB166" s="773">
        <f t="shared" si="241"/>
        <v>0</v>
      </c>
      <c r="AC166" s="773">
        <f t="shared" si="241"/>
        <v>0</v>
      </c>
      <c r="AD166" s="773">
        <f t="shared" si="241"/>
        <v>0</v>
      </c>
      <c r="AE166" s="773">
        <f t="shared" si="241"/>
        <v>0</v>
      </c>
      <c r="AF166" s="773">
        <f t="shared" si="241"/>
        <v>0</v>
      </c>
      <c r="AG166" s="423">
        <f t="shared" ref="AG166" si="242">AG165</f>
        <v>0</v>
      </c>
      <c r="AH166" s="423">
        <f t="shared" ref="AH166" si="243">AH165</f>
        <v>0</v>
      </c>
      <c r="AI166" s="423">
        <f t="shared" ref="AI166" si="244">AI165</f>
        <v>0</v>
      </c>
      <c r="AJ166" s="423">
        <f t="shared" ref="AJ166" si="245">AJ165</f>
        <v>0</v>
      </c>
      <c r="AK166" s="423">
        <f t="shared" ref="AK166" si="246">AK165</f>
        <v>0</v>
      </c>
      <c r="AL166" s="423">
        <f t="shared" ref="AL166" si="247">AL165</f>
        <v>0</v>
      </c>
      <c r="AM166" s="319"/>
    </row>
    <row r="167" spans="1:39" ht="15" outlineLevel="1">
      <c r="B167" s="527"/>
      <c r="C167" s="304"/>
      <c r="D167" s="763"/>
      <c r="E167" s="763"/>
      <c r="F167" s="763"/>
      <c r="G167" s="763"/>
      <c r="H167" s="763"/>
      <c r="I167" s="763"/>
      <c r="J167" s="763"/>
      <c r="K167" s="763"/>
      <c r="L167" s="763"/>
      <c r="M167" s="763"/>
      <c r="N167" s="763"/>
      <c r="O167" s="763"/>
      <c r="P167" s="763"/>
      <c r="Q167" s="763"/>
      <c r="R167" s="763"/>
      <c r="S167" s="763"/>
      <c r="T167" s="763"/>
      <c r="U167" s="763"/>
      <c r="V167" s="763"/>
      <c r="W167" s="763"/>
      <c r="X167" s="763"/>
      <c r="Y167" s="774"/>
      <c r="Z167" s="793"/>
      <c r="AA167" s="793"/>
      <c r="AB167" s="793"/>
      <c r="AC167" s="793"/>
      <c r="AD167" s="793"/>
      <c r="AE167" s="793"/>
      <c r="AF167" s="793"/>
      <c r="AG167" s="435"/>
      <c r="AH167" s="435"/>
      <c r="AI167" s="435"/>
      <c r="AJ167" s="435"/>
      <c r="AK167" s="435"/>
      <c r="AL167" s="435"/>
      <c r="AM167" s="319"/>
    </row>
    <row r="168" spans="1:39" ht="45" outlineLevel="1">
      <c r="A168" s="529">
        <v>41</v>
      </c>
      <c r="B168" s="527" t="s">
        <v>133</v>
      </c>
      <c r="C168" s="304" t="s">
        <v>25</v>
      </c>
      <c r="D168" s="308"/>
      <c r="E168" s="308"/>
      <c r="F168" s="308"/>
      <c r="G168" s="308"/>
      <c r="H168" s="308"/>
      <c r="I168" s="308"/>
      <c r="J168" s="308"/>
      <c r="K168" s="308"/>
      <c r="L168" s="308"/>
      <c r="M168" s="308"/>
      <c r="N168" s="308">
        <v>12</v>
      </c>
      <c r="O168" s="308"/>
      <c r="P168" s="308"/>
      <c r="Q168" s="308"/>
      <c r="R168" s="308"/>
      <c r="S168" s="308"/>
      <c r="T168" s="308"/>
      <c r="U168" s="308"/>
      <c r="V168" s="308"/>
      <c r="W168" s="308"/>
      <c r="X168" s="308"/>
      <c r="Y168" s="789"/>
      <c r="Z168" s="772"/>
      <c r="AA168" s="772"/>
      <c r="AB168" s="772"/>
      <c r="AC168" s="772"/>
      <c r="AD168" s="772"/>
      <c r="AE168" s="772"/>
      <c r="AF168" s="777"/>
      <c r="AG168" s="427"/>
      <c r="AH168" s="427"/>
      <c r="AI168" s="427"/>
      <c r="AJ168" s="427"/>
      <c r="AK168" s="427"/>
      <c r="AL168" s="427"/>
      <c r="AM168" s="309">
        <f>SUM(Y168:AL168)</f>
        <v>0</v>
      </c>
    </row>
    <row r="169" spans="1:39" ht="15" outlineLevel="1">
      <c r="B169" s="307" t="s">
        <v>267</v>
      </c>
      <c r="C169" s="304" t="s">
        <v>163</v>
      </c>
      <c r="D169" s="308"/>
      <c r="E169" s="308"/>
      <c r="F169" s="308"/>
      <c r="G169" s="308"/>
      <c r="H169" s="308"/>
      <c r="I169" s="308"/>
      <c r="J169" s="308"/>
      <c r="K169" s="308"/>
      <c r="L169" s="308"/>
      <c r="M169" s="308"/>
      <c r="N169" s="308">
        <f>N168</f>
        <v>12</v>
      </c>
      <c r="O169" s="308"/>
      <c r="P169" s="308"/>
      <c r="Q169" s="308"/>
      <c r="R169" s="308"/>
      <c r="S169" s="308"/>
      <c r="T169" s="308"/>
      <c r="U169" s="308"/>
      <c r="V169" s="308"/>
      <c r="W169" s="308"/>
      <c r="X169" s="308"/>
      <c r="Y169" s="773">
        <f>Y168</f>
        <v>0</v>
      </c>
      <c r="Z169" s="773">
        <f t="shared" ref="Z169:AF169" si="248">Z168</f>
        <v>0</v>
      </c>
      <c r="AA169" s="773">
        <f t="shared" si="248"/>
        <v>0</v>
      </c>
      <c r="AB169" s="773">
        <f t="shared" si="248"/>
        <v>0</v>
      </c>
      <c r="AC169" s="773">
        <f t="shared" si="248"/>
        <v>0</v>
      </c>
      <c r="AD169" s="773">
        <f t="shared" si="248"/>
        <v>0</v>
      </c>
      <c r="AE169" s="773">
        <f t="shared" si="248"/>
        <v>0</v>
      </c>
      <c r="AF169" s="773">
        <f t="shared" si="248"/>
        <v>0</v>
      </c>
      <c r="AG169" s="423">
        <f t="shared" ref="AG169" si="249">AG168</f>
        <v>0</v>
      </c>
      <c r="AH169" s="423">
        <f t="shared" ref="AH169" si="250">AH168</f>
        <v>0</v>
      </c>
      <c r="AI169" s="423">
        <f t="shared" ref="AI169" si="251">AI168</f>
        <v>0</v>
      </c>
      <c r="AJ169" s="423">
        <f t="shared" ref="AJ169" si="252">AJ168</f>
        <v>0</v>
      </c>
      <c r="AK169" s="423">
        <f t="shared" ref="AK169" si="253">AK168</f>
        <v>0</v>
      </c>
      <c r="AL169" s="423">
        <f t="shared" ref="AL169" si="254">AL168</f>
        <v>0</v>
      </c>
      <c r="AM169" s="319"/>
    </row>
    <row r="170" spans="1:39" ht="15" outlineLevel="1">
      <c r="B170" s="527"/>
      <c r="C170" s="304"/>
      <c r="D170" s="763"/>
      <c r="E170" s="763"/>
      <c r="F170" s="763"/>
      <c r="G170" s="763"/>
      <c r="H170" s="763"/>
      <c r="I170" s="763"/>
      <c r="J170" s="763"/>
      <c r="K170" s="763"/>
      <c r="L170" s="763"/>
      <c r="M170" s="763"/>
      <c r="N170" s="763"/>
      <c r="O170" s="763"/>
      <c r="P170" s="763"/>
      <c r="Q170" s="763"/>
      <c r="R170" s="763"/>
      <c r="S170" s="763"/>
      <c r="T170" s="763"/>
      <c r="U170" s="763"/>
      <c r="V170" s="763"/>
      <c r="W170" s="763"/>
      <c r="X170" s="763"/>
      <c r="Y170" s="774"/>
      <c r="Z170" s="793"/>
      <c r="AA170" s="793"/>
      <c r="AB170" s="793"/>
      <c r="AC170" s="793"/>
      <c r="AD170" s="793"/>
      <c r="AE170" s="793"/>
      <c r="AF170" s="793"/>
      <c r="AG170" s="435"/>
      <c r="AH170" s="435"/>
      <c r="AI170" s="435"/>
      <c r="AJ170" s="435"/>
      <c r="AK170" s="435"/>
      <c r="AL170" s="435"/>
      <c r="AM170" s="319"/>
    </row>
    <row r="171" spans="1:39" ht="30" outlineLevel="1">
      <c r="A171" s="529">
        <v>42</v>
      </c>
      <c r="B171" s="527" t="s">
        <v>134</v>
      </c>
      <c r="C171" s="304" t="s">
        <v>25</v>
      </c>
      <c r="D171" s="308"/>
      <c r="E171" s="308"/>
      <c r="F171" s="308"/>
      <c r="G171" s="308"/>
      <c r="H171" s="308"/>
      <c r="I171" s="308"/>
      <c r="J171" s="308"/>
      <c r="K171" s="308"/>
      <c r="L171" s="308"/>
      <c r="M171" s="308"/>
      <c r="N171" s="763"/>
      <c r="O171" s="308"/>
      <c r="P171" s="308"/>
      <c r="Q171" s="308"/>
      <c r="R171" s="308"/>
      <c r="S171" s="308"/>
      <c r="T171" s="308"/>
      <c r="U171" s="308"/>
      <c r="V171" s="308"/>
      <c r="W171" s="308"/>
      <c r="X171" s="308"/>
      <c r="Y171" s="789"/>
      <c r="Z171" s="772"/>
      <c r="AA171" s="772"/>
      <c r="AB171" s="772"/>
      <c r="AC171" s="772"/>
      <c r="AD171" s="772"/>
      <c r="AE171" s="772"/>
      <c r="AF171" s="777"/>
      <c r="AG171" s="427"/>
      <c r="AH171" s="427"/>
      <c r="AI171" s="427"/>
      <c r="AJ171" s="427"/>
      <c r="AK171" s="427"/>
      <c r="AL171" s="427"/>
      <c r="AM171" s="309">
        <f>SUM(Y171:AL171)</f>
        <v>0</v>
      </c>
    </row>
    <row r="172" spans="1:39" ht="15" outlineLevel="1">
      <c r="B172" s="307" t="s">
        <v>267</v>
      </c>
      <c r="C172" s="304" t="s">
        <v>163</v>
      </c>
      <c r="D172" s="308"/>
      <c r="E172" s="308"/>
      <c r="F172" s="308"/>
      <c r="G172" s="308"/>
      <c r="H172" s="308"/>
      <c r="I172" s="308"/>
      <c r="J172" s="308"/>
      <c r="K172" s="308"/>
      <c r="L172" s="308"/>
      <c r="M172" s="308"/>
      <c r="N172" s="764"/>
      <c r="O172" s="308"/>
      <c r="P172" s="308"/>
      <c r="Q172" s="308"/>
      <c r="R172" s="308"/>
      <c r="S172" s="308"/>
      <c r="T172" s="308"/>
      <c r="U172" s="308"/>
      <c r="V172" s="308"/>
      <c r="W172" s="308"/>
      <c r="X172" s="308"/>
      <c r="Y172" s="773">
        <f>Y171</f>
        <v>0</v>
      </c>
      <c r="Z172" s="773">
        <f t="shared" ref="Z172:AF172" si="255">Z171</f>
        <v>0</v>
      </c>
      <c r="AA172" s="773">
        <f t="shared" si="255"/>
        <v>0</v>
      </c>
      <c r="AB172" s="773">
        <f t="shared" si="255"/>
        <v>0</v>
      </c>
      <c r="AC172" s="773">
        <f t="shared" si="255"/>
        <v>0</v>
      </c>
      <c r="AD172" s="773">
        <f t="shared" si="255"/>
        <v>0</v>
      </c>
      <c r="AE172" s="773">
        <f t="shared" si="255"/>
        <v>0</v>
      </c>
      <c r="AF172" s="773">
        <f t="shared" si="255"/>
        <v>0</v>
      </c>
      <c r="AG172" s="423">
        <f t="shared" ref="AG172" si="256">AG171</f>
        <v>0</v>
      </c>
      <c r="AH172" s="423">
        <f t="shared" ref="AH172" si="257">AH171</f>
        <v>0</v>
      </c>
      <c r="AI172" s="423">
        <f t="shared" ref="AI172" si="258">AI171</f>
        <v>0</v>
      </c>
      <c r="AJ172" s="423">
        <f t="shared" ref="AJ172" si="259">AJ171</f>
        <v>0</v>
      </c>
      <c r="AK172" s="423">
        <f t="shared" ref="AK172" si="260">AK171</f>
        <v>0</v>
      </c>
      <c r="AL172" s="423">
        <f t="shared" ref="AL172" si="261">AL171</f>
        <v>0</v>
      </c>
      <c r="AM172" s="319"/>
    </row>
    <row r="173" spans="1:39" ht="15" outlineLevel="1">
      <c r="B173" s="527"/>
      <c r="C173" s="304"/>
      <c r="D173" s="763"/>
      <c r="E173" s="763"/>
      <c r="F173" s="763"/>
      <c r="G173" s="763"/>
      <c r="H173" s="763"/>
      <c r="I173" s="763"/>
      <c r="J173" s="763"/>
      <c r="K173" s="763"/>
      <c r="L173" s="763"/>
      <c r="M173" s="763"/>
      <c r="N173" s="763"/>
      <c r="O173" s="763"/>
      <c r="P173" s="763"/>
      <c r="Q173" s="763"/>
      <c r="R173" s="763"/>
      <c r="S173" s="763"/>
      <c r="T173" s="763"/>
      <c r="U173" s="763"/>
      <c r="V173" s="763"/>
      <c r="W173" s="763"/>
      <c r="X173" s="763"/>
      <c r="Y173" s="774"/>
      <c r="Z173" s="793"/>
      <c r="AA173" s="793"/>
      <c r="AB173" s="793"/>
      <c r="AC173" s="793"/>
      <c r="AD173" s="793"/>
      <c r="AE173" s="793"/>
      <c r="AF173" s="793"/>
      <c r="AG173" s="435"/>
      <c r="AH173" s="435"/>
      <c r="AI173" s="435"/>
      <c r="AJ173" s="435"/>
      <c r="AK173" s="435"/>
      <c r="AL173" s="435"/>
      <c r="AM173" s="319"/>
    </row>
    <row r="174" spans="1:39" ht="15" outlineLevel="1">
      <c r="A174" s="529">
        <v>43</v>
      </c>
      <c r="B174" s="527" t="s">
        <v>135</v>
      </c>
      <c r="C174" s="304" t="s">
        <v>25</v>
      </c>
      <c r="D174" s="308"/>
      <c r="E174" s="308"/>
      <c r="F174" s="308"/>
      <c r="G174" s="308"/>
      <c r="H174" s="308"/>
      <c r="I174" s="308"/>
      <c r="J174" s="308"/>
      <c r="K174" s="308"/>
      <c r="L174" s="308"/>
      <c r="M174" s="308"/>
      <c r="N174" s="308">
        <v>12</v>
      </c>
      <c r="O174" s="308"/>
      <c r="P174" s="308"/>
      <c r="Q174" s="308"/>
      <c r="R174" s="308"/>
      <c r="S174" s="308"/>
      <c r="T174" s="308"/>
      <c r="U174" s="308"/>
      <c r="V174" s="308"/>
      <c r="W174" s="308"/>
      <c r="X174" s="308"/>
      <c r="Y174" s="789"/>
      <c r="Z174" s="772"/>
      <c r="AA174" s="772"/>
      <c r="AB174" s="772"/>
      <c r="AC174" s="772"/>
      <c r="AD174" s="772"/>
      <c r="AE174" s="772"/>
      <c r="AF174" s="777"/>
      <c r="AG174" s="427"/>
      <c r="AH174" s="427"/>
      <c r="AI174" s="427"/>
      <c r="AJ174" s="427"/>
      <c r="AK174" s="427"/>
      <c r="AL174" s="427"/>
      <c r="AM174" s="309">
        <f>SUM(Y174:AL174)</f>
        <v>0</v>
      </c>
    </row>
    <row r="175" spans="1:39" ht="15" outlineLevel="1">
      <c r="B175" s="307" t="s">
        <v>267</v>
      </c>
      <c r="C175" s="304" t="s">
        <v>163</v>
      </c>
      <c r="D175" s="308"/>
      <c r="E175" s="308"/>
      <c r="F175" s="308"/>
      <c r="G175" s="308"/>
      <c r="H175" s="308"/>
      <c r="I175" s="308"/>
      <c r="J175" s="308"/>
      <c r="K175" s="308"/>
      <c r="L175" s="308"/>
      <c r="M175" s="308"/>
      <c r="N175" s="308">
        <f>N174</f>
        <v>12</v>
      </c>
      <c r="O175" s="308"/>
      <c r="P175" s="308"/>
      <c r="Q175" s="308"/>
      <c r="R175" s="308"/>
      <c r="S175" s="308"/>
      <c r="T175" s="308"/>
      <c r="U175" s="308"/>
      <c r="V175" s="308"/>
      <c r="W175" s="308"/>
      <c r="X175" s="308"/>
      <c r="Y175" s="773">
        <f>Y174</f>
        <v>0</v>
      </c>
      <c r="Z175" s="773">
        <f t="shared" ref="Z175:AF175" si="262">Z174</f>
        <v>0</v>
      </c>
      <c r="AA175" s="773">
        <f t="shared" si="262"/>
        <v>0</v>
      </c>
      <c r="AB175" s="773">
        <f t="shared" si="262"/>
        <v>0</v>
      </c>
      <c r="AC175" s="773">
        <f t="shared" si="262"/>
        <v>0</v>
      </c>
      <c r="AD175" s="773">
        <f t="shared" si="262"/>
        <v>0</v>
      </c>
      <c r="AE175" s="773">
        <f t="shared" si="262"/>
        <v>0</v>
      </c>
      <c r="AF175" s="773">
        <f t="shared" si="262"/>
        <v>0</v>
      </c>
      <c r="AG175" s="423">
        <f t="shared" ref="AG175" si="263">AG174</f>
        <v>0</v>
      </c>
      <c r="AH175" s="423">
        <f t="shared" ref="AH175" si="264">AH174</f>
        <v>0</v>
      </c>
      <c r="AI175" s="423">
        <f t="shared" ref="AI175" si="265">AI174</f>
        <v>0</v>
      </c>
      <c r="AJ175" s="423">
        <f t="shared" ref="AJ175" si="266">AJ174</f>
        <v>0</v>
      </c>
      <c r="AK175" s="423">
        <f t="shared" ref="AK175" si="267">AK174</f>
        <v>0</v>
      </c>
      <c r="AL175" s="423">
        <f t="shared" ref="AL175" si="268">AL174</f>
        <v>0</v>
      </c>
      <c r="AM175" s="319"/>
    </row>
    <row r="176" spans="1:39" ht="15" outlineLevel="1">
      <c r="B176" s="527"/>
      <c r="C176" s="304"/>
      <c r="D176" s="763"/>
      <c r="E176" s="763"/>
      <c r="F176" s="763"/>
      <c r="G176" s="763"/>
      <c r="H176" s="763"/>
      <c r="I176" s="763"/>
      <c r="J176" s="763"/>
      <c r="K176" s="763"/>
      <c r="L176" s="763"/>
      <c r="M176" s="763"/>
      <c r="N176" s="763"/>
      <c r="O176" s="763"/>
      <c r="P176" s="763"/>
      <c r="Q176" s="763"/>
      <c r="R176" s="763"/>
      <c r="S176" s="763"/>
      <c r="T176" s="763"/>
      <c r="U176" s="763"/>
      <c r="V176" s="763"/>
      <c r="W176" s="763"/>
      <c r="X176" s="763"/>
      <c r="Y176" s="774"/>
      <c r="Z176" s="793"/>
      <c r="AA176" s="793"/>
      <c r="AB176" s="793"/>
      <c r="AC176" s="793"/>
      <c r="AD176" s="793"/>
      <c r="AE176" s="793"/>
      <c r="AF176" s="793"/>
      <c r="AG176" s="435"/>
      <c r="AH176" s="435"/>
      <c r="AI176" s="435"/>
      <c r="AJ176" s="435"/>
      <c r="AK176" s="435"/>
      <c r="AL176" s="435"/>
      <c r="AM176" s="319"/>
    </row>
    <row r="177" spans="1:39" ht="45" outlineLevel="1">
      <c r="A177" s="529">
        <v>44</v>
      </c>
      <c r="B177" s="527" t="s">
        <v>136</v>
      </c>
      <c r="C177" s="304" t="s">
        <v>25</v>
      </c>
      <c r="D177" s="308"/>
      <c r="E177" s="308"/>
      <c r="F177" s="308"/>
      <c r="G177" s="308"/>
      <c r="H177" s="308"/>
      <c r="I177" s="308"/>
      <c r="J177" s="308"/>
      <c r="K177" s="308"/>
      <c r="L177" s="308"/>
      <c r="M177" s="308"/>
      <c r="N177" s="308">
        <v>12</v>
      </c>
      <c r="O177" s="308"/>
      <c r="P177" s="308"/>
      <c r="Q177" s="308"/>
      <c r="R177" s="308"/>
      <c r="S177" s="308"/>
      <c r="T177" s="308"/>
      <c r="U177" s="308"/>
      <c r="V177" s="308"/>
      <c r="W177" s="308"/>
      <c r="X177" s="308"/>
      <c r="Y177" s="789"/>
      <c r="Z177" s="772"/>
      <c r="AA177" s="772"/>
      <c r="AB177" s="772"/>
      <c r="AC177" s="772"/>
      <c r="AD177" s="772"/>
      <c r="AE177" s="772"/>
      <c r="AF177" s="777"/>
      <c r="AG177" s="427"/>
      <c r="AH177" s="427"/>
      <c r="AI177" s="427"/>
      <c r="AJ177" s="427"/>
      <c r="AK177" s="427"/>
      <c r="AL177" s="427"/>
      <c r="AM177" s="309">
        <f>SUM(Y177:AL177)</f>
        <v>0</v>
      </c>
    </row>
    <row r="178" spans="1:39" ht="15" outlineLevel="1">
      <c r="B178" s="307" t="s">
        <v>267</v>
      </c>
      <c r="C178" s="304" t="s">
        <v>163</v>
      </c>
      <c r="D178" s="308"/>
      <c r="E178" s="308"/>
      <c r="F178" s="308"/>
      <c r="G178" s="308"/>
      <c r="H178" s="308"/>
      <c r="I178" s="308"/>
      <c r="J178" s="308"/>
      <c r="K178" s="308"/>
      <c r="L178" s="308"/>
      <c r="M178" s="308"/>
      <c r="N178" s="308">
        <f>N177</f>
        <v>12</v>
      </c>
      <c r="O178" s="308"/>
      <c r="P178" s="308"/>
      <c r="Q178" s="308"/>
      <c r="R178" s="308"/>
      <c r="S178" s="308"/>
      <c r="T178" s="308"/>
      <c r="U178" s="308"/>
      <c r="V178" s="308"/>
      <c r="W178" s="308"/>
      <c r="X178" s="308"/>
      <c r="Y178" s="773">
        <f>Y177</f>
        <v>0</v>
      </c>
      <c r="Z178" s="773">
        <f t="shared" ref="Z178:AF178" si="269">Z177</f>
        <v>0</v>
      </c>
      <c r="AA178" s="773">
        <f t="shared" si="269"/>
        <v>0</v>
      </c>
      <c r="AB178" s="773">
        <f t="shared" si="269"/>
        <v>0</v>
      </c>
      <c r="AC178" s="773">
        <f t="shared" si="269"/>
        <v>0</v>
      </c>
      <c r="AD178" s="773">
        <f t="shared" si="269"/>
        <v>0</v>
      </c>
      <c r="AE178" s="773">
        <f t="shared" si="269"/>
        <v>0</v>
      </c>
      <c r="AF178" s="773">
        <f t="shared" si="269"/>
        <v>0</v>
      </c>
      <c r="AG178" s="423">
        <f t="shared" ref="AG178" si="270">AG177</f>
        <v>0</v>
      </c>
      <c r="AH178" s="423">
        <f t="shared" ref="AH178" si="271">AH177</f>
        <v>0</v>
      </c>
      <c r="AI178" s="423">
        <f t="shared" ref="AI178" si="272">AI177</f>
        <v>0</v>
      </c>
      <c r="AJ178" s="423">
        <f t="shared" ref="AJ178" si="273">AJ177</f>
        <v>0</v>
      </c>
      <c r="AK178" s="423">
        <f t="shared" ref="AK178" si="274">AK177</f>
        <v>0</v>
      </c>
      <c r="AL178" s="423">
        <f t="shared" ref="AL178" si="275">AL177</f>
        <v>0</v>
      </c>
      <c r="AM178" s="319"/>
    </row>
    <row r="179" spans="1:39" ht="15" outlineLevel="1">
      <c r="B179" s="527"/>
      <c r="C179" s="304"/>
      <c r="D179" s="763"/>
      <c r="E179" s="763"/>
      <c r="F179" s="763"/>
      <c r="G179" s="763"/>
      <c r="H179" s="763"/>
      <c r="I179" s="763"/>
      <c r="J179" s="763"/>
      <c r="K179" s="763"/>
      <c r="L179" s="763"/>
      <c r="M179" s="763"/>
      <c r="N179" s="763"/>
      <c r="O179" s="763"/>
      <c r="P179" s="763"/>
      <c r="Q179" s="763"/>
      <c r="R179" s="763"/>
      <c r="S179" s="763"/>
      <c r="T179" s="763"/>
      <c r="U179" s="763"/>
      <c r="V179" s="763"/>
      <c r="W179" s="763"/>
      <c r="X179" s="763"/>
      <c r="Y179" s="774"/>
      <c r="Z179" s="793"/>
      <c r="AA179" s="793"/>
      <c r="AB179" s="793"/>
      <c r="AC179" s="793"/>
      <c r="AD179" s="793"/>
      <c r="AE179" s="793"/>
      <c r="AF179" s="793"/>
      <c r="AG179" s="435"/>
      <c r="AH179" s="435"/>
      <c r="AI179" s="435"/>
      <c r="AJ179" s="435"/>
      <c r="AK179" s="435"/>
      <c r="AL179" s="435"/>
      <c r="AM179" s="319"/>
    </row>
    <row r="180" spans="1:39" ht="30" outlineLevel="1">
      <c r="A180" s="529">
        <v>45</v>
      </c>
      <c r="B180" s="527" t="s">
        <v>137</v>
      </c>
      <c r="C180" s="304" t="s">
        <v>25</v>
      </c>
      <c r="D180" s="308"/>
      <c r="E180" s="308"/>
      <c r="F180" s="308"/>
      <c r="G180" s="308"/>
      <c r="H180" s="308"/>
      <c r="I180" s="308"/>
      <c r="J180" s="308"/>
      <c r="K180" s="308"/>
      <c r="L180" s="308"/>
      <c r="M180" s="308"/>
      <c r="N180" s="308">
        <v>12</v>
      </c>
      <c r="O180" s="308"/>
      <c r="P180" s="308"/>
      <c r="Q180" s="308"/>
      <c r="R180" s="308"/>
      <c r="S180" s="308"/>
      <c r="T180" s="308"/>
      <c r="U180" s="308"/>
      <c r="V180" s="308"/>
      <c r="W180" s="308"/>
      <c r="X180" s="308"/>
      <c r="Y180" s="789"/>
      <c r="Z180" s="772"/>
      <c r="AA180" s="772"/>
      <c r="AB180" s="772"/>
      <c r="AC180" s="772"/>
      <c r="AD180" s="772"/>
      <c r="AE180" s="772"/>
      <c r="AF180" s="777"/>
      <c r="AG180" s="427"/>
      <c r="AH180" s="427"/>
      <c r="AI180" s="427"/>
      <c r="AJ180" s="427"/>
      <c r="AK180" s="427"/>
      <c r="AL180" s="427"/>
      <c r="AM180" s="309">
        <f>SUM(Y180:AL180)</f>
        <v>0</v>
      </c>
    </row>
    <row r="181" spans="1:39" ht="15" outlineLevel="1">
      <c r="B181" s="307" t="s">
        <v>267</v>
      </c>
      <c r="C181" s="304" t="s">
        <v>163</v>
      </c>
      <c r="D181" s="308"/>
      <c r="E181" s="308"/>
      <c r="F181" s="308"/>
      <c r="G181" s="308"/>
      <c r="H181" s="308"/>
      <c r="I181" s="308"/>
      <c r="J181" s="308"/>
      <c r="K181" s="308"/>
      <c r="L181" s="308"/>
      <c r="M181" s="308"/>
      <c r="N181" s="308">
        <f>N180</f>
        <v>12</v>
      </c>
      <c r="O181" s="308"/>
      <c r="P181" s="308"/>
      <c r="Q181" s="308"/>
      <c r="R181" s="308"/>
      <c r="S181" s="308"/>
      <c r="T181" s="308"/>
      <c r="U181" s="308"/>
      <c r="V181" s="308"/>
      <c r="W181" s="308"/>
      <c r="X181" s="308"/>
      <c r="Y181" s="773">
        <f>Y180</f>
        <v>0</v>
      </c>
      <c r="Z181" s="773">
        <f t="shared" ref="Z181:AF181" si="276">Z180</f>
        <v>0</v>
      </c>
      <c r="AA181" s="773">
        <f t="shared" si="276"/>
        <v>0</v>
      </c>
      <c r="AB181" s="773">
        <f t="shared" si="276"/>
        <v>0</v>
      </c>
      <c r="AC181" s="773">
        <f t="shared" si="276"/>
        <v>0</v>
      </c>
      <c r="AD181" s="773">
        <f t="shared" si="276"/>
        <v>0</v>
      </c>
      <c r="AE181" s="773">
        <f t="shared" si="276"/>
        <v>0</v>
      </c>
      <c r="AF181" s="773">
        <f t="shared" si="276"/>
        <v>0</v>
      </c>
      <c r="AG181" s="423">
        <f t="shared" ref="AG181" si="277">AG180</f>
        <v>0</v>
      </c>
      <c r="AH181" s="423">
        <f t="shared" ref="AH181" si="278">AH180</f>
        <v>0</v>
      </c>
      <c r="AI181" s="423">
        <f t="shared" ref="AI181" si="279">AI180</f>
        <v>0</v>
      </c>
      <c r="AJ181" s="423">
        <f t="shared" ref="AJ181" si="280">AJ180</f>
        <v>0</v>
      </c>
      <c r="AK181" s="423">
        <f t="shared" ref="AK181" si="281">AK180</f>
        <v>0</v>
      </c>
      <c r="AL181" s="423">
        <f t="shared" ref="AL181" si="282">AL180</f>
        <v>0</v>
      </c>
      <c r="AM181" s="319"/>
    </row>
    <row r="182" spans="1:39" ht="15" outlineLevel="1">
      <c r="B182" s="527"/>
      <c r="C182" s="304"/>
      <c r="D182" s="763"/>
      <c r="E182" s="763"/>
      <c r="F182" s="763"/>
      <c r="G182" s="763"/>
      <c r="H182" s="763"/>
      <c r="I182" s="763"/>
      <c r="J182" s="763"/>
      <c r="K182" s="763"/>
      <c r="L182" s="763"/>
      <c r="M182" s="763"/>
      <c r="N182" s="763"/>
      <c r="O182" s="763"/>
      <c r="P182" s="763"/>
      <c r="Q182" s="763"/>
      <c r="R182" s="763"/>
      <c r="S182" s="763"/>
      <c r="T182" s="763"/>
      <c r="U182" s="763"/>
      <c r="V182" s="763"/>
      <c r="W182" s="763"/>
      <c r="X182" s="763"/>
      <c r="Y182" s="774"/>
      <c r="Z182" s="793"/>
      <c r="AA182" s="793"/>
      <c r="AB182" s="793"/>
      <c r="AC182" s="793"/>
      <c r="AD182" s="793"/>
      <c r="AE182" s="793"/>
      <c r="AF182" s="793"/>
      <c r="AG182" s="435"/>
      <c r="AH182" s="435"/>
      <c r="AI182" s="435"/>
      <c r="AJ182" s="435"/>
      <c r="AK182" s="435"/>
      <c r="AL182" s="435"/>
      <c r="AM182" s="319"/>
    </row>
    <row r="183" spans="1:39" ht="30" outlineLevel="1">
      <c r="A183" s="529">
        <v>46</v>
      </c>
      <c r="B183" s="527" t="s">
        <v>138</v>
      </c>
      <c r="C183" s="304" t="s">
        <v>25</v>
      </c>
      <c r="D183" s="308"/>
      <c r="E183" s="308"/>
      <c r="F183" s="308"/>
      <c r="G183" s="308"/>
      <c r="H183" s="308"/>
      <c r="I183" s="308"/>
      <c r="J183" s="308"/>
      <c r="K183" s="308"/>
      <c r="L183" s="308"/>
      <c r="M183" s="308"/>
      <c r="N183" s="308">
        <v>12</v>
      </c>
      <c r="O183" s="308"/>
      <c r="P183" s="308"/>
      <c r="Q183" s="308"/>
      <c r="R183" s="308"/>
      <c r="S183" s="308"/>
      <c r="T183" s="308"/>
      <c r="U183" s="308"/>
      <c r="V183" s="308"/>
      <c r="W183" s="308"/>
      <c r="X183" s="308"/>
      <c r="Y183" s="789"/>
      <c r="Z183" s="772"/>
      <c r="AA183" s="772"/>
      <c r="AB183" s="772"/>
      <c r="AC183" s="772"/>
      <c r="AD183" s="772"/>
      <c r="AE183" s="772"/>
      <c r="AF183" s="777"/>
      <c r="AG183" s="427"/>
      <c r="AH183" s="427"/>
      <c r="AI183" s="427"/>
      <c r="AJ183" s="427"/>
      <c r="AK183" s="427"/>
      <c r="AL183" s="427"/>
      <c r="AM183" s="309">
        <f>SUM(Y183:AL183)</f>
        <v>0</v>
      </c>
    </row>
    <row r="184" spans="1:39" ht="15" outlineLevel="1">
      <c r="B184" s="307" t="s">
        <v>267</v>
      </c>
      <c r="C184" s="304" t="s">
        <v>163</v>
      </c>
      <c r="D184" s="308"/>
      <c r="E184" s="308"/>
      <c r="F184" s="308"/>
      <c r="G184" s="308"/>
      <c r="H184" s="308"/>
      <c r="I184" s="308"/>
      <c r="J184" s="308"/>
      <c r="K184" s="308"/>
      <c r="L184" s="308"/>
      <c r="M184" s="308"/>
      <c r="N184" s="308">
        <f>N183</f>
        <v>12</v>
      </c>
      <c r="O184" s="308"/>
      <c r="P184" s="308"/>
      <c r="Q184" s="308"/>
      <c r="R184" s="308"/>
      <c r="S184" s="308"/>
      <c r="T184" s="308"/>
      <c r="U184" s="308"/>
      <c r="V184" s="308"/>
      <c r="W184" s="308"/>
      <c r="X184" s="308"/>
      <c r="Y184" s="773">
        <f>Y183</f>
        <v>0</v>
      </c>
      <c r="Z184" s="773">
        <f t="shared" ref="Z184:AF184" si="283">Z183</f>
        <v>0</v>
      </c>
      <c r="AA184" s="773">
        <f t="shared" si="283"/>
        <v>0</v>
      </c>
      <c r="AB184" s="773">
        <f t="shared" si="283"/>
        <v>0</v>
      </c>
      <c r="AC184" s="773">
        <f t="shared" si="283"/>
        <v>0</v>
      </c>
      <c r="AD184" s="773">
        <f t="shared" si="283"/>
        <v>0</v>
      </c>
      <c r="AE184" s="773">
        <f t="shared" si="283"/>
        <v>0</v>
      </c>
      <c r="AF184" s="773">
        <f t="shared" si="283"/>
        <v>0</v>
      </c>
      <c r="AG184" s="423">
        <f t="shared" ref="AG184" si="284">AG183</f>
        <v>0</v>
      </c>
      <c r="AH184" s="423">
        <f t="shared" ref="AH184" si="285">AH183</f>
        <v>0</v>
      </c>
      <c r="AI184" s="423">
        <f t="shared" ref="AI184" si="286">AI183</f>
        <v>0</v>
      </c>
      <c r="AJ184" s="423">
        <f t="shared" ref="AJ184" si="287">AJ183</f>
        <v>0</v>
      </c>
      <c r="AK184" s="423">
        <f t="shared" ref="AK184" si="288">AK183</f>
        <v>0</v>
      </c>
      <c r="AL184" s="423">
        <f t="shared" ref="AL184" si="289">AL183</f>
        <v>0</v>
      </c>
      <c r="AM184" s="319"/>
    </row>
    <row r="185" spans="1:39" ht="15" outlineLevel="1">
      <c r="B185" s="527"/>
      <c r="C185" s="304"/>
      <c r="D185" s="763"/>
      <c r="E185" s="763"/>
      <c r="F185" s="763"/>
      <c r="G185" s="763"/>
      <c r="H185" s="763"/>
      <c r="I185" s="763"/>
      <c r="J185" s="763"/>
      <c r="K185" s="763"/>
      <c r="L185" s="763"/>
      <c r="M185" s="763"/>
      <c r="N185" s="763"/>
      <c r="O185" s="763"/>
      <c r="P185" s="763"/>
      <c r="Q185" s="763"/>
      <c r="R185" s="763"/>
      <c r="S185" s="763"/>
      <c r="T185" s="763"/>
      <c r="U185" s="763"/>
      <c r="V185" s="763"/>
      <c r="W185" s="763"/>
      <c r="X185" s="763"/>
      <c r="Y185" s="774"/>
      <c r="Z185" s="793"/>
      <c r="AA185" s="793"/>
      <c r="AB185" s="793"/>
      <c r="AC185" s="793"/>
      <c r="AD185" s="793"/>
      <c r="AE185" s="793"/>
      <c r="AF185" s="793"/>
      <c r="AG185" s="435"/>
      <c r="AH185" s="435"/>
      <c r="AI185" s="435"/>
      <c r="AJ185" s="435"/>
      <c r="AK185" s="435"/>
      <c r="AL185" s="435"/>
      <c r="AM185" s="319"/>
    </row>
    <row r="186" spans="1:39" ht="30" outlineLevel="1">
      <c r="A186" s="529">
        <v>47</v>
      </c>
      <c r="B186" s="527" t="s">
        <v>139</v>
      </c>
      <c r="C186" s="304" t="s">
        <v>25</v>
      </c>
      <c r="D186" s="308"/>
      <c r="E186" s="308"/>
      <c r="F186" s="308"/>
      <c r="G186" s="308"/>
      <c r="H186" s="308"/>
      <c r="I186" s="308"/>
      <c r="J186" s="308"/>
      <c r="K186" s="308"/>
      <c r="L186" s="308"/>
      <c r="M186" s="308"/>
      <c r="N186" s="308">
        <v>12</v>
      </c>
      <c r="O186" s="308"/>
      <c r="P186" s="308"/>
      <c r="Q186" s="308"/>
      <c r="R186" s="308"/>
      <c r="S186" s="308"/>
      <c r="T186" s="308"/>
      <c r="U186" s="308"/>
      <c r="V186" s="308"/>
      <c r="W186" s="308"/>
      <c r="X186" s="308"/>
      <c r="Y186" s="789"/>
      <c r="Z186" s="772"/>
      <c r="AA186" s="772"/>
      <c r="AB186" s="772"/>
      <c r="AC186" s="772"/>
      <c r="AD186" s="772"/>
      <c r="AE186" s="772"/>
      <c r="AF186" s="777"/>
      <c r="AG186" s="427"/>
      <c r="AH186" s="427"/>
      <c r="AI186" s="427"/>
      <c r="AJ186" s="427"/>
      <c r="AK186" s="427"/>
      <c r="AL186" s="427"/>
      <c r="AM186" s="309">
        <f>SUM(Y186:AL186)</f>
        <v>0</v>
      </c>
    </row>
    <row r="187" spans="1:39" ht="15" outlineLevel="1">
      <c r="B187" s="307" t="s">
        <v>267</v>
      </c>
      <c r="C187" s="304" t="s">
        <v>163</v>
      </c>
      <c r="D187" s="308"/>
      <c r="E187" s="308"/>
      <c r="F187" s="308"/>
      <c r="G187" s="308"/>
      <c r="H187" s="308"/>
      <c r="I187" s="308"/>
      <c r="J187" s="308"/>
      <c r="K187" s="308"/>
      <c r="L187" s="308"/>
      <c r="M187" s="308"/>
      <c r="N187" s="308">
        <f>N186</f>
        <v>12</v>
      </c>
      <c r="O187" s="308"/>
      <c r="P187" s="308"/>
      <c r="Q187" s="308"/>
      <c r="R187" s="308"/>
      <c r="S187" s="308"/>
      <c r="T187" s="308"/>
      <c r="U187" s="308"/>
      <c r="V187" s="308"/>
      <c r="W187" s="308"/>
      <c r="X187" s="308"/>
      <c r="Y187" s="773">
        <f>Y186</f>
        <v>0</v>
      </c>
      <c r="Z187" s="773">
        <f t="shared" ref="Z187:AF187" si="290">Z186</f>
        <v>0</v>
      </c>
      <c r="AA187" s="773">
        <f t="shared" si="290"/>
        <v>0</v>
      </c>
      <c r="AB187" s="773">
        <f t="shared" si="290"/>
        <v>0</v>
      </c>
      <c r="AC187" s="773">
        <f t="shared" si="290"/>
        <v>0</v>
      </c>
      <c r="AD187" s="773">
        <f t="shared" si="290"/>
        <v>0</v>
      </c>
      <c r="AE187" s="773">
        <f t="shared" si="290"/>
        <v>0</v>
      </c>
      <c r="AF187" s="773">
        <f t="shared" si="290"/>
        <v>0</v>
      </c>
      <c r="AG187" s="423">
        <f t="shared" ref="AG187" si="291">AG186</f>
        <v>0</v>
      </c>
      <c r="AH187" s="423">
        <f t="shared" ref="AH187" si="292">AH186</f>
        <v>0</v>
      </c>
      <c r="AI187" s="423">
        <f t="shared" ref="AI187" si="293">AI186</f>
        <v>0</v>
      </c>
      <c r="AJ187" s="423">
        <f t="shared" ref="AJ187" si="294">AJ186</f>
        <v>0</v>
      </c>
      <c r="AK187" s="423">
        <f t="shared" ref="AK187" si="295">AK186</f>
        <v>0</v>
      </c>
      <c r="AL187" s="423">
        <f t="shared" ref="AL187" si="296">AL186</f>
        <v>0</v>
      </c>
      <c r="AM187" s="319"/>
    </row>
    <row r="188" spans="1:39" ht="15" outlineLevel="1">
      <c r="B188" s="527"/>
      <c r="C188" s="304"/>
      <c r="D188" s="763"/>
      <c r="E188" s="763"/>
      <c r="F188" s="763"/>
      <c r="G188" s="763"/>
      <c r="H188" s="763"/>
      <c r="I188" s="763"/>
      <c r="J188" s="763"/>
      <c r="K188" s="763"/>
      <c r="L188" s="763"/>
      <c r="M188" s="763"/>
      <c r="N188" s="763"/>
      <c r="O188" s="763"/>
      <c r="P188" s="763"/>
      <c r="Q188" s="763"/>
      <c r="R188" s="763"/>
      <c r="S188" s="763"/>
      <c r="T188" s="763"/>
      <c r="U188" s="763"/>
      <c r="V188" s="763"/>
      <c r="W188" s="763"/>
      <c r="X188" s="763"/>
      <c r="Y188" s="774"/>
      <c r="Z188" s="793"/>
      <c r="AA188" s="793"/>
      <c r="AB188" s="793"/>
      <c r="AC188" s="793"/>
      <c r="AD188" s="793"/>
      <c r="AE188" s="793"/>
      <c r="AF188" s="793"/>
      <c r="AG188" s="435"/>
      <c r="AH188" s="435"/>
      <c r="AI188" s="435"/>
      <c r="AJ188" s="435"/>
      <c r="AK188" s="435"/>
      <c r="AL188" s="435"/>
      <c r="AM188" s="319"/>
    </row>
    <row r="189" spans="1:39" ht="30" outlineLevel="1">
      <c r="A189" s="529">
        <v>48</v>
      </c>
      <c r="B189" s="527" t="s">
        <v>140</v>
      </c>
      <c r="C189" s="304" t="s">
        <v>25</v>
      </c>
      <c r="D189" s="308"/>
      <c r="E189" s="308"/>
      <c r="F189" s="308"/>
      <c r="G189" s="308"/>
      <c r="H189" s="308"/>
      <c r="I189" s="308"/>
      <c r="J189" s="308"/>
      <c r="K189" s="308"/>
      <c r="L189" s="308"/>
      <c r="M189" s="308"/>
      <c r="N189" s="308">
        <v>12</v>
      </c>
      <c r="O189" s="308"/>
      <c r="P189" s="308"/>
      <c r="Q189" s="308"/>
      <c r="R189" s="308"/>
      <c r="S189" s="308"/>
      <c r="T189" s="308"/>
      <c r="U189" s="308"/>
      <c r="V189" s="308"/>
      <c r="W189" s="308"/>
      <c r="X189" s="308"/>
      <c r="Y189" s="789"/>
      <c r="Z189" s="772"/>
      <c r="AA189" s="772"/>
      <c r="AB189" s="772"/>
      <c r="AC189" s="772"/>
      <c r="AD189" s="772"/>
      <c r="AE189" s="772"/>
      <c r="AF189" s="777"/>
      <c r="AG189" s="427"/>
      <c r="AH189" s="427"/>
      <c r="AI189" s="427"/>
      <c r="AJ189" s="427"/>
      <c r="AK189" s="427"/>
      <c r="AL189" s="427"/>
      <c r="AM189" s="309">
        <f>SUM(Y189:AL189)</f>
        <v>0</v>
      </c>
    </row>
    <row r="190" spans="1:39" ht="15" outlineLevel="1">
      <c r="B190" s="307" t="s">
        <v>267</v>
      </c>
      <c r="C190" s="304" t="s">
        <v>163</v>
      </c>
      <c r="D190" s="308"/>
      <c r="E190" s="308"/>
      <c r="F190" s="308"/>
      <c r="G190" s="308"/>
      <c r="H190" s="308"/>
      <c r="I190" s="308"/>
      <c r="J190" s="308"/>
      <c r="K190" s="308"/>
      <c r="L190" s="308"/>
      <c r="M190" s="308"/>
      <c r="N190" s="308">
        <f>N189</f>
        <v>12</v>
      </c>
      <c r="O190" s="308"/>
      <c r="P190" s="308"/>
      <c r="Q190" s="308"/>
      <c r="R190" s="308"/>
      <c r="S190" s="308"/>
      <c r="T190" s="308"/>
      <c r="U190" s="308"/>
      <c r="V190" s="308"/>
      <c r="W190" s="308"/>
      <c r="X190" s="308"/>
      <c r="Y190" s="773">
        <f>Y189</f>
        <v>0</v>
      </c>
      <c r="Z190" s="773">
        <f t="shared" ref="Z190:AF190" si="297">Z189</f>
        <v>0</v>
      </c>
      <c r="AA190" s="773">
        <f t="shared" si="297"/>
        <v>0</v>
      </c>
      <c r="AB190" s="773">
        <f t="shared" si="297"/>
        <v>0</v>
      </c>
      <c r="AC190" s="773">
        <f t="shared" si="297"/>
        <v>0</v>
      </c>
      <c r="AD190" s="773">
        <f t="shared" si="297"/>
        <v>0</v>
      </c>
      <c r="AE190" s="773">
        <f t="shared" si="297"/>
        <v>0</v>
      </c>
      <c r="AF190" s="773">
        <f t="shared" si="297"/>
        <v>0</v>
      </c>
      <c r="AG190" s="423">
        <f t="shared" ref="AG190" si="298">AG189</f>
        <v>0</v>
      </c>
      <c r="AH190" s="423">
        <f t="shared" ref="AH190" si="299">AH189</f>
        <v>0</v>
      </c>
      <c r="AI190" s="423">
        <f t="shared" ref="AI190" si="300">AI189</f>
        <v>0</v>
      </c>
      <c r="AJ190" s="423">
        <f t="shared" ref="AJ190" si="301">AJ189</f>
        <v>0</v>
      </c>
      <c r="AK190" s="423">
        <f t="shared" ref="AK190" si="302">AK189</f>
        <v>0</v>
      </c>
      <c r="AL190" s="423">
        <f t="shared" ref="AL190" si="303">AL189</f>
        <v>0</v>
      </c>
      <c r="AM190" s="319"/>
    </row>
    <row r="191" spans="1:39" ht="15" outlineLevel="1">
      <c r="B191" s="527"/>
      <c r="C191" s="304"/>
      <c r="D191" s="763"/>
      <c r="E191" s="763"/>
      <c r="F191" s="763"/>
      <c r="G191" s="763"/>
      <c r="H191" s="763"/>
      <c r="I191" s="763"/>
      <c r="J191" s="763"/>
      <c r="K191" s="763"/>
      <c r="L191" s="763"/>
      <c r="M191" s="763"/>
      <c r="N191" s="763"/>
      <c r="O191" s="763"/>
      <c r="P191" s="763"/>
      <c r="Q191" s="763"/>
      <c r="R191" s="763"/>
      <c r="S191" s="763"/>
      <c r="T191" s="763"/>
      <c r="U191" s="763"/>
      <c r="V191" s="763"/>
      <c r="W191" s="763"/>
      <c r="X191" s="763"/>
      <c r="Y191" s="774"/>
      <c r="Z191" s="793"/>
      <c r="AA191" s="793"/>
      <c r="AB191" s="793"/>
      <c r="AC191" s="793"/>
      <c r="AD191" s="793"/>
      <c r="AE191" s="793"/>
      <c r="AF191" s="793"/>
      <c r="AG191" s="435"/>
      <c r="AH191" s="435"/>
      <c r="AI191" s="435"/>
      <c r="AJ191" s="435"/>
      <c r="AK191" s="435"/>
      <c r="AL191" s="435"/>
      <c r="AM191" s="319"/>
    </row>
    <row r="192" spans="1:39" ht="30" outlineLevel="1">
      <c r="A192" s="529">
        <v>49</v>
      </c>
      <c r="B192" s="527" t="s">
        <v>141</v>
      </c>
      <c r="C192" s="304" t="s">
        <v>25</v>
      </c>
      <c r="D192" s="308"/>
      <c r="E192" s="308"/>
      <c r="F192" s="308"/>
      <c r="G192" s="308"/>
      <c r="H192" s="308"/>
      <c r="I192" s="308"/>
      <c r="J192" s="308"/>
      <c r="K192" s="308"/>
      <c r="L192" s="308"/>
      <c r="M192" s="308"/>
      <c r="N192" s="308">
        <v>12</v>
      </c>
      <c r="O192" s="308"/>
      <c r="P192" s="308"/>
      <c r="Q192" s="308"/>
      <c r="R192" s="308"/>
      <c r="S192" s="308"/>
      <c r="T192" s="308"/>
      <c r="U192" s="308"/>
      <c r="V192" s="308"/>
      <c r="W192" s="308"/>
      <c r="X192" s="308"/>
      <c r="Y192" s="789"/>
      <c r="Z192" s="772"/>
      <c r="AA192" s="772"/>
      <c r="AB192" s="772"/>
      <c r="AC192" s="772"/>
      <c r="AD192" s="772"/>
      <c r="AE192" s="772"/>
      <c r="AF192" s="777"/>
      <c r="AG192" s="427"/>
      <c r="AH192" s="427"/>
      <c r="AI192" s="427"/>
      <c r="AJ192" s="427"/>
      <c r="AK192" s="427"/>
      <c r="AL192" s="427"/>
      <c r="AM192" s="309">
        <f>SUM(Y192:AL192)</f>
        <v>0</v>
      </c>
    </row>
    <row r="193" spans="2:39" ht="15" outlineLevel="1">
      <c r="B193" s="307" t="s">
        <v>267</v>
      </c>
      <c r="C193" s="304" t="s">
        <v>163</v>
      </c>
      <c r="D193" s="308"/>
      <c r="E193" s="308"/>
      <c r="F193" s="308"/>
      <c r="G193" s="308"/>
      <c r="H193" s="308"/>
      <c r="I193" s="308"/>
      <c r="J193" s="308"/>
      <c r="K193" s="308"/>
      <c r="L193" s="308"/>
      <c r="M193" s="308"/>
      <c r="N193" s="308">
        <f>N192</f>
        <v>12</v>
      </c>
      <c r="O193" s="308"/>
      <c r="P193" s="308"/>
      <c r="Q193" s="308"/>
      <c r="R193" s="308"/>
      <c r="S193" s="308"/>
      <c r="T193" s="308"/>
      <c r="U193" s="308"/>
      <c r="V193" s="308"/>
      <c r="W193" s="308"/>
      <c r="X193" s="308"/>
      <c r="Y193" s="773">
        <f>Y192</f>
        <v>0</v>
      </c>
      <c r="Z193" s="773">
        <f t="shared" ref="Z193:AF193" si="304">Z192</f>
        <v>0</v>
      </c>
      <c r="AA193" s="773">
        <f t="shared" si="304"/>
        <v>0</v>
      </c>
      <c r="AB193" s="773">
        <f t="shared" si="304"/>
        <v>0</v>
      </c>
      <c r="AC193" s="773">
        <f t="shared" si="304"/>
        <v>0</v>
      </c>
      <c r="AD193" s="773">
        <f t="shared" si="304"/>
        <v>0</v>
      </c>
      <c r="AE193" s="773">
        <f t="shared" si="304"/>
        <v>0</v>
      </c>
      <c r="AF193" s="773">
        <f t="shared" si="304"/>
        <v>0</v>
      </c>
      <c r="AG193" s="423">
        <f t="shared" ref="AG193" si="305">AG192</f>
        <v>0</v>
      </c>
      <c r="AH193" s="423">
        <f t="shared" ref="AH193" si="306">AH192</f>
        <v>0</v>
      </c>
      <c r="AI193" s="423">
        <f t="shared" ref="AI193" si="307">AI192</f>
        <v>0</v>
      </c>
      <c r="AJ193" s="423">
        <f t="shared" ref="AJ193" si="308">AJ192</f>
        <v>0</v>
      </c>
      <c r="AK193" s="423">
        <f t="shared" ref="AK193" si="309">AK192</f>
        <v>0</v>
      </c>
      <c r="AL193" s="423">
        <f t="shared" ref="AL193" si="310">AL192</f>
        <v>0</v>
      </c>
      <c r="AM193" s="319"/>
    </row>
    <row r="194" spans="2:39" ht="15" outlineLevel="1">
      <c r="B194" s="307"/>
      <c r="C194" s="318"/>
      <c r="D194" s="304"/>
      <c r="E194" s="304"/>
      <c r="F194" s="304"/>
      <c r="G194" s="304"/>
      <c r="H194" s="304"/>
      <c r="I194" s="304"/>
      <c r="J194" s="304"/>
      <c r="K194" s="304"/>
      <c r="L194" s="304"/>
      <c r="M194" s="304"/>
      <c r="N194" s="304"/>
      <c r="O194" s="304"/>
      <c r="P194" s="304"/>
      <c r="Q194" s="304"/>
      <c r="R194" s="304"/>
      <c r="S194" s="304"/>
      <c r="T194" s="304"/>
      <c r="U194" s="304"/>
      <c r="V194" s="304"/>
      <c r="W194" s="304"/>
      <c r="X194" s="304"/>
      <c r="Y194" s="314"/>
      <c r="Z194" s="314"/>
      <c r="AA194" s="314"/>
      <c r="AB194" s="314"/>
      <c r="AC194" s="314"/>
      <c r="AD194" s="314"/>
      <c r="AE194" s="314"/>
      <c r="AF194" s="314"/>
      <c r="AG194" s="314"/>
      <c r="AH194" s="314"/>
      <c r="AI194" s="314"/>
      <c r="AJ194" s="314"/>
      <c r="AK194" s="314"/>
      <c r="AL194" s="314"/>
      <c r="AM194" s="319"/>
    </row>
    <row r="195" spans="2:39" ht="15.6">
      <c r="B195" s="339" t="s">
        <v>271</v>
      </c>
      <c r="C195" s="341"/>
      <c r="D195" s="341">
        <f>SUM(D38:D193)</f>
        <v>6041257.541719052</v>
      </c>
      <c r="E195" s="341"/>
      <c r="F195" s="341"/>
      <c r="G195" s="341"/>
      <c r="H195" s="341"/>
      <c r="I195" s="341"/>
      <c r="J195" s="341"/>
      <c r="K195" s="341"/>
      <c r="L195" s="341"/>
      <c r="M195" s="341"/>
      <c r="N195" s="341"/>
      <c r="O195" s="341">
        <f>SUM(O38:O193)</f>
        <v>798.56601673126579</v>
      </c>
      <c r="P195" s="341"/>
      <c r="Q195" s="341"/>
      <c r="R195" s="341"/>
      <c r="S195" s="341"/>
      <c r="T195" s="341"/>
      <c r="U195" s="341"/>
      <c r="V195" s="341"/>
      <c r="W195" s="341"/>
      <c r="X195" s="341"/>
      <c r="Y195" s="341">
        <f>IF(Y36="kWh",SUMPRODUCT(D38:D193,Y38:Y193))</f>
        <v>1229857</v>
      </c>
      <c r="Z195" s="341">
        <f>IF(Z36="kWh",SUMPRODUCT(D38:D193,Z38:Z193))</f>
        <v>1595265.6812672871</v>
      </c>
      <c r="AA195" s="341">
        <f>IF(AA36="kw",SUMPRODUCT(N38:N193,O38:O193,AA38:AA193),SUMPRODUCT(D38:D193,AA38:AA193))</f>
        <v>2227.7614262558131</v>
      </c>
      <c r="AB195" s="341">
        <f>IF(AB36="kw",SUMPRODUCT(N38:N193,O38:O193,AB38:AB193),SUMPRODUCT(D38:D193,AB38:AB193))</f>
        <v>2295.269348263565</v>
      </c>
      <c r="AC195" s="341">
        <f>IF(AC36="kw",SUMPRODUCT(N38:N193,O38:O193,AC38:AC193),SUMPRODUCT(D38:D193,AC38:AC193))</f>
        <v>0</v>
      </c>
      <c r="AD195" s="341">
        <f>IF(AD36="kw",SUMPRODUCT(N38:N193,O38:O193,AD38:AD193),SUMPRODUCT(D38:D193,AD38:AD193))</f>
        <v>0</v>
      </c>
      <c r="AE195" s="819">
        <f>-'8.  Streetlighting'!G38</f>
        <v>61.430903999999884</v>
      </c>
      <c r="AF195" s="341">
        <f>IF(AF36="kw",SUMPRODUCT(N38:N193,O38:O193,AF38:AF193),SUMPRODUCT(D38:D193,AF38:AF193))</f>
        <v>0</v>
      </c>
      <c r="AG195" s="341">
        <f>IF(AG36="kw",SUMPRODUCT(N38:N193,O38:O193,AG38:AG193),SUMPRODUCT(D38:D193,AG38:AG193))</f>
        <v>0</v>
      </c>
      <c r="AH195" s="341">
        <f>IF(AH36="kw",SUMPRODUCT(N38:N193,O38:O193,AH38:AH193),SUMPRODUCT(D38:D193,AH38:AH193))</f>
        <v>0</v>
      </c>
      <c r="AI195" s="341">
        <f>IF(AI36="kw",SUMPRODUCT(N38:N193,O38:O193,AI38:AI193),SUMPRODUCT(D38:D193,AI38:AI193))</f>
        <v>0</v>
      </c>
      <c r="AJ195" s="341">
        <f>IF(AJ36="kw",SUMPRODUCT(N38:N193,O38:O193,AJ38:AJ193),SUMPRODUCT(D38:D193,AJ38:AJ193))</f>
        <v>0</v>
      </c>
      <c r="AK195" s="341">
        <f>IF(AK36="kw",SUMPRODUCT(N38:N193,O38:O193,AK38:AK193),SUMPRODUCT(D38:D193,AK38:AK193))</f>
        <v>0</v>
      </c>
      <c r="AL195" s="341">
        <f>IF(AL36="kw",SUMPRODUCT(N38:N193,O38:O193,AL38:AL193),SUMPRODUCT(D38:D193,AL38:AL193))</f>
        <v>0</v>
      </c>
      <c r="AM195" s="342"/>
    </row>
    <row r="196" spans="2:39" ht="15.6">
      <c r="B196" s="403" t="s">
        <v>272</v>
      </c>
      <c r="C196" s="404"/>
      <c r="D196" s="404"/>
      <c r="E196" s="404"/>
      <c r="F196" s="404"/>
      <c r="G196" s="404"/>
      <c r="H196" s="404"/>
      <c r="I196" s="404"/>
      <c r="J196" s="404"/>
      <c r="K196" s="404"/>
      <c r="L196" s="404"/>
      <c r="M196" s="404"/>
      <c r="N196" s="404"/>
      <c r="O196" s="404"/>
      <c r="P196" s="404"/>
      <c r="Q196" s="404"/>
      <c r="R196" s="404"/>
      <c r="S196" s="404"/>
      <c r="T196" s="404"/>
      <c r="U196" s="404"/>
      <c r="V196" s="404"/>
      <c r="W196" s="404"/>
      <c r="X196" s="404"/>
      <c r="Y196" s="404">
        <f>HLOOKUP(Y35,'2. LRAMVA Threshold'!$B$42:$Q$53,7,FALSE)</f>
        <v>2396997</v>
      </c>
      <c r="Z196" s="404">
        <f>HLOOKUP(Z35,'2. LRAMVA Threshold'!$B$42:$Q$53,7,FALSE)</f>
        <v>619006</v>
      </c>
      <c r="AA196" s="404">
        <f>HLOOKUP(AA35,'2. LRAMVA Threshold'!$B$42:$Q$53,7,FALSE)</f>
        <v>2770</v>
      </c>
      <c r="AB196" s="404">
        <f>HLOOKUP(AB35,'2. LRAMVA Threshold'!$B$42:$Q$53,7,FALSE)</f>
        <v>607</v>
      </c>
      <c r="AC196" s="404">
        <f>HLOOKUP(AC35,'2. LRAMVA Threshold'!$B$42:$Q$53,7,FALSE)</f>
        <v>0</v>
      </c>
      <c r="AD196" s="404">
        <f>HLOOKUP(AD35,'2. LRAMVA Threshold'!$B$42:$Q$53,7,FALSE)</f>
        <v>0</v>
      </c>
      <c r="AE196" s="404">
        <f>HLOOKUP(AE35,'2. LRAMVA Threshold'!$B$42:$Q$53,7,FALSE)</f>
        <v>0</v>
      </c>
      <c r="AF196" s="404">
        <f>HLOOKUP(AF35,'2. LRAMVA Threshold'!$B$42:$Q$53,7,FALSE)</f>
        <v>0</v>
      </c>
      <c r="AG196" s="404">
        <f>HLOOKUP(AG35,'2. LRAMVA Threshold'!$B$42:$Q$53,7,FALSE)</f>
        <v>0</v>
      </c>
      <c r="AH196" s="404">
        <f>HLOOKUP(AH35,'2. LRAMVA Threshold'!$B$42:$Q$53,7,FALSE)</f>
        <v>0</v>
      </c>
      <c r="AI196" s="404">
        <f>HLOOKUP(AI35,'2. LRAMVA Threshold'!$B$42:$Q$53,7,FALSE)</f>
        <v>0</v>
      </c>
      <c r="AJ196" s="404">
        <f>HLOOKUP(AJ35,'2. LRAMVA Threshold'!$B$42:$Q$53,7,FALSE)</f>
        <v>0</v>
      </c>
      <c r="AK196" s="404">
        <f>HLOOKUP(AK35,'2. LRAMVA Threshold'!$B$42:$Q$53,7,FALSE)</f>
        <v>0</v>
      </c>
      <c r="AL196" s="404">
        <f>HLOOKUP(AL35,'2. LRAMVA Threshold'!$B$42:$Q$53,7,FALSE)</f>
        <v>0</v>
      </c>
      <c r="AM196" s="405"/>
    </row>
    <row r="197" spans="2:39" ht="15">
      <c r="B197" s="528"/>
      <c r="C197" s="442"/>
      <c r="D197" s="443"/>
      <c r="E197" s="443"/>
      <c r="F197" s="443"/>
      <c r="G197" s="443"/>
      <c r="H197" s="443"/>
      <c r="I197" s="443"/>
      <c r="J197" s="443"/>
      <c r="K197" s="443"/>
      <c r="L197" s="443"/>
      <c r="M197" s="443"/>
      <c r="N197" s="443"/>
      <c r="O197" s="444"/>
      <c r="P197" s="443"/>
      <c r="Q197" s="443"/>
      <c r="R197" s="443"/>
      <c r="S197" s="445"/>
      <c r="T197" s="445"/>
      <c r="U197" s="445"/>
      <c r="V197" s="445"/>
      <c r="W197" s="443"/>
      <c r="X197" s="443"/>
      <c r="Y197" s="446"/>
      <c r="Z197" s="446"/>
      <c r="AA197" s="446"/>
      <c r="AB197" s="446"/>
      <c r="AC197" s="446"/>
      <c r="AD197" s="446"/>
      <c r="AE197" s="446"/>
      <c r="AF197" s="411"/>
      <c r="AG197" s="411"/>
      <c r="AH197" s="411"/>
      <c r="AI197" s="411"/>
      <c r="AJ197" s="411"/>
      <c r="AK197" s="411"/>
      <c r="AL197" s="411"/>
      <c r="AM197" s="412"/>
    </row>
    <row r="198" spans="2:39" ht="15">
      <c r="B198" s="336" t="s">
        <v>168</v>
      </c>
      <c r="C198" s="350"/>
      <c r="D198" s="350"/>
      <c r="E198" s="388"/>
      <c r="F198" s="388"/>
      <c r="G198" s="388"/>
      <c r="H198" s="388"/>
      <c r="I198" s="388"/>
      <c r="J198" s="388"/>
      <c r="K198" s="388"/>
      <c r="L198" s="388"/>
      <c r="M198" s="388"/>
      <c r="N198" s="388"/>
      <c r="O198" s="304"/>
      <c r="P198" s="352"/>
      <c r="Q198" s="352"/>
      <c r="R198" s="352"/>
      <c r="S198" s="351"/>
      <c r="T198" s="351"/>
      <c r="U198" s="351"/>
      <c r="V198" s="351"/>
      <c r="W198" s="352"/>
      <c r="X198" s="352"/>
      <c r="Y198" s="353">
        <f>HLOOKUP(Y$35,'3.  Distribution Rates'!$C$122:$P$133,7,FALSE)</f>
        <v>1.1900000000000001E-2</v>
      </c>
      <c r="Z198" s="353">
        <f>HLOOKUP(Z$35,'3.  Distribution Rates'!$C$122:$P$133,7,FALSE)</f>
        <v>8.5000000000000006E-3</v>
      </c>
      <c r="AA198" s="353">
        <f>HLOOKUP(AA$35,'3.  Distribution Rates'!$C$122:$P$133,7,FALSE)</f>
        <v>3.4379</v>
      </c>
      <c r="AB198" s="353">
        <f>HLOOKUP(AB$35,'3.  Distribution Rates'!$C$122:$P$133,7,FALSE)</f>
        <v>3.1516999999999999</v>
      </c>
      <c r="AC198" s="353">
        <f>HLOOKUP(AC$35,'3.  Distribution Rates'!$C$122:$P$133,7,FALSE)</f>
        <v>4.4999999999999997E-3</v>
      </c>
      <c r="AD198" s="353">
        <f>HLOOKUP(AD$35,'3.  Distribution Rates'!$C$122:$P$133,7,FALSE)</f>
        <v>19.0608</v>
      </c>
      <c r="AE198" s="353">
        <f>HLOOKUP(AE$35,'3.  Distribution Rates'!$C$122:$P$133,7,FALSE)</f>
        <v>29.902999999999999</v>
      </c>
      <c r="AF198" s="353">
        <f>HLOOKUP(AF$35,'3.  Distribution Rates'!$C$122:$P$133,7,FALSE)</f>
        <v>0</v>
      </c>
      <c r="AG198" s="353">
        <f>HLOOKUP(AG$35,'3.  Distribution Rates'!$C$122:$P$133,7,FALSE)</f>
        <v>0</v>
      </c>
      <c r="AH198" s="353">
        <f>HLOOKUP(AH$35,'3.  Distribution Rates'!$C$122:$P$133,7,FALSE)</f>
        <v>0</v>
      </c>
      <c r="AI198" s="353">
        <f>HLOOKUP(AI$35,'3.  Distribution Rates'!$C$122:$P$133,7,FALSE)</f>
        <v>0</v>
      </c>
      <c r="AJ198" s="353">
        <f>HLOOKUP(AJ$35,'3.  Distribution Rates'!$C$122:$P$133,7,FALSE)</f>
        <v>0</v>
      </c>
      <c r="AK198" s="353">
        <f>HLOOKUP(AK$35,'3.  Distribution Rates'!$C$122:$P$133,7,FALSE)</f>
        <v>0</v>
      </c>
      <c r="AL198" s="353">
        <f>HLOOKUP(AL$35,'3.  Distribution Rates'!$C$122:$P$133,7,FALSE)</f>
        <v>0</v>
      </c>
      <c r="AM198" s="360"/>
    </row>
    <row r="199" spans="2:39" ht="15">
      <c r="B199" s="336" t="s">
        <v>149</v>
      </c>
      <c r="C199" s="357"/>
      <c r="D199" s="322"/>
      <c r="E199" s="292"/>
      <c r="F199" s="292"/>
      <c r="G199" s="292"/>
      <c r="H199" s="292"/>
      <c r="I199" s="292"/>
      <c r="J199" s="292"/>
      <c r="K199" s="292"/>
      <c r="L199" s="292"/>
      <c r="M199" s="292"/>
      <c r="N199" s="292"/>
      <c r="O199" s="304"/>
      <c r="P199" s="292"/>
      <c r="Q199" s="292"/>
      <c r="R199" s="292"/>
      <c r="S199" s="322"/>
      <c r="T199" s="322"/>
      <c r="U199" s="322"/>
      <c r="V199" s="322"/>
      <c r="W199" s="292"/>
      <c r="X199" s="292"/>
      <c r="Y199" s="390">
        <f>'4.  2011-2014 LRAM'!Y138*Y198</f>
        <v>6788.9115260587078</v>
      </c>
      <c r="Z199" s="390">
        <f>'4.  2011-2014 LRAM'!Z138*Z198</f>
        <v>3238.3499534958169</v>
      </c>
      <c r="AA199" s="390">
        <f>'4.  2011-2014 LRAM'!AA138*AA198</f>
        <v>6112.0489776485956</v>
      </c>
      <c r="AB199" s="390">
        <f>'4.  2011-2014 LRAM'!AB138*AB198</f>
        <v>8.7053865026085084</v>
      </c>
      <c r="AC199" s="390">
        <f>'4.  2011-2014 LRAM'!AC138*AC198</f>
        <v>0</v>
      </c>
      <c r="AD199" s="390">
        <f>'4.  2011-2014 LRAM'!AD138*AD198</f>
        <v>0</v>
      </c>
      <c r="AE199" s="390">
        <f>'4.  2011-2014 LRAM'!AE138*AE198</f>
        <v>0</v>
      </c>
      <c r="AF199" s="390">
        <f>'4.  2011-2014 LRAM'!AF138*AF198</f>
        <v>0</v>
      </c>
      <c r="AG199" s="390">
        <f>'4.  2011-2014 LRAM'!AG138*AG198</f>
        <v>0</v>
      </c>
      <c r="AH199" s="390">
        <f>'4.  2011-2014 LRAM'!AH138*AH198</f>
        <v>0</v>
      </c>
      <c r="AI199" s="390">
        <f>'4.  2011-2014 LRAM'!AI138*AI198</f>
        <v>0</v>
      </c>
      <c r="AJ199" s="390">
        <f>'4.  2011-2014 LRAM'!AJ138*AJ198</f>
        <v>0</v>
      </c>
      <c r="AK199" s="390">
        <f>'4.  2011-2014 LRAM'!AK138*AK198</f>
        <v>0</v>
      </c>
      <c r="AL199" s="390">
        <f>'4.  2011-2014 LRAM'!AL138*AL198</f>
        <v>0</v>
      </c>
      <c r="AM199" s="635">
        <f>SUM(Y199:AL199)</f>
        <v>16148.015843705729</v>
      </c>
    </row>
    <row r="200" spans="2:39" ht="15">
      <c r="B200" s="336" t="s">
        <v>150</v>
      </c>
      <c r="C200" s="357"/>
      <c r="D200" s="322"/>
      <c r="E200" s="292"/>
      <c r="F200" s="292"/>
      <c r="G200" s="292"/>
      <c r="H200" s="292"/>
      <c r="I200" s="292"/>
      <c r="J200" s="292"/>
      <c r="K200" s="292"/>
      <c r="L200" s="292"/>
      <c r="M200" s="292"/>
      <c r="N200" s="292"/>
      <c r="O200" s="304"/>
      <c r="P200" s="292"/>
      <c r="Q200" s="292"/>
      <c r="R200" s="292"/>
      <c r="S200" s="322"/>
      <c r="T200" s="322"/>
      <c r="U200" s="322"/>
      <c r="V200" s="322"/>
      <c r="W200" s="292"/>
      <c r="X200" s="292"/>
      <c r="Y200" s="390">
        <f>'4.  2011-2014 LRAM'!Y267*Y198</f>
        <v>4303.9644880003762</v>
      </c>
      <c r="Z200" s="390">
        <f>'4.  2011-2014 LRAM'!Z267*Z198</f>
        <v>2100.7013108080946</v>
      </c>
      <c r="AA200" s="390">
        <f>'4.  2011-2014 LRAM'!AA267*AA198</f>
        <v>3848.8903186209909</v>
      </c>
      <c r="AB200" s="390">
        <f>'4.  2011-2014 LRAM'!AB267*AB198</f>
        <v>5629.8467260467005</v>
      </c>
      <c r="AC200" s="390">
        <f>'4.  2011-2014 LRAM'!AC267*AC198</f>
        <v>0</v>
      </c>
      <c r="AD200" s="390">
        <f>'4.  2011-2014 LRAM'!AD267*AD198</f>
        <v>0</v>
      </c>
      <c r="AE200" s="390">
        <f>'4.  2011-2014 LRAM'!AE267*AE198</f>
        <v>0</v>
      </c>
      <c r="AF200" s="390">
        <f>'4.  2011-2014 LRAM'!AF267*AF198</f>
        <v>0</v>
      </c>
      <c r="AG200" s="390">
        <f>'4.  2011-2014 LRAM'!AG267*AG198</f>
        <v>0</v>
      </c>
      <c r="AH200" s="390">
        <f>'4.  2011-2014 LRAM'!AH267*AH198</f>
        <v>0</v>
      </c>
      <c r="AI200" s="390">
        <f>'4.  2011-2014 LRAM'!AI267*AI198</f>
        <v>0</v>
      </c>
      <c r="AJ200" s="390">
        <f>'4.  2011-2014 LRAM'!AJ267*AJ198</f>
        <v>0</v>
      </c>
      <c r="AK200" s="390">
        <f>'4.  2011-2014 LRAM'!AK267*AK198</f>
        <v>0</v>
      </c>
      <c r="AL200" s="390">
        <f>'4.  2011-2014 LRAM'!AL267*AL198</f>
        <v>0</v>
      </c>
      <c r="AM200" s="635">
        <f>SUM(Y200:AL200)</f>
        <v>15883.402843476162</v>
      </c>
    </row>
    <row r="201" spans="2:39" ht="15">
      <c r="B201" s="336" t="s">
        <v>151</v>
      </c>
      <c r="C201" s="357"/>
      <c r="D201" s="322"/>
      <c r="E201" s="292"/>
      <c r="F201" s="292"/>
      <c r="G201" s="292"/>
      <c r="H201" s="292"/>
      <c r="I201" s="292"/>
      <c r="J201" s="292"/>
      <c r="K201" s="292"/>
      <c r="L201" s="292"/>
      <c r="M201" s="292"/>
      <c r="N201" s="292"/>
      <c r="O201" s="304"/>
      <c r="P201" s="292"/>
      <c r="Q201" s="292"/>
      <c r="R201" s="292"/>
      <c r="S201" s="322"/>
      <c r="T201" s="322"/>
      <c r="U201" s="322"/>
      <c r="V201" s="322"/>
      <c r="W201" s="292"/>
      <c r="X201" s="292"/>
      <c r="Y201" s="390">
        <f>'4.  2011-2014 LRAM'!Y396*Y198</f>
        <v>4592.4739351893641</v>
      </c>
      <c r="Z201" s="390">
        <f>'4.  2011-2014 LRAM'!Z396*Z198</f>
        <v>7206.4222247937314</v>
      </c>
      <c r="AA201" s="390">
        <f>'4.  2011-2014 LRAM'!AA396*AA198</f>
        <v>5710.0955962967973</v>
      </c>
      <c r="AB201" s="390">
        <f>'4.  2011-2014 LRAM'!AB396*AB198</f>
        <v>935.74651464450233</v>
      </c>
      <c r="AC201" s="390">
        <f>'4.  2011-2014 LRAM'!AC396*AC198</f>
        <v>0</v>
      </c>
      <c r="AD201" s="390">
        <f>'4.  2011-2014 LRAM'!AD396*AD198</f>
        <v>0</v>
      </c>
      <c r="AE201" s="390">
        <f>'4.  2011-2014 LRAM'!AE396*AE198</f>
        <v>0</v>
      </c>
      <c r="AF201" s="390">
        <f>'4.  2011-2014 LRAM'!AF396*AF198</f>
        <v>0</v>
      </c>
      <c r="AG201" s="390">
        <f>'4.  2011-2014 LRAM'!AG396*AG198</f>
        <v>0</v>
      </c>
      <c r="AH201" s="390">
        <f>'4.  2011-2014 LRAM'!AH396*AH198</f>
        <v>0</v>
      </c>
      <c r="AI201" s="390">
        <f>'4.  2011-2014 LRAM'!AI396*AI198</f>
        <v>0</v>
      </c>
      <c r="AJ201" s="390">
        <f>'4.  2011-2014 LRAM'!AJ396*AJ198</f>
        <v>0</v>
      </c>
      <c r="AK201" s="390">
        <f>'4.  2011-2014 LRAM'!AK396*AK198</f>
        <v>0</v>
      </c>
      <c r="AL201" s="390">
        <f>'4.  2011-2014 LRAM'!AL396*AL198</f>
        <v>0</v>
      </c>
      <c r="AM201" s="635">
        <f>SUM(Y201:AL201)</f>
        <v>18444.738270924394</v>
      </c>
    </row>
    <row r="202" spans="2:39" ht="15">
      <c r="B202" s="336" t="s">
        <v>152</v>
      </c>
      <c r="C202" s="357"/>
      <c r="D202" s="322"/>
      <c r="E202" s="292"/>
      <c r="F202" s="292"/>
      <c r="G202" s="292"/>
      <c r="H202" s="292"/>
      <c r="I202" s="292"/>
      <c r="J202" s="292"/>
      <c r="K202" s="292"/>
      <c r="L202" s="292"/>
      <c r="M202" s="292"/>
      <c r="N202" s="292"/>
      <c r="O202" s="304"/>
      <c r="P202" s="292"/>
      <c r="Q202" s="292"/>
      <c r="R202" s="292"/>
      <c r="S202" s="322"/>
      <c r="T202" s="322"/>
      <c r="U202" s="322"/>
      <c r="V202" s="322"/>
      <c r="W202" s="292"/>
      <c r="X202" s="292"/>
      <c r="Y202" s="390">
        <f>'4.  2011-2014 LRAM'!Y526*Y198</f>
        <v>13536.443534099099</v>
      </c>
      <c r="Z202" s="390">
        <f>'4.  2011-2014 LRAM'!Z526*Z198</f>
        <v>4604.4022608550003</v>
      </c>
      <c r="AA202" s="390">
        <f>'4.  2011-2014 LRAM'!AA526*AA198</f>
        <v>8005.6768690200843</v>
      </c>
      <c r="AB202" s="390">
        <f>'4.  2011-2014 LRAM'!AB526*AB198</f>
        <v>1776.6756360145241</v>
      </c>
      <c r="AC202" s="390">
        <f>'4.  2011-2014 LRAM'!AC526*AC198</f>
        <v>0</v>
      </c>
      <c r="AD202" s="390">
        <f>'4.  2011-2014 LRAM'!AD526*AD198</f>
        <v>0</v>
      </c>
      <c r="AE202" s="390">
        <f>'4.  2011-2014 LRAM'!AE526*AE198</f>
        <v>0</v>
      </c>
      <c r="AF202" s="390">
        <f>'4.  2011-2014 LRAM'!AF526*AF198</f>
        <v>0</v>
      </c>
      <c r="AG202" s="390">
        <f>'4.  2011-2014 LRAM'!AG526*AG198</f>
        <v>0</v>
      </c>
      <c r="AH202" s="390">
        <f>'4.  2011-2014 LRAM'!AH526*AH198</f>
        <v>0</v>
      </c>
      <c r="AI202" s="390">
        <f>'4.  2011-2014 LRAM'!AI526*AI198</f>
        <v>0</v>
      </c>
      <c r="AJ202" s="390">
        <f>'4.  2011-2014 LRAM'!AJ526*AJ198</f>
        <v>0</v>
      </c>
      <c r="AK202" s="390">
        <f>'4.  2011-2014 LRAM'!AK526*AK198</f>
        <v>0</v>
      </c>
      <c r="AL202" s="390">
        <f>'4.  2011-2014 LRAM'!AL526*AL198</f>
        <v>0</v>
      </c>
      <c r="AM202" s="635">
        <f>SUM(Y202:AL202)</f>
        <v>27923.198299988704</v>
      </c>
    </row>
    <row r="203" spans="2:39" ht="15">
      <c r="B203" s="336" t="s">
        <v>153</v>
      </c>
      <c r="C203" s="357"/>
      <c r="D203" s="322"/>
      <c r="E203" s="292"/>
      <c r="F203" s="292"/>
      <c r="G203" s="292"/>
      <c r="H203" s="292"/>
      <c r="I203" s="292"/>
      <c r="J203" s="292"/>
      <c r="K203" s="292"/>
      <c r="L203" s="292"/>
      <c r="M203" s="292"/>
      <c r="N203" s="292"/>
      <c r="O203" s="304"/>
      <c r="P203" s="292"/>
      <c r="Q203" s="292"/>
      <c r="R203" s="292"/>
      <c r="S203" s="322"/>
      <c r="T203" s="322"/>
      <c r="U203" s="322"/>
      <c r="V203" s="322"/>
      <c r="W203" s="292"/>
      <c r="X203" s="292"/>
      <c r="Y203" s="390">
        <f>Y195*Y198</f>
        <v>14635.2983</v>
      </c>
      <c r="Z203" s="390">
        <f>Z195*Z198</f>
        <v>13559.758290771941</v>
      </c>
      <c r="AA203" s="390">
        <f>AA195*AA198</f>
        <v>7658.8210073248601</v>
      </c>
      <c r="AB203" s="390">
        <f t="shared" ref="AB203:AL203" si="311">AB195*AB198</f>
        <v>7234.000404922278</v>
      </c>
      <c r="AC203" s="390">
        <f t="shared" si="311"/>
        <v>0</v>
      </c>
      <c r="AD203" s="390">
        <f t="shared" si="311"/>
        <v>0</v>
      </c>
      <c r="AE203" s="390">
        <f t="shared" si="311"/>
        <v>1836.9683223119964</v>
      </c>
      <c r="AF203" s="390">
        <f t="shared" si="311"/>
        <v>0</v>
      </c>
      <c r="AG203" s="390">
        <f t="shared" si="311"/>
        <v>0</v>
      </c>
      <c r="AH203" s="390">
        <f t="shared" si="311"/>
        <v>0</v>
      </c>
      <c r="AI203" s="390">
        <f t="shared" si="311"/>
        <v>0</v>
      </c>
      <c r="AJ203" s="390">
        <f t="shared" si="311"/>
        <v>0</v>
      </c>
      <c r="AK203" s="390">
        <f t="shared" si="311"/>
        <v>0</v>
      </c>
      <c r="AL203" s="390">
        <f t="shared" si="311"/>
        <v>0</v>
      </c>
      <c r="AM203" s="635">
        <f>SUM(Y203:AL203)</f>
        <v>44924.846325331077</v>
      </c>
    </row>
    <row r="204" spans="2:39" ht="15.6">
      <c r="B204" s="361" t="s">
        <v>268</v>
      </c>
      <c r="C204" s="357"/>
      <c r="D204" s="348"/>
      <c r="E204" s="346"/>
      <c r="F204" s="346"/>
      <c r="G204" s="346"/>
      <c r="H204" s="346"/>
      <c r="I204" s="346"/>
      <c r="J204" s="346"/>
      <c r="K204" s="346"/>
      <c r="L204" s="346"/>
      <c r="M204" s="346"/>
      <c r="N204" s="346"/>
      <c r="O204" s="313"/>
      <c r="P204" s="346"/>
      <c r="Q204" s="346"/>
      <c r="R204" s="346"/>
      <c r="S204" s="348"/>
      <c r="T204" s="348"/>
      <c r="U204" s="348"/>
      <c r="V204" s="348"/>
      <c r="W204" s="346"/>
      <c r="X204" s="346"/>
      <c r="Y204" s="358">
        <f>SUM(Y199:Y203)</f>
        <v>43857.091783347547</v>
      </c>
      <c r="Z204" s="358">
        <f>SUM(Z199:Z203)</f>
        <v>30709.634040724584</v>
      </c>
      <c r="AA204" s="358">
        <f t="shared" ref="AA204:AE204" si="312">SUM(AA199:AA203)</f>
        <v>31335.532768911326</v>
      </c>
      <c r="AB204" s="358">
        <f t="shared" si="312"/>
        <v>15584.974668130613</v>
      </c>
      <c r="AC204" s="358">
        <f t="shared" si="312"/>
        <v>0</v>
      </c>
      <c r="AD204" s="358">
        <f t="shared" si="312"/>
        <v>0</v>
      </c>
      <c r="AE204" s="358">
        <f t="shared" si="312"/>
        <v>1836.9683223119964</v>
      </c>
      <c r="AF204" s="358">
        <f>SUM(AF199:AF203)</f>
        <v>0</v>
      </c>
      <c r="AG204" s="358">
        <f>SUM(AG199:AG203)</f>
        <v>0</v>
      </c>
      <c r="AH204" s="358">
        <f t="shared" ref="AH204:AL204" si="313">SUM(AH199:AH203)</f>
        <v>0</v>
      </c>
      <c r="AI204" s="358">
        <f t="shared" si="313"/>
        <v>0</v>
      </c>
      <c r="AJ204" s="358">
        <f t="shared" si="313"/>
        <v>0</v>
      </c>
      <c r="AK204" s="358">
        <f t="shared" si="313"/>
        <v>0</v>
      </c>
      <c r="AL204" s="358">
        <f t="shared" si="313"/>
        <v>0</v>
      </c>
      <c r="AM204" s="419">
        <f>SUM(AM199:AM203)</f>
        <v>123324.20158342607</v>
      </c>
    </row>
    <row r="205" spans="2:39" ht="15.6">
      <c r="B205" s="361" t="s">
        <v>269</v>
      </c>
      <c r="C205" s="357"/>
      <c r="D205" s="362"/>
      <c r="E205" s="346"/>
      <c r="F205" s="346"/>
      <c r="G205" s="346"/>
      <c r="H205" s="346"/>
      <c r="I205" s="346"/>
      <c r="J205" s="346"/>
      <c r="K205" s="346"/>
      <c r="L205" s="346"/>
      <c r="M205" s="346"/>
      <c r="N205" s="346"/>
      <c r="O205" s="313"/>
      <c r="P205" s="346"/>
      <c r="Q205" s="346"/>
      <c r="R205" s="346"/>
      <c r="S205" s="348"/>
      <c r="T205" s="348"/>
      <c r="U205" s="348"/>
      <c r="V205" s="348"/>
      <c r="W205" s="346"/>
      <c r="X205" s="346"/>
      <c r="Y205" s="359">
        <f>Y196*Y198</f>
        <v>28524.264300000003</v>
      </c>
      <c r="Z205" s="359">
        <f t="shared" ref="Z205:AE205" si="314">Z196*Z198</f>
        <v>5261.5510000000004</v>
      </c>
      <c r="AA205" s="359">
        <f t="shared" si="314"/>
        <v>9522.9830000000002</v>
      </c>
      <c r="AB205" s="359">
        <f t="shared" si="314"/>
        <v>1913.0818999999999</v>
      </c>
      <c r="AC205" s="359">
        <f t="shared" si="314"/>
        <v>0</v>
      </c>
      <c r="AD205" s="359">
        <f t="shared" si="314"/>
        <v>0</v>
      </c>
      <c r="AE205" s="359">
        <f t="shared" si="314"/>
        <v>0</v>
      </c>
      <c r="AF205" s="359">
        <f>AF196*AF198</f>
        <v>0</v>
      </c>
      <c r="AG205" s="359">
        <f t="shared" ref="AG205:AL205" si="315">AG196*AG198</f>
        <v>0</v>
      </c>
      <c r="AH205" s="359">
        <f t="shared" si="315"/>
        <v>0</v>
      </c>
      <c r="AI205" s="359">
        <f t="shared" si="315"/>
        <v>0</v>
      </c>
      <c r="AJ205" s="359">
        <f t="shared" si="315"/>
        <v>0</v>
      </c>
      <c r="AK205" s="359">
        <f t="shared" si="315"/>
        <v>0</v>
      </c>
      <c r="AL205" s="359">
        <f t="shared" si="315"/>
        <v>0</v>
      </c>
      <c r="AM205" s="419">
        <f>SUM(Y205:AL205)</f>
        <v>45221.8802</v>
      </c>
    </row>
    <row r="206" spans="2:39" ht="15.6">
      <c r="B206" s="361" t="s">
        <v>270</v>
      </c>
      <c r="C206" s="357"/>
      <c r="D206" s="362"/>
      <c r="E206" s="346"/>
      <c r="F206" s="346"/>
      <c r="G206" s="346"/>
      <c r="H206" s="346"/>
      <c r="I206" s="346"/>
      <c r="J206" s="346"/>
      <c r="K206" s="346"/>
      <c r="L206" s="346"/>
      <c r="M206" s="346"/>
      <c r="N206" s="346"/>
      <c r="O206" s="313"/>
      <c r="P206" s="346"/>
      <c r="Q206" s="346"/>
      <c r="R206" s="346"/>
      <c r="S206" s="362"/>
      <c r="T206" s="362"/>
      <c r="U206" s="362"/>
      <c r="V206" s="362"/>
      <c r="W206" s="346"/>
      <c r="X206" s="346"/>
      <c r="Y206" s="363"/>
      <c r="Z206" s="363"/>
      <c r="AA206" s="363"/>
      <c r="AB206" s="363"/>
      <c r="AC206" s="363"/>
      <c r="AD206" s="363"/>
      <c r="AE206" s="363"/>
      <c r="AF206" s="363"/>
      <c r="AG206" s="363"/>
      <c r="AH206" s="363"/>
      <c r="AI206" s="363"/>
      <c r="AJ206" s="363"/>
      <c r="AK206" s="363"/>
      <c r="AL206" s="363"/>
      <c r="AM206" s="419">
        <f>AM204-AM205</f>
        <v>78102.321383426068</v>
      </c>
    </row>
    <row r="207" spans="2:39" ht="15">
      <c r="B207" s="336"/>
      <c r="C207" s="362"/>
      <c r="D207" s="362"/>
      <c r="E207" s="346"/>
      <c r="F207" s="346"/>
      <c r="G207" s="346"/>
      <c r="H207" s="346"/>
      <c r="I207" s="346"/>
      <c r="J207" s="346"/>
      <c r="K207" s="346"/>
      <c r="L207" s="346"/>
      <c r="M207" s="346"/>
      <c r="N207" s="346"/>
      <c r="O207" s="313"/>
      <c r="P207" s="346"/>
      <c r="Q207" s="346"/>
      <c r="R207" s="346"/>
      <c r="S207" s="362"/>
      <c r="T207" s="357"/>
      <c r="U207" s="362"/>
      <c r="V207" s="362"/>
      <c r="W207" s="346"/>
      <c r="X207" s="346"/>
      <c r="Y207" s="364"/>
      <c r="Z207" s="364"/>
      <c r="AA207" s="364"/>
      <c r="AB207" s="364"/>
      <c r="AC207" s="364"/>
      <c r="AD207" s="364"/>
      <c r="AE207" s="364"/>
      <c r="AF207" s="364"/>
      <c r="AG207" s="364"/>
      <c r="AH207" s="364"/>
      <c r="AI207" s="364"/>
      <c r="AJ207" s="364"/>
      <c r="AK207" s="364"/>
      <c r="AL207" s="364"/>
      <c r="AM207" s="360"/>
    </row>
    <row r="208" spans="2:39" ht="15">
      <c r="B208" s="307" t="s">
        <v>144</v>
      </c>
      <c r="C208" s="317"/>
      <c r="D208" s="292"/>
      <c r="E208" s="292"/>
      <c r="F208" s="292"/>
      <c r="G208" s="292"/>
      <c r="H208" s="292"/>
      <c r="I208" s="292"/>
      <c r="J208" s="292"/>
      <c r="K208" s="292"/>
      <c r="L208" s="292"/>
      <c r="M208" s="292"/>
      <c r="N208" s="292"/>
      <c r="O208" s="369"/>
      <c r="P208" s="292"/>
      <c r="Q208" s="292"/>
      <c r="R208" s="292"/>
      <c r="S208" s="317"/>
      <c r="T208" s="322"/>
      <c r="U208" s="322"/>
      <c r="V208" s="292"/>
      <c r="W208" s="292"/>
      <c r="X208" s="322"/>
      <c r="Y208" s="304">
        <f>SUMPRODUCT(E38:E193,Y38:Y193)</f>
        <v>1216869</v>
      </c>
      <c r="Z208" s="304">
        <f>SUMPRODUCT(E38:E193,Z38:Z193)</f>
        <v>1556608.7850560555</v>
      </c>
      <c r="AA208" s="304">
        <f>IF(AA36="kw",SUMPRODUCT(N38:N193,P38:P193,AA38:AA193),SUMPRODUCT(E38:E193,AA38:AA193))</f>
        <v>2169.5564429482374</v>
      </c>
      <c r="AB208" s="304">
        <f>IF(AB36="kw",SUMPRODUCT(N38:N193,P38:P193,AB38:AB193),SUMPRODUCT(E38:E193,AB38:AB193))</f>
        <v>2235.3005775830325</v>
      </c>
      <c r="AC208" s="304">
        <f>IF(AC36="kw",SUMPRODUCT(N38:N193,P38:P193,AC38:AC193),SUMPRODUCT(E38:E193,AC38:AC193))</f>
        <v>0</v>
      </c>
      <c r="AD208" s="304">
        <f>IF(AD36="kw",SUMPRODUCT(N38:N193,P38:P193,AD38:AD193),SUMPRODUCT(E38:E193,AD38:AD193))</f>
        <v>0</v>
      </c>
      <c r="AE208" s="820">
        <f>'8.  Streetlighting'!G39</f>
        <v>379.75003200000026</v>
      </c>
      <c r="AF208" s="304">
        <f>IF(AF36="kw",SUMPRODUCT(N38:N193,P38:P193,AF38:AF193),SUMPRODUCT(E38:E193,AF38:AF193))</f>
        <v>0</v>
      </c>
      <c r="AG208" s="304">
        <f>IF(AG36="kw",SUMPRODUCT(N38:N193,P38:P193,AG38:AG193),SUMPRODUCT(E38:E193,AG38:AG193))</f>
        <v>0</v>
      </c>
      <c r="AH208" s="304">
        <f>IF(AH36="kw",SUMPRODUCT(N38:N193,P38:P193,AH38:AH193),SUMPRODUCT(E38:E193,AH38:AH193))</f>
        <v>0</v>
      </c>
      <c r="AI208" s="304">
        <f>IF(AI36="kw",SUMPRODUCT(N38:N193,P38:P193,AI38:AI193),SUMPRODUCT(E38:E193,AI38:AI193))</f>
        <v>0</v>
      </c>
      <c r="AJ208" s="304">
        <f>IF(AJ36="kw",SUMPRODUCT(N38:N193,P38:P193,AJ38:AJ193),SUMPRODUCT(E38:E193,AJ38:AJ193))</f>
        <v>0</v>
      </c>
      <c r="AK208" s="304">
        <f>IF(AK36="kw",SUMPRODUCT(N38:N193,P38:P193,AK38:AK193),SUMPRODUCT(E38:E193,AK38:AK193))</f>
        <v>0</v>
      </c>
      <c r="AL208" s="304">
        <f>IF(AL36="kw",SUMPRODUCT(N38:N193,P38:P193,AL38:AL193),SUMPRODUCT(E38:E193,AL38:AL193))</f>
        <v>0</v>
      </c>
      <c r="AM208" s="360"/>
    </row>
    <row r="209" spans="1:39" ht="15">
      <c r="B209" s="307" t="s">
        <v>145</v>
      </c>
      <c r="C209" s="317"/>
      <c r="D209" s="292"/>
      <c r="E209" s="292"/>
      <c r="F209" s="292"/>
      <c r="G209" s="292"/>
      <c r="H209" s="292"/>
      <c r="I209" s="292"/>
      <c r="J209" s="292"/>
      <c r="K209" s="292"/>
      <c r="L209" s="292"/>
      <c r="M209" s="292"/>
      <c r="N209" s="292"/>
      <c r="O209" s="369"/>
      <c r="P209" s="292"/>
      <c r="Q209" s="292"/>
      <c r="R209" s="292"/>
      <c r="S209" s="317"/>
      <c r="T209" s="322"/>
      <c r="U209" s="322"/>
      <c r="V209" s="292"/>
      <c r="W209" s="292"/>
      <c r="X209" s="322"/>
      <c r="Y209" s="304">
        <f>SUMPRODUCT(F38:F193,Y38:Y193)</f>
        <v>1216869</v>
      </c>
      <c r="Z209" s="304">
        <f>SUMPRODUCT(F38:F193,Z38:Z193)</f>
        <v>1556608.4550560557</v>
      </c>
      <c r="AA209" s="304">
        <f>IF(AA36="kw",SUMPRODUCT(N38:N193,Q38:Q193,AA38:AA193),SUMPRODUCT(F38:F193,AA38:AA193))</f>
        <v>2169.5564429482374</v>
      </c>
      <c r="AB209" s="304">
        <f>IF(AB36="kw",SUMPRODUCT(N38:N193,Q38:Q193,AB38:AB193),SUMPRODUCT(F38:F193,AB38:AB193))</f>
        <v>2235.3005775830325</v>
      </c>
      <c r="AC209" s="304">
        <f>IF(AC36="kw",SUMPRODUCT(N38:N193,Q38:Q193,AC38:AC193),SUMPRODUCT(F38:F193,AC38:AC193))</f>
        <v>0</v>
      </c>
      <c r="AD209" s="304">
        <f>IF(AD36="kw",SUMPRODUCT(N38:N193,Q38:Q193,AD38:AD193),SUMPRODUCT(F38:F193,AD38:AD193))</f>
        <v>0</v>
      </c>
      <c r="AE209" s="820">
        <f>'8.  Streetlighting'!G40</f>
        <v>379.75003200000026</v>
      </c>
      <c r="AF209" s="304">
        <f>IF(AF36="kw",SUMPRODUCT(N38:N193,Q38:Q193,AF38:AF193),SUMPRODUCT(F38:F193,AF38:AF193))</f>
        <v>0</v>
      </c>
      <c r="AG209" s="304">
        <f>IF(AG36="kw",SUMPRODUCT(N38:N193,Q38:Q193,AG38:AG193),SUMPRODUCT(F38:F193,AG38:AG193))</f>
        <v>0</v>
      </c>
      <c r="AH209" s="304">
        <f>IF(AH36="kw",SUMPRODUCT(N38:N193,Q38:Q193,AH38:AH193),SUMPRODUCT(F38:F193,AH38:AH193))</f>
        <v>0</v>
      </c>
      <c r="AI209" s="304">
        <f>IF(AI36="kw",SUMPRODUCT(N38:N193,Q38:Q193,AI38:AI193),SUMPRODUCT(F38:F193,AI38:AI193))</f>
        <v>0</v>
      </c>
      <c r="AJ209" s="304">
        <f>IF(AJ36="kw",SUMPRODUCT(N38:N193,Q38:Q193,AJ38:AJ193),SUMPRODUCT(F38:F193,AJ38:AJ193))</f>
        <v>0</v>
      </c>
      <c r="AK209" s="304">
        <f>IF(AK36="kw",SUMPRODUCT(N38:N193,Q38:Q193,AK38:AK193),SUMPRODUCT(F38:F193,AK38:AK193))</f>
        <v>0</v>
      </c>
      <c r="AL209" s="304">
        <f>IF(AL36="kw",SUMPRODUCT(N38:N193,Q38:Q193,AL38:AL193),SUMPRODUCT(F38:F193,AL38:AL193))</f>
        <v>0</v>
      </c>
      <c r="AM209" s="349"/>
    </row>
    <row r="210" spans="1:39" ht="15">
      <c r="B210" s="307" t="s">
        <v>146</v>
      </c>
      <c r="C210" s="317"/>
      <c r="D210" s="292"/>
      <c r="E210" s="292"/>
      <c r="F210" s="292"/>
      <c r="G210" s="292"/>
      <c r="H210" s="292"/>
      <c r="I210" s="292"/>
      <c r="J210" s="292"/>
      <c r="K210" s="292"/>
      <c r="L210" s="292"/>
      <c r="M210" s="292"/>
      <c r="N210" s="292"/>
      <c r="O210" s="369"/>
      <c r="P210" s="292"/>
      <c r="Q210" s="292"/>
      <c r="R210" s="292"/>
      <c r="S210" s="317"/>
      <c r="T210" s="322"/>
      <c r="U210" s="322"/>
      <c r="V210" s="292"/>
      <c r="W210" s="292"/>
      <c r="X210" s="322"/>
      <c r="Y210" s="304">
        <f>SUMPRODUCT(G38:G193,Y38:Y193)</f>
        <v>1216869</v>
      </c>
      <c r="Z210" s="304">
        <f>SUMPRODUCT(G38:G193,Z38:Z193)</f>
        <v>1556703.7850560555</v>
      </c>
      <c r="AA210" s="304">
        <f>IF(AA36="kw",SUMPRODUCT(N38:N193,R38:R193,AA38:AA193),SUMPRODUCT(G38:G193,AA38:AA193))</f>
        <v>2165.5964429482374</v>
      </c>
      <c r="AB210" s="304">
        <f>IF(AB36="kw",SUMPRODUCT(N38:N193,R38:R193,AB38:AB193),SUMPRODUCT(G38:G193,AB38:AB193))</f>
        <v>2231.2205775830325</v>
      </c>
      <c r="AC210" s="304">
        <f>IF(AC36="kw",SUMPRODUCT(N38:N193,R38:R193,AC38:AC193),SUMPRODUCT(G38:G193,AC38:AC193))</f>
        <v>0</v>
      </c>
      <c r="AD210" s="304">
        <f>IF(AD36="kw",SUMPRODUCT(N38:N193,R38:R193,AD38:AD193),SUMPRODUCT(G38:G193,AD38:AD193))</f>
        <v>0</v>
      </c>
      <c r="AE210" s="820">
        <f>'8.  Streetlighting'!G41</f>
        <v>379.75003200000026</v>
      </c>
      <c r="AF210" s="304">
        <f>IF(AF36="kw",SUMPRODUCT(N38:N193,R38:R193,AF38:AF193),SUMPRODUCT(G38:G193,AF38:AF193))</f>
        <v>0</v>
      </c>
      <c r="AG210" s="304">
        <f>IF(AG36="kw",SUMPRODUCT(N38:N193,R38:R193,AG38:AG193),SUMPRODUCT(G38:G193,AG38:AG193))</f>
        <v>0</v>
      </c>
      <c r="AH210" s="304">
        <f>IF(AH36="kw",SUMPRODUCT(N38:N193,R38:R193,AH38:AH193),SUMPRODUCT(G38:G193,AH38:AH193))</f>
        <v>0</v>
      </c>
      <c r="AI210" s="304">
        <f>IF(AI36="kw",SUMPRODUCT(N38:N193,R38:R193,AI38:AI193),SUMPRODUCT(G38:G193,AI38:AI193))</f>
        <v>0</v>
      </c>
      <c r="AJ210" s="304">
        <f>IF(AJ36="kw",SUMPRODUCT(N38:N193,R38:R193,AJ38:AJ193),SUMPRODUCT(G38:G193,AJ38:AJ193))</f>
        <v>0</v>
      </c>
      <c r="AK210" s="304">
        <f>IF(AK36="kw",SUMPRODUCT(N38:N193,R38:R193,AK38:AK193),SUMPRODUCT(G38:G193,AK38:AK193))</f>
        <v>0</v>
      </c>
      <c r="AL210" s="304">
        <f>IF(AL36="kw",SUMPRODUCT(N38:N193,R38:R193,AL38:AL193),SUMPRODUCT(G38:G193,AL38:AL193))</f>
        <v>0</v>
      </c>
      <c r="AM210" s="349"/>
    </row>
    <row r="211" spans="1:39" ht="15">
      <c r="B211" s="307" t="s">
        <v>147</v>
      </c>
      <c r="C211" s="317"/>
      <c r="D211" s="292"/>
      <c r="E211" s="292"/>
      <c r="F211" s="292"/>
      <c r="G211" s="292"/>
      <c r="H211" s="292"/>
      <c r="I211" s="292"/>
      <c r="J211" s="292"/>
      <c r="K211" s="292"/>
      <c r="L211" s="292"/>
      <c r="M211" s="292"/>
      <c r="N211" s="292"/>
      <c r="O211" s="369"/>
      <c r="P211" s="292"/>
      <c r="Q211" s="292"/>
      <c r="R211" s="292"/>
      <c r="S211" s="317"/>
      <c r="T211" s="322"/>
      <c r="U211" s="322"/>
      <c r="V211" s="292"/>
      <c r="W211" s="292"/>
      <c r="X211" s="322"/>
      <c r="Y211" s="304">
        <f>SUMPRODUCT(H38:H193,Y38:Y193)</f>
        <v>1209426</v>
      </c>
      <c r="Z211" s="304">
        <f>SUMPRODUCT(H38:H193,Z38:Z193)</f>
        <v>1556703.7850560555</v>
      </c>
      <c r="AA211" s="304">
        <f>IF(AA36="kw",SUMPRODUCT(N38:N193,S38:S193,AA38:AA193),SUMPRODUCT(H38:H193,AA38:AA193))</f>
        <v>2165.5964429482374</v>
      </c>
      <c r="AB211" s="304">
        <f>IF(AB36="kw",SUMPRODUCT(N38:N193,S38:S193,AB38:AB193),SUMPRODUCT(H38:H193,AB38:AB193))</f>
        <v>2231.2205775830325</v>
      </c>
      <c r="AC211" s="304">
        <f>IF(AC36="kw",SUMPRODUCT(N38:N193,S38:S193,AC38:AC193),SUMPRODUCT(H38:H193,AC38:AC193))</f>
        <v>0</v>
      </c>
      <c r="AD211" s="304">
        <f>IF(AD36="kw",SUMPRODUCT(N38:N193,S38:S193,AD38:AD193),SUMPRODUCT(H38:H193,AD38:AD193))</f>
        <v>0</v>
      </c>
      <c r="AE211" s="820">
        <f>'8.  Streetlighting'!G42</f>
        <v>379.75003200000026</v>
      </c>
      <c r="AF211" s="304">
        <f>IF(AF36="kw",SUMPRODUCT(N38:N193,S38:S193,AF38:AF193),SUMPRODUCT(H38:H193,AF38:AF193))</f>
        <v>0</v>
      </c>
      <c r="AG211" s="304">
        <f>IF(AG36="kw",SUMPRODUCT(N38:N193,S38:S193,AG38:AG193),SUMPRODUCT(H38:H193,AG38:AG193))</f>
        <v>0</v>
      </c>
      <c r="AH211" s="304">
        <f>IF(AH36="kw",SUMPRODUCT(N38:N193,S38:S193,AH38:AH193),SUMPRODUCT(H38:H193,AH38:AH193))</f>
        <v>0</v>
      </c>
      <c r="AI211" s="304">
        <f>IF(AI36="kw",SUMPRODUCT(N38:N193,S38:S193,AI38:AI193),SUMPRODUCT(H38:H193,AI38:AI193))</f>
        <v>0</v>
      </c>
      <c r="AJ211" s="304">
        <f>IF(AJ36="kw",SUMPRODUCT(N38:N193,S38:S193,AJ38:AJ193),SUMPRODUCT(H38:H193,AJ38:AJ193))</f>
        <v>0</v>
      </c>
      <c r="AK211" s="304">
        <f>IF(AK36="kw",SUMPRODUCT(N38:N193,S38:S193,AK38:AK193),SUMPRODUCT(H38:H193,AK38:AK193))</f>
        <v>0</v>
      </c>
      <c r="AL211" s="304">
        <f>IF(AL36="kw",SUMPRODUCT(N38:N193,S38:S193,AL38:AL193),SUMPRODUCT(H38:H193,AL38:AL193))</f>
        <v>0</v>
      </c>
      <c r="AM211" s="349"/>
    </row>
    <row r="212" spans="1:39" ht="15">
      <c r="B212" s="447" t="s">
        <v>148</v>
      </c>
      <c r="C212" s="376"/>
      <c r="D212" s="396"/>
      <c r="E212" s="396"/>
      <c r="F212" s="396"/>
      <c r="G212" s="396"/>
      <c r="H212" s="396"/>
      <c r="I212" s="396"/>
      <c r="J212" s="396"/>
      <c r="K212" s="396"/>
      <c r="L212" s="396"/>
      <c r="M212" s="396"/>
      <c r="N212" s="396"/>
      <c r="O212" s="395"/>
      <c r="P212" s="396"/>
      <c r="Q212" s="396"/>
      <c r="R212" s="396"/>
      <c r="S212" s="376"/>
      <c r="T212" s="397"/>
      <c r="U212" s="397"/>
      <c r="V212" s="396"/>
      <c r="W212" s="396"/>
      <c r="X212" s="397"/>
      <c r="Y212" s="338">
        <f>SUMPRODUCT(I38:I193,Y38:Y193)</f>
        <v>1202914</v>
      </c>
      <c r="Z212" s="338">
        <f>SUMPRODUCT(I38:I193,Z38:Z193)</f>
        <v>1482601.2950560555</v>
      </c>
      <c r="AA212" s="338">
        <f>IF(AA36="kw",SUMPRODUCT(N38:N193,T38:T193,AA38:AA193),SUMPRODUCT(I38:I193,AA38:AA193))</f>
        <v>1897.2101634772901</v>
      </c>
      <c r="AB212" s="338">
        <f>IF(AB36="kw",SUMPRODUCT(N38:N193,T38:T193,AB38:AB193),SUMPRODUCT(I38:I193,AB38:AB193))</f>
        <v>1954.7013805523595</v>
      </c>
      <c r="AC212" s="338">
        <f>IF(AC36="kw",SUMPRODUCT(N38:N193,T38:T193,AC38:AC193),SUMPRODUCT(I38:I193,AC38:AC193))</f>
        <v>0</v>
      </c>
      <c r="AD212" s="338">
        <f>IF(AD36="kw",SUMPRODUCT(N38:N193,T38:T193,AD38:AD193),SUMPRODUCT(I38:I193,AD38:AD193))</f>
        <v>0</v>
      </c>
      <c r="AE212" s="821">
        <f>'8.  Streetlighting'!G43</f>
        <v>379.75003200000026</v>
      </c>
      <c r="AF212" s="338">
        <f>IF(AF36="kw",SUMPRODUCT(N38:N193,T38:T193,AF38:AF193),SUMPRODUCT(I38:I193,AF38:AF193))</f>
        <v>0</v>
      </c>
      <c r="AG212" s="338">
        <f>IF(AG36="kw",SUMPRODUCT(N38:N193,T38:T193,AG38:AG193),SUMPRODUCT(I38:I193,AG38:AG193))</f>
        <v>0</v>
      </c>
      <c r="AH212" s="338">
        <f>IF(AH36="kw",SUMPRODUCT(N38:N193,T38:T193,AH38:AH193),SUMPRODUCT(I38:I193,AH38:AH193))</f>
        <v>0</v>
      </c>
      <c r="AI212" s="338">
        <f>IF(AI36="kw",SUMPRODUCT(N38:N193,T38:T193,AI38:AI193),SUMPRODUCT(I38:I193,AI38:AI193))</f>
        <v>0</v>
      </c>
      <c r="AJ212" s="338">
        <f>IF(AJ36="kw",SUMPRODUCT(N38:N193,T38:T193,AJ38:AJ193),SUMPRODUCT(I38:I193,AJ38:AJ193))</f>
        <v>0</v>
      </c>
      <c r="AK212" s="338">
        <f>IF(AK36="kw",SUMPRODUCT(N38:N193,T38:T193,AK38:AK193),SUMPRODUCT(I38:I193,AK38:AK193))</f>
        <v>0</v>
      </c>
      <c r="AL212" s="338">
        <f>IF(AL36="kw",SUMPRODUCT(N38:N193,T38:T193,AL38:AL193),SUMPRODUCT(I38:I193,AL38:AL193))</f>
        <v>0</v>
      </c>
      <c r="AM212" s="398"/>
    </row>
    <row r="213" spans="1:39" ht="20.25" customHeight="1">
      <c r="B213" s="380" t="s">
        <v>586</v>
      </c>
      <c r="C213" s="399"/>
      <c r="D213" s="400"/>
      <c r="E213" s="400"/>
      <c r="F213" s="400"/>
      <c r="G213" s="400"/>
      <c r="H213" s="400"/>
      <c r="I213" s="400"/>
      <c r="J213" s="400"/>
      <c r="K213" s="400"/>
      <c r="L213" s="400"/>
      <c r="M213" s="400"/>
      <c r="N213" s="400"/>
      <c r="O213" s="400"/>
      <c r="P213" s="400"/>
      <c r="Q213" s="400"/>
      <c r="R213" s="400"/>
      <c r="S213" s="383"/>
      <c r="T213" s="384"/>
      <c r="U213" s="400"/>
      <c r="V213" s="400"/>
      <c r="W213" s="400"/>
      <c r="X213" s="400"/>
      <c r="Y213" s="421"/>
      <c r="Z213" s="421"/>
      <c r="AA213" s="421"/>
      <c r="AB213" s="421"/>
      <c r="AC213" s="421"/>
      <c r="AD213" s="421"/>
      <c r="AE213" s="421"/>
      <c r="AF213" s="421"/>
      <c r="AG213" s="421"/>
      <c r="AH213" s="421"/>
      <c r="AI213" s="421"/>
      <c r="AJ213" s="421"/>
      <c r="AK213" s="421"/>
      <c r="AL213" s="421"/>
      <c r="AM213" s="401"/>
    </row>
    <row r="214" spans="1:39" ht="15.6">
      <c r="B214" s="448"/>
    </row>
    <row r="215" spans="1:39" ht="15.6">
      <c r="B215" s="448"/>
    </row>
    <row r="216" spans="1:39" ht="15.6">
      <c r="B216" s="293" t="s">
        <v>273</v>
      </c>
      <c r="C216" s="294"/>
      <c r="D216" s="596" t="s">
        <v>525</v>
      </c>
      <c r="E216" s="266"/>
      <c r="F216" s="596"/>
      <c r="G216" s="266"/>
      <c r="H216" s="266"/>
      <c r="I216" s="266"/>
      <c r="J216" s="266"/>
      <c r="K216" s="266"/>
      <c r="L216" s="266"/>
      <c r="M216" s="266"/>
      <c r="N216" s="266"/>
      <c r="O216" s="294"/>
      <c r="P216" s="266"/>
      <c r="Q216" s="266"/>
      <c r="R216" s="266"/>
      <c r="S216" s="266"/>
      <c r="T216" s="266"/>
      <c r="U216" s="266"/>
      <c r="V216" s="266"/>
      <c r="W216" s="266"/>
      <c r="X216" s="266"/>
      <c r="Y216" s="283"/>
      <c r="Z216" s="280"/>
      <c r="AA216" s="280"/>
      <c r="AB216" s="280"/>
      <c r="AC216" s="280"/>
      <c r="AD216" s="280"/>
      <c r="AE216" s="280"/>
      <c r="AF216" s="280"/>
      <c r="AG216" s="280"/>
      <c r="AH216" s="280"/>
      <c r="AI216" s="280"/>
      <c r="AJ216" s="280"/>
      <c r="AK216" s="280"/>
      <c r="AL216" s="280"/>
      <c r="AM216" s="295"/>
    </row>
    <row r="217" spans="1:39" ht="34.5" customHeight="1">
      <c r="B217" s="901" t="s">
        <v>211</v>
      </c>
      <c r="C217" s="903" t="s">
        <v>33</v>
      </c>
      <c r="D217" s="297" t="s">
        <v>421</v>
      </c>
      <c r="E217" s="905" t="s">
        <v>209</v>
      </c>
      <c r="F217" s="906"/>
      <c r="G217" s="906"/>
      <c r="H217" s="906"/>
      <c r="I217" s="906"/>
      <c r="J217" s="906"/>
      <c r="K217" s="906"/>
      <c r="L217" s="906"/>
      <c r="M217" s="907"/>
      <c r="N217" s="911" t="s">
        <v>213</v>
      </c>
      <c r="O217" s="297" t="s">
        <v>422</v>
      </c>
      <c r="P217" s="905" t="s">
        <v>212</v>
      </c>
      <c r="Q217" s="906"/>
      <c r="R217" s="906"/>
      <c r="S217" s="906"/>
      <c r="T217" s="906"/>
      <c r="U217" s="906"/>
      <c r="V217" s="906"/>
      <c r="W217" s="906"/>
      <c r="X217" s="907"/>
      <c r="Y217" s="908" t="s">
        <v>243</v>
      </c>
      <c r="Z217" s="909"/>
      <c r="AA217" s="909"/>
      <c r="AB217" s="909"/>
      <c r="AC217" s="909"/>
      <c r="AD217" s="909"/>
      <c r="AE217" s="909"/>
      <c r="AF217" s="909"/>
      <c r="AG217" s="909"/>
      <c r="AH217" s="909"/>
      <c r="AI217" s="909"/>
      <c r="AJ217" s="909"/>
      <c r="AK217" s="909"/>
      <c r="AL217" s="909"/>
      <c r="AM217" s="910"/>
    </row>
    <row r="218" spans="1:39" ht="60.75" customHeight="1">
      <c r="B218" s="902"/>
      <c r="C218" s="904"/>
      <c r="D218" s="298">
        <v>2016</v>
      </c>
      <c r="E218" s="298">
        <v>2017</v>
      </c>
      <c r="F218" s="298">
        <v>2018</v>
      </c>
      <c r="G218" s="298">
        <v>2019</v>
      </c>
      <c r="H218" s="298">
        <v>2020</v>
      </c>
      <c r="I218" s="298">
        <v>2021</v>
      </c>
      <c r="J218" s="298">
        <v>2022</v>
      </c>
      <c r="K218" s="298">
        <v>2023</v>
      </c>
      <c r="L218" s="298">
        <v>2024</v>
      </c>
      <c r="M218" s="298">
        <v>2025</v>
      </c>
      <c r="N218" s="912"/>
      <c r="O218" s="298">
        <v>2016</v>
      </c>
      <c r="P218" s="298">
        <v>2017</v>
      </c>
      <c r="Q218" s="298">
        <v>2018</v>
      </c>
      <c r="R218" s="298">
        <v>2019</v>
      </c>
      <c r="S218" s="298">
        <v>2020</v>
      </c>
      <c r="T218" s="298">
        <v>2021</v>
      </c>
      <c r="U218" s="298">
        <v>2022</v>
      </c>
      <c r="V218" s="298">
        <v>2023</v>
      </c>
      <c r="W218" s="298">
        <v>2024</v>
      </c>
      <c r="X218" s="298">
        <v>2025</v>
      </c>
      <c r="Y218" s="298" t="str">
        <f>'1.  LRAMVA Summary'!D52</f>
        <v>Residential</v>
      </c>
      <c r="Z218" s="298" t="str">
        <f>'1.  LRAMVA Summary'!E52</f>
        <v>GS&lt;50 kW</v>
      </c>
      <c r="AA218" s="298" t="str">
        <f>'1.  LRAMVA Summary'!F52</f>
        <v>GS 50 - 999 kW</v>
      </c>
      <c r="AB218" s="298" t="str">
        <f>'1.  LRAMVA Summary'!G52</f>
        <v>GS 1,000 - 4,999 kW</v>
      </c>
      <c r="AC218" s="298" t="str">
        <f>'1.  LRAMVA Summary'!H52</f>
        <v>USL</v>
      </c>
      <c r="AD218" s="298" t="str">
        <f>'1.  LRAMVA Summary'!I52</f>
        <v>Sentinel Lighting</v>
      </c>
      <c r="AE218" s="298" t="str">
        <f>'1.  LRAMVA Summary'!J52</f>
        <v>Street Lighting</v>
      </c>
      <c r="AF218" s="298" t="str">
        <f>'1.  LRAMVA Summary'!K52</f>
        <v/>
      </c>
      <c r="AG218" s="298" t="str">
        <f>'1.  LRAMVA Summary'!L52</f>
        <v/>
      </c>
      <c r="AH218" s="298" t="str">
        <f>'1.  LRAMVA Summary'!M52</f>
        <v/>
      </c>
      <c r="AI218" s="298" t="str">
        <f>'1.  LRAMVA Summary'!N52</f>
        <v/>
      </c>
      <c r="AJ218" s="298" t="str">
        <f>'1.  LRAMVA Summary'!O52</f>
        <v/>
      </c>
      <c r="AK218" s="298" t="str">
        <f>'1.  LRAMVA Summary'!P52</f>
        <v/>
      </c>
      <c r="AL218" s="298" t="str">
        <f>'1.  LRAMVA Summary'!Q52</f>
        <v/>
      </c>
      <c r="AM218" s="300" t="str">
        <f>'1.  LRAMVA Summary'!R52</f>
        <v>Total</v>
      </c>
    </row>
    <row r="219" spans="1:39" ht="15.75" customHeight="1">
      <c r="B219" s="525" t="s">
        <v>503</v>
      </c>
      <c r="C219" s="302"/>
      <c r="D219" s="302"/>
      <c r="E219" s="302"/>
      <c r="F219" s="302"/>
      <c r="G219" s="302"/>
      <c r="H219" s="302"/>
      <c r="I219" s="302"/>
      <c r="J219" s="302"/>
      <c r="K219" s="302"/>
      <c r="L219" s="302"/>
      <c r="M219" s="302"/>
      <c r="N219" s="303"/>
      <c r="O219" s="302"/>
      <c r="P219" s="302"/>
      <c r="Q219" s="302"/>
      <c r="R219" s="302"/>
      <c r="S219" s="302"/>
      <c r="T219" s="302"/>
      <c r="U219" s="302"/>
      <c r="V219" s="302"/>
      <c r="W219" s="302"/>
      <c r="X219" s="302"/>
      <c r="Y219" s="304" t="str">
        <f>'1.  LRAMVA Summary'!D53</f>
        <v>kWh</v>
      </c>
      <c r="Z219" s="304" t="str">
        <f>'1.  LRAMVA Summary'!E53</f>
        <v>kWh</v>
      </c>
      <c r="AA219" s="304" t="str">
        <f>'1.  LRAMVA Summary'!F53</f>
        <v>kW</v>
      </c>
      <c r="AB219" s="304" t="str">
        <f>'1.  LRAMVA Summary'!G53</f>
        <v>kW</v>
      </c>
      <c r="AC219" s="304" t="str">
        <f>'1.  LRAMVA Summary'!H53</f>
        <v>kWh</v>
      </c>
      <c r="AD219" s="304" t="str">
        <f>'1.  LRAMVA Summary'!I53</f>
        <v>kW</v>
      </c>
      <c r="AE219" s="304" t="str">
        <f>'1.  LRAMVA Summary'!J53</f>
        <v>kW</v>
      </c>
      <c r="AF219" s="304">
        <f>'1.  LRAMVA Summary'!K53</f>
        <v>0</v>
      </c>
      <c r="AG219" s="304">
        <f>'1.  LRAMVA Summary'!L53</f>
        <v>0</v>
      </c>
      <c r="AH219" s="304">
        <f>'1.  LRAMVA Summary'!M53</f>
        <v>0</v>
      </c>
      <c r="AI219" s="304">
        <f>'1.  LRAMVA Summary'!N53</f>
        <v>0</v>
      </c>
      <c r="AJ219" s="304">
        <f>'1.  LRAMVA Summary'!O53</f>
        <v>0</v>
      </c>
      <c r="AK219" s="304">
        <f>'1.  LRAMVA Summary'!P53</f>
        <v>0</v>
      </c>
      <c r="AL219" s="304">
        <f>'1.  LRAMVA Summary'!Q53</f>
        <v>0</v>
      </c>
      <c r="AM219" s="305"/>
    </row>
    <row r="220" spans="1:39" ht="15.6" outlineLevel="1">
      <c r="B220" s="301" t="s">
        <v>496</v>
      </c>
      <c r="C220" s="302"/>
      <c r="D220" s="302"/>
      <c r="E220" s="302"/>
      <c r="F220" s="302"/>
      <c r="G220" s="302"/>
      <c r="H220" s="302"/>
      <c r="I220" s="302"/>
      <c r="J220" s="302"/>
      <c r="K220" s="302"/>
      <c r="L220" s="302"/>
      <c r="M220" s="302"/>
      <c r="N220" s="303"/>
      <c r="O220" s="302"/>
      <c r="P220" s="302"/>
      <c r="Q220" s="302"/>
      <c r="R220" s="302"/>
      <c r="S220" s="302"/>
      <c r="T220" s="302"/>
      <c r="U220" s="302"/>
      <c r="V220" s="302"/>
      <c r="W220" s="302"/>
      <c r="X220" s="302"/>
      <c r="Y220" s="304"/>
      <c r="Z220" s="304"/>
      <c r="AA220" s="304"/>
      <c r="AB220" s="304"/>
      <c r="AC220" s="304"/>
      <c r="AD220" s="304"/>
      <c r="AE220" s="304"/>
      <c r="AF220" s="304"/>
      <c r="AG220" s="304"/>
      <c r="AH220" s="304"/>
      <c r="AI220" s="304"/>
      <c r="AJ220" s="304"/>
      <c r="AK220" s="304"/>
      <c r="AL220" s="304"/>
      <c r="AM220" s="305"/>
    </row>
    <row r="221" spans="1:39" ht="15" outlineLevel="1">
      <c r="A221" s="529">
        <v>1</v>
      </c>
      <c r="B221" s="527" t="s">
        <v>95</v>
      </c>
      <c r="C221" s="304" t="s">
        <v>25</v>
      </c>
      <c r="D221" s="308"/>
      <c r="E221" s="308"/>
      <c r="F221" s="308"/>
      <c r="G221" s="308"/>
      <c r="H221" s="308"/>
      <c r="I221" s="308"/>
      <c r="J221" s="308"/>
      <c r="K221" s="308"/>
      <c r="L221" s="308"/>
      <c r="M221" s="308"/>
      <c r="N221" s="763"/>
      <c r="O221" s="308"/>
      <c r="P221" s="308"/>
      <c r="Q221" s="308"/>
      <c r="R221" s="308"/>
      <c r="S221" s="308"/>
      <c r="T221" s="308"/>
      <c r="U221" s="308"/>
      <c r="V221" s="308"/>
      <c r="W221" s="308"/>
      <c r="X221" s="308"/>
      <c r="Y221" s="772"/>
      <c r="Z221" s="772"/>
      <c r="AA221" s="772"/>
      <c r="AB221" s="772"/>
      <c r="AC221" s="772"/>
      <c r="AD221" s="772"/>
      <c r="AE221" s="772"/>
      <c r="AF221" s="422"/>
      <c r="AG221" s="422"/>
      <c r="AH221" s="422"/>
      <c r="AI221" s="422"/>
      <c r="AJ221" s="422"/>
      <c r="AK221" s="422"/>
      <c r="AL221" s="422"/>
      <c r="AM221" s="309">
        <f>SUM(Y221:AL221)</f>
        <v>0</v>
      </c>
    </row>
    <row r="222" spans="1:39" ht="15" outlineLevel="1">
      <c r="B222" s="307" t="s">
        <v>289</v>
      </c>
      <c r="C222" s="304" t="s">
        <v>163</v>
      </c>
      <c r="D222" s="308"/>
      <c r="E222" s="308"/>
      <c r="F222" s="308"/>
      <c r="G222" s="308"/>
      <c r="H222" s="308"/>
      <c r="I222" s="308"/>
      <c r="J222" s="308"/>
      <c r="K222" s="308"/>
      <c r="L222" s="308"/>
      <c r="M222" s="308"/>
      <c r="N222" s="764"/>
      <c r="O222" s="308"/>
      <c r="P222" s="308"/>
      <c r="Q222" s="308"/>
      <c r="R222" s="308"/>
      <c r="S222" s="308"/>
      <c r="T222" s="308"/>
      <c r="U222" s="308"/>
      <c r="V222" s="308"/>
      <c r="W222" s="308"/>
      <c r="X222" s="308"/>
      <c r="Y222" s="773">
        <f>Y221</f>
        <v>0</v>
      </c>
      <c r="Z222" s="773">
        <f t="shared" ref="Z222:AE222" si="316">Z221</f>
        <v>0</v>
      </c>
      <c r="AA222" s="773">
        <f t="shared" si="316"/>
        <v>0</v>
      </c>
      <c r="AB222" s="773">
        <f t="shared" si="316"/>
        <v>0</v>
      </c>
      <c r="AC222" s="773">
        <f t="shared" si="316"/>
        <v>0</v>
      </c>
      <c r="AD222" s="773">
        <f t="shared" si="316"/>
        <v>0</v>
      </c>
      <c r="AE222" s="773">
        <f t="shared" si="316"/>
        <v>0</v>
      </c>
      <c r="AF222" s="423">
        <f t="shared" ref="AF222" si="317">AF221</f>
        <v>0</v>
      </c>
      <c r="AG222" s="423">
        <f t="shared" ref="AG222" si="318">AG221</f>
        <v>0</v>
      </c>
      <c r="AH222" s="423">
        <f t="shared" ref="AH222" si="319">AH221</f>
        <v>0</v>
      </c>
      <c r="AI222" s="423">
        <f t="shared" ref="AI222" si="320">AI221</f>
        <v>0</v>
      </c>
      <c r="AJ222" s="423">
        <f t="shared" ref="AJ222" si="321">AJ221</f>
        <v>0</v>
      </c>
      <c r="AK222" s="423">
        <f t="shared" ref="AK222" si="322">AK221</f>
        <v>0</v>
      </c>
      <c r="AL222" s="423">
        <f t="shared" ref="AL222" si="323">AL221</f>
        <v>0</v>
      </c>
      <c r="AM222" s="310"/>
    </row>
    <row r="223" spans="1:39" ht="15.6" outlineLevel="1">
      <c r="B223" s="311"/>
      <c r="C223" s="312"/>
      <c r="D223" s="765"/>
      <c r="E223" s="765"/>
      <c r="F223" s="765"/>
      <c r="G223" s="765"/>
      <c r="H223" s="765"/>
      <c r="I223" s="765"/>
      <c r="J223" s="765"/>
      <c r="K223" s="765"/>
      <c r="L223" s="765"/>
      <c r="M223" s="765"/>
      <c r="N223" s="771"/>
      <c r="O223" s="765"/>
      <c r="P223" s="765"/>
      <c r="Q223" s="765"/>
      <c r="R223" s="765"/>
      <c r="S223" s="765"/>
      <c r="T223" s="765"/>
      <c r="U223" s="765"/>
      <c r="V223" s="765"/>
      <c r="W223" s="765"/>
      <c r="X223" s="765"/>
      <c r="Y223" s="774"/>
      <c r="Z223" s="775"/>
      <c r="AA223" s="775"/>
      <c r="AB223" s="775"/>
      <c r="AC223" s="775"/>
      <c r="AD223" s="775"/>
      <c r="AE223" s="775"/>
      <c r="AF223" s="425"/>
      <c r="AG223" s="425"/>
      <c r="AH223" s="425"/>
      <c r="AI223" s="425"/>
      <c r="AJ223" s="425"/>
      <c r="AK223" s="425"/>
      <c r="AL223" s="425"/>
      <c r="AM223" s="315"/>
    </row>
    <row r="224" spans="1:39" ht="15" outlineLevel="1">
      <c r="A224" s="529">
        <v>2</v>
      </c>
      <c r="B224" s="527" t="s">
        <v>96</v>
      </c>
      <c r="C224" s="304" t="s">
        <v>25</v>
      </c>
      <c r="D224" s="308"/>
      <c r="E224" s="308"/>
      <c r="F224" s="308"/>
      <c r="G224" s="308"/>
      <c r="H224" s="308"/>
      <c r="I224" s="308"/>
      <c r="J224" s="308"/>
      <c r="K224" s="308"/>
      <c r="L224" s="308"/>
      <c r="M224" s="308"/>
      <c r="N224" s="763"/>
      <c r="O224" s="308"/>
      <c r="P224" s="308"/>
      <c r="Q224" s="308"/>
      <c r="R224" s="308"/>
      <c r="S224" s="308"/>
      <c r="T224" s="308"/>
      <c r="U224" s="308"/>
      <c r="V224" s="308"/>
      <c r="W224" s="308"/>
      <c r="X224" s="308"/>
      <c r="Y224" s="772"/>
      <c r="Z224" s="772"/>
      <c r="AA224" s="772"/>
      <c r="AB224" s="772"/>
      <c r="AC224" s="772"/>
      <c r="AD224" s="772"/>
      <c r="AE224" s="772"/>
      <c r="AF224" s="422"/>
      <c r="AG224" s="422"/>
      <c r="AH224" s="422"/>
      <c r="AI224" s="422"/>
      <c r="AJ224" s="422"/>
      <c r="AK224" s="422"/>
      <c r="AL224" s="422"/>
      <c r="AM224" s="309">
        <f>SUM(Y224:AL224)</f>
        <v>0</v>
      </c>
    </row>
    <row r="225" spans="1:39" ht="15" outlineLevel="1">
      <c r="B225" s="307" t="s">
        <v>289</v>
      </c>
      <c r="C225" s="304" t="s">
        <v>163</v>
      </c>
      <c r="D225" s="308"/>
      <c r="E225" s="308"/>
      <c r="F225" s="308"/>
      <c r="G225" s="308"/>
      <c r="H225" s="308"/>
      <c r="I225" s="308"/>
      <c r="J225" s="308"/>
      <c r="K225" s="308"/>
      <c r="L225" s="308"/>
      <c r="M225" s="308"/>
      <c r="N225" s="764"/>
      <c r="O225" s="308"/>
      <c r="P225" s="308"/>
      <c r="Q225" s="308"/>
      <c r="R225" s="308"/>
      <c r="S225" s="308"/>
      <c r="T225" s="308"/>
      <c r="U225" s="308"/>
      <c r="V225" s="308"/>
      <c r="W225" s="308"/>
      <c r="X225" s="308"/>
      <c r="Y225" s="773">
        <f>Y224</f>
        <v>0</v>
      </c>
      <c r="Z225" s="773">
        <f t="shared" ref="Z225:AE225" si="324">Z224</f>
        <v>0</v>
      </c>
      <c r="AA225" s="773">
        <f t="shared" si="324"/>
        <v>0</v>
      </c>
      <c r="AB225" s="773">
        <f t="shared" si="324"/>
        <v>0</v>
      </c>
      <c r="AC225" s="773">
        <f t="shared" si="324"/>
        <v>0</v>
      </c>
      <c r="AD225" s="773">
        <f t="shared" si="324"/>
        <v>0</v>
      </c>
      <c r="AE225" s="773">
        <f t="shared" si="324"/>
        <v>0</v>
      </c>
      <c r="AF225" s="423">
        <f t="shared" ref="AF225" si="325">AF224</f>
        <v>0</v>
      </c>
      <c r="AG225" s="423">
        <f t="shared" ref="AG225" si="326">AG224</f>
        <v>0</v>
      </c>
      <c r="AH225" s="423">
        <f t="shared" ref="AH225" si="327">AH224</f>
        <v>0</v>
      </c>
      <c r="AI225" s="423">
        <f t="shared" ref="AI225" si="328">AI224</f>
        <v>0</v>
      </c>
      <c r="AJ225" s="423">
        <f t="shared" ref="AJ225" si="329">AJ224</f>
        <v>0</v>
      </c>
      <c r="AK225" s="423">
        <f t="shared" ref="AK225" si="330">AK224</f>
        <v>0</v>
      </c>
      <c r="AL225" s="423">
        <f t="shared" ref="AL225" si="331">AL224</f>
        <v>0</v>
      </c>
      <c r="AM225" s="310"/>
    </row>
    <row r="226" spans="1:39" ht="15.6" outlineLevel="1">
      <c r="B226" s="311"/>
      <c r="C226" s="312"/>
      <c r="D226" s="766"/>
      <c r="E226" s="766"/>
      <c r="F226" s="766"/>
      <c r="G226" s="766"/>
      <c r="H226" s="766"/>
      <c r="I226" s="766"/>
      <c r="J226" s="766"/>
      <c r="K226" s="766"/>
      <c r="L226" s="766"/>
      <c r="M226" s="766"/>
      <c r="N226" s="771"/>
      <c r="O226" s="766"/>
      <c r="P226" s="766"/>
      <c r="Q226" s="766"/>
      <c r="R226" s="766"/>
      <c r="S226" s="766"/>
      <c r="T226" s="766"/>
      <c r="U226" s="766"/>
      <c r="V226" s="766"/>
      <c r="W226" s="766"/>
      <c r="X226" s="766"/>
      <c r="Y226" s="774"/>
      <c r="Z226" s="775"/>
      <c r="AA226" s="775"/>
      <c r="AB226" s="775"/>
      <c r="AC226" s="775"/>
      <c r="AD226" s="775"/>
      <c r="AE226" s="775"/>
      <c r="AF226" s="425"/>
      <c r="AG226" s="425"/>
      <c r="AH226" s="425"/>
      <c r="AI226" s="425"/>
      <c r="AJ226" s="425"/>
      <c r="AK226" s="425"/>
      <c r="AL226" s="425"/>
      <c r="AM226" s="315"/>
    </row>
    <row r="227" spans="1:39" ht="15" outlineLevel="1">
      <c r="A227" s="529">
        <v>3</v>
      </c>
      <c r="B227" s="527" t="s">
        <v>97</v>
      </c>
      <c r="C227" s="304" t="s">
        <v>25</v>
      </c>
      <c r="D227" s="308"/>
      <c r="E227" s="308"/>
      <c r="F227" s="308"/>
      <c r="G227" s="308"/>
      <c r="H227" s="308"/>
      <c r="I227" s="308"/>
      <c r="J227" s="308"/>
      <c r="K227" s="308"/>
      <c r="L227" s="308"/>
      <c r="M227" s="308"/>
      <c r="N227" s="763"/>
      <c r="O227" s="308"/>
      <c r="P227" s="308"/>
      <c r="Q227" s="308"/>
      <c r="R227" s="308"/>
      <c r="S227" s="308"/>
      <c r="T227" s="308"/>
      <c r="U227" s="308"/>
      <c r="V227" s="308"/>
      <c r="W227" s="308"/>
      <c r="X227" s="308"/>
      <c r="Y227" s="772"/>
      <c r="Z227" s="772"/>
      <c r="AA227" s="772"/>
      <c r="AB227" s="772"/>
      <c r="AC227" s="772"/>
      <c r="AD227" s="772"/>
      <c r="AE227" s="772"/>
      <c r="AF227" s="422"/>
      <c r="AG227" s="422"/>
      <c r="AH227" s="422"/>
      <c r="AI227" s="422"/>
      <c r="AJ227" s="422"/>
      <c r="AK227" s="422"/>
      <c r="AL227" s="422"/>
      <c r="AM227" s="309">
        <f>SUM(Y227:AL227)</f>
        <v>0</v>
      </c>
    </row>
    <row r="228" spans="1:39" ht="15" outlineLevel="1">
      <c r="B228" s="307" t="s">
        <v>289</v>
      </c>
      <c r="C228" s="304" t="s">
        <v>163</v>
      </c>
      <c r="D228" s="308"/>
      <c r="E228" s="308"/>
      <c r="F228" s="308"/>
      <c r="G228" s="308"/>
      <c r="H228" s="308"/>
      <c r="I228" s="308"/>
      <c r="J228" s="308"/>
      <c r="K228" s="308"/>
      <c r="L228" s="308"/>
      <c r="M228" s="308"/>
      <c r="N228" s="764"/>
      <c r="O228" s="308"/>
      <c r="P228" s="308"/>
      <c r="Q228" s="308"/>
      <c r="R228" s="308"/>
      <c r="S228" s="308"/>
      <c r="T228" s="308"/>
      <c r="U228" s="308"/>
      <c r="V228" s="308"/>
      <c r="W228" s="308"/>
      <c r="X228" s="308"/>
      <c r="Y228" s="773">
        <f>Y227</f>
        <v>0</v>
      </c>
      <c r="Z228" s="773">
        <f t="shared" ref="Z228:AE228" si="332">Z227</f>
        <v>0</v>
      </c>
      <c r="AA228" s="773">
        <f t="shared" si="332"/>
        <v>0</v>
      </c>
      <c r="AB228" s="773">
        <f t="shared" si="332"/>
        <v>0</v>
      </c>
      <c r="AC228" s="773">
        <f t="shared" si="332"/>
        <v>0</v>
      </c>
      <c r="AD228" s="773">
        <f t="shared" si="332"/>
        <v>0</v>
      </c>
      <c r="AE228" s="773">
        <f t="shared" si="332"/>
        <v>0</v>
      </c>
      <c r="AF228" s="423">
        <f t="shared" ref="AF228" si="333">AF227</f>
        <v>0</v>
      </c>
      <c r="AG228" s="423">
        <f t="shared" ref="AG228" si="334">AG227</f>
        <v>0</v>
      </c>
      <c r="AH228" s="423">
        <f t="shared" ref="AH228" si="335">AH227</f>
        <v>0</v>
      </c>
      <c r="AI228" s="423">
        <f t="shared" ref="AI228" si="336">AI227</f>
        <v>0</v>
      </c>
      <c r="AJ228" s="423">
        <f t="shared" ref="AJ228" si="337">AJ227</f>
        <v>0</v>
      </c>
      <c r="AK228" s="423">
        <f t="shared" ref="AK228" si="338">AK227</f>
        <v>0</v>
      </c>
      <c r="AL228" s="423">
        <f t="shared" ref="AL228" si="339">AL227</f>
        <v>0</v>
      </c>
      <c r="AM228" s="310"/>
    </row>
    <row r="229" spans="1:39" ht="15" outlineLevel="1">
      <c r="B229" s="307"/>
      <c r="C229" s="318"/>
      <c r="D229" s="763"/>
      <c r="E229" s="763"/>
      <c r="F229" s="763"/>
      <c r="G229" s="763"/>
      <c r="H229" s="763"/>
      <c r="I229" s="763"/>
      <c r="J229" s="763"/>
      <c r="K229" s="763"/>
      <c r="L229" s="763"/>
      <c r="M229" s="763"/>
      <c r="N229" s="763"/>
      <c r="O229" s="763"/>
      <c r="P229" s="763"/>
      <c r="Q229" s="763"/>
      <c r="R229" s="763"/>
      <c r="S229" s="763"/>
      <c r="T229" s="763"/>
      <c r="U229" s="763"/>
      <c r="V229" s="763"/>
      <c r="W229" s="763"/>
      <c r="X229" s="763"/>
      <c r="Y229" s="774"/>
      <c r="Z229" s="774"/>
      <c r="AA229" s="774"/>
      <c r="AB229" s="774"/>
      <c r="AC229" s="774"/>
      <c r="AD229" s="774"/>
      <c r="AE229" s="774"/>
      <c r="AF229" s="424"/>
      <c r="AG229" s="424"/>
      <c r="AH229" s="424"/>
      <c r="AI229" s="424"/>
      <c r="AJ229" s="424"/>
      <c r="AK229" s="424"/>
      <c r="AL229" s="424"/>
      <c r="AM229" s="319"/>
    </row>
    <row r="230" spans="1:39" ht="15" outlineLevel="1">
      <c r="A230" s="529">
        <v>4</v>
      </c>
      <c r="B230" s="527" t="s">
        <v>676</v>
      </c>
      <c r="C230" s="304" t="s">
        <v>25</v>
      </c>
      <c r="D230" s="308"/>
      <c r="E230" s="308"/>
      <c r="F230" s="308"/>
      <c r="G230" s="308"/>
      <c r="H230" s="308"/>
      <c r="I230" s="308"/>
      <c r="J230" s="308"/>
      <c r="K230" s="308"/>
      <c r="L230" s="308"/>
      <c r="M230" s="308"/>
      <c r="N230" s="763"/>
      <c r="O230" s="308"/>
      <c r="P230" s="308"/>
      <c r="Q230" s="308"/>
      <c r="R230" s="308"/>
      <c r="S230" s="308"/>
      <c r="T230" s="308"/>
      <c r="U230" s="308"/>
      <c r="V230" s="308"/>
      <c r="W230" s="308"/>
      <c r="X230" s="308"/>
      <c r="Y230" s="772"/>
      <c r="Z230" s="772"/>
      <c r="AA230" s="772"/>
      <c r="AB230" s="772"/>
      <c r="AC230" s="772"/>
      <c r="AD230" s="772"/>
      <c r="AE230" s="772"/>
      <c r="AF230" s="422"/>
      <c r="AG230" s="422"/>
      <c r="AH230" s="422"/>
      <c r="AI230" s="422"/>
      <c r="AJ230" s="422"/>
      <c r="AK230" s="422"/>
      <c r="AL230" s="422"/>
      <c r="AM230" s="309">
        <f>SUM(Y230:AL230)</f>
        <v>0</v>
      </c>
    </row>
    <row r="231" spans="1:39" ht="15" outlineLevel="1">
      <c r="B231" s="307" t="s">
        <v>289</v>
      </c>
      <c r="C231" s="304" t="s">
        <v>163</v>
      </c>
      <c r="D231" s="308"/>
      <c r="E231" s="308"/>
      <c r="F231" s="308"/>
      <c r="G231" s="308"/>
      <c r="H231" s="308"/>
      <c r="I231" s="308"/>
      <c r="J231" s="308"/>
      <c r="K231" s="308"/>
      <c r="L231" s="308"/>
      <c r="M231" s="308"/>
      <c r="N231" s="764"/>
      <c r="O231" s="308"/>
      <c r="P231" s="308"/>
      <c r="Q231" s="308"/>
      <c r="R231" s="308"/>
      <c r="S231" s="308"/>
      <c r="T231" s="308"/>
      <c r="U231" s="308"/>
      <c r="V231" s="308"/>
      <c r="W231" s="308"/>
      <c r="X231" s="308"/>
      <c r="Y231" s="773">
        <f>Y230</f>
        <v>0</v>
      </c>
      <c r="Z231" s="773">
        <f t="shared" ref="Z231:AE231" si="340">Z230</f>
        <v>0</v>
      </c>
      <c r="AA231" s="773">
        <f t="shared" si="340"/>
        <v>0</v>
      </c>
      <c r="AB231" s="773">
        <f t="shared" si="340"/>
        <v>0</v>
      </c>
      <c r="AC231" s="773">
        <f t="shared" si="340"/>
        <v>0</v>
      </c>
      <c r="AD231" s="773">
        <f t="shared" si="340"/>
        <v>0</v>
      </c>
      <c r="AE231" s="773">
        <f t="shared" si="340"/>
        <v>0</v>
      </c>
      <c r="AF231" s="423">
        <f t="shared" ref="AF231" si="341">AF230</f>
        <v>0</v>
      </c>
      <c r="AG231" s="423">
        <f t="shared" ref="AG231" si="342">AG230</f>
        <v>0</v>
      </c>
      <c r="AH231" s="423">
        <f t="shared" ref="AH231" si="343">AH230</f>
        <v>0</v>
      </c>
      <c r="AI231" s="423">
        <f t="shared" ref="AI231" si="344">AI230</f>
        <v>0</v>
      </c>
      <c r="AJ231" s="423">
        <f t="shared" ref="AJ231" si="345">AJ230</f>
        <v>0</v>
      </c>
      <c r="AK231" s="423">
        <f t="shared" ref="AK231" si="346">AK230</f>
        <v>0</v>
      </c>
      <c r="AL231" s="423">
        <f t="shared" ref="AL231" si="347">AL230</f>
        <v>0</v>
      </c>
      <c r="AM231" s="310"/>
    </row>
    <row r="232" spans="1:39" ht="15" outlineLevel="1">
      <c r="B232" s="307"/>
      <c r="C232" s="318"/>
      <c r="D232" s="766"/>
      <c r="E232" s="766"/>
      <c r="F232" s="766"/>
      <c r="G232" s="766"/>
      <c r="H232" s="766"/>
      <c r="I232" s="766"/>
      <c r="J232" s="766"/>
      <c r="K232" s="766"/>
      <c r="L232" s="766"/>
      <c r="M232" s="766"/>
      <c r="N232" s="763"/>
      <c r="O232" s="766"/>
      <c r="P232" s="766"/>
      <c r="Q232" s="766"/>
      <c r="R232" s="766"/>
      <c r="S232" s="766"/>
      <c r="T232" s="766"/>
      <c r="U232" s="766"/>
      <c r="V232" s="766"/>
      <c r="W232" s="766"/>
      <c r="X232" s="766"/>
      <c r="Y232" s="774"/>
      <c r="Z232" s="774"/>
      <c r="AA232" s="774"/>
      <c r="AB232" s="774"/>
      <c r="AC232" s="774"/>
      <c r="AD232" s="774"/>
      <c r="AE232" s="774"/>
      <c r="AF232" s="424"/>
      <c r="AG232" s="424"/>
      <c r="AH232" s="424"/>
      <c r="AI232" s="424"/>
      <c r="AJ232" s="424"/>
      <c r="AK232" s="424"/>
      <c r="AL232" s="424"/>
      <c r="AM232" s="319"/>
    </row>
    <row r="233" spans="1:39" ht="30" outlineLevel="1">
      <c r="A233" s="529">
        <v>5</v>
      </c>
      <c r="B233" s="527" t="s">
        <v>98</v>
      </c>
      <c r="C233" s="304" t="s">
        <v>25</v>
      </c>
      <c r="D233" s="308"/>
      <c r="E233" s="308"/>
      <c r="F233" s="308"/>
      <c r="G233" s="308"/>
      <c r="H233" s="308"/>
      <c r="I233" s="308"/>
      <c r="J233" s="308"/>
      <c r="K233" s="308"/>
      <c r="L233" s="308"/>
      <c r="M233" s="308"/>
      <c r="N233" s="763"/>
      <c r="O233" s="308"/>
      <c r="P233" s="308"/>
      <c r="Q233" s="308"/>
      <c r="R233" s="308"/>
      <c r="S233" s="308"/>
      <c r="T233" s="308"/>
      <c r="U233" s="308"/>
      <c r="V233" s="308"/>
      <c r="W233" s="308"/>
      <c r="X233" s="308"/>
      <c r="Y233" s="772"/>
      <c r="Z233" s="772"/>
      <c r="AA233" s="772"/>
      <c r="AB233" s="772"/>
      <c r="AC233" s="772"/>
      <c r="AD233" s="772"/>
      <c r="AE233" s="772"/>
      <c r="AF233" s="422"/>
      <c r="AG233" s="422"/>
      <c r="AH233" s="422"/>
      <c r="AI233" s="422"/>
      <c r="AJ233" s="422"/>
      <c r="AK233" s="422"/>
      <c r="AL233" s="422"/>
      <c r="AM233" s="309">
        <f>SUM(Y233:AL233)</f>
        <v>0</v>
      </c>
    </row>
    <row r="234" spans="1:39" ht="15" outlineLevel="1">
      <c r="B234" s="307" t="s">
        <v>289</v>
      </c>
      <c r="C234" s="304" t="s">
        <v>163</v>
      </c>
      <c r="D234" s="308"/>
      <c r="E234" s="308"/>
      <c r="F234" s="308"/>
      <c r="G234" s="308"/>
      <c r="H234" s="308"/>
      <c r="I234" s="308"/>
      <c r="J234" s="308"/>
      <c r="K234" s="308"/>
      <c r="L234" s="308"/>
      <c r="M234" s="308"/>
      <c r="N234" s="764"/>
      <c r="O234" s="308"/>
      <c r="P234" s="308"/>
      <c r="Q234" s="308"/>
      <c r="R234" s="308"/>
      <c r="S234" s="308"/>
      <c r="T234" s="308"/>
      <c r="U234" s="308"/>
      <c r="V234" s="308"/>
      <c r="W234" s="308"/>
      <c r="X234" s="308"/>
      <c r="Y234" s="773">
        <f>Y233</f>
        <v>0</v>
      </c>
      <c r="Z234" s="773">
        <f t="shared" ref="Z234:AE234" si="348">Z233</f>
        <v>0</v>
      </c>
      <c r="AA234" s="773">
        <f t="shared" si="348"/>
        <v>0</v>
      </c>
      <c r="AB234" s="773">
        <f t="shared" si="348"/>
        <v>0</v>
      </c>
      <c r="AC234" s="773">
        <f t="shared" si="348"/>
        <v>0</v>
      </c>
      <c r="AD234" s="773">
        <f t="shared" si="348"/>
        <v>0</v>
      </c>
      <c r="AE234" s="773">
        <f t="shared" si="348"/>
        <v>0</v>
      </c>
      <c r="AF234" s="423">
        <f t="shared" ref="AF234" si="349">AF233</f>
        <v>0</v>
      </c>
      <c r="AG234" s="423">
        <f t="shared" ref="AG234" si="350">AG233</f>
        <v>0</v>
      </c>
      <c r="AH234" s="423">
        <f t="shared" ref="AH234" si="351">AH233</f>
        <v>0</v>
      </c>
      <c r="AI234" s="423">
        <f t="shared" ref="AI234" si="352">AI233</f>
        <v>0</v>
      </c>
      <c r="AJ234" s="423">
        <f t="shared" ref="AJ234" si="353">AJ233</f>
        <v>0</v>
      </c>
      <c r="AK234" s="423">
        <f t="shared" ref="AK234" si="354">AK233</f>
        <v>0</v>
      </c>
      <c r="AL234" s="423">
        <f t="shared" ref="AL234" si="355">AL233</f>
        <v>0</v>
      </c>
      <c r="AM234" s="310"/>
    </row>
    <row r="235" spans="1:39" ht="15" outlineLevel="1">
      <c r="B235" s="307"/>
      <c r="C235" s="304"/>
      <c r="D235" s="763"/>
      <c r="E235" s="763"/>
      <c r="F235" s="763"/>
      <c r="G235" s="763"/>
      <c r="H235" s="763"/>
      <c r="I235" s="763"/>
      <c r="J235" s="763"/>
      <c r="K235" s="763"/>
      <c r="L235" s="763"/>
      <c r="M235" s="763"/>
      <c r="N235" s="763"/>
      <c r="O235" s="763"/>
      <c r="P235" s="763"/>
      <c r="Q235" s="763"/>
      <c r="R235" s="763"/>
      <c r="S235" s="763"/>
      <c r="T235" s="763"/>
      <c r="U235" s="763"/>
      <c r="V235" s="763"/>
      <c r="W235" s="763"/>
      <c r="X235" s="763"/>
      <c r="Y235" s="784"/>
      <c r="Z235" s="785"/>
      <c r="AA235" s="785"/>
      <c r="AB235" s="785"/>
      <c r="AC235" s="785"/>
      <c r="AD235" s="785"/>
      <c r="AE235" s="785"/>
      <c r="AF235" s="433"/>
      <c r="AG235" s="433"/>
      <c r="AH235" s="433"/>
      <c r="AI235" s="433"/>
      <c r="AJ235" s="433"/>
      <c r="AK235" s="433"/>
      <c r="AL235" s="433"/>
      <c r="AM235" s="310"/>
    </row>
    <row r="236" spans="1:39" ht="15.6" outlineLevel="1">
      <c r="B236" s="331" t="s">
        <v>497</v>
      </c>
      <c r="C236" s="302"/>
      <c r="D236" s="767"/>
      <c r="E236" s="767"/>
      <c r="F236" s="767"/>
      <c r="G236" s="767"/>
      <c r="H236" s="767"/>
      <c r="I236" s="767"/>
      <c r="J236" s="767"/>
      <c r="K236" s="767"/>
      <c r="L236" s="767"/>
      <c r="M236" s="767"/>
      <c r="N236" s="769"/>
      <c r="O236" s="767"/>
      <c r="P236" s="767"/>
      <c r="Q236" s="767"/>
      <c r="R236" s="767"/>
      <c r="S236" s="767"/>
      <c r="T236" s="767"/>
      <c r="U236" s="767"/>
      <c r="V236" s="767"/>
      <c r="W236" s="767"/>
      <c r="X236" s="767"/>
      <c r="Y236" s="776"/>
      <c r="Z236" s="776"/>
      <c r="AA236" s="776"/>
      <c r="AB236" s="776"/>
      <c r="AC236" s="776"/>
      <c r="AD236" s="776"/>
      <c r="AE236" s="776"/>
      <c r="AF236" s="426"/>
      <c r="AG236" s="426"/>
      <c r="AH236" s="426"/>
      <c r="AI236" s="426"/>
      <c r="AJ236" s="426"/>
      <c r="AK236" s="426"/>
      <c r="AL236" s="426"/>
      <c r="AM236" s="305"/>
    </row>
    <row r="237" spans="1:39" ht="15" outlineLevel="1">
      <c r="A237" s="529">
        <v>6</v>
      </c>
      <c r="B237" s="527" t="s">
        <v>99</v>
      </c>
      <c r="C237" s="304" t="s">
        <v>25</v>
      </c>
      <c r="D237" s="308"/>
      <c r="E237" s="308"/>
      <c r="F237" s="308"/>
      <c r="G237" s="308"/>
      <c r="H237" s="308"/>
      <c r="I237" s="308"/>
      <c r="J237" s="308"/>
      <c r="K237" s="308"/>
      <c r="L237" s="308"/>
      <c r="M237" s="308"/>
      <c r="N237" s="308">
        <v>12</v>
      </c>
      <c r="O237" s="308"/>
      <c r="P237" s="308"/>
      <c r="Q237" s="308"/>
      <c r="R237" s="308"/>
      <c r="S237" s="308"/>
      <c r="T237" s="308"/>
      <c r="U237" s="308"/>
      <c r="V237" s="308"/>
      <c r="W237" s="308"/>
      <c r="X237" s="308"/>
      <c r="Y237" s="777"/>
      <c r="Z237" s="772"/>
      <c r="AA237" s="772"/>
      <c r="AB237" s="772"/>
      <c r="AC237" s="772"/>
      <c r="AD237" s="772"/>
      <c r="AE237" s="772"/>
      <c r="AF237" s="427"/>
      <c r="AG237" s="427"/>
      <c r="AH237" s="427"/>
      <c r="AI237" s="427"/>
      <c r="AJ237" s="427"/>
      <c r="AK237" s="427"/>
      <c r="AL237" s="427"/>
      <c r="AM237" s="309">
        <f>SUM(Y237:AL237)</f>
        <v>0</v>
      </c>
    </row>
    <row r="238" spans="1:39" ht="15" outlineLevel="1">
      <c r="B238" s="307" t="s">
        <v>289</v>
      </c>
      <c r="C238" s="304" t="s">
        <v>163</v>
      </c>
      <c r="D238" s="308"/>
      <c r="E238" s="308"/>
      <c r="F238" s="308"/>
      <c r="G238" s="308"/>
      <c r="H238" s="308"/>
      <c r="I238" s="308"/>
      <c r="J238" s="308"/>
      <c r="K238" s="308"/>
      <c r="L238" s="308"/>
      <c r="M238" s="308"/>
      <c r="N238" s="308">
        <f>N237</f>
        <v>12</v>
      </c>
      <c r="O238" s="308"/>
      <c r="P238" s="308"/>
      <c r="Q238" s="308"/>
      <c r="R238" s="308"/>
      <c r="S238" s="308"/>
      <c r="T238" s="308"/>
      <c r="U238" s="308"/>
      <c r="V238" s="308"/>
      <c r="W238" s="308"/>
      <c r="X238" s="308"/>
      <c r="Y238" s="773">
        <f>Y237</f>
        <v>0</v>
      </c>
      <c r="Z238" s="773">
        <f t="shared" ref="Z238:AE238" si="356">Z237</f>
        <v>0</v>
      </c>
      <c r="AA238" s="773">
        <f t="shared" si="356"/>
        <v>0</v>
      </c>
      <c r="AB238" s="773">
        <f t="shared" si="356"/>
        <v>0</v>
      </c>
      <c r="AC238" s="773">
        <f t="shared" si="356"/>
        <v>0</v>
      </c>
      <c r="AD238" s="773">
        <f t="shared" si="356"/>
        <v>0</v>
      </c>
      <c r="AE238" s="773">
        <f t="shared" si="356"/>
        <v>0</v>
      </c>
      <c r="AF238" s="423">
        <f t="shared" ref="AF238" si="357">AF237</f>
        <v>0</v>
      </c>
      <c r="AG238" s="423">
        <f t="shared" ref="AG238" si="358">AG237</f>
        <v>0</v>
      </c>
      <c r="AH238" s="423">
        <f t="shared" ref="AH238" si="359">AH237</f>
        <v>0</v>
      </c>
      <c r="AI238" s="423">
        <f t="shared" ref="AI238" si="360">AI237</f>
        <v>0</v>
      </c>
      <c r="AJ238" s="423">
        <f t="shared" ref="AJ238" si="361">AJ237</f>
        <v>0</v>
      </c>
      <c r="AK238" s="423">
        <f t="shared" ref="AK238" si="362">AK237</f>
        <v>0</v>
      </c>
      <c r="AL238" s="423">
        <f t="shared" ref="AL238" si="363">AL237</f>
        <v>0</v>
      </c>
      <c r="AM238" s="324"/>
    </row>
    <row r="239" spans="1:39" ht="15" outlineLevel="1">
      <c r="B239" s="323"/>
      <c r="C239" s="325"/>
      <c r="D239" s="763"/>
      <c r="E239" s="763"/>
      <c r="F239" s="763"/>
      <c r="G239" s="763"/>
      <c r="H239" s="763"/>
      <c r="I239" s="763"/>
      <c r="J239" s="763"/>
      <c r="K239" s="763"/>
      <c r="L239" s="763"/>
      <c r="M239" s="763"/>
      <c r="N239" s="763"/>
      <c r="O239" s="763"/>
      <c r="P239" s="763"/>
      <c r="Q239" s="763"/>
      <c r="R239" s="763"/>
      <c r="S239" s="763"/>
      <c r="T239" s="763"/>
      <c r="U239" s="763"/>
      <c r="V239" s="763"/>
      <c r="W239" s="763"/>
      <c r="X239" s="763"/>
      <c r="Y239" s="778"/>
      <c r="Z239" s="778"/>
      <c r="AA239" s="778"/>
      <c r="AB239" s="778"/>
      <c r="AC239" s="778"/>
      <c r="AD239" s="778"/>
      <c r="AE239" s="778"/>
      <c r="AF239" s="428"/>
      <c r="AG239" s="428"/>
      <c r="AH239" s="428"/>
      <c r="AI239" s="428"/>
      <c r="AJ239" s="428"/>
      <c r="AK239" s="428"/>
      <c r="AL239" s="428"/>
      <c r="AM239" s="326"/>
    </row>
    <row r="240" spans="1:39" ht="30" outlineLevel="1">
      <c r="A240" s="529">
        <v>7</v>
      </c>
      <c r="B240" s="527" t="s">
        <v>100</v>
      </c>
      <c r="C240" s="304" t="s">
        <v>25</v>
      </c>
      <c r="D240" s="308"/>
      <c r="E240" s="308"/>
      <c r="F240" s="308"/>
      <c r="G240" s="308"/>
      <c r="H240" s="308"/>
      <c r="I240" s="308"/>
      <c r="J240" s="308"/>
      <c r="K240" s="308"/>
      <c r="L240" s="308"/>
      <c r="M240" s="308"/>
      <c r="N240" s="308">
        <v>12</v>
      </c>
      <c r="O240" s="308"/>
      <c r="P240" s="308"/>
      <c r="Q240" s="308"/>
      <c r="R240" s="308"/>
      <c r="S240" s="308"/>
      <c r="T240" s="308"/>
      <c r="U240" s="308"/>
      <c r="V240" s="308"/>
      <c r="W240" s="308"/>
      <c r="X240" s="308"/>
      <c r="Y240" s="777"/>
      <c r="Z240" s="772"/>
      <c r="AA240" s="772"/>
      <c r="AB240" s="772"/>
      <c r="AC240" s="772"/>
      <c r="AD240" s="772"/>
      <c r="AE240" s="772"/>
      <c r="AF240" s="427"/>
      <c r="AG240" s="427"/>
      <c r="AH240" s="427"/>
      <c r="AI240" s="427"/>
      <c r="AJ240" s="427"/>
      <c r="AK240" s="427"/>
      <c r="AL240" s="427"/>
      <c r="AM240" s="309">
        <f>SUM(Y240:AL240)</f>
        <v>0</v>
      </c>
    </row>
    <row r="241" spans="1:39" ht="15" outlineLevel="1">
      <c r="B241" s="307" t="s">
        <v>289</v>
      </c>
      <c r="C241" s="304" t="s">
        <v>163</v>
      </c>
      <c r="D241" s="308"/>
      <c r="E241" s="308"/>
      <c r="F241" s="308"/>
      <c r="G241" s="308"/>
      <c r="H241" s="308"/>
      <c r="I241" s="308"/>
      <c r="J241" s="308"/>
      <c r="K241" s="308"/>
      <c r="L241" s="308"/>
      <c r="M241" s="308"/>
      <c r="N241" s="308">
        <f>N240</f>
        <v>12</v>
      </c>
      <c r="O241" s="308"/>
      <c r="P241" s="308"/>
      <c r="Q241" s="308"/>
      <c r="R241" s="308"/>
      <c r="S241" s="308"/>
      <c r="T241" s="308"/>
      <c r="U241" s="308"/>
      <c r="V241" s="308"/>
      <c r="W241" s="308"/>
      <c r="X241" s="308"/>
      <c r="Y241" s="773">
        <f>Y240</f>
        <v>0</v>
      </c>
      <c r="Z241" s="773">
        <f t="shared" ref="Z241:AE241" si="364">Z240</f>
        <v>0</v>
      </c>
      <c r="AA241" s="773">
        <f t="shared" si="364"/>
        <v>0</v>
      </c>
      <c r="AB241" s="773">
        <f t="shared" si="364"/>
        <v>0</v>
      </c>
      <c r="AC241" s="773">
        <f t="shared" si="364"/>
        <v>0</v>
      </c>
      <c r="AD241" s="773">
        <f t="shared" si="364"/>
        <v>0</v>
      </c>
      <c r="AE241" s="773">
        <f t="shared" si="364"/>
        <v>0</v>
      </c>
      <c r="AF241" s="423">
        <f t="shared" ref="AF241" si="365">AF240</f>
        <v>0</v>
      </c>
      <c r="AG241" s="423">
        <f t="shared" ref="AG241" si="366">AG240</f>
        <v>0</v>
      </c>
      <c r="AH241" s="423">
        <f t="shared" ref="AH241" si="367">AH240</f>
        <v>0</v>
      </c>
      <c r="AI241" s="423">
        <f t="shared" ref="AI241" si="368">AI240</f>
        <v>0</v>
      </c>
      <c r="AJ241" s="423">
        <f t="shared" ref="AJ241" si="369">AJ240</f>
        <v>0</v>
      </c>
      <c r="AK241" s="423">
        <f t="shared" ref="AK241" si="370">AK240</f>
        <v>0</v>
      </c>
      <c r="AL241" s="423">
        <f t="shared" ref="AL241" si="371">AL240</f>
        <v>0</v>
      </c>
      <c r="AM241" s="324"/>
    </row>
    <row r="242" spans="1:39" ht="15" outlineLevel="1">
      <c r="B242" s="327"/>
      <c r="C242" s="325"/>
      <c r="D242" s="763"/>
      <c r="E242" s="763"/>
      <c r="F242" s="763"/>
      <c r="G242" s="763"/>
      <c r="H242" s="763"/>
      <c r="I242" s="763"/>
      <c r="J242" s="763"/>
      <c r="K242" s="763"/>
      <c r="L242" s="763"/>
      <c r="M242" s="763"/>
      <c r="N242" s="763"/>
      <c r="O242" s="763"/>
      <c r="P242" s="763"/>
      <c r="Q242" s="763"/>
      <c r="R242" s="763"/>
      <c r="S242" s="763"/>
      <c r="T242" s="763"/>
      <c r="U242" s="763"/>
      <c r="V242" s="763"/>
      <c r="W242" s="763"/>
      <c r="X242" s="763"/>
      <c r="Y242" s="778"/>
      <c r="Z242" s="779"/>
      <c r="AA242" s="778"/>
      <c r="AB242" s="778"/>
      <c r="AC242" s="778"/>
      <c r="AD242" s="778"/>
      <c r="AE242" s="778"/>
      <c r="AF242" s="428"/>
      <c r="AG242" s="428"/>
      <c r="AH242" s="428"/>
      <c r="AI242" s="428"/>
      <c r="AJ242" s="428"/>
      <c r="AK242" s="428"/>
      <c r="AL242" s="428"/>
      <c r="AM242" s="326"/>
    </row>
    <row r="243" spans="1:39" ht="30" outlineLevel="1">
      <c r="A243" s="529">
        <v>8</v>
      </c>
      <c r="B243" s="527" t="s">
        <v>101</v>
      </c>
      <c r="C243" s="304" t="s">
        <v>25</v>
      </c>
      <c r="D243" s="308"/>
      <c r="E243" s="308"/>
      <c r="F243" s="308"/>
      <c r="G243" s="308"/>
      <c r="H243" s="308"/>
      <c r="I243" s="308"/>
      <c r="J243" s="308"/>
      <c r="K243" s="308"/>
      <c r="L243" s="308"/>
      <c r="M243" s="308"/>
      <c r="N243" s="308">
        <v>12</v>
      </c>
      <c r="O243" s="308"/>
      <c r="P243" s="308"/>
      <c r="Q243" s="308"/>
      <c r="R243" s="308"/>
      <c r="S243" s="308"/>
      <c r="T243" s="308"/>
      <c r="U243" s="308"/>
      <c r="V243" s="308"/>
      <c r="W243" s="308"/>
      <c r="X243" s="308"/>
      <c r="Y243" s="777"/>
      <c r="Z243" s="772"/>
      <c r="AA243" s="772"/>
      <c r="AB243" s="772"/>
      <c r="AC243" s="772"/>
      <c r="AD243" s="772"/>
      <c r="AE243" s="772"/>
      <c r="AF243" s="427"/>
      <c r="AG243" s="427"/>
      <c r="AH243" s="427"/>
      <c r="AI243" s="427"/>
      <c r="AJ243" s="427"/>
      <c r="AK243" s="427"/>
      <c r="AL243" s="427"/>
      <c r="AM243" s="309">
        <f>SUM(Y243:AL243)</f>
        <v>0</v>
      </c>
    </row>
    <row r="244" spans="1:39" ht="15" outlineLevel="1">
      <c r="B244" s="307" t="s">
        <v>289</v>
      </c>
      <c r="C244" s="304" t="s">
        <v>163</v>
      </c>
      <c r="D244" s="308"/>
      <c r="E244" s="308"/>
      <c r="F244" s="308"/>
      <c r="G244" s="308"/>
      <c r="H244" s="308"/>
      <c r="I244" s="308"/>
      <c r="J244" s="308"/>
      <c r="K244" s="308"/>
      <c r="L244" s="308"/>
      <c r="M244" s="308"/>
      <c r="N244" s="308">
        <f>N243</f>
        <v>12</v>
      </c>
      <c r="O244" s="308"/>
      <c r="P244" s="308"/>
      <c r="Q244" s="308"/>
      <c r="R244" s="308"/>
      <c r="S244" s="308"/>
      <c r="T244" s="308"/>
      <c r="U244" s="308"/>
      <c r="V244" s="308"/>
      <c r="W244" s="308"/>
      <c r="X244" s="308"/>
      <c r="Y244" s="773">
        <f>Y243</f>
        <v>0</v>
      </c>
      <c r="Z244" s="773">
        <f t="shared" ref="Z244:AE244" si="372">Z243</f>
        <v>0</v>
      </c>
      <c r="AA244" s="773">
        <f t="shared" si="372"/>
        <v>0</v>
      </c>
      <c r="AB244" s="773">
        <f t="shared" si="372"/>
        <v>0</v>
      </c>
      <c r="AC244" s="773">
        <f t="shared" si="372"/>
        <v>0</v>
      </c>
      <c r="AD244" s="773">
        <f t="shared" si="372"/>
        <v>0</v>
      </c>
      <c r="AE244" s="773">
        <f t="shared" si="372"/>
        <v>0</v>
      </c>
      <c r="AF244" s="423">
        <f t="shared" ref="AF244" si="373">AF243</f>
        <v>0</v>
      </c>
      <c r="AG244" s="423">
        <f t="shared" ref="AG244" si="374">AG243</f>
        <v>0</v>
      </c>
      <c r="AH244" s="423">
        <f t="shared" ref="AH244" si="375">AH243</f>
        <v>0</v>
      </c>
      <c r="AI244" s="423">
        <f t="shared" ref="AI244" si="376">AI243</f>
        <v>0</v>
      </c>
      <c r="AJ244" s="423">
        <f t="shared" ref="AJ244" si="377">AJ243</f>
        <v>0</v>
      </c>
      <c r="AK244" s="423">
        <f t="shared" ref="AK244" si="378">AK243</f>
        <v>0</v>
      </c>
      <c r="AL244" s="423">
        <f t="shared" ref="AL244" si="379">AL243</f>
        <v>0</v>
      </c>
      <c r="AM244" s="324"/>
    </row>
    <row r="245" spans="1:39" ht="15" outlineLevel="1">
      <c r="B245" s="327"/>
      <c r="C245" s="325"/>
      <c r="D245" s="768"/>
      <c r="E245" s="768"/>
      <c r="F245" s="768"/>
      <c r="G245" s="768"/>
      <c r="H245" s="768"/>
      <c r="I245" s="768"/>
      <c r="J245" s="768"/>
      <c r="K245" s="768"/>
      <c r="L245" s="768"/>
      <c r="M245" s="768"/>
      <c r="N245" s="763"/>
      <c r="O245" s="768"/>
      <c r="P245" s="768"/>
      <c r="Q245" s="768"/>
      <c r="R245" s="768"/>
      <c r="S245" s="768"/>
      <c r="T245" s="768"/>
      <c r="U245" s="768"/>
      <c r="V245" s="768"/>
      <c r="W245" s="768"/>
      <c r="X245" s="768"/>
      <c r="Y245" s="778"/>
      <c r="Z245" s="779"/>
      <c r="AA245" s="778"/>
      <c r="AB245" s="778"/>
      <c r="AC245" s="778"/>
      <c r="AD245" s="778"/>
      <c r="AE245" s="778"/>
      <c r="AF245" s="428"/>
      <c r="AG245" s="428"/>
      <c r="AH245" s="428"/>
      <c r="AI245" s="428"/>
      <c r="AJ245" s="428"/>
      <c r="AK245" s="428"/>
      <c r="AL245" s="428"/>
      <c r="AM245" s="326"/>
    </row>
    <row r="246" spans="1:39" ht="30" outlineLevel="1">
      <c r="A246" s="529">
        <v>9</v>
      </c>
      <c r="B246" s="527" t="s">
        <v>102</v>
      </c>
      <c r="C246" s="304" t="s">
        <v>25</v>
      </c>
      <c r="D246" s="308"/>
      <c r="E246" s="308"/>
      <c r="F246" s="308"/>
      <c r="G246" s="308"/>
      <c r="H246" s="308"/>
      <c r="I246" s="308"/>
      <c r="J246" s="308"/>
      <c r="K246" s="308"/>
      <c r="L246" s="308"/>
      <c r="M246" s="308"/>
      <c r="N246" s="308">
        <v>12</v>
      </c>
      <c r="O246" s="308"/>
      <c r="P246" s="308"/>
      <c r="Q246" s="308"/>
      <c r="R246" s="308"/>
      <c r="S246" s="308"/>
      <c r="T246" s="308"/>
      <c r="U246" s="308"/>
      <c r="V246" s="308"/>
      <c r="W246" s="308"/>
      <c r="X246" s="308"/>
      <c r="Y246" s="777"/>
      <c r="Z246" s="772"/>
      <c r="AA246" s="772"/>
      <c r="AB246" s="772"/>
      <c r="AC246" s="772"/>
      <c r="AD246" s="772"/>
      <c r="AE246" s="772"/>
      <c r="AF246" s="427"/>
      <c r="AG246" s="427"/>
      <c r="AH246" s="427"/>
      <c r="AI246" s="427"/>
      <c r="AJ246" s="427"/>
      <c r="AK246" s="427"/>
      <c r="AL246" s="427"/>
      <c r="AM246" s="309">
        <f>SUM(Y246:AL246)</f>
        <v>0</v>
      </c>
    </row>
    <row r="247" spans="1:39" ht="15" outlineLevel="1">
      <c r="B247" s="307" t="s">
        <v>289</v>
      </c>
      <c r="C247" s="304" t="s">
        <v>163</v>
      </c>
      <c r="D247" s="308"/>
      <c r="E247" s="308"/>
      <c r="F247" s="308"/>
      <c r="G247" s="308"/>
      <c r="H247" s="308"/>
      <c r="I247" s="308"/>
      <c r="J247" s="308"/>
      <c r="K247" s="308"/>
      <c r="L247" s="308"/>
      <c r="M247" s="308"/>
      <c r="N247" s="308">
        <f>N246</f>
        <v>12</v>
      </c>
      <c r="O247" s="308"/>
      <c r="P247" s="308"/>
      <c r="Q247" s="308"/>
      <c r="R247" s="308"/>
      <c r="S247" s="308"/>
      <c r="T247" s="308"/>
      <c r="U247" s="308"/>
      <c r="V247" s="308"/>
      <c r="W247" s="308"/>
      <c r="X247" s="308"/>
      <c r="Y247" s="773">
        <f>Y246</f>
        <v>0</v>
      </c>
      <c r="Z247" s="773">
        <f t="shared" ref="Z247:AE247" si="380">Z246</f>
        <v>0</v>
      </c>
      <c r="AA247" s="773">
        <f t="shared" si="380"/>
        <v>0</v>
      </c>
      <c r="AB247" s="773">
        <f t="shared" si="380"/>
        <v>0</v>
      </c>
      <c r="AC247" s="773">
        <f t="shared" si="380"/>
        <v>0</v>
      </c>
      <c r="AD247" s="773">
        <f t="shared" si="380"/>
        <v>0</v>
      </c>
      <c r="AE247" s="773">
        <f t="shared" si="380"/>
        <v>0</v>
      </c>
      <c r="AF247" s="423">
        <f t="shared" ref="AF247" si="381">AF246</f>
        <v>0</v>
      </c>
      <c r="AG247" s="423">
        <f t="shared" ref="AG247" si="382">AG246</f>
        <v>0</v>
      </c>
      <c r="AH247" s="423">
        <f t="shared" ref="AH247" si="383">AH246</f>
        <v>0</v>
      </c>
      <c r="AI247" s="423">
        <f t="shared" ref="AI247" si="384">AI246</f>
        <v>0</v>
      </c>
      <c r="AJ247" s="423">
        <f t="shared" ref="AJ247" si="385">AJ246</f>
        <v>0</v>
      </c>
      <c r="AK247" s="423">
        <f t="shared" ref="AK247" si="386">AK246</f>
        <v>0</v>
      </c>
      <c r="AL247" s="423">
        <f t="shared" ref="AL247" si="387">AL246</f>
        <v>0</v>
      </c>
      <c r="AM247" s="324"/>
    </row>
    <row r="248" spans="1:39" ht="15" outlineLevel="1">
      <c r="B248" s="327"/>
      <c r="C248" s="325"/>
      <c r="D248" s="768"/>
      <c r="E248" s="768"/>
      <c r="F248" s="768"/>
      <c r="G248" s="768"/>
      <c r="H248" s="768"/>
      <c r="I248" s="768"/>
      <c r="J248" s="768"/>
      <c r="K248" s="768"/>
      <c r="L248" s="768"/>
      <c r="M248" s="768"/>
      <c r="N248" s="763"/>
      <c r="O248" s="768"/>
      <c r="P248" s="768"/>
      <c r="Q248" s="768"/>
      <c r="R248" s="768"/>
      <c r="S248" s="768"/>
      <c r="T248" s="768"/>
      <c r="U248" s="768"/>
      <c r="V248" s="768"/>
      <c r="W248" s="768"/>
      <c r="X248" s="768"/>
      <c r="Y248" s="778"/>
      <c r="Z248" s="778"/>
      <c r="AA248" s="778"/>
      <c r="AB248" s="778"/>
      <c r="AC248" s="778"/>
      <c r="AD248" s="778"/>
      <c r="AE248" s="778"/>
      <c r="AF248" s="428"/>
      <c r="AG248" s="428"/>
      <c r="AH248" s="428"/>
      <c r="AI248" s="428"/>
      <c r="AJ248" s="428"/>
      <c r="AK248" s="428"/>
      <c r="AL248" s="428"/>
      <c r="AM248" s="326"/>
    </row>
    <row r="249" spans="1:39" ht="30" outlineLevel="1">
      <c r="A249" s="529">
        <v>10</v>
      </c>
      <c r="B249" s="527" t="s">
        <v>103</v>
      </c>
      <c r="C249" s="304" t="s">
        <v>25</v>
      </c>
      <c r="D249" s="308"/>
      <c r="E249" s="308"/>
      <c r="F249" s="308"/>
      <c r="G249" s="308"/>
      <c r="H249" s="308"/>
      <c r="I249" s="308"/>
      <c r="J249" s="308"/>
      <c r="K249" s="308"/>
      <c r="L249" s="308"/>
      <c r="M249" s="308"/>
      <c r="N249" s="308">
        <v>3</v>
      </c>
      <c r="O249" s="308"/>
      <c r="P249" s="308"/>
      <c r="Q249" s="308"/>
      <c r="R249" s="308"/>
      <c r="S249" s="308"/>
      <c r="T249" s="308"/>
      <c r="U249" s="308"/>
      <c r="V249" s="308"/>
      <c r="W249" s="308"/>
      <c r="X249" s="308"/>
      <c r="Y249" s="777"/>
      <c r="Z249" s="772"/>
      <c r="AA249" s="772"/>
      <c r="AB249" s="772"/>
      <c r="AC249" s="772"/>
      <c r="AD249" s="772"/>
      <c r="AE249" s="772"/>
      <c r="AF249" s="427"/>
      <c r="AG249" s="427"/>
      <c r="AH249" s="427"/>
      <c r="AI249" s="427"/>
      <c r="AJ249" s="427"/>
      <c r="AK249" s="427"/>
      <c r="AL249" s="427"/>
      <c r="AM249" s="309">
        <f>SUM(Y249:AL249)</f>
        <v>0</v>
      </c>
    </row>
    <row r="250" spans="1:39" ht="15" outlineLevel="1">
      <c r="B250" s="307" t="s">
        <v>289</v>
      </c>
      <c r="C250" s="304" t="s">
        <v>163</v>
      </c>
      <c r="D250" s="308"/>
      <c r="E250" s="308"/>
      <c r="F250" s="308"/>
      <c r="G250" s="308"/>
      <c r="H250" s="308"/>
      <c r="I250" s="308"/>
      <c r="J250" s="308"/>
      <c r="K250" s="308"/>
      <c r="L250" s="308"/>
      <c r="M250" s="308"/>
      <c r="N250" s="308">
        <f>N249</f>
        <v>3</v>
      </c>
      <c r="O250" s="308"/>
      <c r="P250" s="308"/>
      <c r="Q250" s="308"/>
      <c r="R250" s="308"/>
      <c r="S250" s="308"/>
      <c r="T250" s="308"/>
      <c r="U250" s="308"/>
      <c r="V250" s="308"/>
      <c r="W250" s="308"/>
      <c r="X250" s="308"/>
      <c r="Y250" s="773">
        <f>Y249</f>
        <v>0</v>
      </c>
      <c r="Z250" s="773">
        <f t="shared" ref="Z250:AE250" si="388">Z249</f>
        <v>0</v>
      </c>
      <c r="AA250" s="773">
        <f t="shared" si="388"/>
        <v>0</v>
      </c>
      <c r="AB250" s="773">
        <f t="shared" si="388"/>
        <v>0</v>
      </c>
      <c r="AC250" s="773">
        <f t="shared" si="388"/>
        <v>0</v>
      </c>
      <c r="AD250" s="773">
        <f t="shared" si="388"/>
        <v>0</v>
      </c>
      <c r="AE250" s="773">
        <f t="shared" si="388"/>
        <v>0</v>
      </c>
      <c r="AF250" s="423">
        <f t="shared" ref="AF250" si="389">AF249</f>
        <v>0</v>
      </c>
      <c r="AG250" s="423">
        <f t="shared" ref="AG250" si="390">AG249</f>
        <v>0</v>
      </c>
      <c r="AH250" s="423">
        <f t="shared" ref="AH250" si="391">AH249</f>
        <v>0</v>
      </c>
      <c r="AI250" s="423">
        <f t="shared" ref="AI250" si="392">AI249</f>
        <v>0</v>
      </c>
      <c r="AJ250" s="423">
        <f t="shared" ref="AJ250" si="393">AJ249</f>
        <v>0</v>
      </c>
      <c r="AK250" s="423">
        <f t="shared" ref="AK250" si="394">AK249</f>
        <v>0</v>
      </c>
      <c r="AL250" s="423">
        <f t="shared" ref="AL250" si="395">AL249</f>
        <v>0</v>
      </c>
      <c r="AM250" s="324"/>
    </row>
    <row r="251" spans="1:39" ht="15" outlineLevel="1">
      <c r="B251" s="327"/>
      <c r="C251" s="325"/>
      <c r="D251" s="768"/>
      <c r="E251" s="768"/>
      <c r="F251" s="768"/>
      <c r="G251" s="768"/>
      <c r="H251" s="768"/>
      <c r="I251" s="768"/>
      <c r="J251" s="768"/>
      <c r="K251" s="768"/>
      <c r="L251" s="768"/>
      <c r="M251" s="768"/>
      <c r="N251" s="763"/>
      <c r="O251" s="768"/>
      <c r="P251" s="768"/>
      <c r="Q251" s="768"/>
      <c r="R251" s="768"/>
      <c r="S251" s="768"/>
      <c r="T251" s="768"/>
      <c r="U251" s="768"/>
      <c r="V251" s="768"/>
      <c r="W251" s="768"/>
      <c r="X251" s="768"/>
      <c r="Y251" s="778"/>
      <c r="Z251" s="779"/>
      <c r="AA251" s="778"/>
      <c r="AB251" s="778"/>
      <c r="AC251" s="778"/>
      <c r="AD251" s="778"/>
      <c r="AE251" s="778"/>
      <c r="AF251" s="428"/>
      <c r="AG251" s="428"/>
      <c r="AH251" s="428"/>
      <c r="AI251" s="428"/>
      <c r="AJ251" s="428"/>
      <c r="AK251" s="428"/>
      <c r="AL251" s="428"/>
      <c r="AM251" s="326"/>
    </row>
    <row r="252" spans="1:39" ht="15.6" outlineLevel="1">
      <c r="B252" s="301" t="s">
        <v>10</v>
      </c>
      <c r="C252" s="302"/>
      <c r="D252" s="767"/>
      <c r="E252" s="767"/>
      <c r="F252" s="767"/>
      <c r="G252" s="767"/>
      <c r="H252" s="767"/>
      <c r="I252" s="767"/>
      <c r="J252" s="767"/>
      <c r="K252" s="767"/>
      <c r="L252" s="767"/>
      <c r="M252" s="767"/>
      <c r="N252" s="769"/>
      <c r="O252" s="767"/>
      <c r="P252" s="767"/>
      <c r="Q252" s="767"/>
      <c r="R252" s="767"/>
      <c r="S252" s="767"/>
      <c r="T252" s="767"/>
      <c r="U252" s="767"/>
      <c r="V252" s="767"/>
      <c r="W252" s="767"/>
      <c r="X252" s="767"/>
      <c r="Y252" s="776"/>
      <c r="Z252" s="776"/>
      <c r="AA252" s="776"/>
      <c r="AB252" s="776"/>
      <c r="AC252" s="776"/>
      <c r="AD252" s="776"/>
      <c r="AE252" s="776"/>
      <c r="AF252" s="426"/>
      <c r="AG252" s="426"/>
      <c r="AH252" s="426"/>
      <c r="AI252" s="426"/>
      <c r="AJ252" s="426"/>
      <c r="AK252" s="426"/>
      <c r="AL252" s="426"/>
      <c r="AM252" s="305"/>
    </row>
    <row r="253" spans="1:39" ht="30" outlineLevel="1">
      <c r="A253" s="529">
        <v>11</v>
      </c>
      <c r="B253" s="527" t="s">
        <v>104</v>
      </c>
      <c r="C253" s="304" t="s">
        <v>25</v>
      </c>
      <c r="D253" s="308"/>
      <c r="E253" s="308"/>
      <c r="F253" s="308"/>
      <c r="G253" s="308"/>
      <c r="H253" s="308"/>
      <c r="I253" s="308"/>
      <c r="J253" s="308"/>
      <c r="K253" s="308"/>
      <c r="L253" s="308"/>
      <c r="M253" s="308"/>
      <c r="N253" s="308">
        <v>12</v>
      </c>
      <c r="O253" s="308"/>
      <c r="P253" s="308"/>
      <c r="Q253" s="308"/>
      <c r="R253" s="308"/>
      <c r="S253" s="308"/>
      <c r="T253" s="308"/>
      <c r="U253" s="308"/>
      <c r="V253" s="308"/>
      <c r="W253" s="308"/>
      <c r="X253" s="308"/>
      <c r="Y253" s="789"/>
      <c r="Z253" s="772"/>
      <c r="AA253" s="772"/>
      <c r="AB253" s="772"/>
      <c r="AC253" s="772"/>
      <c r="AD253" s="772"/>
      <c r="AE253" s="772"/>
      <c r="AF253" s="427"/>
      <c r="AG253" s="427"/>
      <c r="AH253" s="427"/>
      <c r="AI253" s="427"/>
      <c r="AJ253" s="427"/>
      <c r="AK253" s="427"/>
      <c r="AL253" s="427"/>
      <c r="AM253" s="309">
        <f>SUM(Y253:AL253)</f>
        <v>0</v>
      </c>
    </row>
    <row r="254" spans="1:39" ht="15" outlineLevel="1">
      <c r="B254" s="307" t="s">
        <v>289</v>
      </c>
      <c r="C254" s="304" t="s">
        <v>163</v>
      </c>
      <c r="D254" s="308"/>
      <c r="E254" s="308"/>
      <c r="F254" s="308"/>
      <c r="G254" s="308"/>
      <c r="H254" s="308"/>
      <c r="I254" s="308"/>
      <c r="J254" s="308"/>
      <c r="K254" s="308"/>
      <c r="L254" s="308"/>
      <c r="M254" s="308"/>
      <c r="N254" s="308">
        <f>N253</f>
        <v>12</v>
      </c>
      <c r="O254" s="308"/>
      <c r="P254" s="308"/>
      <c r="Q254" s="308"/>
      <c r="R254" s="308"/>
      <c r="S254" s="308"/>
      <c r="T254" s="308"/>
      <c r="U254" s="308"/>
      <c r="V254" s="308"/>
      <c r="W254" s="308"/>
      <c r="X254" s="308"/>
      <c r="Y254" s="773">
        <f>Y253</f>
        <v>0</v>
      </c>
      <c r="Z254" s="773">
        <f t="shared" ref="Z254:AE254" si="396">Z253</f>
        <v>0</v>
      </c>
      <c r="AA254" s="773">
        <f t="shared" si="396"/>
        <v>0</v>
      </c>
      <c r="AB254" s="773">
        <f t="shared" si="396"/>
        <v>0</v>
      </c>
      <c r="AC254" s="773">
        <f t="shared" si="396"/>
        <v>0</v>
      </c>
      <c r="AD254" s="773">
        <f t="shared" si="396"/>
        <v>0</v>
      </c>
      <c r="AE254" s="773">
        <f t="shared" si="396"/>
        <v>0</v>
      </c>
      <c r="AF254" s="423">
        <f t="shared" ref="AF254" si="397">AF253</f>
        <v>0</v>
      </c>
      <c r="AG254" s="423">
        <f t="shared" ref="AG254" si="398">AG253</f>
        <v>0</v>
      </c>
      <c r="AH254" s="423">
        <f t="shared" ref="AH254" si="399">AH253</f>
        <v>0</v>
      </c>
      <c r="AI254" s="423">
        <f t="shared" ref="AI254" si="400">AI253</f>
        <v>0</v>
      </c>
      <c r="AJ254" s="423">
        <f t="shared" ref="AJ254" si="401">AJ253</f>
        <v>0</v>
      </c>
      <c r="AK254" s="423">
        <f t="shared" ref="AK254" si="402">AK253</f>
        <v>0</v>
      </c>
      <c r="AL254" s="423">
        <f t="shared" ref="AL254" si="403">AL253</f>
        <v>0</v>
      </c>
      <c r="AM254" s="310"/>
    </row>
    <row r="255" spans="1:39" ht="15" outlineLevel="1">
      <c r="B255" s="328"/>
      <c r="C255" s="318"/>
      <c r="D255" s="763"/>
      <c r="E255" s="763"/>
      <c r="F255" s="763"/>
      <c r="G255" s="763"/>
      <c r="H255" s="763"/>
      <c r="I255" s="763"/>
      <c r="J255" s="763"/>
      <c r="K255" s="763"/>
      <c r="L255" s="763"/>
      <c r="M255" s="763"/>
      <c r="N255" s="763"/>
      <c r="O255" s="763"/>
      <c r="P255" s="763"/>
      <c r="Q255" s="763"/>
      <c r="R255" s="763"/>
      <c r="S255" s="763"/>
      <c r="T255" s="763"/>
      <c r="U255" s="763"/>
      <c r="V255" s="763"/>
      <c r="W255" s="763"/>
      <c r="X255" s="763"/>
      <c r="Y255" s="774"/>
      <c r="Z255" s="783"/>
      <c r="AA255" s="783"/>
      <c r="AB255" s="783"/>
      <c r="AC255" s="783"/>
      <c r="AD255" s="783"/>
      <c r="AE255" s="783"/>
      <c r="AF255" s="431"/>
      <c r="AG255" s="431"/>
      <c r="AH255" s="431"/>
      <c r="AI255" s="431"/>
      <c r="AJ255" s="431"/>
      <c r="AK255" s="431"/>
      <c r="AL255" s="431"/>
      <c r="AM255" s="319"/>
    </row>
    <row r="256" spans="1:39" ht="30" outlineLevel="1">
      <c r="A256" s="529">
        <v>12</v>
      </c>
      <c r="B256" s="527" t="s">
        <v>105</v>
      </c>
      <c r="C256" s="304" t="s">
        <v>25</v>
      </c>
      <c r="D256" s="308"/>
      <c r="E256" s="308"/>
      <c r="F256" s="308"/>
      <c r="G256" s="308"/>
      <c r="H256" s="308"/>
      <c r="I256" s="308"/>
      <c r="J256" s="308"/>
      <c r="K256" s="308"/>
      <c r="L256" s="308"/>
      <c r="M256" s="308"/>
      <c r="N256" s="308">
        <v>12</v>
      </c>
      <c r="O256" s="308"/>
      <c r="P256" s="308"/>
      <c r="Q256" s="308"/>
      <c r="R256" s="308"/>
      <c r="S256" s="308"/>
      <c r="T256" s="308"/>
      <c r="U256" s="308"/>
      <c r="V256" s="308"/>
      <c r="W256" s="308"/>
      <c r="X256" s="308"/>
      <c r="Y256" s="772"/>
      <c r="Z256" s="772"/>
      <c r="AA256" s="772"/>
      <c r="AB256" s="772"/>
      <c r="AC256" s="772"/>
      <c r="AD256" s="772"/>
      <c r="AE256" s="772"/>
      <c r="AF256" s="427"/>
      <c r="AG256" s="427"/>
      <c r="AH256" s="427"/>
      <c r="AI256" s="427"/>
      <c r="AJ256" s="427"/>
      <c r="AK256" s="427"/>
      <c r="AL256" s="427"/>
      <c r="AM256" s="309">
        <f>SUM(Y256:AL256)</f>
        <v>0</v>
      </c>
    </row>
    <row r="257" spans="1:40" ht="15" outlineLevel="1">
      <c r="B257" s="307" t="s">
        <v>289</v>
      </c>
      <c r="C257" s="304" t="s">
        <v>163</v>
      </c>
      <c r="D257" s="308"/>
      <c r="E257" s="308"/>
      <c r="F257" s="308"/>
      <c r="G257" s="308"/>
      <c r="H257" s="308"/>
      <c r="I257" s="308"/>
      <c r="J257" s="308"/>
      <c r="K257" s="308"/>
      <c r="L257" s="308"/>
      <c r="M257" s="308"/>
      <c r="N257" s="308">
        <f>N256</f>
        <v>12</v>
      </c>
      <c r="O257" s="308"/>
      <c r="P257" s="308"/>
      <c r="Q257" s="308"/>
      <c r="R257" s="308"/>
      <c r="S257" s="308"/>
      <c r="T257" s="308"/>
      <c r="U257" s="308"/>
      <c r="V257" s="308"/>
      <c r="W257" s="308"/>
      <c r="X257" s="308"/>
      <c r="Y257" s="773">
        <f>Y256</f>
        <v>0</v>
      </c>
      <c r="Z257" s="773">
        <f t="shared" ref="Z257:AE257" si="404">Z256</f>
        <v>0</v>
      </c>
      <c r="AA257" s="773">
        <f t="shared" si="404"/>
        <v>0</v>
      </c>
      <c r="AB257" s="773">
        <f t="shared" si="404"/>
        <v>0</v>
      </c>
      <c r="AC257" s="773">
        <f t="shared" si="404"/>
        <v>0</v>
      </c>
      <c r="AD257" s="773">
        <f t="shared" si="404"/>
        <v>0</v>
      </c>
      <c r="AE257" s="773">
        <f t="shared" si="404"/>
        <v>0</v>
      </c>
      <c r="AF257" s="423">
        <f t="shared" ref="AF257" si="405">AF256</f>
        <v>0</v>
      </c>
      <c r="AG257" s="423">
        <f t="shared" ref="AG257" si="406">AG256</f>
        <v>0</v>
      </c>
      <c r="AH257" s="423">
        <f t="shared" ref="AH257" si="407">AH256</f>
        <v>0</v>
      </c>
      <c r="AI257" s="423">
        <f t="shared" ref="AI257" si="408">AI256</f>
        <v>0</v>
      </c>
      <c r="AJ257" s="423">
        <f t="shared" ref="AJ257" si="409">AJ256</f>
        <v>0</v>
      </c>
      <c r="AK257" s="423">
        <f t="shared" ref="AK257" si="410">AK256</f>
        <v>0</v>
      </c>
      <c r="AL257" s="423">
        <f t="shared" ref="AL257" si="411">AL256</f>
        <v>0</v>
      </c>
      <c r="AM257" s="310"/>
    </row>
    <row r="258" spans="1:40" ht="15" outlineLevel="1">
      <c r="B258" s="328"/>
      <c r="C258" s="318"/>
      <c r="D258" s="763"/>
      <c r="E258" s="763"/>
      <c r="F258" s="763"/>
      <c r="G258" s="763"/>
      <c r="H258" s="763"/>
      <c r="I258" s="763"/>
      <c r="J258" s="763"/>
      <c r="K258" s="763"/>
      <c r="L258" s="763"/>
      <c r="M258" s="763"/>
      <c r="N258" s="763"/>
      <c r="O258" s="763"/>
      <c r="P258" s="763"/>
      <c r="Q258" s="763"/>
      <c r="R258" s="763"/>
      <c r="S258" s="763"/>
      <c r="T258" s="763"/>
      <c r="U258" s="763"/>
      <c r="V258" s="763"/>
      <c r="W258" s="763"/>
      <c r="X258" s="763"/>
      <c r="Y258" s="784"/>
      <c r="Z258" s="784"/>
      <c r="AA258" s="774"/>
      <c r="AB258" s="774"/>
      <c r="AC258" s="774"/>
      <c r="AD258" s="774"/>
      <c r="AE258" s="774"/>
      <c r="AF258" s="424"/>
      <c r="AG258" s="424"/>
      <c r="AH258" s="424"/>
      <c r="AI258" s="424"/>
      <c r="AJ258" s="424"/>
      <c r="AK258" s="424"/>
      <c r="AL258" s="424"/>
      <c r="AM258" s="319"/>
    </row>
    <row r="259" spans="1:40" ht="30" outlineLevel="1">
      <c r="A259" s="529">
        <v>13</v>
      </c>
      <c r="B259" s="527" t="s">
        <v>106</v>
      </c>
      <c r="C259" s="304" t="s">
        <v>25</v>
      </c>
      <c r="D259" s="308"/>
      <c r="E259" s="308"/>
      <c r="F259" s="308"/>
      <c r="G259" s="308"/>
      <c r="H259" s="308"/>
      <c r="I259" s="308"/>
      <c r="J259" s="308"/>
      <c r="K259" s="308"/>
      <c r="L259" s="308"/>
      <c r="M259" s="308"/>
      <c r="N259" s="308">
        <v>12</v>
      </c>
      <c r="O259" s="308"/>
      <c r="P259" s="308"/>
      <c r="Q259" s="308"/>
      <c r="R259" s="308"/>
      <c r="S259" s="308"/>
      <c r="T259" s="308"/>
      <c r="U259" s="308"/>
      <c r="V259" s="308"/>
      <c r="W259" s="308"/>
      <c r="X259" s="308"/>
      <c r="Y259" s="772"/>
      <c r="Z259" s="772"/>
      <c r="AA259" s="772"/>
      <c r="AB259" s="772"/>
      <c r="AC259" s="772"/>
      <c r="AD259" s="772"/>
      <c r="AE259" s="772"/>
      <c r="AF259" s="427"/>
      <c r="AG259" s="427"/>
      <c r="AH259" s="427"/>
      <c r="AI259" s="427"/>
      <c r="AJ259" s="427"/>
      <c r="AK259" s="427"/>
      <c r="AL259" s="427"/>
      <c r="AM259" s="309">
        <f>SUM(Y259:AL259)</f>
        <v>0</v>
      </c>
    </row>
    <row r="260" spans="1:40" ht="15" outlineLevel="1">
      <c r="B260" s="307" t="s">
        <v>289</v>
      </c>
      <c r="C260" s="304" t="s">
        <v>163</v>
      </c>
      <c r="D260" s="308"/>
      <c r="E260" s="308"/>
      <c r="F260" s="308"/>
      <c r="G260" s="308"/>
      <c r="H260" s="308"/>
      <c r="I260" s="308"/>
      <c r="J260" s="308"/>
      <c r="K260" s="308"/>
      <c r="L260" s="308"/>
      <c r="M260" s="308"/>
      <c r="N260" s="308">
        <f>N259</f>
        <v>12</v>
      </c>
      <c r="O260" s="308"/>
      <c r="P260" s="308"/>
      <c r="Q260" s="308"/>
      <c r="R260" s="308"/>
      <c r="S260" s="308"/>
      <c r="T260" s="308"/>
      <c r="U260" s="308"/>
      <c r="V260" s="308"/>
      <c r="W260" s="308"/>
      <c r="X260" s="308"/>
      <c r="Y260" s="773">
        <f>Y259</f>
        <v>0</v>
      </c>
      <c r="Z260" s="773">
        <f t="shared" ref="Z260:AE260" si="412">Z259</f>
        <v>0</v>
      </c>
      <c r="AA260" s="773">
        <f t="shared" si="412"/>
        <v>0</v>
      </c>
      <c r="AB260" s="773">
        <f t="shared" si="412"/>
        <v>0</v>
      </c>
      <c r="AC260" s="773">
        <f t="shared" si="412"/>
        <v>0</v>
      </c>
      <c r="AD260" s="773">
        <f t="shared" si="412"/>
        <v>0</v>
      </c>
      <c r="AE260" s="773">
        <f t="shared" si="412"/>
        <v>0</v>
      </c>
      <c r="AF260" s="423">
        <f t="shared" ref="AF260" si="413">AF259</f>
        <v>0</v>
      </c>
      <c r="AG260" s="423">
        <f t="shared" ref="AG260" si="414">AG259</f>
        <v>0</v>
      </c>
      <c r="AH260" s="423">
        <f t="shared" ref="AH260" si="415">AH259</f>
        <v>0</v>
      </c>
      <c r="AI260" s="423">
        <f t="shared" ref="AI260" si="416">AI259</f>
        <v>0</v>
      </c>
      <c r="AJ260" s="423">
        <f t="shared" ref="AJ260" si="417">AJ259</f>
        <v>0</v>
      </c>
      <c r="AK260" s="423">
        <f t="shared" ref="AK260" si="418">AK259</f>
        <v>0</v>
      </c>
      <c r="AL260" s="423">
        <f t="shared" ref="AL260" si="419">AL259</f>
        <v>0</v>
      </c>
      <c r="AM260" s="319"/>
    </row>
    <row r="261" spans="1:40" ht="15" outlineLevel="1">
      <c r="B261" s="328"/>
      <c r="C261" s="318"/>
      <c r="D261" s="763"/>
      <c r="E261" s="763"/>
      <c r="F261" s="763"/>
      <c r="G261" s="763"/>
      <c r="H261" s="763"/>
      <c r="I261" s="763"/>
      <c r="J261" s="763"/>
      <c r="K261" s="763"/>
      <c r="L261" s="763"/>
      <c r="M261" s="763"/>
      <c r="N261" s="763"/>
      <c r="O261" s="763"/>
      <c r="P261" s="763"/>
      <c r="Q261" s="763"/>
      <c r="R261" s="763"/>
      <c r="S261" s="763"/>
      <c r="T261" s="763"/>
      <c r="U261" s="763"/>
      <c r="V261" s="763"/>
      <c r="W261" s="763"/>
      <c r="X261" s="763"/>
      <c r="Y261" s="774"/>
      <c r="Z261" s="774"/>
      <c r="AA261" s="774"/>
      <c r="AB261" s="774"/>
      <c r="AC261" s="774"/>
      <c r="AD261" s="774"/>
      <c r="AE261" s="774"/>
      <c r="AF261" s="424"/>
      <c r="AG261" s="424"/>
      <c r="AH261" s="424"/>
      <c r="AI261" s="424"/>
      <c r="AJ261" s="424"/>
      <c r="AK261" s="424"/>
      <c r="AL261" s="424"/>
      <c r="AM261" s="319"/>
    </row>
    <row r="262" spans="1:40" ht="15.6" outlineLevel="1">
      <c r="B262" s="301" t="s">
        <v>107</v>
      </c>
      <c r="C262" s="302"/>
      <c r="D262" s="769"/>
      <c r="E262" s="769"/>
      <c r="F262" s="769"/>
      <c r="G262" s="769"/>
      <c r="H262" s="769"/>
      <c r="I262" s="769"/>
      <c r="J262" s="769"/>
      <c r="K262" s="769"/>
      <c r="L262" s="769"/>
      <c r="M262" s="769"/>
      <c r="N262" s="769"/>
      <c r="O262" s="769"/>
      <c r="P262" s="767"/>
      <c r="Q262" s="767"/>
      <c r="R262" s="767"/>
      <c r="S262" s="767"/>
      <c r="T262" s="767"/>
      <c r="U262" s="767"/>
      <c r="V262" s="767"/>
      <c r="W262" s="767"/>
      <c r="X262" s="767"/>
      <c r="Y262" s="776"/>
      <c r="Z262" s="776"/>
      <c r="AA262" s="776"/>
      <c r="AB262" s="776"/>
      <c r="AC262" s="776"/>
      <c r="AD262" s="776"/>
      <c r="AE262" s="776"/>
      <c r="AF262" s="426"/>
      <c r="AG262" s="426"/>
      <c r="AH262" s="426"/>
      <c r="AI262" s="426"/>
      <c r="AJ262" s="426"/>
      <c r="AK262" s="426"/>
      <c r="AL262" s="426"/>
      <c r="AM262" s="305"/>
    </row>
    <row r="263" spans="1:40" ht="15" outlineLevel="1">
      <c r="A263" s="529">
        <v>14</v>
      </c>
      <c r="B263" s="328" t="s">
        <v>108</v>
      </c>
      <c r="C263" s="304" t="s">
        <v>25</v>
      </c>
      <c r="D263" s="308"/>
      <c r="E263" s="308"/>
      <c r="F263" s="308"/>
      <c r="G263" s="308"/>
      <c r="H263" s="308"/>
      <c r="I263" s="308"/>
      <c r="J263" s="308"/>
      <c r="K263" s="308"/>
      <c r="L263" s="308"/>
      <c r="M263" s="308"/>
      <c r="N263" s="308">
        <v>12</v>
      </c>
      <c r="O263" s="308"/>
      <c r="P263" s="308"/>
      <c r="Q263" s="308"/>
      <c r="R263" s="308"/>
      <c r="S263" s="308"/>
      <c r="T263" s="308"/>
      <c r="U263" s="308"/>
      <c r="V263" s="308"/>
      <c r="W263" s="308"/>
      <c r="X263" s="308"/>
      <c r="Y263" s="772"/>
      <c r="Z263" s="772"/>
      <c r="AA263" s="772"/>
      <c r="AB263" s="772"/>
      <c r="AC263" s="772"/>
      <c r="AD263" s="772"/>
      <c r="AE263" s="772"/>
      <c r="AF263" s="422"/>
      <c r="AG263" s="422"/>
      <c r="AH263" s="422"/>
      <c r="AI263" s="422"/>
      <c r="AJ263" s="422"/>
      <c r="AK263" s="422"/>
      <c r="AL263" s="422"/>
      <c r="AM263" s="309">
        <f>SUM(Y263:AL263)</f>
        <v>0</v>
      </c>
    </row>
    <row r="264" spans="1:40" ht="15" outlineLevel="1">
      <c r="B264" s="307" t="s">
        <v>289</v>
      </c>
      <c r="C264" s="304" t="s">
        <v>163</v>
      </c>
      <c r="D264" s="308"/>
      <c r="E264" s="308"/>
      <c r="F264" s="308"/>
      <c r="G264" s="308"/>
      <c r="H264" s="308"/>
      <c r="I264" s="308"/>
      <c r="J264" s="308"/>
      <c r="K264" s="308"/>
      <c r="L264" s="308"/>
      <c r="M264" s="308"/>
      <c r="N264" s="308">
        <f>N263</f>
        <v>12</v>
      </c>
      <c r="O264" s="308"/>
      <c r="P264" s="308"/>
      <c r="Q264" s="308"/>
      <c r="R264" s="308"/>
      <c r="S264" s="308"/>
      <c r="T264" s="308"/>
      <c r="U264" s="308"/>
      <c r="V264" s="308"/>
      <c r="W264" s="308"/>
      <c r="X264" s="308"/>
      <c r="Y264" s="773">
        <f>Y263</f>
        <v>0</v>
      </c>
      <c r="Z264" s="773">
        <f t="shared" ref="Z264:AE264" si="420">Z263</f>
        <v>0</v>
      </c>
      <c r="AA264" s="773">
        <f t="shared" si="420"/>
        <v>0</v>
      </c>
      <c r="AB264" s="773">
        <f t="shared" si="420"/>
        <v>0</v>
      </c>
      <c r="AC264" s="773">
        <f t="shared" si="420"/>
        <v>0</v>
      </c>
      <c r="AD264" s="773">
        <f t="shared" si="420"/>
        <v>0</v>
      </c>
      <c r="AE264" s="773">
        <f t="shared" si="420"/>
        <v>0</v>
      </c>
      <c r="AF264" s="423">
        <f t="shared" ref="AF264" si="421">AF263</f>
        <v>0</v>
      </c>
      <c r="AG264" s="423">
        <f t="shared" ref="AG264" si="422">AG263</f>
        <v>0</v>
      </c>
      <c r="AH264" s="423">
        <f t="shared" ref="AH264" si="423">AH263</f>
        <v>0</v>
      </c>
      <c r="AI264" s="423">
        <f t="shared" ref="AI264" si="424">AI263</f>
        <v>0</v>
      </c>
      <c r="AJ264" s="423">
        <f t="shared" ref="AJ264" si="425">AJ263</f>
        <v>0</v>
      </c>
      <c r="AK264" s="423">
        <f t="shared" ref="AK264" si="426">AK263</f>
        <v>0</v>
      </c>
      <c r="AL264" s="423">
        <f t="shared" ref="AL264" si="427">AL263</f>
        <v>0</v>
      </c>
      <c r="AM264" s="310"/>
    </row>
    <row r="265" spans="1:40" ht="15" outlineLevel="1">
      <c r="A265" s="530"/>
      <c r="B265" s="328"/>
      <c r="C265" s="318"/>
      <c r="D265" s="763"/>
      <c r="E265" s="763"/>
      <c r="F265" s="763"/>
      <c r="G265" s="763"/>
      <c r="H265" s="763"/>
      <c r="I265" s="763"/>
      <c r="J265" s="763"/>
      <c r="K265" s="763"/>
      <c r="L265" s="763"/>
      <c r="M265" s="763"/>
      <c r="N265" s="764"/>
      <c r="O265" s="763"/>
      <c r="P265" s="763"/>
      <c r="Q265" s="763"/>
      <c r="R265" s="763"/>
      <c r="S265" s="763"/>
      <c r="T265" s="763"/>
      <c r="U265" s="763"/>
      <c r="V265" s="763"/>
      <c r="W265" s="763"/>
      <c r="X265" s="763"/>
      <c r="Y265" s="774"/>
      <c r="Z265" s="774"/>
      <c r="AA265" s="774"/>
      <c r="AB265" s="774"/>
      <c r="AC265" s="774"/>
      <c r="AD265" s="774"/>
      <c r="AE265" s="774"/>
      <c r="AF265" s="424"/>
      <c r="AG265" s="424"/>
      <c r="AH265" s="424"/>
      <c r="AI265" s="424"/>
      <c r="AJ265" s="424"/>
      <c r="AK265" s="424"/>
      <c r="AL265" s="424"/>
      <c r="AM265" s="314"/>
      <c r="AN265" s="636"/>
    </row>
    <row r="266" spans="1:40" s="322" customFormat="1" ht="15.6" outlineLevel="1">
      <c r="A266" s="530"/>
      <c r="B266" s="301" t="s">
        <v>489</v>
      </c>
      <c r="C266" s="304"/>
      <c r="D266" s="763"/>
      <c r="E266" s="763"/>
      <c r="F266" s="763"/>
      <c r="G266" s="763"/>
      <c r="H266" s="763"/>
      <c r="I266" s="763"/>
      <c r="J266" s="763"/>
      <c r="K266" s="763"/>
      <c r="L266" s="763"/>
      <c r="M266" s="763"/>
      <c r="N266" s="763"/>
      <c r="O266" s="763"/>
      <c r="P266" s="763"/>
      <c r="Q266" s="763"/>
      <c r="R266" s="763"/>
      <c r="S266" s="763"/>
      <c r="T266" s="763"/>
      <c r="U266" s="763"/>
      <c r="V266" s="763"/>
      <c r="W266" s="763"/>
      <c r="X266" s="763"/>
      <c r="Y266" s="774"/>
      <c r="Z266" s="774"/>
      <c r="AA266" s="774"/>
      <c r="AB266" s="774"/>
      <c r="AC266" s="774"/>
      <c r="AD266" s="774"/>
      <c r="AE266" s="778"/>
      <c r="AF266" s="428"/>
      <c r="AG266" s="428"/>
      <c r="AH266" s="428"/>
      <c r="AI266" s="428"/>
      <c r="AJ266" s="428"/>
      <c r="AK266" s="428"/>
      <c r="AL266" s="428"/>
      <c r="AM266" s="524"/>
      <c r="AN266" s="637"/>
    </row>
    <row r="267" spans="1:40" ht="15" outlineLevel="1">
      <c r="A267" s="529">
        <v>15</v>
      </c>
      <c r="B267" s="307" t="s">
        <v>494</v>
      </c>
      <c r="C267" s="304" t="s">
        <v>25</v>
      </c>
      <c r="D267" s="308"/>
      <c r="E267" s="308"/>
      <c r="F267" s="308"/>
      <c r="G267" s="308"/>
      <c r="H267" s="308"/>
      <c r="I267" s="308"/>
      <c r="J267" s="308"/>
      <c r="K267" s="308"/>
      <c r="L267" s="308"/>
      <c r="M267" s="308"/>
      <c r="N267" s="308">
        <v>0</v>
      </c>
      <c r="O267" s="308"/>
      <c r="P267" s="308"/>
      <c r="Q267" s="308"/>
      <c r="R267" s="308"/>
      <c r="S267" s="308"/>
      <c r="T267" s="308"/>
      <c r="U267" s="308"/>
      <c r="V267" s="308"/>
      <c r="W267" s="308"/>
      <c r="X267" s="308"/>
      <c r="Y267" s="772"/>
      <c r="Z267" s="772"/>
      <c r="AA267" s="772"/>
      <c r="AB267" s="772"/>
      <c r="AC267" s="772"/>
      <c r="AD267" s="772"/>
      <c r="AE267" s="772"/>
      <c r="AF267" s="422"/>
      <c r="AG267" s="422"/>
      <c r="AH267" s="422"/>
      <c r="AI267" s="422"/>
      <c r="AJ267" s="422"/>
      <c r="AK267" s="422"/>
      <c r="AL267" s="422"/>
      <c r="AM267" s="309">
        <f>SUM(Y267:AL267)</f>
        <v>0</v>
      </c>
    </row>
    <row r="268" spans="1:40" ht="15" outlineLevel="1">
      <c r="B268" s="307" t="s">
        <v>289</v>
      </c>
      <c r="C268" s="304" t="s">
        <v>163</v>
      </c>
      <c r="D268" s="308"/>
      <c r="E268" s="308"/>
      <c r="F268" s="308"/>
      <c r="G268" s="308"/>
      <c r="H268" s="308"/>
      <c r="I268" s="308"/>
      <c r="J268" s="308"/>
      <c r="K268" s="308"/>
      <c r="L268" s="308"/>
      <c r="M268" s="308"/>
      <c r="N268" s="308">
        <f>N267</f>
        <v>0</v>
      </c>
      <c r="O268" s="308"/>
      <c r="P268" s="308"/>
      <c r="Q268" s="308"/>
      <c r="R268" s="308"/>
      <c r="S268" s="308"/>
      <c r="T268" s="308"/>
      <c r="U268" s="308"/>
      <c r="V268" s="308"/>
      <c r="W268" s="308"/>
      <c r="X268" s="308"/>
      <c r="Y268" s="773">
        <f>Y267</f>
        <v>0</v>
      </c>
      <c r="Z268" s="773">
        <f t="shared" ref="Z268:AE268" si="428">Z267</f>
        <v>0</v>
      </c>
      <c r="AA268" s="773">
        <f t="shared" si="428"/>
        <v>0</v>
      </c>
      <c r="AB268" s="773">
        <f t="shared" si="428"/>
        <v>0</v>
      </c>
      <c r="AC268" s="773">
        <f t="shared" si="428"/>
        <v>0</v>
      </c>
      <c r="AD268" s="773">
        <f t="shared" si="428"/>
        <v>0</v>
      </c>
      <c r="AE268" s="773">
        <f t="shared" si="428"/>
        <v>0</v>
      </c>
      <c r="AF268" s="423">
        <f t="shared" ref="AF268:AL268" si="429">AF267</f>
        <v>0</v>
      </c>
      <c r="AG268" s="423">
        <f t="shared" si="429"/>
        <v>0</v>
      </c>
      <c r="AH268" s="423">
        <f t="shared" si="429"/>
        <v>0</v>
      </c>
      <c r="AI268" s="423">
        <f t="shared" si="429"/>
        <v>0</v>
      </c>
      <c r="AJ268" s="423">
        <f t="shared" si="429"/>
        <v>0</v>
      </c>
      <c r="AK268" s="423">
        <f t="shared" si="429"/>
        <v>0</v>
      </c>
      <c r="AL268" s="423">
        <f t="shared" si="429"/>
        <v>0</v>
      </c>
      <c r="AM268" s="310"/>
    </row>
    <row r="269" spans="1:40" ht="15" outlineLevel="1">
      <c r="B269" s="328"/>
      <c r="C269" s="318"/>
      <c r="D269" s="763"/>
      <c r="E269" s="763"/>
      <c r="F269" s="763"/>
      <c r="G269" s="763"/>
      <c r="H269" s="763"/>
      <c r="I269" s="763"/>
      <c r="J269" s="763"/>
      <c r="K269" s="763"/>
      <c r="L269" s="763"/>
      <c r="M269" s="763"/>
      <c r="N269" s="763"/>
      <c r="O269" s="763"/>
      <c r="P269" s="763"/>
      <c r="Q269" s="763"/>
      <c r="R269" s="763"/>
      <c r="S269" s="763"/>
      <c r="T269" s="763"/>
      <c r="U269" s="763"/>
      <c r="V269" s="763"/>
      <c r="W269" s="763"/>
      <c r="X269" s="763"/>
      <c r="Y269" s="774"/>
      <c r="Z269" s="774"/>
      <c r="AA269" s="774"/>
      <c r="AB269" s="774"/>
      <c r="AC269" s="774"/>
      <c r="AD269" s="774"/>
      <c r="AE269" s="774"/>
      <c r="AF269" s="424"/>
      <c r="AG269" s="424"/>
      <c r="AH269" s="424"/>
      <c r="AI269" s="424"/>
      <c r="AJ269" s="424"/>
      <c r="AK269" s="424"/>
      <c r="AL269" s="424"/>
      <c r="AM269" s="319"/>
    </row>
    <row r="270" spans="1:40" s="296" customFormat="1" ht="15" outlineLevel="1">
      <c r="A270" s="529">
        <v>16</v>
      </c>
      <c r="B270" s="336" t="s">
        <v>490</v>
      </c>
      <c r="C270" s="304" t="s">
        <v>25</v>
      </c>
      <c r="D270" s="308"/>
      <c r="E270" s="308"/>
      <c r="F270" s="308"/>
      <c r="G270" s="308"/>
      <c r="H270" s="308"/>
      <c r="I270" s="308"/>
      <c r="J270" s="308"/>
      <c r="K270" s="308"/>
      <c r="L270" s="308"/>
      <c r="M270" s="308"/>
      <c r="N270" s="308">
        <v>0</v>
      </c>
      <c r="O270" s="308"/>
      <c r="P270" s="308"/>
      <c r="Q270" s="308"/>
      <c r="R270" s="308"/>
      <c r="S270" s="308"/>
      <c r="T270" s="308"/>
      <c r="U270" s="308"/>
      <c r="V270" s="308"/>
      <c r="W270" s="308"/>
      <c r="X270" s="308"/>
      <c r="Y270" s="772"/>
      <c r="Z270" s="772"/>
      <c r="AA270" s="772"/>
      <c r="AB270" s="772"/>
      <c r="AC270" s="772"/>
      <c r="AD270" s="772"/>
      <c r="AE270" s="772"/>
      <c r="AF270" s="422"/>
      <c r="AG270" s="422"/>
      <c r="AH270" s="422"/>
      <c r="AI270" s="422"/>
      <c r="AJ270" s="422"/>
      <c r="AK270" s="422"/>
      <c r="AL270" s="422"/>
      <c r="AM270" s="309">
        <f>SUM(Y270:AL270)</f>
        <v>0</v>
      </c>
    </row>
    <row r="271" spans="1:40" s="296" customFormat="1" ht="15" outlineLevel="1">
      <c r="A271" s="529"/>
      <c r="B271" s="336" t="s">
        <v>289</v>
      </c>
      <c r="C271" s="304" t="s">
        <v>163</v>
      </c>
      <c r="D271" s="308"/>
      <c r="E271" s="308"/>
      <c r="F271" s="308"/>
      <c r="G271" s="308"/>
      <c r="H271" s="308"/>
      <c r="I271" s="308"/>
      <c r="J271" s="308"/>
      <c r="K271" s="308"/>
      <c r="L271" s="308"/>
      <c r="M271" s="308"/>
      <c r="N271" s="308">
        <f>N270</f>
        <v>0</v>
      </c>
      <c r="O271" s="308"/>
      <c r="P271" s="308"/>
      <c r="Q271" s="308"/>
      <c r="R271" s="308"/>
      <c r="S271" s="308"/>
      <c r="T271" s="308"/>
      <c r="U271" s="308"/>
      <c r="V271" s="308"/>
      <c r="W271" s="308"/>
      <c r="X271" s="308"/>
      <c r="Y271" s="773">
        <f>Y270</f>
        <v>0</v>
      </c>
      <c r="Z271" s="773">
        <f t="shared" ref="Z271:AE271" si="430">Z270</f>
        <v>0</v>
      </c>
      <c r="AA271" s="773">
        <f t="shared" si="430"/>
        <v>0</v>
      </c>
      <c r="AB271" s="773">
        <f t="shared" si="430"/>
        <v>0</v>
      </c>
      <c r="AC271" s="773">
        <f t="shared" si="430"/>
        <v>0</v>
      </c>
      <c r="AD271" s="773">
        <f t="shared" si="430"/>
        <v>0</v>
      </c>
      <c r="AE271" s="773">
        <f t="shared" si="430"/>
        <v>0</v>
      </c>
      <c r="AF271" s="423">
        <f t="shared" ref="AF271:AL271" si="431">AF270</f>
        <v>0</v>
      </c>
      <c r="AG271" s="423">
        <f t="shared" si="431"/>
        <v>0</v>
      </c>
      <c r="AH271" s="423">
        <f t="shared" si="431"/>
        <v>0</v>
      </c>
      <c r="AI271" s="423">
        <f t="shared" si="431"/>
        <v>0</v>
      </c>
      <c r="AJ271" s="423">
        <f t="shared" si="431"/>
        <v>0</v>
      </c>
      <c r="AK271" s="423">
        <f t="shared" si="431"/>
        <v>0</v>
      </c>
      <c r="AL271" s="423">
        <f t="shared" si="431"/>
        <v>0</v>
      </c>
      <c r="AM271" s="310"/>
    </row>
    <row r="272" spans="1:40" s="296" customFormat="1" ht="15" outlineLevel="1">
      <c r="A272" s="529"/>
      <c r="B272" s="336"/>
      <c r="C272" s="304"/>
      <c r="D272" s="763"/>
      <c r="E272" s="763"/>
      <c r="F272" s="763"/>
      <c r="G272" s="763"/>
      <c r="H272" s="763"/>
      <c r="I272" s="763"/>
      <c r="J272" s="763"/>
      <c r="K272" s="763"/>
      <c r="L272" s="763"/>
      <c r="M272" s="763"/>
      <c r="N272" s="763"/>
      <c r="O272" s="763"/>
      <c r="P272" s="763"/>
      <c r="Q272" s="763"/>
      <c r="R272" s="763"/>
      <c r="S272" s="763"/>
      <c r="T272" s="763"/>
      <c r="U272" s="763"/>
      <c r="V272" s="763"/>
      <c r="W272" s="763"/>
      <c r="X272" s="763"/>
      <c r="Y272" s="774"/>
      <c r="Z272" s="774"/>
      <c r="AA272" s="774"/>
      <c r="AB272" s="774"/>
      <c r="AC272" s="774"/>
      <c r="AD272" s="774"/>
      <c r="AE272" s="778"/>
      <c r="AF272" s="428"/>
      <c r="AG272" s="428"/>
      <c r="AH272" s="428"/>
      <c r="AI272" s="428"/>
      <c r="AJ272" s="428"/>
      <c r="AK272" s="428"/>
      <c r="AL272" s="428"/>
      <c r="AM272" s="326"/>
    </row>
    <row r="273" spans="1:39" ht="15.6" outlineLevel="1">
      <c r="B273" s="526" t="s">
        <v>495</v>
      </c>
      <c r="C273" s="332"/>
      <c r="D273" s="769"/>
      <c r="E273" s="767"/>
      <c r="F273" s="767"/>
      <c r="G273" s="767"/>
      <c r="H273" s="767"/>
      <c r="I273" s="767"/>
      <c r="J273" s="767"/>
      <c r="K273" s="767"/>
      <c r="L273" s="767"/>
      <c r="M273" s="767"/>
      <c r="N273" s="769"/>
      <c r="O273" s="767"/>
      <c r="P273" s="767"/>
      <c r="Q273" s="767"/>
      <c r="R273" s="767"/>
      <c r="S273" s="767"/>
      <c r="T273" s="767"/>
      <c r="U273" s="767"/>
      <c r="V273" s="767"/>
      <c r="W273" s="767"/>
      <c r="X273" s="767"/>
      <c r="Y273" s="776"/>
      <c r="Z273" s="776"/>
      <c r="AA273" s="776"/>
      <c r="AB273" s="776"/>
      <c r="AC273" s="776"/>
      <c r="AD273" s="776"/>
      <c r="AE273" s="776"/>
      <c r="AF273" s="426"/>
      <c r="AG273" s="426"/>
      <c r="AH273" s="426"/>
      <c r="AI273" s="426"/>
      <c r="AJ273" s="426"/>
      <c r="AK273" s="426"/>
      <c r="AL273" s="426"/>
      <c r="AM273" s="305"/>
    </row>
    <row r="274" spans="1:39" ht="15" outlineLevel="1">
      <c r="A274" s="529">
        <v>17</v>
      </c>
      <c r="B274" s="527" t="s">
        <v>112</v>
      </c>
      <c r="C274" s="304" t="s">
        <v>25</v>
      </c>
      <c r="D274" s="308"/>
      <c r="E274" s="308"/>
      <c r="F274" s="308"/>
      <c r="G274" s="308"/>
      <c r="H274" s="308"/>
      <c r="I274" s="308"/>
      <c r="J274" s="308"/>
      <c r="K274" s="308"/>
      <c r="L274" s="308"/>
      <c r="M274" s="308"/>
      <c r="N274" s="308">
        <v>12</v>
      </c>
      <c r="O274" s="308"/>
      <c r="P274" s="308"/>
      <c r="Q274" s="308"/>
      <c r="R274" s="308"/>
      <c r="S274" s="308"/>
      <c r="T274" s="308"/>
      <c r="U274" s="308"/>
      <c r="V274" s="308"/>
      <c r="W274" s="308"/>
      <c r="X274" s="308"/>
      <c r="Y274" s="789"/>
      <c r="Z274" s="772"/>
      <c r="AA274" s="772"/>
      <c r="AB274" s="772"/>
      <c r="AC274" s="772"/>
      <c r="AD274" s="772"/>
      <c r="AE274" s="772"/>
      <c r="AF274" s="427"/>
      <c r="AG274" s="427"/>
      <c r="AH274" s="427"/>
      <c r="AI274" s="427"/>
      <c r="AJ274" s="427"/>
      <c r="AK274" s="427"/>
      <c r="AL274" s="427"/>
      <c r="AM274" s="309">
        <f>SUM(Y274:AL274)</f>
        <v>0</v>
      </c>
    </row>
    <row r="275" spans="1:39" ht="15" outlineLevel="1">
      <c r="B275" s="307" t="s">
        <v>289</v>
      </c>
      <c r="C275" s="304" t="s">
        <v>163</v>
      </c>
      <c r="D275" s="308"/>
      <c r="E275" s="308"/>
      <c r="F275" s="308"/>
      <c r="G275" s="308"/>
      <c r="H275" s="308"/>
      <c r="I275" s="308"/>
      <c r="J275" s="308"/>
      <c r="K275" s="308"/>
      <c r="L275" s="308"/>
      <c r="M275" s="308"/>
      <c r="N275" s="308">
        <f>N274</f>
        <v>12</v>
      </c>
      <c r="O275" s="308"/>
      <c r="P275" s="308"/>
      <c r="Q275" s="308"/>
      <c r="R275" s="308"/>
      <c r="S275" s="308"/>
      <c r="T275" s="308"/>
      <c r="U275" s="308"/>
      <c r="V275" s="308"/>
      <c r="W275" s="308"/>
      <c r="X275" s="308"/>
      <c r="Y275" s="773">
        <f>Y274</f>
        <v>0</v>
      </c>
      <c r="Z275" s="773">
        <f t="shared" ref="Z275:AE275" si="432">Z274</f>
        <v>0</v>
      </c>
      <c r="AA275" s="773">
        <f t="shared" si="432"/>
        <v>0</v>
      </c>
      <c r="AB275" s="773">
        <f t="shared" si="432"/>
        <v>0</v>
      </c>
      <c r="AC275" s="773">
        <f t="shared" si="432"/>
        <v>0</v>
      </c>
      <c r="AD275" s="773">
        <f t="shared" si="432"/>
        <v>0</v>
      </c>
      <c r="AE275" s="773">
        <f t="shared" si="432"/>
        <v>0</v>
      </c>
      <c r="AF275" s="423">
        <f t="shared" ref="AF275:AL275" si="433">AF274</f>
        <v>0</v>
      </c>
      <c r="AG275" s="423">
        <f t="shared" si="433"/>
        <v>0</v>
      </c>
      <c r="AH275" s="423">
        <f t="shared" si="433"/>
        <v>0</v>
      </c>
      <c r="AI275" s="423">
        <f t="shared" si="433"/>
        <v>0</v>
      </c>
      <c r="AJ275" s="423">
        <f t="shared" si="433"/>
        <v>0</v>
      </c>
      <c r="AK275" s="423">
        <f t="shared" si="433"/>
        <v>0</v>
      </c>
      <c r="AL275" s="423">
        <f t="shared" si="433"/>
        <v>0</v>
      </c>
      <c r="AM275" s="319"/>
    </row>
    <row r="276" spans="1:39" ht="15" outlineLevel="1">
      <c r="B276" s="307"/>
      <c r="C276" s="304"/>
      <c r="D276" s="763"/>
      <c r="E276" s="763"/>
      <c r="F276" s="763"/>
      <c r="G276" s="763"/>
      <c r="H276" s="763"/>
      <c r="I276" s="763"/>
      <c r="J276" s="763"/>
      <c r="K276" s="763"/>
      <c r="L276" s="763"/>
      <c r="M276" s="763"/>
      <c r="N276" s="763"/>
      <c r="O276" s="763"/>
      <c r="P276" s="763"/>
      <c r="Q276" s="763"/>
      <c r="R276" s="763"/>
      <c r="S276" s="763"/>
      <c r="T276" s="763"/>
      <c r="U276" s="763"/>
      <c r="V276" s="763"/>
      <c r="W276" s="763"/>
      <c r="X276" s="763"/>
      <c r="Y276" s="784"/>
      <c r="Z276" s="793"/>
      <c r="AA276" s="793"/>
      <c r="AB276" s="793"/>
      <c r="AC276" s="793"/>
      <c r="AD276" s="793"/>
      <c r="AE276" s="793"/>
      <c r="AF276" s="435"/>
      <c r="AG276" s="435"/>
      <c r="AH276" s="435"/>
      <c r="AI276" s="435"/>
      <c r="AJ276" s="435"/>
      <c r="AK276" s="435"/>
      <c r="AL276" s="435"/>
      <c r="AM276" s="319"/>
    </row>
    <row r="277" spans="1:39" ht="15" outlineLevel="1">
      <c r="A277" s="529">
        <v>18</v>
      </c>
      <c r="B277" s="527" t="s">
        <v>109</v>
      </c>
      <c r="C277" s="304" t="s">
        <v>25</v>
      </c>
      <c r="D277" s="308"/>
      <c r="E277" s="308"/>
      <c r="F277" s="308"/>
      <c r="G277" s="308"/>
      <c r="H277" s="308"/>
      <c r="I277" s="308"/>
      <c r="J277" s="308"/>
      <c r="K277" s="308"/>
      <c r="L277" s="308"/>
      <c r="M277" s="308"/>
      <c r="N277" s="308">
        <v>12</v>
      </c>
      <c r="O277" s="308"/>
      <c r="P277" s="308"/>
      <c r="Q277" s="308"/>
      <c r="R277" s="308"/>
      <c r="S277" s="308"/>
      <c r="T277" s="308"/>
      <c r="U277" s="308"/>
      <c r="V277" s="308"/>
      <c r="W277" s="308"/>
      <c r="X277" s="308"/>
      <c r="Y277" s="789"/>
      <c r="Z277" s="772"/>
      <c r="AA277" s="772"/>
      <c r="AB277" s="772"/>
      <c r="AC277" s="772"/>
      <c r="AD277" s="772"/>
      <c r="AE277" s="772"/>
      <c r="AF277" s="427"/>
      <c r="AG277" s="427"/>
      <c r="AH277" s="427"/>
      <c r="AI277" s="427"/>
      <c r="AJ277" s="427"/>
      <c r="AK277" s="427"/>
      <c r="AL277" s="427"/>
      <c r="AM277" s="309">
        <f>SUM(Y277:AL277)</f>
        <v>0</v>
      </c>
    </row>
    <row r="278" spans="1:39" ht="15" outlineLevel="1">
      <c r="B278" s="307" t="s">
        <v>289</v>
      </c>
      <c r="C278" s="304" t="s">
        <v>163</v>
      </c>
      <c r="D278" s="308"/>
      <c r="E278" s="308"/>
      <c r="F278" s="308"/>
      <c r="G278" s="308"/>
      <c r="H278" s="308"/>
      <c r="I278" s="308"/>
      <c r="J278" s="308"/>
      <c r="K278" s="308"/>
      <c r="L278" s="308"/>
      <c r="M278" s="308"/>
      <c r="N278" s="308">
        <f>N277</f>
        <v>12</v>
      </c>
      <c r="O278" s="308"/>
      <c r="P278" s="308"/>
      <c r="Q278" s="308"/>
      <c r="R278" s="308"/>
      <c r="S278" s="308"/>
      <c r="T278" s="308"/>
      <c r="U278" s="308"/>
      <c r="V278" s="308"/>
      <c r="W278" s="308"/>
      <c r="X278" s="308"/>
      <c r="Y278" s="773">
        <f>Y277</f>
        <v>0</v>
      </c>
      <c r="Z278" s="773">
        <f t="shared" ref="Z278:AE278" si="434">Z277</f>
        <v>0</v>
      </c>
      <c r="AA278" s="773">
        <f t="shared" si="434"/>
        <v>0</v>
      </c>
      <c r="AB278" s="773">
        <f t="shared" si="434"/>
        <v>0</v>
      </c>
      <c r="AC278" s="773">
        <f t="shared" si="434"/>
        <v>0</v>
      </c>
      <c r="AD278" s="773">
        <f t="shared" si="434"/>
        <v>0</v>
      </c>
      <c r="AE278" s="773">
        <f t="shared" si="434"/>
        <v>0</v>
      </c>
      <c r="AF278" s="423">
        <f t="shared" ref="AF278:AL278" si="435">AF277</f>
        <v>0</v>
      </c>
      <c r="AG278" s="423">
        <f t="shared" si="435"/>
        <v>0</v>
      </c>
      <c r="AH278" s="423">
        <f t="shared" si="435"/>
        <v>0</v>
      </c>
      <c r="AI278" s="423">
        <f t="shared" si="435"/>
        <v>0</v>
      </c>
      <c r="AJ278" s="423">
        <f t="shared" si="435"/>
        <v>0</v>
      </c>
      <c r="AK278" s="423">
        <f t="shared" si="435"/>
        <v>0</v>
      </c>
      <c r="AL278" s="423">
        <f t="shared" si="435"/>
        <v>0</v>
      </c>
      <c r="AM278" s="319"/>
    </row>
    <row r="279" spans="1:39" ht="15" outlineLevel="1">
      <c r="B279" s="334"/>
      <c r="C279" s="304"/>
      <c r="D279" s="763"/>
      <c r="E279" s="763"/>
      <c r="F279" s="763"/>
      <c r="G279" s="763"/>
      <c r="H279" s="763"/>
      <c r="I279" s="763"/>
      <c r="J279" s="763"/>
      <c r="K279" s="763"/>
      <c r="L279" s="763"/>
      <c r="M279" s="763"/>
      <c r="N279" s="763"/>
      <c r="O279" s="763"/>
      <c r="P279" s="763"/>
      <c r="Q279" s="763"/>
      <c r="R279" s="763"/>
      <c r="S279" s="763"/>
      <c r="T279" s="763"/>
      <c r="U279" s="763"/>
      <c r="V279" s="763"/>
      <c r="W279" s="763"/>
      <c r="X279" s="763"/>
      <c r="Y279" s="785"/>
      <c r="Z279" s="786"/>
      <c r="AA279" s="786"/>
      <c r="AB279" s="786"/>
      <c r="AC279" s="786"/>
      <c r="AD279" s="786"/>
      <c r="AE279" s="786"/>
      <c r="AF279" s="434"/>
      <c r="AG279" s="434"/>
      <c r="AH279" s="434"/>
      <c r="AI279" s="434"/>
      <c r="AJ279" s="434"/>
      <c r="AK279" s="434"/>
      <c r="AL279" s="434"/>
      <c r="AM279" s="310"/>
    </row>
    <row r="280" spans="1:39" ht="15" outlineLevel="1">
      <c r="A280" s="529">
        <v>19</v>
      </c>
      <c r="B280" s="527" t="s">
        <v>111</v>
      </c>
      <c r="C280" s="304" t="s">
        <v>25</v>
      </c>
      <c r="D280" s="308"/>
      <c r="E280" s="308"/>
      <c r="F280" s="308"/>
      <c r="G280" s="308"/>
      <c r="H280" s="308"/>
      <c r="I280" s="308"/>
      <c r="J280" s="308"/>
      <c r="K280" s="308"/>
      <c r="L280" s="308"/>
      <c r="M280" s="308"/>
      <c r="N280" s="308">
        <v>12</v>
      </c>
      <c r="O280" s="308"/>
      <c r="P280" s="308"/>
      <c r="Q280" s="308"/>
      <c r="R280" s="308"/>
      <c r="S280" s="308"/>
      <c r="T280" s="308"/>
      <c r="U280" s="308"/>
      <c r="V280" s="308"/>
      <c r="W280" s="308"/>
      <c r="X280" s="308"/>
      <c r="Y280" s="789"/>
      <c r="Z280" s="772"/>
      <c r="AA280" s="772"/>
      <c r="AB280" s="772"/>
      <c r="AC280" s="772"/>
      <c r="AD280" s="772"/>
      <c r="AE280" s="772"/>
      <c r="AF280" s="427"/>
      <c r="AG280" s="427"/>
      <c r="AH280" s="427"/>
      <c r="AI280" s="427"/>
      <c r="AJ280" s="427"/>
      <c r="AK280" s="427"/>
      <c r="AL280" s="427"/>
      <c r="AM280" s="309">
        <f>SUM(Y280:AL280)</f>
        <v>0</v>
      </c>
    </row>
    <row r="281" spans="1:39" ht="15" outlineLevel="1">
      <c r="B281" s="307" t="s">
        <v>289</v>
      </c>
      <c r="C281" s="304" t="s">
        <v>163</v>
      </c>
      <c r="D281" s="308"/>
      <c r="E281" s="308"/>
      <c r="F281" s="308"/>
      <c r="G281" s="308"/>
      <c r="H281" s="308"/>
      <c r="I281" s="308"/>
      <c r="J281" s="308"/>
      <c r="K281" s="308"/>
      <c r="L281" s="308"/>
      <c r="M281" s="308"/>
      <c r="N281" s="308">
        <f>N280</f>
        <v>12</v>
      </c>
      <c r="O281" s="308"/>
      <c r="P281" s="308"/>
      <c r="Q281" s="308"/>
      <c r="R281" s="308"/>
      <c r="S281" s="308"/>
      <c r="T281" s="308"/>
      <c r="U281" s="308"/>
      <c r="V281" s="308"/>
      <c r="W281" s="308"/>
      <c r="X281" s="308"/>
      <c r="Y281" s="773">
        <f>Y280</f>
        <v>0</v>
      </c>
      <c r="Z281" s="773">
        <f t="shared" ref="Z281:AE281" si="436">Z280</f>
        <v>0</v>
      </c>
      <c r="AA281" s="773">
        <f t="shared" si="436"/>
        <v>0</v>
      </c>
      <c r="AB281" s="773">
        <f t="shared" si="436"/>
        <v>0</v>
      </c>
      <c r="AC281" s="773">
        <f t="shared" si="436"/>
        <v>0</v>
      </c>
      <c r="AD281" s="773">
        <f t="shared" si="436"/>
        <v>0</v>
      </c>
      <c r="AE281" s="773">
        <f t="shared" si="436"/>
        <v>0</v>
      </c>
      <c r="AF281" s="423">
        <f t="shared" ref="AF281:AL281" si="437">AF280</f>
        <v>0</v>
      </c>
      <c r="AG281" s="423">
        <f t="shared" si="437"/>
        <v>0</v>
      </c>
      <c r="AH281" s="423">
        <f t="shared" si="437"/>
        <v>0</v>
      </c>
      <c r="AI281" s="423">
        <f t="shared" si="437"/>
        <v>0</v>
      </c>
      <c r="AJ281" s="423">
        <f t="shared" si="437"/>
        <v>0</v>
      </c>
      <c r="AK281" s="423">
        <f t="shared" si="437"/>
        <v>0</v>
      </c>
      <c r="AL281" s="423">
        <f t="shared" si="437"/>
        <v>0</v>
      </c>
      <c r="AM281" s="310"/>
    </row>
    <row r="282" spans="1:39" ht="15" outlineLevel="1">
      <c r="B282" s="334"/>
      <c r="C282" s="304"/>
      <c r="D282" s="763"/>
      <c r="E282" s="763"/>
      <c r="F282" s="763"/>
      <c r="G282" s="763"/>
      <c r="H282" s="763"/>
      <c r="I282" s="763"/>
      <c r="J282" s="763"/>
      <c r="K282" s="763"/>
      <c r="L282" s="763"/>
      <c r="M282" s="763"/>
      <c r="N282" s="763"/>
      <c r="O282" s="763"/>
      <c r="P282" s="763"/>
      <c r="Q282" s="763"/>
      <c r="R282" s="763"/>
      <c r="S282" s="763"/>
      <c r="T282" s="763"/>
      <c r="U282" s="763"/>
      <c r="V282" s="763"/>
      <c r="W282" s="763"/>
      <c r="X282" s="763"/>
      <c r="Y282" s="774"/>
      <c r="Z282" s="774"/>
      <c r="AA282" s="774"/>
      <c r="AB282" s="774"/>
      <c r="AC282" s="774"/>
      <c r="AD282" s="774"/>
      <c r="AE282" s="774"/>
      <c r="AF282" s="424"/>
      <c r="AG282" s="424"/>
      <c r="AH282" s="424"/>
      <c r="AI282" s="424"/>
      <c r="AJ282" s="424"/>
      <c r="AK282" s="424"/>
      <c r="AL282" s="424"/>
      <c r="AM282" s="319"/>
    </row>
    <row r="283" spans="1:39" ht="15" outlineLevel="1">
      <c r="A283" s="529">
        <v>20</v>
      </c>
      <c r="B283" s="527" t="s">
        <v>110</v>
      </c>
      <c r="C283" s="304" t="s">
        <v>25</v>
      </c>
      <c r="D283" s="308"/>
      <c r="E283" s="308"/>
      <c r="F283" s="308"/>
      <c r="G283" s="308"/>
      <c r="H283" s="308"/>
      <c r="I283" s="308"/>
      <c r="J283" s="308"/>
      <c r="K283" s="308"/>
      <c r="L283" s="308"/>
      <c r="M283" s="308"/>
      <c r="N283" s="308">
        <v>12</v>
      </c>
      <c r="O283" s="308"/>
      <c r="P283" s="308"/>
      <c r="Q283" s="308"/>
      <c r="R283" s="308"/>
      <c r="S283" s="308"/>
      <c r="T283" s="308"/>
      <c r="U283" s="308"/>
      <c r="V283" s="308"/>
      <c r="W283" s="308"/>
      <c r="X283" s="308"/>
      <c r="Y283" s="789"/>
      <c r="Z283" s="772"/>
      <c r="AA283" s="772"/>
      <c r="AB283" s="772"/>
      <c r="AC283" s="772"/>
      <c r="AD283" s="772"/>
      <c r="AE283" s="772"/>
      <c r="AF283" s="427"/>
      <c r="AG283" s="427"/>
      <c r="AH283" s="427"/>
      <c r="AI283" s="427"/>
      <c r="AJ283" s="427"/>
      <c r="AK283" s="427"/>
      <c r="AL283" s="427"/>
      <c r="AM283" s="309">
        <f>SUM(Y283:AL283)</f>
        <v>0</v>
      </c>
    </row>
    <row r="284" spans="1:39" ht="15" outlineLevel="1">
      <c r="B284" s="307" t="s">
        <v>289</v>
      </c>
      <c r="C284" s="304" t="s">
        <v>163</v>
      </c>
      <c r="D284" s="308"/>
      <c r="E284" s="308"/>
      <c r="F284" s="308"/>
      <c r="G284" s="308"/>
      <c r="H284" s="308"/>
      <c r="I284" s="308"/>
      <c r="J284" s="308"/>
      <c r="K284" s="308"/>
      <c r="L284" s="308"/>
      <c r="M284" s="308"/>
      <c r="N284" s="308">
        <f>N283</f>
        <v>12</v>
      </c>
      <c r="O284" s="308"/>
      <c r="P284" s="308"/>
      <c r="Q284" s="308"/>
      <c r="R284" s="308"/>
      <c r="S284" s="308"/>
      <c r="T284" s="308"/>
      <c r="U284" s="308"/>
      <c r="V284" s="308"/>
      <c r="W284" s="308"/>
      <c r="X284" s="308"/>
      <c r="Y284" s="773">
        <f t="shared" ref="Y284:AE284" si="438">Y283</f>
        <v>0</v>
      </c>
      <c r="Z284" s="773">
        <f t="shared" si="438"/>
        <v>0</v>
      </c>
      <c r="AA284" s="773">
        <f t="shared" si="438"/>
        <v>0</v>
      </c>
      <c r="AB284" s="773">
        <f t="shared" si="438"/>
        <v>0</v>
      </c>
      <c r="AC284" s="773">
        <f t="shared" si="438"/>
        <v>0</v>
      </c>
      <c r="AD284" s="773">
        <f t="shared" si="438"/>
        <v>0</v>
      </c>
      <c r="AE284" s="773">
        <f t="shared" si="438"/>
        <v>0</v>
      </c>
      <c r="AF284" s="423">
        <f t="shared" ref="AF284:AL284" si="439">AF283</f>
        <v>0</v>
      </c>
      <c r="AG284" s="423">
        <f t="shared" si="439"/>
        <v>0</v>
      </c>
      <c r="AH284" s="423">
        <f t="shared" si="439"/>
        <v>0</v>
      </c>
      <c r="AI284" s="423">
        <f t="shared" si="439"/>
        <v>0</v>
      </c>
      <c r="AJ284" s="423">
        <f t="shared" si="439"/>
        <v>0</v>
      </c>
      <c r="AK284" s="423">
        <f t="shared" si="439"/>
        <v>0</v>
      </c>
      <c r="AL284" s="423">
        <f t="shared" si="439"/>
        <v>0</v>
      </c>
      <c r="AM284" s="319"/>
    </row>
    <row r="285" spans="1:39" ht="15.6" outlineLevel="1">
      <c r="B285" s="335"/>
      <c r="C285" s="313"/>
      <c r="D285" s="763"/>
      <c r="E285" s="763"/>
      <c r="F285" s="763"/>
      <c r="G285" s="763"/>
      <c r="H285" s="763"/>
      <c r="I285" s="763"/>
      <c r="J285" s="763"/>
      <c r="K285" s="763"/>
      <c r="L285" s="763"/>
      <c r="M285" s="763"/>
      <c r="N285" s="771"/>
      <c r="O285" s="763"/>
      <c r="P285" s="763"/>
      <c r="Q285" s="763"/>
      <c r="R285" s="763"/>
      <c r="S285" s="763"/>
      <c r="T285" s="763"/>
      <c r="U285" s="763"/>
      <c r="V285" s="763"/>
      <c r="W285" s="763"/>
      <c r="X285" s="763"/>
      <c r="Y285" s="774"/>
      <c r="Z285" s="774"/>
      <c r="AA285" s="774"/>
      <c r="AB285" s="774"/>
      <c r="AC285" s="774"/>
      <c r="AD285" s="774"/>
      <c r="AE285" s="774"/>
      <c r="AF285" s="424"/>
      <c r="AG285" s="424"/>
      <c r="AH285" s="424"/>
      <c r="AI285" s="424"/>
      <c r="AJ285" s="424"/>
      <c r="AK285" s="424"/>
      <c r="AL285" s="424"/>
      <c r="AM285" s="319"/>
    </row>
    <row r="286" spans="1:39" ht="15.6" outlineLevel="1">
      <c r="B286" s="525" t="s">
        <v>502</v>
      </c>
      <c r="C286" s="304"/>
      <c r="D286" s="763"/>
      <c r="E286" s="763"/>
      <c r="F286" s="763"/>
      <c r="G286" s="763"/>
      <c r="H286" s="763"/>
      <c r="I286" s="763"/>
      <c r="J286" s="763"/>
      <c r="K286" s="763"/>
      <c r="L286" s="763"/>
      <c r="M286" s="763"/>
      <c r="N286" s="763"/>
      <c r="O286" s="763"/>
      <c r="P286" s="763"/>
      <c r="Q286" s="763"/>
      <c r="R286" s="763"/>
      <c r="S286" s="763"/>
      <c r="T286" s="763"/>
      <c r="U286" s="763"/>
      <c r="V286" s="763"/>
      <c r="W286" s="763"/>
      <c r="X286" s="763"/>
      <c r="Y286" s="784"/>
      <c r="Z286" s="793"/>
      <c r="AA286" s="793"/>
      <c r="AB286" s="793"/>
      <c r="AC286" s="793"/>
      <c r="AD286" s="793"/>
      <c r="AE286" s="793"/>
      <c r="AF286" s="435"/>
      <c r="AG286" s="435"/>
      <c r="AH286" s="435"/>
      <c r="AI286" s="435"/>
      <c r="AJ286" s="435"/>
      <c r="AK286" s="435"/>
      <c r="AL286" s="435"/>
      <c r="AM286" s="319"/>
    </row>
    <row r="287" spans="1:39" ht="15.6" outlineLevel="1">
      <c r="B287" s="301" t="s">
        <v>498</v>
      </c>
      <c r="C287" s="304"/>
      <c r="D287" s="763"/>
      <c r="E287" s="763"/>
      <c r="F287" s="763"/>
      <c r="G287" s="763"/>
      <c r="H287" s="763"/>
      <c r="I287" s="763"/>
      <c r="J287" s="763"/>
      <c r="K287" s="763"/>
      <c r="L287" s="763"/>
      <c r="M287" s="763"/>
      <c r="N287" s="763"/>
      <c r="O287" s="763"/>
      <c r="P287" s="763"/>
      <c r="Q287" s="763"/>
      <c r="R287" s="763"/>
      <c r="S287" s="763"/>
      <c r="T287" s="763"/>
      <c r="U287" s="763"/>
      <c r="V287" s="763"/>
      <c r="W287" s="763"/>
      <c r="X287" s="763"/>
      <c r="Y287" s="784"/>
      <c r="Z287" s="793"/>
      <c r="AA287" s="793"/>
      <c r="AB287" s="793"/>
      <c r="AC287" s="793"/>
      <c r="AD287" s="793"/>
      <c r="AE287" s="793"/>
      <c r="AF287" s="435"/>
      <c r="AG287" s="435"/>
      <c r="AH287" s="435"/>
      <c r="AI287" s="435"/>
      <c r="AJ287" s="435"/>
      <c r="AK287" s="435"/>
      <c r="AL287" s="435"/>
      <c r="AM287" s="319"/>
    </row>
    <row r="288" spans="1:39" ht="15" outlineLevel="1">
      <c r="A288" s="529">
        <v>21</v>
      </c>
      <c r="B288" s="527" t="s">
        <v>113</v>
      </c>
      <c r="C288" s="304" t="s">
        <v>25</v>
      </c>
      <c r="D288" s="308">
        <f>'7.  Persistence Report'!AV117</f>
        <v>1959951</v>
      </c>
      <c r="E288" s="308">
        <f>'7.  Persistence Report'!AW117</f>
        <v>1959951</v>
      </c>
      <c r="F288" s="308">
        <f>'7.  Persistence Report'!AX117</f>
        <v>1959951</v>
      </c>
      <c r="G288" s="308">
        <f>'7.  Persistence Report'!AY117</f>
        <v>1959951</v>
      </c>
      <c r="H288" s="308">
        <f>'7.  Persistence Report'!AZ117</f>
        <v>1959951</v>
      </c>
      <c r="I288" s="308">
        <f>'7.  Persistence Report'!BA117</f>
        <v>1959951</v>
      </c>
      <c r="J288" s="308">
        <f>'7.  Persistence Report'!BB117</f>
        <v>1959951</v>
      </c>
      <c r="K288" s="308">
        <f>'7.  Persistence Report'!BC117</f>
        <v>1959654</v>
      </c>
      <c r="L288" s="308">
        <f>'7.  Persistence Report'!BD117</f>
        <v>1959654</v>
      </c>
      <c r="M288" s="308">
        <f>'7.  Persistence Report'!BE117</f>
        <v>1951081</v>
      </c>
      <c r="N288" s="763"/>
      <c r="O288" s="308">
        <f>'7.  Persistence Report'!Q117</f>
        <v>127</v>
      </c>
      <c r="P288" s="308">
        <f>'7.  Persistence Report'!R117</f>
        <v>127</v>
      </c>
      <c r="Q288" s="308">
        <f>'7.  Persistence Report'!S117</f>
        <v>127</v>
      </c>
      <c r="R288" s="308">
        <f>'7.  Persistence Report'!T117</f>
        <v>127</v>
      </c>
      <c r="S288" s="308">
        <f>'7.  Persistence Report'!U117</f>
        <v>127</v>
      </c>
      <c r="T288" s="308">
        <f>'7.  Persistence Report'!V117</f>
        <v>127</v>
      </c>
      <c r="U288" s="308">
        <f>'7.  Persistence Report'!W117</f>
        <v>127</v>
      </c>
      <c r="V288" s="308">
        <f>'7.  Persistence Report'!X117</f>
        <v>127</v>
      </c>
      <c r="W288" s="308">
        <f>'7.  Persistence Report'!Y117</f>
        <v>127</v>
      </c>
      <c r="X288" s="308">
        <f>'7.  Persistence Report'!Z117</f>
        <v>127</v>
      </c>
      <c r="Y288" s="772">
        <v>1</v>
      </c>
      <c r="Z288" s="772"/>
      <c r="AA288" s="772"/>
      <c r="AB288" s="772"/>
      <c r="AC288" s="772"/>
      <c r="AD288" s="772"/>
      <c r="AE288" s="772"/>
      <c r="AF288" s="422"/>
      <c r="AG288" s="422"/>
      <c r="AH288" s="422"/>
      <c r="AI288" s="422"/>
      <c r="AJ288" s="422"/>
      <c r="AK288" s="422"/>
      <c r="AL288" s="422"/>
      <c r="AM288" s="309">
        <f>SUM(Y288:AL288)</f>
        <v>1</v>
      </c>
    </row>
    <row r="289" spans="1:39" ht="15" outlineLevel="1">
      <c r="B289" s="307" t="s">
        <v>289</v>
      </c>
      <c r="C289" s="304" t="s">
        <v>163</v>
      </c>
      <c r="D289" s="308">
        <f>'7.  Persistence Report'!AV120</f>
        <v>219861</v>
      </c>
      <c r="E289" s="308">
        <f>'7.  Persistence Report'!AW120</f>
        <v>219861</v>
      </c>
      <c r="F289" s="308">
        <f>'7.  Persistence Report'!AX120</f>
        <v>219861</v>
      </c>
      <c r="G289" s="308">
        <f>'7.  Persistence Report'!AY120</f>
        <v>219861</v>
      </c>
      <c r="H289" s="308">
        <f>'7.  Persistence Report'!AZ120</f>
        <v>219861</v>
      </c>
      <c r="I289" s="308">
        <f>'7.  Persistence Report'!BA120</f>
        <v>219861</v>
      </c>
      <c r="J289" s="308">
        <f>'7.  Persistence Report'!BB120</f>
        <v>219861</v>
      </c>
      <c r="K289" s="308">
        <f>'7.  Persistence Report'!BC120</f>
        <v>219841</v>
      </c>
      <c r="L289" s="308">
        <f>'7.  Persistence Report'!BD120</f>
        <v>219841</v>
      </c>
      <c r="M289" s="308">
        <f>'7.  Persistence Report'!BE120</f>
        <v>220168</v>
      </c>
      <c r="N289" s="763"/>
      <c r="O289" s="308">
        <f>'7.  Persistence Report'!Q120</f>
        <v>14</v>
      </c>
      <c r="P289" s="308">
        <f>'7.  Persistence Report'!R120</f>
        <v>14</v>
      </c>
      <c r="Q289" s="308">
        <f>'7.  Persistence Report'!S120</f>
        <v>14</v>
      </c>
      <c r="R289" s="308">
        <f>'7.  Persistence Report'!T120</f>
        <v>14</v>
      </c>
      <c r="S289" s="308">
        <f>'7.  Persistence Report'!U120</f>
        <v>14</v>
      </c>
      <c r="T289" s="308">
        <f>'7.  Persistence Report'!V120</f>
        <v>14</v>
      </c>
      <c r="U289" s="308">
        <f>'7.  Persistence Report'!W120</f>
        <v>14</v>
      </c>
      <c r="V289" s="308">
        <f>'7.  Persistence Report'!X120</f>
        <v>14</v>
      </c>
      <c r="W289" s="308">
        <f>'7.  Persistence Report'!Y120</f>
        <v>14</v>
      </c>
      <c r="X289" s="308">
        <f>'7.  Persistence Report'!Z120</f>
        <v>14</v>
      </c>
      <c r="Y289" s="773">
        <f>Y288</f>
        <v>1</v>
      </c>
      <c r="Z289" s="773">
        <f t="shared" ref="Z289:AE289" si="440">Z288</f>
        <v>0</v>
      </c>
      <c r="AA289" s="773">
        <f t="shared" si="440"/>
        <v>0</v>
      </c>
      <c r="AB289" s="773">
        <f t="shared" si="440"/>
        <v>0</v>
      </c>
      <c r="AC289" s="773">
        <f t="shared" si="440"/>
        <v>0</v>
      </c>
      <c r="AD289" s="773">
        <f t="shared" si="440"/>
        <v>0</v>
      </c>
      <c r="AE289" s="773">
        <f t="shared" si="440"/>
        <v>0</v>
      </c>
      <c r="AF289" s="423">
        <f t="shared" ref="AF289" si="441">AF288</f>
        <v>0</v>
      </c>
      <c r="AG289" s="423">
        <f t="shared" ref="AG289" si="442">AG288</f>
        <v>0</v>
      </c>
      <c r="AH289" s="423">
        <f t="shared" ref="AH289" si="443">AH288</f>
        <v>0</v>
      </c>
      <c r="AI289" s="423">
        <f t="shared" ref="AI289" si="444">AI288</f>
        <v>0</v>
      </c>
      <c r="AJ289" s="423">
        <f t="shared" ref="AJ289" si="445">AJ288</f>
        <v>0</v>
      </c>
      <c r="AK289" s="423">
        <f t="shared" ref="AK289" si="446">AK288</f>
        <v>0</v>
      </c>
      <c r="AL289" s="423">
        <f t="shared" ref="AL289" si="447">AL288</f>
        <v>0</v>
      </c>
      <c r="AM289" s="319"/>
    </row>
    <row r="290" spans="1:39" ht="15" outlineLevel="1">
      <c r="B290" s="307"/>
      <c r="C290" s="304"/>
      <c r="D290" s="763"/>
      <c r="E290" s="763"/>
      <c r="F290" s="763"/>
      <c r="G290" s="763"/>
      <c r="H290" s="763"/>
      <c r="I290" s="763"/>
      <c r="J290" s="763"/>
      <c r="K290" s="763"/>
      <c r="L290" s="763"/>
      <c r="M290" s="763"/>
      <c r="N290" s="763"/>
      <c r="O290" s="763"/>
      <c r="P290" s="763"/>
      <c r="Q290" s="763"/>
      <c r="R290" s="763"/>
      <c r="S290" s="763"/>
      <c r="T290" s="763"/>
      <c r="U290" s="763"/>
      <c r="V290" s="763"/>
      <c r="W290" s="763"/>
      <c r="X290" s="763"/>
      <c r="Y290" s="784"/>
      <c r="Z290" s="793"/>
      <c r="AA290" s="793"/>
      <c r="AB290" s="793"/>
      <c r="AC290" s="793"/>
      <c r="AD290" s="793"/>
      <c r="AE290" s="793"/>
      <c r="AF290" s="435"/>
      <c r="AG290" s="435"/>
      <c r="AH290" s="435"/>
      <c r="AI290" s="435"/>
      <c r="AJ290" s="435"/>
      <c r="AK290" s="435"/>
      <c r="AL290" s="435"/>
      <c r="AM290" s="319"/>
    </row>
    <row r="291" spans="1:39" ht="30" outlineLevel="1">
      <c r="A291" s="529">
        <v>22</v>
      </c>
      <c r="B291" s="527" t="s">
        <v>114</v>
      </c>
      <c r="C291" s="304" t="s">
        <v>25</v>
      </c>
      <c r="D291" s="308">
        <f>'7.  Persistence Report'!AV118</f>
        <v>410272</v>
      </c>
      <c r="E291" s="308">
        <f>'7.  Persistence Report'!AW118</f>
        <v>410272</v>
      </c>
      <c r="F291" s="308">
        <f>'7.  Persistence Report'!AX118</f>
        <v>410272</v>
      </c>
      <c r="G291" s="308">
        <f>'7.  Persistence Report'!AY118</f>
        <v>410272</v>
      </c>
      <c r="H291" s="308">
        <f>'7.  Persistence Report'!AZ118</f>
        <v>410272</v>
      </c>
      <c r="I291" s="308">
        <f>'7.  Persistence Report'!BA118</f>
        <v>410272</v>
      </c>
      <c r="J291" s="308">
        <f>'7.  Persistence Report'!BB118</f>
        <v>410272</v>
      </c>
      <c r="K291" s="308">
        <f>'7.  Persistence Report'!BC118</f>
        <v>410272</v>
      </c>
      <c r="L291" s="308">
        <f>'7.  Persistence Report'!BD118</f>
        <v>410272</v>
      </c>
      <c r="M291" s="308">
        <f>'7.  Persistence Report'!BE118</f>
        <v>410272</v>
      </c>
      <c r="N291" s="763"/>
      <c r="O291" s="308">
        <f>'7.  Persistence Report'!Q118</f>
        <v>123</v>
      </c>
      <c r="P291" s="308">
        <f>'7.  Persistence Report'!R118</f>
        <v>123</v>
      </c>
      <c r="Q291" s="308">
        <f>'7.  Persistence Report'!S118</f>
        <v>123</v>
      </c>
      <c r="R291" s="308">
        <f>'7.  Persistence Report'!T118</f>
        <v>123</v>
      </c>
      <c r="S291" s="308">
        <f>'7.  Persistence Report'!U118</f>
        <v>123</v>
      </c>
      <c r="T291" s="308">
        <f>'7.  Persistence Report'!V118</f>
        <v>123</v>
      </c>
      <c r="U291" s="308">
        <f>'7.  Persistence Report'!W118</f>
        <v>123</v>
      </c>
      <c r="V291" s="308">
        <f>'7.  Persistence Report'!X118</f>
        <v>123</v>
      </c>
      <c r="W291" s="308">
        <f>'7.  Persistence Report'!Y118</f>
        <v>123</v>
      </c>
      <c r="X291" s="308">
        <f>'7.  Persistence Report'!Z118</f>
        <v>123</v>
      </c>
      <c r="Y291" s="772">
        <v>1</v>
      </c>
      <c r="Z291" s="772"/>
      <c r="AA291" s="772"/>
      <c r="AB291" s="772"/>
      <c r="AC291" s="772"/>
      <c r="AD291" s="772"/>
      <c r="AE291" s="772"/>
      <c r="AF291" s="422"/>
      <c r="AG291" s="422"/>
      <c r="AH291" s="422"/>
      <c r="AI291" s="422"/>
      <c r="AJ291" s="422"/>
      <c r="AK291" s="422"/>
      <c r="AL291" s="422"/>
      <c r="AM291" s="309">
        <f>SUM(Y291:AL291)</f>
        <v>1</v>
      </c>
    </row>
    <row r="292" spans="1:39" ht="15" outlineLevel="1">
      <c r="B292" s="307" t="s">
        <v>289</v>
      </c>
      <c r="C292" s="304" t="s">
        <v>163</v>
      </c>
      <c r="D292" s="308">
        <f>'7.  Persistence Report'!AV121</f>
        <v>5836</v>
      </c>
      <c r="E292" s="308">
        <f>'7.  Persistence Report'!AW121</f>
        <v>5836</v>
      </c>
      <c r="F292" s="308">
        <f>'7.  Persistence Report'!AX121</f>
        <v>5836</v>
      </c>
      <c r="G292" s="308">
        <f>'7.  Persistence Report'!AY121</f>
        <v>5836</v>
      </c>
      <c r="H292" s="308">
        <f>'7.  Persistence Report'!AZ121</f>
        <v>5836</v>
      </c>
      <c r="I292" s="308">
        <f>'7.  Persistence Report'!BA121</f>
        <v>5836</v>
      </c>
      <c r="J292" s="308">
        <f>'7.  Persistence Report'!BB121</f>
        <v>5836</v>
      </c>
      <c r="K292" s="308">
        <f>'7.  Persistence Report'!BC121</f>
        <v>5836</v>
      </c>
      <c r="L292" s="308">
        <f>'7.  Persistence Report'!BD121</f>
        <v>5836</v>
      </c>
      <c r="M292" s="308">
        <f>'7.  Persistence Report'!BE121</f>
        <v>5836</v>
      </c>
      <c r="N292" s="763"/>
      <c r="O292" s="308">
        <f>'7.  Persistence Report'!Q121</f>
        <v>2</v>
      </c>
      <c r="P292" s="308">
        <f>'7.  Persistence Report'!R121</f>
        <v>2</v>
      </c>
      <c r="Q292" s="308">
        <f>'7.  Persistence Report'!S121</f>
        <v>2</v>
      </c>
      <c r="R292" s="308">
        <f>'7.  Persistence Report'!T121</f>
        <v>2</v>
      </c>
      <c r="S292" s="308">
        <f>'7.  Persistence Report'!U121</f>
        <v>2</v>
      </c>
      <c r="T292" s="308">
        <f>'7.  Persistence Report'!V121</f>
        <v>2</v>
      </c>
      <c r="U292" s="308">
        <f>'7.  Persistence Report'!W121</f>
        <v>2</v>
      </c>
      <c r="V292" s="308">
        <f>'7.  Persistence Report'!X121</f>
        <v>2</v>
      </c>
      <c r="W292" s="308">
        <f>'7.  Persistence Report'!Y121</f>
        <v>2</v>
      </c>
      <c r="X292" s="308">
        <f>'7.  Persistence Report'!Z121</f>
        <v>2</v>
      </c>
      <c r="Y292" s="773">
        <f>Y291</f>
        <v>1</v>
      </c>
      <c r="Z292" s="773">
        <f t="shared" ref="Z292:AE292" si="448">Z291</f>
        <v>0</v>
      </c>
      <c r="AA292" s="773">
        <f t="shared" si="448"/>
        <v>0</v>
      </c>
      <c r="AB292" s="773">
        <f t="shared" si="448"/>
        <v>0</v>
      </c>
      <c r="AC292" s="773">
        <f t="shared" si="448"/>
        <v>0</v>
      </c>
      <c r="AD292" s="773">
        <f t="shared" si="448"/>
        <v>0</v>
      </c>
      <c r="AE292" s="773">
        <f t="shared" si="448"/>
        <v>0</v>
      </c>
      <c r="AF292" s="423">
        <f t="shared" ref="AF292" si="449">AF291</f>
        <v>0</v>
      </c>
      <c r="AG292" s="423">
        <f t="shared" ref="AG292" si="450">AG291</f>
        <v>0</v>
      </c>
      <c r="AH292" s="423">
        <f t="shared" ref="AH292" si="451">AH291</f>
        <v>0</v>
      </c>
      <c r="AI292" s="423">
        <f t="shared" ref="AI292" si="452">AI291</f>
        <v>0</v>
      </c>
      <c r="AJ292" s="423">
        <f t="shared" ref="AJ292" si="453">AJ291</f>
        <v>0</v>
      </c>
      <c r="AK292" s="423">
        <f t="shared" ref="AK292" si="454">AK291</f>
        <v>0</v>
      </c>
      <c r="AL292" s="423">
        <f t="shared" ref="AL292" si="455">AL291</f>
        <v>0</v>
      </c>
      <c r="AM292" s="319"/>
    </row>
    <row r="293" spans="1:39" ht="15" outlineLevel="1">
      <c r="B293" s="307"/>
      <c r="C293" s="304"/>
      <c r="D293" s="763"/>
      <c r="E293" s="763"/>
      <c r="F293" s="763"/>
      <c r="G293" s="763"/>
      <c r="H293" s="763"/>
      <c r="I293" s="763"/>
      <c r="J293" s="763"/>
      <c r="K293" s="763"/>
      <c r="L293" s="763"/>
      <c r="M293" s="763"/>
      <c r="N293" s="763"/>
      <c r="O293" s="763"/>
      <c r="P293" s="763"/>
      <c r="Q293" s="763"/>
      <c r="R293" s="763"/>
      <c r="S293" s="763"/>
      <c r="T293" s="763"/>
      <c r="U293" s="763"/>
      <c r="V293" s="763"/>
      <c r="W293" s="763"/>
      <c r="X293" s="763"/>
      <c r="Y293" s="784"/>
      <c r="Z293" s="793"/>
      <c r="AA293" s="793"/>
      <c r="AB293" s="793"/>
      <c r="AC293" s="793"/>
      <c r="AD293" s="793"/>
      <c r="AE293" s="793"/>
      <c r="AF293" s="435"/>
      <c r="AG293" s="435"/>
      <c r="AH293" s="435"/>
      <c r="AI293" s="435"/>
      <c r="AJ293" s="435"/>
      <c r="AK293" s="435"/>
      <c r="AL293" s="435"/>
      <c r="AM293" s="319"/>
    </row>
    <row r="294" spans="1:39" ht="30" outlineLevel="1">
      <c r="A294" s="529">
        <v>23</v>
      </c>
      <c r="B294" s="527" t="s">
        <v>115</v>
      </c>
      <c r="C294" s="304" t="s">
        <v>25</v>
      </c>
      <c r="D294" s="308"/>
      <c r="E294" s="308"/>
      <c r="F294" s="308"/>
      <c r="G294" s="308"/>
      <c r="H294" s="308"/>
      <c r="I294" s="308"/>
      <c r="J294" s="308"/>
      <c r="K294" s="308"/>
      <c r="L294" s="308"/>
      <c r="M294" s="308"/>
      <c r="N294" s="763"/>
      <c r="O294" s="308"/>
      <c r="P294" s="308"/>
      <c r="Q294" s="308"/>
      <c r="R294" s="308"/>
      <c r="S294" s="308"/>
      <c r="T294" s="308"/>
      <c r="U294" s="308"/>
      <c r="V294" s="308"/>
      <c r="W294" s="308"/>
      <c r="X294" s="308"/>
      <c r="Y294" s="772"/>
      <c r="Z294" s="772"/>
      <c r="AA294" s="772"/>
      <c r="AB294" s="772"/>
      <c r="AC294" s="772"/>
      <c r="AD294" s="772"/>
      <c r="AE294" s="772"/>
      <c r="AF294" s="422"/>
      <c r="AG294" s="422"/>
      <c r="AH294" s="422"/>
      <c r="AI294" s="422"/>
      <c r="AJ294" s="422"/>
      <c r="AK294" s="422"/>
      <c r="AL294" s="422"/>
      <c r="AM294" s="309">
        <f>SUM(Y294:AL294)</f>
        <v>0</v>
      </c>
    </row>
    <row r="295" spans="1:39" ht="15" outlineLevel="1">
      <c r="B295" s="307" t="s">
        <v>289</v>
      </c>
      <c r="C295" s="304" t="s">
        <v>163</v>
      </c>
      <c r="D295" s="308"/>
      <c r="E295" s="308"/>
      <c r="F295" s="308"/>
      <c r="G295" s="308"/>
      <c r="H295" s="308"/>
      <c r="I295" s="308"/>
      <c r="J295" s="308"/>
      <c r="K295" s="308"/>
      <c r="L295" s="308"/>
      <c r="M295" s="308"/>
      <c r="N295" s="763"/>
      <c r="O295" s="308"/>
      <c r="P295" s="308"/>
      <c r="Q295" s="308"/>
      <c r="R295" s="308"/>
      <c r="S295" s="308"/>
      <c r="T295" s="308"/>
      <c r="U295" s="308"/>
      <c r="V295" s="308"/>
      <c r="W295" s="308"/>
      <c r="X295" s="308"/>
      <c r="Y295" s="773">
        <f>Y294</f>
        <v>0</v>
      </c>
      <c r="Z295" s="773">
        <f t="shared" ref="Z295:AE295" si="456">Z294</f>
        <v>0</v>
      </c>
      <c r="AA295" s="773">
        <f t="shared" si="456"/>
        <v>0</v>
      </c>
      <c r="AB295" s="773">
        <f t="shared" si="456"/>
        <v>0</v>
      </c>
      <c r="AC295" s="773">
        <f t="shared" si="456"/>
        <v>0</v>
      </c>
      <c r="AD295" s="773">
        <f t="shared" si="456"/>
        <v>0</v>
      </c>
      <c r="AE295" s="773">
        <f t="shared" si="456"/>
        <v>0</v>
      </c>
      <c r="AF295" s="423">
        <f t="shared" ref="AF295" si="457">AF294</f>
        <v>0</v>
      </c>
      <c r="AG295" s="423">
        <f t="shared" ref="AG295" si="458">AG294</f>
        <v>0</v>
      </c>
      <c r="AH295" s="423">
        <f t="shared" ref="AH295" si="459">AH294</f>
        <v>0</v>
      </c>
      <c r="AI295" s="423">
        <f t="shared" ref="AI295" si="460">AI294</f>
        <v>0</v>
      </c>
      <c r="AJ295" s="423">
        <f t="shared" ref="AJ295" si="461">AJ294</f>
        <v>0</v>
      </c>
      <c r="AK295" s="423">
        <f t="shared" ref="AK295" si="462">AK294</f>
        <v>0</v>
      </c>
      <c r="AL295" s="423">
        <f t="shared" ref="AL295" si="463">AL294</f>
        <v>0</v>
      </c>
      <c r="AM295" s="319"/>
    </row>
    <row r="296" spans="1:39" ht="15" outlineLevel="1">
      <c r="B296" s="334"/>
      <c r="C296" s="304"/>
      <c r="D296" s="763"/>
      <c r="E296" s="763"/>
      <c r="F296" s="763"/>
      <c r="G296" s="763"/>
      <c r="H296" s="763"/>
      <c r="I296" s="763"/>
      <c r="J296" s="763"/>
      <c r="K296" s="763"/>
      <c r="L296" s="763"/>
      <c r="M296" s="763"/>
      <c r="N296" s="763"/>
      <c r="O296" s="763"/>
      <c r="P296" s="763"/>
      <c r="Q296" s="763"/>
      <c r="R296" s="763"/>
      <c r="S296" s="763"/>
      <c r="T296" s="763"/>
      <c r="U296" s="763"/>
      <c r="V296" s="763"/>
      <c r="W296" s="763"/>
      <c r="X296" s="763"/>
      <c r="Y296" s="784"/>
      <c r="Z296" s="793"/>
      <c r="AA296" s="793"/>
      <c r="AB296" s="793"/>
      <c r="AC296" s="793"/>
      <c r="AD296" s="793"/>
      <c r="AE296" s="793"/>
      <c r="AF296" s="435"/>
      <c r="AG296" s="435"/>
      <c r="AH296" s="435"/>
      <c r="AI296" s="435"/>
      <c r="AJ296" s="435"/>
      <c r="AK296" s="435"/>
      <c r="AL296" s="435"/>
      <c r="AM296" s="319"/>
    </row>
    <row r="297" spans="1:39" ht="15" outlineLevel="1">
      <c r="A297" s="529">
        <v>24</v>
      </c>
      <c r="B297" s="527" t="s">
        <v>116</v>
      </c>
      <c r="C297" s="304" t="s">
        <v>25</v>
      </c>
      <c r="D297" s="308"/>
      <c r="E297" s="308"/>
      <c r="F297" s="308"/>
      <c r="G297" s="308"/>
      <c r="H297" s="308"/>
      <c r="I297" s="308"/>
      <c r="J297" s="308"/>
      <c r="K297" s="308"/>
      <c r="L297" s="308"/>
      <c r="M297" s="308"/>
      <c r="N297" s="763"/>
      <c r="O297" s="308"/>
      <c r="P297" s="308"/>
      <c r="Q297" s="308"/>
      <c r="R297" s="308"/>
      <c r="S297" s="308"/>
      <c r="T297" s="308"/>
      <c r="U297" s="308"/>
      <c r="V297" s="308"/>
      <c r="W297" s="308"/>
      <c r="X297" s="308"/>
      <c r="Y297" s="772"/>
      <c r="Z297" s="772"/>
      <c r="AA297" s="772"/>
      <c r="AB297" s="772"/>
      <c r="AC297" s="772"/>
      <c r="AD297" s="772"/>
      <c r="AE297" s="772"/>
      <c r="AF297" s="422"/>
      <c r="AG297" s="422"/>
      <c r="AH297" s="422"/>
      <c r="AI297" s="422"/>
      <c r="AJ297" s="422"/>
      <c r="AK297" s="422"/>
      <c r="AL297" s="422"/>
      <c r="AM297" s="309">
        <f>SUM(Y297:AL297)</f>
        <v>0</v>
      </c>
    </row>
    <row r="298" spans="1:39" ht="15" outlineLevel="1">
      <c r="B298" s="307" t="s">
        <v>289</v>
      </c>
      <c r="C298" s="304" t="s">
        <v>163</v>
      </c>
      <c r="D298" s="308"/>
      <c r="E298" s="308"/>
      <c r="F298" s="308"/>
      <c r="G298" s="308"/>
      <c r="H298" s="308"/>
      <c r="I298" s="308"/>
      <c r="J298" s="308"/>
      <c r="K298" s="308"/>
      <c r="L298" s="308"/>
      <c r="M298" s="308"/>
      <c r="N298" s="763"/>
      <c r="O298" s="308"/>
      <c r="P298" s="308"/>
      <c r="Q298" s="308"/>
      <c r="R298" s="308"/>
      <c r="S298" s="308"/>
      <c r="T298" s="308"/>
      <c r="U298" s="308"/>
      <c r="V298" s="308"/>
      <c r="W298" s="308"/>
      <c r="X298" s="308"/>
      <c r="Y298" s="773">
        <f>Y297</f>
        <v>0</v>
      </c>
      <c r="Z298" s="773">
        <f t="shared" ref="Z298:AE298" si="464">Z297</f>
        <v>0</v>
      </c>
      <c r="AA298" s="773">
        <f t="shared" si="464"/>
        <v>0</v>
      </c>
      <c r="AB298" s="773">
        <f t="shared" si="464"/>
        <v>0</v>
      </c>
      <c r="AC298" s="773">
        <f t="shared" si="464"/>
        <v>0</v>
      </c>
      <c r="AD298" s="773">
        <f t="shared" si="464"/>
        <v>0</v>
      </c>
      <c r="AE298" s="773">
        <f t="shared" si="464"/>
        <v>0</v>
      </c>
      <c r="AF298" s="423">
        <f t="shared" ref="AF298" si="465">AF297</f>
        <v>0</v>
      </c>
      <c r="AG298" s="423">
        <f t="shared" ref="AG298" si="466">AG297</f>
        <v>0</v>
      </c>
      <c r="AH298" s="423">
        <f t="shared" ref="AH298" si="467">AH297</f>
        <v>0</v>
      </c>
      <c r="AI298" s="423">
        <f t="shared" ref="AI298" si="468">AI297</f>
        <v>0</v>
      </c>
      <c r="AJ298" s="423">
        <f t="shared" ref="AJ298" si="469">AJ297</f>
        <v>0</v>
      </c>
      <c r="AK298" s="423">
        <f t="shared" ref="AK298" si="470">AK297</f>
        <v>0</v>
      </c>
      <c r="AL298" s="423">
        <f t="shared" ref="AL298" si="471">AL297</f>
        <v>0</v>
      </c>
      <c r="AM298" s="319"/>
    </row>
    <row r="299" spans="1:39" ht="15" outlineLevel="1">
      <c r="B299" s="307"/>
      <c r="C299" s="304"/>
      <c r="D299" s="763"/>
      <c r="E299" s="763"/>
      <c r="F299" s="763"/>
      <c r="G299" s="763"/>
      <c r="H299" s="763"/>
      <c r="I299" s="763"/>
      <c r="J299" s="763"/>
      <c r="K299" s="763"/>
      <c r="L299" s="763"/>
      <c r="M299" s="763"/>
      <c r="N299" s="763"/>
      <c r="O299" s="763"/>
      <c r="P299" s="763"/>
      <c r="Q299" s="763"/>
      <c r="R299" s="763"/>
      <c r="S299" s="763"/>
      <c r="T299" s="763"/>
      <c r="U299" s="763"/>
      <c r="V299" s="763"/>
      <c r="W299" s="763"/>
      <c r="X299" s="763"/>
      <c r="Y299" s="774"/>
      <c r="Z299" s="793"/>
      <c r="AA299" s="793"/>
      <c r="AB299" s="793"/>
      <c r="AC299" s="793"/>
      <c r="AD299" s="793"/>
      <c r="AE299" s="793"/>
      <c r="AF299" s="435"/>
      <c r="AG299" s="435"/>
      <c r="AH299" s="435"/>
      <c r="AI299" s="435"/>
      <c r="AJ299" s="435"/>
      <c r="AK299" s="435"/>
      <c r="AL299" s="435"/>
      <c r="AM299" s="319"/>
    </row>
    <row r="300" spans="1:39" ht="15.6" outlineLevel="1">
      <c r="B300" s="301" t="s">
        <v>499</v>
      </c>
      <c r="C300" s="304"/>
      <c r="D300" s="763"/>
      <c r="E300" s="763"/>
      <c r="F300" s="763"/>
      <c r="G300" s="763"/>
      <c r="H300" s="763"/>
      <c r="I300" s="763"/>
      <c r="J300" s="763"/>
      <c r="K300" s="763"/>
      <c r="L300" s="763"/>
      <c r="M300" s="763"/>
      <c r="N300" s="763"/>
      <c r="O300" s="763"/>
      <c r="P300" s="763"/>
      <c r="Q300" s="763"/>
      <c r="R300" s="763"/>
      <c r="S300" s="763"/>
      <c r="T300" s="763"/>
      <c r="U300" s="763"/>
      <c r="V300" s="763"/>
      <c r="W300" s="763"/>
      <c r="X300" s="763"/>
      <c r="Y300" s="774"/>
      <c r="Z300" s="793"/>
      <c r="AA300" s="793"/>
      <c r="AB300" s="793"/>
      <c r="AC300" s="793"/>
      <c r="AD300" s="793"/>
      <c r="AE300" s="793"/>
      <c r="AF300" s="435"/>
      <c r="AG300" s="435"/>
      <c r="AH300" s="435"/>
      <c r="AI300" s="435"/>
      <c r="AJ300" s="435"/>
      <c r="AK300" s="435"/>
      <c r="AL300" s="435"/>
      <c r="AM300" s="319"/>
    </row>
    <row r="301" spans="1:39" ht="15" outlineLevel="1">
      <c r="A301" s="529">
        <v>25</v>
      </c>
      <c r="B301" s="527" t="s">
        <v>117</v>
      </c>
      <c r="C301" s="304" t="s">
        <v>25</v>
      </c>
      <c r="D301" s="308"/>
      <c r="E301" s="308"/>
      <c r="F301" s="308"/>
      <c r="G301" s="308"/>
      <c r="H301" s="308"/>
      <c r="I301" s="308"/>
      <c r="J301" s="308"/>
      <c r="K301" s="308"/>
      <c r="L301" s="308"/>
      <c r="M301" s="308"/>
      <c r="N301" s="308">
        <v>12</v>
      </c>
      <c r="O301" s="308"/>
      <c r="P301" s="308"/>
      <c r="Q301" s="308"/>
      <c r="R301" s="308"/>
      <c r="S301" s="308"/>
      <c r="T301" s="308"/>
      <c r="U301" s="308"/>
      <c r="V301" s="308"/>
      <c r="W301" s="308"/>
      <c r="X301" s="308"/>
      <c r="Y301" s="789"/>
      <c r="Z301" s="772"/>
      <c r="AA301" s="772"/>
      <c r="AB301" s="772"/>
      <c r="AC301" s="772"/>
      <c r="AD301" s="772"/>
      <c r="AE301" s="772"/>
      <c r="AF301" s="422"/>
      <c r="AG301" s="427"/>
      <c r="AH301" s="427"/>
      <c r="AI301" s="427"/>
      <c r="AJ301" s="427"/>
      <c r="AK301" s="427"/>
      <c r="AL301" s="427"/>
      <c r="AM301" s="309">
        <f>SUM(Y301:AL301)</f>
        <v>0</v>
      </c>
    </row>
    <row r="302" spans="1:39" ht="15" outlineLevel="1">
      <c r="B302" s="307" t="s">
        <v>289</v>
      </c>
      <c r="C302" s="304" t="s">
        <v>163</v>
      </c>
      <c r="D302" s="308"/>
      <c r="E302" s="308"/>
      <c r="F302" s="308"/>
      <c r="G302" s="308"/>
      <c r="H302" s="308"/>
      <c r="I302" s="308"/>
      <c r="J302" s="308"/>
      <c r="K302" s="308"/>
      <c r="L302" s="308"/>
      <c r="M302" s="308"/>
      <c r="N302" s="308">
        <f>N301</f>
        <v>12</v>
      </c>
      <c r="O302" s="308"/>
      <c r="P302" s="308"/>
      <c r="Q302" s="308"/>
      <c r="R302" s="308"/>
      <c r="S302" s="308"/>
      <c r="T302" s="308"/>
      <c r="U302" s="308"/>
      <c r="V302" s="308"/>
      <c r="W302" s="308"/>
      <c r="X302" s="308"/>
      <c r="Y302" s="773">
        <f>Y301</f>
        <v>0</v>
      </c>
      <c r="Z302" s="773">
        <f t="shared" ref="Z302:AE302" si="472">Z301</f>
        <v>0</v>
      </c>
      <c r="AA302" s="773">
        <f t="shared" si="472"/>
        <v>0</v>
      </c>
      <c r="AB302" s="773">
        <f t="shared" si="472"/>
        <v>0</v>
      </c>
      <c r="AC302" s="773">
        <f t="shared" si="472"/>
        <v>0</v>
      </c>
      <c r="AD302" s="773">
        <f t="shared" si="472"/>
        <v>0</v>
      </c>
      <c r="AE302" s="773">
        <f t="shared" si="472"/>
        <v>0</v>
      </c>
      <c r="AF302" s="423">
        <f t="shared" ref="AF302" si="473">AF301</f>
        <v>0</v>
      </c>
      <c r="AG302" s="423">
        <f t="shared" ref="AG302" si="474">AG301</f>
        <v>0</v>
      </c>
      <c r="AH302" s="423">
        <f t="shared" ref="AH302" si="475">AH301</f>
        <v>0</v>
      </c>
      <c r="AI302" s="423">
        <f t="shared" ref="AI302" si="476">AI301</f>
        <v>0</v>
      </c>
      <c r="AJ302" s="423">
        <f t="shared" ref="AJ302" si="477">AJ301</f>
        <v>0</v>
      </c>
      <c r="AK302" s="423">
        <f t="shared" ref="AK302" si="478">AK301</f>
        <v>0</v>
      </c>
      <c r="AL302" s="423">
        <f t="shared" ref="AL302" si="479">AL301</f>
        <v>0</v>
      </c>
      <c r="AM302" s="319"/>
    </row>
    <row r="303" spans="1:39" ht="15" outlineLevel="1">
      <c r="B303" s="307"/>
      <c r="C303" s="304"/>
      <c r="D303" s="763"/>
      <c r="E303" s="763"/>
      <c r="F303" s="763"/>
      <c r="G303" s="763"/>
      <c r="H303" s="763"/>
      <c r="I303" s="763"/>
      <c r="J303" s="763"/>
      <c r="K303" s="763"/>
      <c r="L303" s="763"/>
      <c r="M303" s="763"/>
      <c r="N303" s="763"/>
      <c r="O303" s="763"/>
      <c r="P303" s="763"/>
      <c r="Q303" s="763"/>
      <c r="R303" s="763"/>
      <c r="S303" s="763"/>
      <c r="T303" s="763"/>
      <c r="U303" s="763"/>
      <c r="V303" s="763"/>
      <c r="W303" s="763"/>
      <c r="X303" s="763"/>
      <c r="Y303" s="774"/>
      <c r="Z303" s="793"/>
      <c r="AA303" s="793"/>
      <c r="AB303" s="793"/>
      <c r="AC303" s="793"/>
      <c r="AD303" s="793"/>
      <c r="AE303" s="793"/>
      <c r="AF303" s="435"/>
      <c r="AG303" s="435"/>
      <c r="AH303" s="435"/>
      <c r="AI303" s="435"/>
      <c r="AJ303" s="435"/>
      <c r="AK303" s="435"/>
      <c r="AL303" s="435"/>
      <c r="AM303" s="319"/>
    </row>
    <row r="304" spans="1:39" ht="15" outlineLevel="1">
      <c r="A304" s="529">
        <v>26</v>
      </c>
      <c r="B304" s="527" t="s">
        <v>118</v>
      </c>
      <c r="C304" s="304" t="s">
        <v>25</v>
      </c>
      <c r="D304" s="308">
        <f>'7.  Persistence Report'!AV119</f>
        <v>2405084</v>
      </c>
      <c r="E304" s="308">
        <f>'7.  Persistence Report'!AW119</f>
        <v>2385368</v>
      </c>
      <c r="F304" s="308">
        <f>'7.  Persistence Report'!AX119</f>
        <v>2385368</v>
      </c>
      <c r="G304" s="308">
        <f>'7.  Persistence Report'!AY119</f>
        <v>2385368</v>
      </c>
      <c r="H304" s="308">
        <f>'7.  Persistence Report'!AZ119</f>
        <v>2385368</v>
      </c>
      <c r="I304" s="308">
        <f>'7.  Persistence Report'!BA119</f>
        <v>2340066</v>
      </c>
      <c r="J304" s="308">
        <f>'7.  Persistence Report'!BB119</f>
        <v>2340066</v>
      </c>
      <c r="K304" s="308">
        <f>'7.  Persistence Report'!BC119</f>
        <v>2340066</v>
      </c>
      <c r="L304" s="308">
        <f>'7.  Persistence Report'!BD119</f>
        <v>2340066</v>
      </c>
      <c r="M304" s="308">
        <f>'7.  Persistence Report'!BE119</f>
        <v>2340066</v>
      </c>
      <c r="N304" s="308">
        <v>12</v>
      </c>
      <c r="O304" s="308">
        <f>'7.  Persistence Report'!Q119</f>
        <v>132</v>
      </c>
      <c r="P304" s="308">
        <f>'7.  Persistence Report'!R119</f>
        <v>128</v>
      </c>
      <c r="Q304" s="308">
        <f>'7.  Persistence Report'!S119</f>
        <v>128</v>
      </c>
      <c r="R304" s="308">
        <f>'7.  Persistence Report'!T119</f>
        <v>128</v>
      </c>
      <c r="S304" s="308">
        <f>'7.  Persistence Report'!U119</f>
        <v>128</v>
      </c>
      <c r="T304" s="308">
        <f>'7.  Persistence Report'!V119</f>
        <v>120</v>
      </c>
      <c r="U304" s="308">
        <f>'7.  Persistence Report'!W119</f>
        <v>120</v>
      </c>
      <c r="V304" s="308">
        <f>'7.  Persistence Report'!X119</f>
        <v>120</v>
      </c>
      <c r="W304" s="308">
        <f>'7.  Persistence Report'!Y119</f>
        <v>120</v>
      </c>
      <c r="X304" s="308">
        <f>'7.  Persistence Report'!Z119</f>
        <v>120</v>
      </c>
      <c r="Y304" s="789"/>
      <c r="Z304" s="852">
        <f>6.18%/(1-AE304)</f>
        <v>0.12583995113011606</v>
      </c>
      <c r="AA304" s="852">
        <f>7.13%</f>
        <v>7.1300000000000002E-2</v>
      </c>
      <c r="AB304" s="852">
        <f>35.81%</f>
        <v>0.35810000000000003</v>
      </c>
      <c r="AC304" s="772"/>
      <c r="AD304" s="772"/>
      <c r="AE304" s="772">
        <v>0.50890000000000002</v>
      </c>
      <c r="AF304" s="422"/>
      <c r="AG304" s="427"/>
      <c r="AH304" s="427"/>
      <c r="AI304" s="427"/>
      <c r="AJ304" s="427"/>
      <c r="AK304" s="427"/>
      <c r="AL304" s="427"/>
      <c r="AM304" s="309">
        <f>SUM(Y304:AL304)</f>
        <v>1.0641399511301159</v>
      </c>
    </row>
    <row r="305" spans="1:39" ht="15" outlineLevel="1">
      <c r="B305" s="307" t="s">
        <v>289</v>
      </c>
      <c r="C305" s="304" t="s">
        <v>163</v>
      </c>
      <c r="D305" s="308">
        <f>'7.  Persistence Report'!AV122+'7.  Persistence Report'!AV142+'7.  Persistence Report'!AV140</f>
        <v>653330.64258719841</v>
      </c>
      <c r="E305" s="308">
        <f>'7.  Persistence Report'!AW122+'7.  Persistence Report'!AW142+'7.  Persistence Report'!AW140</f>
        <v>56711.323894931469</v>
      </c>
      <c r="F305" s="308">
        <f>'7.  Persistence Report'!AX122+'7.  Persistence Report'!AX142+'7.  Persistence Report'!AX140</f>
        <v>56711.323894931469</v>
      </c>
      <c r="G305" s="308">
        <f>'7.  Persistence Report'!AY122+'7.  Persistence Report'!AY142+'7.  Persistence Report'!AY140</f>
        <v>56711.323894931469</v>
      </c>
      <c r="H305" s="308">
        <f>'7.  Persistence Report'!AZ122+'7.  Persistence Report'!AZ142+'7.  Persistence Report'!AZ140</f>
        <v>56711.323894931469</v>
      </c>
      <c r="I305" s="308">
        <f>'7.  Persistence Report'!BA122+'7.  Persistence Report'!BA142</f>
        <v>1279544</v>
      </c>
      <c r="J305" s="308">
        <f>'7.  Persistence Report'!BB122+'7.  Persistence Report'!BB142</f>
        <v>1279544</v>
      </c>
      <c r="K305" s="308">
        <f>'7.  Persistence Report'!BC122+'7.  Persistence Report'!BC142</f>
        <v>1279544</v>
      </c>
      <c r="L305" s="308">
        <f>'7.  Persistence Report'!BD122+'7.  Persistence Report'!BD142</f>
        <v>1279544</v>
      </c>
      <c r="M305" s="308">
        <f>'7.  Persistence Report'!BE122+'7.  Persistence Report'!BE142</f>
        <v>1279544</v>
      </c>
      <c r="N305" s="308">
        <f>N304</f>
        <v>12</v>
      </c>
      <c r="O305" s="308">
        <f>'7.  Persistence Report'!Q122+'7.  Persistence Report'!Q142+'7.  Persistence Report'!Q140</f>
        <v>8.0613172896757703</v>
      </c>
      <c r="P305" s="308">
        <f>'7.  Persistence Report'!R122+'7.  Persistence Report'!R142+'7.  Persistence Report'!R140</f>
        <v>-64.386933466335591</v>
      </c>
      <c r="Q305" s="308">
        <f>'7.  Persistence Report'!S122+'7.  Persistence Report'!S142+'7.  Persistence Report'!S140</f>
        <v>-64.386933466335591</v>
      </c>
      <c r="R305" s="308">
        <f>'7.  Persistence Report'!T122+'7.  Persistence Report'!T142+'7.  Persistence Report'!T140</f>
        <v>-64.386933466335591</v>
      </c>
      <c r="S305" s="308">
        <f>'7.  Persistence Report'!U122+'7.  Persistence Report'!U142+'7.  Persistence Report'!U140</f>
        <v>-72.23549722059937</v>
      </c>
      <c r="T305" s="308">
        <f>'7.  Persistence Report'!V122+'7.  Persistence Report'!V142+'7.  Persistence Report'!V140</f>
        <v>89</v>
      </c>
      <c r="U305" s="308">
        <f>'7.  Persistence Report'!W122+'7.  Persistence Report'!W142+'7.  Persistence Report'!W140</f>
        <v>89</v>
      </c>
      <c r="V305" s="308">
        <f>'7.  Persistence Report'!X122+'7.  Persistence Report'!X142+'7.  Persistence Report'!X140</f>
        <v>89</v>
      </c>
      <c r="W305" s="308">
        <f>'7.  Persistence Report'!Y122+'7.  Persistence Report'!Y142+'7.  Persistence Report'!Y140</f>
        <v>89</v>
      </c>
      <c r="X305" s="308">
        <f>'7.  Persistence Report'!Z122+'7.  Persistence Report'!Z142+'7.  Persistence Report'!Z140</f>
        <v>89</v>
      </c>
      <c r="Y305" s="773">
        <f>Y304</f>
        <v>0</v>
      </c>
      <c r="Z305" s="773">
        <f t="shared" ref="Z305:AE305" si="480">Z304</f>
        <v>0.12583995113011606</v>
      </c>
      <c r="AA305" s="773">
        <f t="shared" si="480"/>
        <v>7.1300000000000002E-2</v>
      </c>
      <c r="AB305" s="773">
        <f t="shared" si="480"/>
        <v>0.35810000000000003</v>
      </c>
      <c r="AC305" s="773">
        <f t="shared" si="480"/>
        <v>0</v>
      </c>
      <c r="AD305" s="773">
        <f t="shared" si="480"/>
        <v>0</v>
      </c>
      <c r="AE305" s="773">
        <f t="shared" si="480"/>
        <v>0.50890000000000002</v>
      </c>
      <c r="AF305" s="423">
        <f t="shared" ref="AF305" si="481">AF304</f>
        <v>0</v>
      </c>
      <c r="AG305" s="423">
        <f t="shared" ref="AG305" si="482">AG304</f>
        <v>0</v>
      </c>
      <c r="AH305" s="423">
        <f t="shared" ref="AH305" si="483">AH304</f>
        <v>0</v>
      </c>
      <c r="AI305" s="423">
        <f t="shared" ref="AI305" si="484">AI304</f>
        <v>0</v>
      </c>
      <c r="AJ305" s="423">
        <f t="shared" ref="AJ305" si="485">AJ304</f>
        <v>0</v>
      </c>
      <c r="AK305" s="423">
        <f t="shared" ref="AK305" si="486">AK304</f>
        <v>0</v>
      </c>
      <c r="AL305" s="423">
        <f t="shared" ref="AL305" si="487">AL304</f>
        <v>0</v>
      </c>
      <c r="AM305" s="319"/>
    </row>
    <row r="306" spans="1:39" ht="15" outlineLevel="1">
      <c r="B306" s="307"/>
      <c r="C306" s="304"/>
      <c r="D306" s="763"/>
      <c r="E306" s="763"/>
      <c r="F306" s="763"/>
      <c r="G306" s="763"/>
      <c r="H306" s="763"/>
      <c r="I306" s="763"/>
      <c r="J306" s="763"/>
      <c r="K306" s="763"/>
      <c r="L306" s="763"/>
      <c r="M306" s="763"/>
      <c r="N306" s="763"/>
      <c r="O306" s="763"/>
      <c r="P306" s="763"/>
      <c r="Q306" s="763"/>
      <c r="R306" s="763"/>
      <c r="S306" s="763"/>
      <c r="T306" s="763"/>
      <c r="U306" s="763"/>
      <c r="V306" s="763"/>
      <c r="W306" s="763"/>
      <c r="X306" s="763"/>
      <c r="Y306" s="774"/>
      <c r="Z306" s="793"/>
      <c r="AA306" s="793"/>
      <c r="AB306" s="793"/>
      <c r="AC306" s="793"/>
      <c r="AD306" s="793"/>
      <c r="AE306" s="793"/>
      <c r="AF306" s="435"/>
      <c r="AG306" s="435"/>
      <c r="AH306" s="435"/>
      <c r="AI306" s="435"/>
      <c r="AJ306" s="435"/>
      <c r="AK306" s="435"/>
      <c r="AL306" s="435"/>
      <c r="AM306" s="319"/>
    </row>
    <row r="307" spans="1:39" ht="30" outlineLevel="1">
      <c r="A307" s="529">
        <v>27</v>
      </c>
      <c r="B307" s="527" t="s">
        <v>119</v>
      </c>
      <c r="C307" s="304" t="s">
        <v>25</v>
      </c>
      <c r="D307" s="308"/>
      <c r="E307" s="308"/>
      <c r="F307" s="308"/>
      <c r="G307" s="308"/>
      <c r="H307" s="308"/>
      <c r="I307" s="308"/>
      <c r="J307" s="308"/>
      <c r="K307" s="308"/>
      <c r="L307" s="308"/>
      <c r="M307" s="308"/>
      <c r="N307" s="308">
        <v>12</v>
      </c>
      <c r="O307" s="308"/>
      <c r="P307" s="308"/>
      <c r="Q307" s="308"/>
      <c r="R307" s="308"/>
      <c r="S307" s="308"/>
      <c r="T307" s="308"/>
      <c r="U307" s="308"/>
      <c r="V307" s="308"/>
      <c r="W307" s="308"/>
      <c r="X307" s="308"/>
      <c r="Y307" s="789"/>
      <c r="Z307" s="772"/>
      <c r="AA307" s="772"/>
      <c r="AB307" s="772"/>
      <c r="AC307" s="772"/>
      <c r="AD307" s="772"/>
      <c r="AE307" s="772"/>
      <c r="AF307" s="422"/>
      <c r="AG307" s="427"/>
      <c r="AH307" s="427"/>
      <c r="AI307" s="427"/>
      <c r="AJ307" s="427"/>
      <c r="AK307" s="427"/>
      <c r="AL307" s="427"/>
      <c r="AM307" s="309">
        <f>SUM(Y307:AL307)</f>
        <v>0</v>
      </c>
    </row>
    <row r="308" spans="1:39" ht="15" outlineLevel="1">
      <c r="B308" s="307" t="s">
        <v>289</v>
      </c>
      <c r="C308" s="304" t="s">
        <v>163</v>
      </c>
      <c r="D308" s="308"/>
      <c r="E308" s="308"/>
      <c r="F308" s="308"/>
      <c r="G308" s="308"/>
      <c r="H308" s="308"/>
      <c r="I308" s="308"/>
      <c r="J308" s="308"/>
      <c r="K308" s="308"/>
      <c r="L308" s="308"/>
      <c r="M308" s="308"/>
      <c r="N308" s="308">
        <f>N307</f>
        <v>12</v>
      </c>
      <c r="O308" s="308"/>
      <c r="P308" s="308"/>
      <c r="Q308" s="308"/>
      <c r="R308" s="308"/>
      <c r="S308" s="308"/>
      <c r="T308" s="308"/>
      <c r="U308" s="308"/>
      <c r="V308" s="308"/>
      <c r="W308" s="308"/>
      <c r="X308" s="308"/>
      <c r="Y308" s="773">
        <f>Y307</f>
        <v>0</v>
      </c>
      <c r="Z308" s="773">
        <f t="shared" ref="Z308:AE308" si="488">Z307</f>
        <v>0</v>
      </c>
      <c r="AA308" s="773">
        <f t="shared" si="488"/>
        <v>0</v>
      </c>
      <c r="AB308" s="773">
        <f t="shared" si="488"/>
        <v>0</v>
      </c>
      <c r="AC308" s="773">
        <f t="shared" si="488"/>
        <v>0</v>
      </c>
      <c r="AD308" s="773">
        <f t="shared" si="488"/>
        <v>0</v>
      </c>
      <c r="AE308" s="773">
        <f t="shared" si="488"/>
        <v>0</v>
      </c>
      <c r="AF308" s="423">
        <f t="shared" ref="AF308" si="489">AF307</f>
        <v>0</v>
      </c>
      <c r="AG308" s="423">
        <f t="shared" ref="AG308" si="490">AG307</f>
        <v>0</v>
      </c>
      <c r="AH308" s="423">
        <f t="shared" ref="AH308" si="491">AH307</f>
        <v>0</v>
      </c>
      <c r="AI308" s="423">
        <f t="shared" ref="AI308" si="492">AI307</f>
        <v>0</v>
      </c>
      <c r="AJ308" s="423">
        <f t="shared" ref="AJ308" si="493">AJ307</f>
        <v>0</v>
      </c>
      <c r="AK308" s="423">
        <f t="shared" ref="AK308" si="494">AK307</f>
        <v>0</v>
      </c>
      <c r="AL308" s="423">
        <f t="shared" ref="AL308" si="495">AL307</f>
        <v>0</v>
      </c>
      <c r="AM308" s="319"/>
    </row>
    <row r="309" spans="1:39" ht="15" outlineLevel="1">
      <c r="B309" s="307"/>
      <c r="C309" s="304"/>
      <c r="D309" s="763"/>
      <c r="E309" s="763"/>
      <c r="F309" s="763"/>
      <c r="G309" s="763"/>
      <c r="H309" s="763"/>
      <c r="I309" s="763"/>
      <c r="J309" s="763"/>
      <c r="K309" s="763"/>
      <c r="L309" s="763"/>
      <c r="M309" s="763"/>
      <c r="N309" s="763"/>
      <c r="O309" s="763"/>
      <c r="P309" s="763"/>
      <c r="Q309" s="763"/>
      <c r="R309" s="763"/>
      <c r="S309" s="763"/>
      <c r="T309" s="763"/>
      <c r="U309" s="763"/>
      <c r="V309" s="763"/>
      <c r="W309" s="763"/>
      <c r="X309" s="763"/>
      <c r="Y309" s="774"/>
      <c r="Z309" s="793"/>
      <c r="AA309" s="793"/>
      <c r="AB309" s="793"/>
      <c r="AC309" s="793"/>
      <c r="AD309" s="793"/>
      <c r="AE309" s="793"/>
      <c r="AF309" s="435"/>
      <c r="AG309" s="435"/>
      <c r="AH309" s="435"/>
      <c r="AI309" s="435"/>
      <c r="AJ309" s="435"/>
      <c r="AK309" s="435"/>
      <c r="AL309" s="435"/>
      <c r="AM309" s="319"/>
    </row>
    <row r="310" spans="1:39" ht="30" outlineLevel="1">
      <c r="A310" s="529">
        <v>28</v>
      </c>
      <c r="B310" s="527" t="s">
        <v>120</v>
      </c>
      <c r="C310" s="304" t="s">
        <v>25</v>
      </c>
      <c r="D310" s="308"/>
      <c r="E310" s="308"/>
      <c r="F310" s="308"/>
      <c r="G310" s="308"/>
      <c r="H310" s="308"/>
      <c r="I310" s="308"/>
      <c r="J310" s="308"/>
      <c r="K310" s="308"/>
      <c r="L310" s="308"/>
      <c r="M310" s="308"/>
      <c r="N310" s="308">
        <v>12</v>
      </c>
      <c r="O310" s="308"/>
      <c r="P310" s="308"/>
      <c r="Q310" s="308"/>
      <c r="R310" s="308"/>
      <c r="S310" s="308"/>
      <c r="T310" s="308"/>
      <c r="U310" s="308"/>
      <c r="V310" s="308"/>
      <c r="W310" s="308"/>
      <c r="X310" s="308"/>
      <c r="Y310" s="789"/>
      <c r="Z310" s="772"/>
      <c r="AA310" s="772"/>
      <c r="AB310" s="772"/>
      <c r="AC310" s="772"/>
      <c r="AD310" s="772"/>
      <c r="AE310" s="772"/>
      <c r="AF310" s="422"/>
      <c r="AG310" s="427"/>
      <c r="AH310" s="427"/>
      <c r="AI310" s="427"/>
      <c r="AJ310" s="427"/>
      <c r="AK310" s="427"/>
      <c r="AL310" s="427"/>
      <c r="AM310" s="309">
        <f>SUM(Y310:AL310)</f>
        <v>0</v>
      </c>
    </row>
    <row r="311" spans="1:39" ht="15" outlineLevel="1">
      <c r="B311" s="307" t="s">
        <v>289</v>
      </c>
      <c r="C311" s="304" t="s">
        <v>163</v>
      </c>
      <c r="D311" s="308"/>
      <c r="E311" s="308"/>
      <c r="F311" s="308"/>
      <c r="G311" s="308"/>
      <c r="H311" s="308"/>
      <c r="I311" s="308"/>
      <c r="J311" s="308"/>
      <c r="K311" s="308"/>
      <c r="L311" s="308"/>
      <c r="M311" s="308"/>
      <c r="N311" s="308">
        <f>N310</f>
        <v>12</v>
      </c>
      <c r="O311" s="308"/>
      <c r="P311" s="308"/>
      <c r="Q311" s="308"/>
      <c r="R311" s="308"/>
      <c r="S311" s="308"/>
      <c r="T311" s="308"/>
      <c r="U311" s="308"/>
      <c r="V311" s="308"/>
      <c r="W311" s="308"/>
      <c r="X311" s="308"/>
      <c r="Y311" s="773">
        <f>Y310</f>
        <v>0</v>
      </c>
      <c r="Z311" s="773">
        <f t="shared" ref="Z311:AE311" si="496">Z310</f>
        <v>0</v>
      </c>
      <c r="AA311" s="773">
        <f t="shared" si="496"/>
        <v>0</v>
      </c>
      <c r="AB311" s="773">
        <f t="shared" si="496"/>
        <v>0</v>
      </c>
      <c r="AC311" s="773">
        <f t="shared" si="496"/>
        <v>0</v>
      </c>
      <c r="AD311" s="773">
        <f t="shared" si="496"/>
        <v>0</v>
      </c>
      <c r="AE311" s="773">
        <f t="shared" si="496"/>
        <v>0</v>
      </c>
      <c r="AF311" s="423">
        <f t="shared" ref="AF311" si="497">AF310</f>
        <v>0</v>
      </c>
      <c r="AG311" s="423">
        <f t="shared" ref="AG311" si="498">AG310</f>
        <v>0</v>
      </c>
      <c r="AH311" s="423">
        <f t="shared" ref="AH311" si="499">AH310</f>
        <v>0</v>
      </c>
      <c r="AI311" s="423">
        <f t="shared" ref="AI311" si="500">AI310</f>
        <v>0</v>
      </c>
      <c r="AJ311" s="423">
        <f t="shared" ref="AJ311" si="501">AJ310</f>
        <v>0</v>
      </c>
      <c r="AK311" s="423">
        <f t="shared" ref="AK311" si="502">AK310</f>
        <v>0</v>
      </c>
      <c r="AL311" s="423">
        <f t="shared" ref="AL311" si="503">AL310</f>
        <v>0</v>
      </c>
      <c r="AM311" s="319"/>
    </row>
    <row r="312" spans="1:39" ht="15" outlineLevel="1">
      <c r="B312" s="307"/>
      <c r="C312" s="304"/>
      <c r="D312" s="763"/>
      <c r="E312" s="763"/>
      <c r="F312" s="763"/>
      <c r="G312" s="763"/>
      <c r="H312" s="763"/>
      <c r="I312" s="763"/>
      <c r="J312" s="763"/>
      <c r="K312" s="763"/>
      <c r="L312" s="763"/>
      <c r="M312" s="763"/>
      <c r="N312" s="763"/>
      <c r="O312" s="763"/>
      <c r="P312" s="763"/>
      <c r="Q312" s="763"/>
      <c r="R312" s="763"/>
      <c r="S312" s="763"/>
      <c r="T312" s="763"/>
      <c r="U312" s="763"/>
      <c r="V312" s="763"/>
      <c r="W312" s="763"/>
      <c r="X312" s="763"/>
      <c r="Y312" s="774"/>
      <c r="Z312" s="793"/>
      <c r="AA312" s="793"/>
      <c r="AB312" s="793"/>
      <c r="AC312" s="793"/>
      <c r="AD312" s="793"/>
      <c r="AE312" s="793"/>
      <c r="AF312" s="435"/>
      <c r="AG312" s="435"/>
      <c r="AH312" s="435"/>
      <c r="AI312" s="435"/>
      <c r="AJ312" s="435"/>
      <c r="AK312" s="435"/>
      <c r="AL312" s="435"/>
      <c r="AM312" s="319"/>
    </row>
    <row r="313" spans="1:39" ht="30" outlineLevel="1">
      <c r="A313" s="529">
        <v>29</v>
      </c>
      <c r="B313" s="527" t="s">
        <v>121</v>
      </c>
      <c r="C313" s="304" t="s">
        <v>25</v>
      </c>
      <c r="D313" s="308"/>
      <c r="E313" s="308"/>
      <c r="F313" s="308"/>
      <c r="G313" s="308"/>
      <c r="H313" s="308"/>
      <c r="I313" s="308"/>
      <c r="J313" s="308"/>
      <c r="K313" s="308"/>
      <c r="L313" s="308"/>
      <c r="M313" s="308"/>
      <c r="N313" s="308">
        <v>3</v>
      </c>
      <c r="O313" s="308"/>
      <c r="P313" s="308"/>
      <c r="Q313" s="308"/>
      <c r="R313" s="308"/>
      <c r="S313" s="308"/>
      <c r="T313" s="308"/>
      <c r="U313" s="308"/>
      <c r="V313" s="308"/>
      <c r="W313" s="308"/>
      <c r="X313" s="308"/>
      <c r="Y313" s="789"/>
      <c r="Z313" s="772"/>
      <c r="AA313" s="772"/>
      <c r="AB313" s="772"/>
      <c r="AC313" s="772"/>
      <c r="AD313" s="772"/>
      <c r="AE313" s="772"/>
      <c r="AF313" s="422"/>
      <c r="AG313" s="427"/>
      <c r="AH313" s="427"/>
      <c r="AI313" s="427"/>
      <c r="AJ313" s="427"/>
      <c r="AK313" s="427"/>
      <c r="AL313" s="427"/>
      <c r="AM313" s="309">
        <f>SUM(Y313:AL313)</f>
        <v>0</v>
      </c>
    </row>
    <row r="314" spans="1:39" ht="15" outlineLevel="1">
      <c r="B314" s="307" t="s">
        <v>289</v>
      </c>
      <c r="C314" s="304" t="s">
        <v>163</v>
      </c>
      <c r="D314" s="308"/>
      <c r="E314" s="308"/>
      <c r="F314" s="308"/>
      <c r="G314" s="308"/>
      <c r="H314" s="308"/>
      <c r="I314" s="308"/>
      <c r="J314" s="308"/>
      <c r="K314" s="308"/>
      <c r="L314" s="308"/>
      <c r="M314" s="308"/>
      <c r="N314" s="308">
        <f>N313</f>
        <v>3</v>
      </c>
      <c r="O314" s="308"/>
      <c r="P314" s="308"/>
      <c r="Q314" s="308"/>
      <c r="R314" s="308"/>
      <c r="S314" s="308"/>
      <c r="T314" s="308"/>
      <c r="U314" s="308"/>
      <c r="V314" s="308"/>
      <c r="W314" s="308"/>
      <c r="X314" s="308"/>
      <c r="Y314" s="773">
        <f>Y313</f>
        <v>0</v>
      </c>
      <c r="Z314" s="773">
        <f t="shared" ref="Z314:AE314" si="504">Z313</f>
        <v>0</v>
      </c>
      <c r="AA314" s="773">
        <f t="shared" si="504"/>
        <v>0</v>
      </c>
      <c r="AB314" s="773">
        <f t="shared" si="504"/>
        <v>0</v>
      </c>
      <c r="AC314" s="773">
        <f t="shared" si="504"/>
        <v>0</v>
      </c>
      <c r="AD314" s="773">
        <f t="shared" si="504"/>
        <v>0</v>
      </c>
      <c r="AE314" s="773">
        <f t="shared" si="504"/>
        <v>0</v>
      </c>
      <c r="AF314" s="423">
        <f t="shared" ref="AF314" si="505">AF313</f>
        <v>0</v>
      </c>
      <c r="AG314" s="423">
        <f t="shared" ref="AG314" si="506">AG313</f>
        <v>0</v>
      </c>
      <c r="AH314" s="423">
        <f t="shared" ref="AH314" si="507">AH313</f>
        <v>0</v>
      </c>
      <c r="AI314" s="423">
        <f t="shared" ref="AI314" si="508">AI313</f>
        <v>0</v>
      </c>
      <c r="AJ314" s="423">
        <f t="shared" ref="AJ314" si="509">AJ313</f>
        <v>0</v>
      </c>
      <c r="AK314" s="423">
        <f t="shared" ref="AK314" si="510">AK313</f>
        <v>0</v>
      </c>
      <c r="AL314" s="423">
        <f t="shared" ref="AL314" si="511">AL313</f>
        <v>0</v>
      </c>
      <c r="AM314" s="319"/>
    </row>
    <row r="315" spans="1:39" ht="15" outlineLevel="1">
      <c r="B315" s="307"/>
      <c r="C315" s="304"/>
      <c r="D315" s="763"/>
      <c r="E315" s="763"/>
      <c r="F315" s="763"/>
      <c r="G315" s="763"/>
      <c r="H315" s="763"/>
      <c r="I315" s="763"/>
      <c r="J315" s="763"/>
      <c r="K315" s="763"/>
      <c r="L315" s="763"/>
      <c r="M315" s="763"/>
      <c r="N315" s="763"/>
      <c r="O315" s="763"/>
      <c r="P315" s="763"/>
      <c r="Q315" s="763"/>
      <c r="R315" s="763"/>
      <c r="S315" s="763"/>
      <c r="T315" s="763"/>
      <c r="U315" s="763"/>
      <c r="V315" s="763"/>
      <c r="W315" s="763"/>
      <c r="X315" s="763"/>
      <c r="Y315" s="774"/>
      <c r="Z315" s="793"/>
      <c r="AA315" s="793"/>
      <c r="AB315" s="793"/>
      <c r="AC315" s="793"/>
      <c r="AD315" s="793"/>
      <c r="AE315" s="793"/>
      <c r="AF315" s="435"/>
      <c r="AG315" s="435"/>
      <c r="AH315" s="435"/>
      <c r="AI315" s="435"/>
      <c r="AJ315" s="435"/>
      <c r="AK315" s="435"/>
      <c r="AL315" s="435"/>
      <c r="AM315" s="319"/>
    </row>
    <row r="316" spans="1:39" ht="30" outlineLevel="1">
      <c r="A316" s="529">
        <v>30</v>
      </c>
      <c r="B316" s="527" t="s">
        <v>122</v>
      </c>
      <c r="C316" s="304" t="s">
        <v>25</v>
      </c>
      <c r="D316" s="308"/>
      <c r="E316" s="308"/>
      <c r="F316" s="308"/>
      <c r="G316" s="308"/>
      <c r="H316" s="308"/>
      <c r="I316" s="308"/>
      <c r="J316" s="308"/>
      <c r="K316" s="308"/>
      <c r="L316" s="308"/>
      <c r="M316" s="308"/>
      <c r="N316" s="308">
        <v>12</v>
      </c>
      <c r="O316" s="308"/>
      <c r="P316" s="308"/>
      <c r="Q316" s="308"/>
      <c r="R316" s="308"/>
      <c r="S316" s="308"/>
      <c r="T316" s="308"/>
      <c r="U316" s="308"/>
      <c r="V316" s="308"/>
      <c r="W316" s="308"/>
      <c r="X316" s="308"/>
      <c r="Y316" s="789"/>
      <c r="Z316" s="772"/>
      <c r="AA316" s="772"/>
      <c r="AB316" s="772"/>
      <c r="AC316" s="772"/>
      <c r="AD316" s="772"/>
      <c r="AE316" s="772"/>
      <c r="AF316" s="422"/>
      <c r="AG316" s="427"/>
      <c r="AH316" s="427"/>
      <c r="AI316" s="427"/>
      <c r="AJ316" s="427"/>
      <c r="AK316" s="427"/>
      <c r="AL316" s="427"/>
      <c r="AM316" s="309">
        <f>SUM(Y316:AL316)</f>
        <v>0</v>
      </c>
    </row>
    <row r="317" spans="1:39" ht="15" outlineLevel="1">
      <c r="B317" s="307" t="s">
        <v>289</v>
      </c>
      <c r="C317" s="304" t="s">
        <v>163</v>
      </c>
      <c r="D317" s="308"/>
      <c r="E317" s="308"/>
      <c r="F317" s="308"/>
      <c r="G317" s="308"/>
      <c r="H317" s="308"/>
      <c r="I317" s="308"/>
      <c r="J317" s="308"/>
      <c r="K317" s="308"/>
      <c r="L317" s="308"/>
      <c r="M317" s="308"/>
      <c r="N317" s="308">
        <f>N316</f>
        <v>12</v>
      </c>
      <c r="O317" s="308"/>
      <c r="P317" s="308"/>
      <c r="Q317" s="308"/>
      <c r="R317" s="308"/>
      <c r="S317" s="308"/>
      <c r="T317" s="308"/>
      <c r="U317" s="308"/>
      <c r="V317" s="308"/>
      <c r="W317" s="308"/>
      <c r="X317" s="308"/>
      <c r="Y317" s="773">
        <f>Y316</f>
        <v>0</v>
      </c>
      <c r="Z317" s="773">
        <f t="shared" ref="Z317:AE317" si="512">Z316</f>
        <v>0</v>
      </c>
      <c r="AA317" s="773">
        <f t="shared" si="512"/>
        <v>0</v>
      </c>
      <c r="AB317" s="773">
        <f t="shared" si="512"/>
        <v>0</v>
      </c>
      <c r="AC317" s="773">
        <f t="shared" si="512"/>
        <v>0</v>
      </c>
      <c r="AD317" s="773">
        <f t="shared" si="512"/>
        <v>0</v>
      </c>
      <c r="AE317" s="773">
        <f t="shared" si="512"/>
        <v>0</v>
      </c>
      <c r="AF317" s="423">
        <f t="shared" ref="AF317" si="513">AF316</f>
        <v>0</v>
      </c>
      <c r="AG317" s="423">
        <f t="shared" ref="AG317" si="514">AG316</f>
        <v>0</v>
      </c>
      <c r="AH317" s="423">
        <f t="shared" ref="AH317" si="515">AH316</f>
        <v>0</v>
      </c>
      <c r="AI317" s="423">
        <f t="shared" ref="AI317" si="516">AI316</f>
        <v>0</v>
      </c>
      <c r="AJ317" s="423">
        <f t="shared" ref="AJ317" si="517">AJ316</f>
        <v>0</v>
      </c>
      <c r="AK317" s="423">
        <f t="shared" ref="AK317" si="518">AK316</f>
        <v>0</v>
      </c>
      <c r="AL317" s="423">
        <f t="shared" ref="AL317" si="519">AL316</f>
        <v>0</v>
      </c>
      <c r="AM317" s="319"/>
    </row>
    <row r="318" spans="1:39" ht="15" outlineLevel="1">
      <c r="B318" s="307"/>
      <c r="C318" s="304"/>
      <c r="D318" s="763"/>
      <c r="E318" s="763"/>
      <c r="F318" s="763"/>
      <c r="G318" s="763"/>
      <c r="H318" s="763"/>
      <c r="I318" s="763"/>
      <c r="J318" s="763"/>
      <c r="K318" s="763"/>
      <c r="L318" s="763"/>
      <c r="M318" s="763"/>
      <c r="N318" s="763"/>
      <c r="O318" s="763"/>
      <c r="P318" s="763"/>
      <c r="Q318" s="763"/>
      <c r="R318" s="763"/>
      <c r="S318" s="763"/>
      <c r="T318" s="763"/>
      <c r="U318" s="763"/>
      <c r="V318" s="763"/>
      <c r="W318" s="763"/>
      <c r="X318" s="763"/>
      <c r="Y318" s="774"/>
      <c r="Z318" s="793"/>
      <c r="AA318" s="793"/>
      <c r="AB318" s="793"/>
      <c r="AC318" s="793"/>
      <c r="AD318" s="793"/>
      <c r="AE318" s="793"/>
      <c r="AF318" s="435"/>
      <c r="AG318" s="435"/>
      <c r="AH318" s="435"/>
      <c r="AI318" s="435"/>
      <c r="AJ318" s="435"/>
      <c r="AK318" s="435"/>
      <c r="AL318" s="435"/>
      <c r="AM318" s="319"/>
    </row>
    <row r="319" spans="1:39" ht="30" outlineLevel="1">
      <c r="A319" s="529">
        <v>31</v>
      </c>
      <c r="B319" s="527" t="s">
        <v>123</v>
      </c>
      <c r="C319" s="304" t="s">
        <v>25</v>
      </c>
      <c r="D319" s="308"/>
      <c r="E319" s="308"/>
      <c r="F319" s="308"/>
      <c r="G319" s="308"/>
      <c r="H319" s="308"/>
      <c r="I319" s="308"/>
      <c r="J319" s="308"/>
      <c r="K319" s="308"/>
      <c r="L319" s="308"/>
      <c r="M319" s="308"/>
      <c r="N319" s="308">
        <v>12</v>
      </c>
      <c r="O319" s="308"/>
      <c r="P319" s="308"/>
      <c r="Q319" s="308"/>
      <c r="R319" s="308"/>
      <c r="S319" s="308"/>
      <c r="T319" s="308"/>
      <c r="U319" s="308"/>
      <c r="V319" s="308"/>
      <c r="W319" s="308"/>
      <c r="X319" s="308"/>
      <c r="Y319" s="789"/>
      <c r="Z319" s="772"/>
      <c r="AA319" s="772"/>
      <c r="AB319" s="772"/>
      <c r="AC319" s="772"/>
      <c r="AD319" s="772"/>
      <c r="AE319" s="772"/>
      <c r="AF319" s="422"/>
      <c r="AG319" s="427"/>
      <c r="AH319" s="427"/>
      <c r="AI319" s="427"/>
      <c r="AJ319" s="427"/>
      <c r="AK319" s="427"/>
      <c r="AL319" s="427"/>
      <c r="AM319" s="309">
        <f>SUM(Y319:AL319)</f>
        <v>0</v>
      </c>
    </row>
    <row r="320" spans="1:39" ht="15" outlineLevel="1">
      <c r="B320" s="307" t="s">
        <v>289</v>
      </c>
      <c r="C320" s="304" t="s">
        <v>163</v>
      </c>
      <c r="D320" s="308"/>
      <c r="E320" s="308"/>
      <c r="F320" s="308"/>
      <c r="G320" s="308"/>
      <c r="H320" s="308"/>
      <c r="I320" s="308"/>
      <c r="J320" s="308"/>
      <c r="K320" s="308"/>
      <c r="L320" s="308"/>
      <c r="M320" s="308"/>
      <c r="N320" s="308">
        <f>N319</f>
        <v>12</v>
      </c>
      <c r="O320" s="308"/>
      <c r="P320" s="308"/>
      <c r="Q320" s="308"/>
      <c r="R320" s="308"/>
      <c r="S320" s="308"/>
      <c r="T320" s="308"/>
      <c r="U320" s="308"/>
      <c r="V320" s="308"/>
      <c r="W320" s="308"/>
      <c r="X320" s="308"/>
      <c r="Y320" s="773">
        <f>Y319</f>
        <v>0</v>
      </c>
      <c r="Z320" s="773">
        <f t="shared" ref="Z320:AE320" si="520">Z319</f>
        <v>0</v>
      </c>
      <c r="AA320" s="773">
        <f t="shared" si="520"/>
        <v>0</v>
      </c>
      <c r="AB320" s="773">
        <f t="shared" si="520"/>
        <v>0</v>
      </c>
      <c r="AC320" s="773">
        <f t="shared" si="520"/>
        <v>0</v>
      </c>
      <c r="AD320" s="773">
        <f t="shared" si="520"/>
        <v>0</v>
      </c>
      <c r="AE320" s="773">
        <f t="shared" si="520"/>
        <v>0</v>
      </c>
      <c r="AF320" s="423">
        <f t="shared" ref="AF320" si="521">AF319</f>
        <v>0</v>
      </c>
      <c r="AG320" s="423">
        <f t="shared" ref="AG320" si="522">AG319</f>
        <v>0</v>
      </c>
      <c r="AH320" s="423">
        <f t="shared" ref="AH320" si="523">AH319</f>
        <v>0</v>
      </c>
      <c r="AI320" s="423">
        <f t="shared" ref="AI320" si="524">AI319</f>
        <v>0</v>
      </c>
      <c r="AJ320" s="423">
        <f t="shared" ref="AJ320" si="525">AJ319</f>
        <v>0</v>
      </c>
      <c r="AK320" s="423">
        <f t="shared" ref="AK320" si="526">AK319</f>
        <v>0</v>
      </c>
      <c r="AL320" s="423">
        <f t="shared" ref="AL320" si="527">AL319</f>
        <v>0</v>
      </c>
      <c r="AM320" s="319"/>
    </row>
    <row r="321" spans="1:39" ht="15" outlineLevel="1">
      <c r="B321" s="527"/>
      <c r="C321" s="304"/>
      <c r="D321" s="763"/>
      <c r="E321" s="763"/>
      <c r="F321" s="763"/>
      <c r="G321" s="763"/>
      <c r="H321" s="763"/>
      <c r="I321" s="763"/>
      <c r="J321" s="763"/>
      <c r="K321" s="763"/>
      <c r="L321" s="763"/>
      <c r="M321" s="763"/>
      <c r="N321" s="763"/>
      <c r="O321" s="763"/>
      <c r="P321" s="763"/>
      <c r="Q321" s="763"/>
      <c r="R321" s="763"/>
      <c r="S321" s="763"/>
      <c r="T321" s="763"/>
      <c r="U321" s="763"/>
      <c r="V321" s="763"/>
      <c r="W321" s="763"/>
      <c r="X321" s="763"/>
      <c r="Y321" s="774"/>
      <c r="Z321" s="793"/>
      <c r="AA321" s="793"/>
      <c r="AB321" s="793"/>
      <c r="AC321" s="793"/>
      <c r="AD321" s="793"/>
      <c r="AE321" s="793"/>
      <c r="AF321" s="435"/>
      <c r="AG321" s="435"/>
      <c r="AH321" s="435"/>
      <c r="AI321" s="435"/>
      <c r="AJ321" s="435"/>
      <c r="AK321" s="435"/>
      <c r="AL321" s="435"/>
      <c r="AM321" s="319"/>
    </row>
    <row r="322" spans="1:39" ht="15" outlineLevel="1">
      <c r="A322" s="529">
        <v>32</v>
      </c>
      <c r="B322" s="527" t="s">
        <v>124</v>
      </c>
      <c r="C322" s="304" t="s">
        <v>25</v>
      </c>
      <c r="D322" s="308"/>
      <c r="E322" s="308"/>
      <c r="F322" s="308"/>
      <c r="G322" s="308"/>
      <c r="H322" s="308"/>
      <c r="I322" s="308"/>
      <c r="J322" s="308"/>
      <c r="K322" s="308"/>
      <c r="L322" s="308"/>
      <c r="M322" s="308"/>
      <c r="N322" s="308">
        <v>12</v>
      </c>
      <c r="O322" s="308"/>
      <c r="P322" s="308"/>
      <c r="Q322" s="308"/>
      <c r="R322" s="308"/>
      <c r="S322" s="308"/>
      <c r="T322" s="308"/>
      <c r="U322" s="308"/>
      <c r="V322" s="308"/>
      <c r="W322" s="308"/>
      <c r="X322" s="308"/>
      <c r="Y322" s="789"/>
      <c r="Z322" s="772"/>
      <c r="AA322" s="772"/>
      <c r="AB322" s="772"/>
      <c r="AC322" s="772"/>
      <c r="AD322" s="772"/>
      <c r="AE322" s="772"/>
      <c r="AF322" s="422"/>
      <c r="AG322" s="427"/>
      <c r="AH322" s="427"/>
      <c r="AI322" s="427"/>
      <c r="AJ322" s="427"/>
      <c r="AK322" s="427"/>
      <c r="AL322" s="427"/>
      <c r="AM322" s="309">
        <f>SUM(Y322:AL322)</f>
        <v>0</v>
      </c>
    </row>
    <row r="323" spans="1:39" ht="15" outlineLevel="1">
      <c r="B323" s="307" t="s">
        <v>289</v>
      </c>
      <c r="C323" s="304" t="s">
        <v>163</v>
      </c>
      <c r="D323" s="308"/>
      <c r="E323" s="308"/>
      <c r="F323" s="308"/>
      <c r="G323" s="308"/>
      <c r="H323" s="308"/>
      <c r="I323" s="308"/>
      <c r="J323" s="308"/>
      <c r="K323" s="308"/>
      <c r="L323" s="308"/>
      <c r="M323" s="308"/>
      <c r="N323" s="308">
        <f>N322</f>
        <v>12</v>
      </c>
      <c r="O323" s="308"/>
      <c r="P323" s="308"/>
      <c r="Q323" s="308"/>
      <c r="R323" s="308"/>
      <c r="S323" s="308"/>
      <c r="T323" s="308"/>
      <c r="U323" s="308"/>
      <c r="V323" s="308"/>
      <c r="W323" s="308"/>
      <c r="X323" s="308"/>
      <c r="Y323" s="773">
        <f>Y322</f>
        <v>0</v>
      </c>
      <c r="Z323" s="773">
        <f t="shared" ref="Z323:AE323" si="528">Z322</f>
        <v>0</v>
      </c>
      <c r="AA323" s="773">
        <f t="shared" si="528"/>
        <v>0</v>
      </c>
      <c r="AB323" s="773">
        <f t="shared" si="528"/>
        <v>0</v>
      </c>
      <c r="AC323" s="773">
        <f t="shared" si="528"/>
        <v>0</v>
      </c>
      <c r="AD323" s="773">
        <f t="shared" si="528"/>
        <v>0</v>
      </c>
      <c r="AE323" s="773">
        <f t="shared" si="528"/>
        <v>0</v>
      </c>
      <c r="AF323" s="423">
        <f t="shared" ref="AF323" si="529">AF322</f>
        <v>0</v>
      </c>
      <c r="AG323" s="423">
        <f t="shared" ref="AG323" si="530">AG322</f>
        <v>0</v>
      </c>
      <c r="AH323" s="423">
        <f t="shared" ref="AH323" si="531">AH322</f>
        <v>0</v>
      </c>
      <c r="AI323" s="423">
        <f t="shared" ref="AI323" si="532">AI322</f>
        <v>0</v>
      </c>
      <c r="AJ323" s="423">
        <f t="shared" ref="AJ323" si="533">AJ322</f>
        <v>0</v>
      </c>
      <c r="AK323" s="423">
        <f t="shared" ref="AK323" si="534">AK322</f>
        <v>0</v>
      </c>
      <c r="AL323" s="423">
        <f t="shared" ref="AL323" si="535">AL322</f>
        <v>0</v>
      </c>
      <c r="AM323" s="319"/>
    </row>
    <row r="324" spans="1:39" ht="15" outlineLevel="1">
      <c r="B324" s="527"/>
      <c r="C324" s="304"/>
      <c r="D324" s="763"/>
      <c r="E324" s="763"/>
      <c r="F324" s="763"/>
      <c r="G324" s="763"/>
      <c r="H324" s="763"/>
      <c r="I324" s="763"/>
      <c r="J324" s="763"/>
      <c r="K324" s="763"/>
      <c r="L324" s="763"/>
      <c r="M324" s="763"/>
      <c r="N324" s="763"/>
      <c r="O324" s="763"/>
      <c r="P324" s="763"/>
      <c r="Q324" s="763"/>
      <c r="R324" s="763"/>
      <c r="S324" s="763"/>
      <c r="T324" s="763"/>
      <c r="U324" s="763"/>
      <c r="V324" s="763"/>
      <c r="W324" s="763"/>
      <c r="X324" s="763"/>
      <c r="Y324" s="774"/>
      <c r="Z324" s="793"/>
      <c r="AA324" s="793"/>
      <c r="AB324" s="793"/>
      <c r="AC324" s="793"/>
      <c r="AD324" s="793"/>
      <c r="AE324" s="793"/>
      <c r="AF324" s="435"/>
      <c r="AG324" s="435"/>
      <c r="AH324" s="435"/>
      <c r="AI324" s="435"/>
      <c r="AJ324" s="435"/>
      <c r="AK324" s="435"/>
      <c r="AL324" s="435"/>
      <c r="AM324" s="319"/>
    </row>
    <row r="325" spans="1:39" ht="15.6" outlineLevel="1">
      <c r="B325" s="301" t="s">
        <v>500</v>
      </c>
      <c r="C325" s="304"/>
      <c r="D325" s="763"/>
      <c r="E325" s="763"/>
      <c r="F325" s="763"/>
      <c r="G325" s="763"/>
      <c r="H325" s="763"/>
      <c r="I325" s="763"/>
      <c r="J325" s="763"/>
      <c r="K325" s="763"/>
      <c r="L325" s="763"/>
      <c r="M325" s="763"/>
      <c r="N325" s="763"/>
      <c r="O325" s="763"/>
      <c r="P325" s="763"/>
      <c r="Q325" s="763"/>
      <c r="R325" s="763"/>
      <c r="S325" s="763"/>
      <c r="T325" s="763"/>
      <c r="U325" s="763"/>
      <c r="V325" s="763"/>
      <c r="W325" s="763"/>
      <c r="X325" s="763"/>
      <c r="Y325" s="774"/>
      <c r="Z325" s="793"/>
      <c r="AA325" s="793"/>
      <c r="AB325" s="793"/>
      <c r="AC325" s="793"/>
      <c r="AD325" s="793"/>
      <c r="AE325" s="793"/>
      <c r="AF325" s="435"/>
      <c r="AG325" s="435"/>
      <c r="AH325" s="435"/>
      <c r="AI325" s="435"/>
      <c r="AJ325" s="435"/>
      <c r="AK325" s="435"/>
      <c r="AL325" s="435"/>
      <c r="AM325" s="319"/>
    </row>
    <row r="326" spans="1:39" ht="15" outlineLevel="1">
      <c r="A326" s="529">
        <v>33</v>
      </c>
      <c r="B326" s="527" t="s">
        <v>125</v>
      </c>
      <c r="C326" s="304" t="s">
        <v>25</v>
      </c>
      <c r="D326" s="308"/>
      <c r="E326" s="308"/>
      <c r="F326" s="308"/>
      <c r="G326" s="308"/>
      <c r="H326" s="308"/>
      <c r="I326" s="308"/>
      <c r="J326" s="308"/>
      <c r="K326" s="308"/>
      <c r="L326" s="308"/>
      <c r="M326" s="308"/>
      <c r="N326" s="308">
        <v>0</v>
      </c>
      <c r="O326" s="308"/>
      <c r="P326" s="308"/>
      <c r="Q326" s="308"/>
      <c r="R326" s="308"/>
      <c r="S326" s="308"/>
      <c r="T326" s="308"/>
      <c r="U326" s="308"/>
      <c r="V326" s="308"/>
      <c r="W326" s="308"/>
      <c r="X326" s="308"/>
      <c r="Y326" s="789"/>
      <c r="Z326" s="772"/>
      <c r="AA326" s="772"/>
      <c r="AB326" s="772"/>
      <c r="AC326" s="772"/>
      <c r="AD326" s="772"/>
      <c r="AE326" s="772"/>
      <c r="AF326" s="422"/>
      <c r="AG326" s="427"/>
      <c r="AH326" s="427"/>
      <c r="AI326" s="427"/>
      <c r="AJ326" s="427"/>
      <c r="AK326" s="427"/>
      <c r="AL326" s="427"/>
      <c r="AM326" s="309">
        <f>SUM(Y326:AL326)</f>
        <v>0</v>
      </c>
    </row>
    <row r="327" spans="1:39" ht="15" outlineLevel="1">
      <c r="B327" s="307" t="s">
        <v>289</v>
      </c>
      <c r="C327" s="304" t="s">
        <v>163</v>
      </c>
      <c r="D327" s="308"/>
      <c r="E327" s="308"/>
      <c r="F327" s="308"/>
      <c r="G327" s="308"/>
      <c r="H327" s="308"/>
      <c r="I327" s="308"/>
      <c r="J327" s="308"/>
      <c r="K327" s="308"/>
      <c r="L327" s="308"/>
      <c r="M327" s="308"/>
      <c r="N327" s="308">
        <f>N326</f>
        <v>0</v>
      </c>
      <c r="O327" s="308"/>
      <c r="P327" s="308"/>
      <c r="Q327" s="308"/>
      <c r="R327" s="308"/>
      <c r="S327" s="308"/>
      <c r="T327" s="308"/>
      <c r="U327" s="308"/>
      <c r="V327" s="308"/>
      <c r="W327" s="308"/>
      <c r="X327" s="308"/>
      <c r="Y327" s="773">
        <f>Y326</f>
        <v>0</v>
      </c>
      <c r="Z327" s="773">
        <f t="shared" ref="Z327:AE327" si="536">Z326</f>
        <v>0</v>
      </c>
      <c r="AA327" s="773">
        <f t="shared" si="536"/>
        <v>0</v>
      </c>
      <c r="AB327" s="773">
        <f t="shared" si="536"/>
        <v>0</v>
      </c>
      <c r="AC327" s="773">
        <f t="shared" si="536"/>
        <v>0</v>
      </c>
      <c r="AD327" s="773">
        <f t="shared" si="536"/>
        <v>0</v>
      </c>
      <c r="AE327" s="773">
        <f t="shared" si="536"/>
        <v>0</v>
      </c>
      <c r="AF327" s="423">
        <f t="shared" ref="AF327" si="537">AF326</f>
        <v>0</v>
      </c>
      <c r="AG327" s="423">
        <f t="shared" ref="AG327" si="538">AG326</f>
        <v>0</v>
      </c>
      <c r="AH327" s="423">
        <f t="shared" ref="AH327" si="539">AH326</f>
        <v>0</v>
      </c>
      <c r="AI327" s="423">
        <f t="shared" ref="AI327" si="540">AI326</f>
        <v>0</v>
      </c>
      <c r="AJ327" s="423">
        <f t="shared" ref="AJ327" si="541">AJ326</f>
        <v>0</v>
      </c>
      <c r="AK327" s="423">
        <f t="shared" ref="AK327" si="542">AK326</f>
        <v>0</v>
      </c>
      <c r="AL327" s="423">
        <f t="shared" ref="AL327" si="543">AL326</f>
        <v>0</v>
      </c>
      <c r="AM327" s="319"/>
    </row>
    <row r="328" spans="1:39" ht="15" outlineLevel="1">
      <c r="B328" s="527"/>
      <c r="C328" s="304"/>
      <c r="D328" s="763"/>
      <c r="E328" s="763"/>
      <c r="F328" s="763"/>
      <c r="G328" s="763"/>
      <c r="H328" s="763"/>
      <c r="I328" s="763"/>
      <c r="J328" s="763"/>
      <c r="K328" s="763"/>
      <c r="L328" s="763"/>
      <c r="M328" s="763"/>
      <c r="N328" s="763"/>
      <c r="O328" s="763"/>
      <c r="P328" s="763"/>
      <c r="Q328" s="763"/>
      <c r="R328" s="763"/>
      <c r="S328" s="763"/>
      <c r="T328" s="763"/>
      <c r="U328" s="763"/>
      <c r="V328" s="763"/>
      <c r="W328" s="763"/>
      <c r="X328" s="763"/>
      <c r="Y328" s="774"/>
      <c r="Z328" s="793"/>
      <c r="AA328" s="793"/>
      <c r="AB328" s="793"/>
      <c r="AC328" s="793"/>
      <c r="AD328" s="793"/>
      <c r="AE328" s="793"/>
      <c r="AF328" s="435"/>
      <c r="AG328" s="435"/>
      <c r="AH328" s="435"/>
      <c r="AI328" s="435"/>
      <c r="AJ328" s="435"/>
      <c r="AK328" s="435"/>
      <c r="AL328" s="435"/>
      <c r="AM328" s="319"/>
    </row>
    <row r="329" spans="1:39" ht="15" outlineLevel="1">
      <c r="A329" s="529">
        <v>34</v>
      </c>
      <c r="B329" s="527" t="s">
        <v>126</v>
      </c>
      <c r="C329" s="304" t="s">
        <v>25</v>
      </c>
      <c r="D329" s="308"/>
      <c r="E329" s="308"/>
      <c r="F329" s="308"/>
      <c r="G329" s="308"/>
      <c r="H329" s="308"/>
      <c r="I329" s="308"/>
      <c r="J329" s="308"/>
      <c r="K329" s="308"/>
      <c r="L329" s="308"/>
      <c r="M329" s="308"/>
      <c r="N329" s="308">
        <v>0</v>
      </c>
      <c r="O329" s="308"/>
      <c r="P329" s="308"/>
      <c r="Q329" s="308"/>
      <c r="R329" s="308"/>
      <c r="S329" s="308"/>
      <c r="T329" s="308"/>
      <c r="U329" s="308"/>
      <c r="V329" s="308"/>
      <c r="W329" s="308"/>
      <c r="X329" s="308"/>
      <c r="Y329" s="789"/>
      <c r="Z329" s="772"/>
      <c r="AA329" s="772"/>
      <c r="AB329" s="772"/>
      <c r="AC329" s="772"/>
      <c r="AD329" s="772"/>
      <c r="AE329" s="772"/>
      <c r="AF329" s="422"/>
      <c r="AG329" s="427"/>
      <c r="AH329" s="427"/>
      <c r="AI329" s="427"/>
      <c r="AJ329" s="427"/>
      <c r="AK329" s="427"/>
      <c r="AL329" s="427"/>
      <c r="AM329" s="309">
        <f>SUM(Y329:AL329)</f>
        <v>0</v>
      </c>
    </row>
    <row r="330" spans="1:39" ht="15" outlineLevel="1">
      <c r="B330" s="307" t="s">
        <v>289</v>
      </c>
      <c r="C330" s="304" t="s">
        <v>163</v>
      </c>
      <c r="D330" s="308"/>
      <c r="E330" s="308"/>
      <c r="F330" s="308"/>
      <c r="G330" s="308"/>
      <c r="H330" s="308"/>
      <c r="I330" s="308"/>
      <c r="J330" s="308"/>
      <c r="K330" s="308"/>
      <c r="L330" s="308"/>
      <c r="M330" s="308"/>
      <c r="N330" s="308">
        <f>N329</f>
        <v>0</v>
      </c>
      <c r="O330" s="308"/>
      <c r="P330" s="308"/>
      <c r="Q330" s="308"/>
      <c r="R330" s="308"/>
      <c r="S330" s="308"/>
      <c r="T330" s="308"/>
      <c r="U330" s="308"/>
      <c r="V330" s="308"/>
      <c r="W330" s="308"/>
      <c r="X330" s="308"/>
      <c r="Y330" s="773">
        <f>Y329</f>
        <v>0</v>
      </c>
      <c r="Z330" s="773">
        <f t="shared" ref="Z330:AE330" si="544">Z329</f>
        <v>0</v>
      </c>
      <c r="AA330" s="773">
        <f t="shared" si="544"/>
        <v>0</v>
      </c>
      <c r="AB330" s="773">
        <f t="shared" si="544"/>
        <v>0</v>
      </c>
      <c r="AC330" s="773">
        <f t="shared" si="544"/>
        <v>0</v>
      </c>
      <c r="AD330" s="773">
        <f t="shared" si="544"/>
        <v>0</v>
      </c>
      <c r="AE330" s="773">
        <f t="shared" si="544"/>
        <v>0</v>
      </c>
      <c r="AF330" s="423">
        <f t="shared" ref="AF330" si="545">AF329</f>
        <v>0</v>
      </c>
      <c r="AG330" s="423">
        <f t="shared" ref="AG330" si="546">AG329</f>
        <v>0</v>
      </c>
      <c r="AH330" s="423">
        <f t="shared" ref="AH330" si="547">AH329</f>
        <v>0</v>
      </c>
      <c r="AI330" s="423">
        <f t="shared" ref="AI330" si="548">AI329</f>
        <v>0</v>
      </c>
      <c r="AJ330" s="423">
        <f t="shared" ref="AJ330" si="549">AJ329</f>
        <v>0</v>
      </c>
      <c r="AK330" s="423">
        <f t="shared" ref="AK330" si="550">AK329</f>
        <v>0</v>
      </c>
      <c r="AL330" s="423">
        <f t="shared" ref="AL330" si="551">AL329</f>
        <v>0</v>
      </c>
      <c r="AM330" s="319"/>
    </row>
    <row r="331" spans="1:39" ht="15" outlineLevel="1">
      <c r="B331" s="527"/>
      <c r="C331" s="304"/>
      <c r="D331" s="763"/>
      <c r="E331" s="763"/>
      <c r="F331" s="763"/>
      <c r="G331" s="763"/>
      <c r="H331" s="763"/>
      <c r="I331" s="763"/>
      <c r="J331" s="763"/>
      <c r="K331" s="763"/>
      <c r="L331" s="763"/>
      <c r="M331" s="763"/>
      <c r="N331" s="763"/>
      <c r="O331" s="763"/>
      <c r="P331" s="763"/>
      <c r="Q331" s="763"/>
      <c r="R331" s="763"/>
      <c r="S331" s="763"/>
      <c r="T331" s="763"/>
      <c r="U331" s="763"/>
      <c r="V331" s="763"/>
      <c r="W331" s="763"/>
      <c r="X331" s="763"/>
      <c r="Y331" s="774"/>
      <c r="Z331" s="793"/>
      <c r="AA331" s="793"/>
      <c r="AB331" s="793"/>
      <c r="AC331" s="793"/>
      <c r="AD331" s="793"/>
      <c r="AE331" s="793"/>
      <c r="AF331" s="435"/>
      <c r="AG331" s="435"/>
      <c r="AH331" s="435"/>
      <c r="AI331" s="435"/>
      <c r="AJ331" s="435"/>
      <c r="AK331" s="435"/>
      <c r="AL331" s="435"/>
      <c r="AM331" s="319"/>
    </row>
    <row r="332" spans="1:39" ht="15" outlineLevel="1">
      <c r="A332" s="529">
        <v>35</v>
      </c>
      <c r="B332" s="527" t="s">
        <v>127</v>
      </c>
      <c r="C332" s="304" t="s">
        <v>25</v>
      </c>
      <c r="D332" s="308"/>
      <c r="E332" s="308"/>
      <c r="F332" s="308"/>
      <c r="G332" s="308"/>
      <c r="H332" s="308"/>
      <c r="I332" s="308"/>
      <c r="J332" s="308"/>
      <c r="K332" s="308"/>
      <c r="L332" s="308"/>
      <c r="M332" s="308"/>
      <c r="N332" s="308">
        <v>0</v>
      </c>
      <c r="O332" s="308"/>
      <c r="P332" s="308"/>
      <c r="Q332" s="308"/>
      <c r="R332" s="308"/>
      <c r="S332" s="308"/>
      <c r="T332" s="308"/>
      <c r="U332" s="308"/>
      <c r="V332" s="308"/>
      <c r="W332" s="308"/>
      <c r="X332" s="308"/>
      <c r="Y332" s="789"/>
      <c r="Z332" s="772"/>
      <c r="AA332" s="772"/>
      <c r="AB332" s="772"/>
      <c r="AC332" s="772"/>
      <c r="AD332" s="772"/>
      <c r="AE332" s="772"/>
      <c r="AF332" s="422"/>
      <c r="AG332" s="427"/>
      <c r="AH332" s="427"/>
      <c r="AI332" s="427"/>
      <c r="AJ332" s="427"/>
      <c r="AK332" s="427"/>
      <c r="AL332" s="427"/>
      <c r="AM332" s="309">
        <f>SUM(Y332:AL332)</f>
        <v>0</v>
      </c>
    </row>
    <row r="333" spans="1:39" ht="15" outlineLevel="1">
      <c r="B333" s="307" t="s">
        <v>289</v>
      </c>
      <c r="C333" s="304" t="s">
        <v>163</v>
      </c>
      <c r="D333" s="308"/>
      <c r="E333" s="308"/>
      <c r="F333" s="308"/>
      <c r="G333" s="308"/>
      <c r="H333" s="308"/>
      <c r="I333" s="308"/>
      <c r="J333" s="308"/>
      <c r="K333" s="308"/>
      <c r="L333" s="308"/>
      <c r="M333" s="308"/>
      <c r="N333" s="308">
        <f>N332</f>
        <v>0</v>
      </c>
      <c r="O333" s="308"/>
      <c r="P333" s="308"/>
      <c r="Q333" s="308"/>
      <c r="R333" s="308"/>
      <c r="S333" s="308"/>
      <c r="T333" s="308"/>
      <c r="U333" s="308"/>
      <c r="V333" s="308"/>
      <c r="W333" s="308"/>
      <c r="X333" s="308"/>
      <c r="Y333" s="773">
        <f>Y332</f>
        <v>0</v>
      </c>
      <c r="Z333" s="773">
        <f t="shared" ref="Z333:AE333" si="552">Z332</f>
        <v>0</v>
      </c>
      <c r="AA333" s="773">
        <f t="shared" si="552"/>
        <v>0</v>
      </c>
      <c r="AB333" s="773">
        <f t="shared" si="552"/>
        <v>0</v>
      </c>
      <c r="AC333" s="773">
        <f t="shared" si="552"/>
        <v>0</v>
      </c>
      <c r="AD333" s="773">
        <f t="shared" si="552"/>
        <v>0</v>
      </c>
      <c r="AE333" s="773">
        <f t="shared" si="552"/>
        <v>0</v>
      </c>
      <c r="AF333" s="423">
        <f t="shared" ref="AF333" si="553">AF332</f>
        <v>0</v>
      </c>
      <c r="AG333" s="423">
        <f t="shared" ref="AG333" si="554">AG332</f>
        <v>0</v>
      </c>
      <c r="AH333" s="423">
        <f t="shared" ref="AH333" si="555">AH332</f>
        <v>0</v>
      </c>
      <c r="AI333" s="423">
        <f t="shared" ref="AI333" si="556">AI332</f>
        <v>0</v>
      </c>
      <c r="AJ333" s="423">
        <f t="shared" ref="AJ333" si="557">AJ332</f>
        <v>0</v>
      </c>
      <c r="AK333" s="423">
        <f t="shared" ref="AK333" si="558">AK332</f>
        <v>0</v>
      </c>
      <c r="AL333" s="423">
        <f t="shared" ref="AL333" si="559">AL332</f>
        <v>0</v>
      </c>
      <c r="AM333" s="319"/>
    </row>
    <row r="334" spans="1:39" ht="15" outlineLevel="1">
      <c r="B334" s="307"/>
      <c r="C334" s="304"/>
      <c r="D334" s="763"/>
      <c r="E334" s="763"/>
      <c r="F334" s="763"/>
      <c r="G334" s="763"/>
      <c r="H334" s="763"/>
      <c r="I334" s="763"/>
      <c r="J334" s="763"/>
      <c r="K334" s="763"/>
      <c r="L334" s="763"/>
      <c r="M334" s="763"/>
      <c r="N334" s="763"/>
      <c r="O334" s="763"/>
      <c r="P334" s="763"/>
      <c r="Q334" s="763"/>
      <c r="R334" s="763"/>
      <c r="S334" s="763"/>
      <c r="T334" s="763"/>
      <c r="U334" s="763"/>
      <c r="V334" s="763"/>
      <c r="W334" s="763"/>
      <c r="X334" s="763"/>
      <c r="Y334" s="774"/>
      <c r="Z334" s="793"/>
      <c r="AA334" s="793"/>
      <c r="AB334" s="793"/>
      <c r="AC334" s="793"/>
      <c r="AD334" s="793"/>
      <c r="AE334" s="793"/>
      <c r="AF334" s="435"/>
      <c r="AG334" s="435"/>
      <c r="AH334" s="435"/>
      <c r="AI334" s="435"/>
      <c r="AJ334" s="435"/>
      <c r="AK334" s="435"/>
      <c r="AL334" s="435"/>
      <c r="AM334" s="319"/>
    </row>
    <row r="335" spans="1:39" ht="15.6" outlineLevel="1">
      <c r="B335" s="301" t="s">
        <v>501</v>
      </c>
      <c r="C335" s="304"/>
      <c r="D335" s="763"/>
      <c r="E335" s="763"/>
      <c r="F335" s="763"/>
      <c r="G335" s="763"/>
      <c r="H335" s="763"/>
      <c r="I335" s="763"/>
      <c r="J335" s="763"/>
      <c r="K335" s="763"/>
      <c r="L335" s="763"/>
      <c r="M335" s="763"/>
      <c r="N335" s="763"/>
      <c r="O335" s="763"/>
      <c r="P335" s="763"/>
      <c r="Q335" s="763"/>
      <c r="R335" s="763"/>
      <c r="S335" s="763"/>
      <c r="T335" s="763"/>
      <c r="U335" s="763"/>
      <c r="V335" s="763"/>
      <c r="W335" s="763"/>
      <c r="X335" s="763"/>
      <c r="Y335" s="774"/>
      <c r="Z335" s="793"/>
      <c r="AA335" s="793"/>
      <c r="AB335" s="793"/>
      <c r="AC335" s="793"/>
      <c r="AD335" s="793"/>
      <c r="AE335" s="793"/>
      <c r="AF335" s="435"/>
      <c r="AG335" s="435"/>
      <c r="AH335" s="435"/>
      <c r="AI335" s="435"/>
      <c r="AJ335" s="435"/>
      <c r="AK335" s="435"/>
      <c r="AL335" s="435"/>
      <c r="AM335" s="319"/>
    </row>
    <row r="336" spans="1:39" ht="45" outlineLevel="1">
      <c r="A336" s="529">
        <v>36</v>
      </c>
      <c r="B336" s="527" t="s">
        <v>128</v>
      </c>
      <c r="C336" s="304" t="s">
        <v>25</v>
      </c>
      <c r="D336" s="308"/>
      <c r="E336" s="308"/>
      <c r="F336" s="308"/>
      <c r="G336" s="308"/>
      <c r="H336" s="308"/>
      <c r="I336" s="308"/>
      <c r="J336" s="308"/>
      <c r="K336" s="308"/>
      <c r="L336" s="308"/>
      <c r="M336" s="308"/>
      <c r="N336" s="308">
        <v>12</v>
      </c>
      <c r="O336" s="308"/>
      <c r="P336" s="308"/>
      <c r="Q336" s="308"/>
      <c r="R336" s="308"/>
      <c r="S336" s="308"/>
      <c r="T336" s="308"/>
      <c r="U336" s="308"/>
      <c r="V336" s="308"/>
      <c r="W336" s="308"/>
      <c r="X336" s="308"/>
      <c r="Y336" s="789"/>
      <c r="Z336" s="772"/>
      <c r="AA336" s="772"/>
      <c r="AB336" s="772"/>
      <c r="AC336" s="772"/>
      <c r="AD336" s="772"/>
      <c r="AE336" s="772"/>
      <c r="AF336" s="422"/>
      <c r="AG336" s="427"/>
      <c r="AH336" s="427"/>
      <c r="AI336" s="427"/>
      <c r="AJ336" s="427"/>
      <c r="AK336" s="427"/>
      <c r="AL336" s="427"/>
      <c r="AM336" s="309">
        <f>SUM(Y336:AL336)</f>
        <v>0</v>
      </c>
    </row>
    <row r="337" spans="1:39" ht="15" outlineLevel="1">
      <c r="B337" s="307" t="s">
        <v>289</v>
      </c>
      <c r="C337" s="304" t="s">
        <v>163</v>
      </c>
      <c r="D337" s="308"/>
      <c r="E337" s="308"/>
      <c r="F337" s="308"/>
      <c r="G337" s="308"/>
      <c r="H337" s="308"/>
      <c r="I337" s="308"/>
      <c r="J337" s="308"/>
      <c r="K337" s="308"/>
      <c r="L337" s="308"/>
      <c r="M337" s="308"/>
      <c r="N337" s="308">
        <f>N336</f>
        <v>12</v>
      </c>
      <c r="O337" s="308"/>
      <c r="P337" s="308"/>
      <c r="Q337" s="308"/>
      <c r="R337" s="308"/>
      <c r="S337" s="308"/>
      <c r="T337" s="308"/>
      <c r="U337" s="308"/>
      <c r="V337" s="308"/>
      <c r="W337" s="308"/>
      <c r="X337" s="308"/>
      <c r="Y337" s="773">
        <f>Y336</f>
        <v>0</v>
      </c>
      <c r="Z337" s="773">
        <f t="shared" ref="Z337:AE337" si="560">Z336</f>
        <v>0</v>
      </c>
      <c r="AA337" s="773">
        <f t="shared" si="560"/>
        <v>0</v>
      </c>
      <c r="AB337" s="773">
        <f t="shared" si="560"/>
        <v>0</v>
      </c>
      <c r="AC337" s="773">
        <f t="shared" si="560"/>
        <v>0</v>
      </c>
      <c r="AD337" s="773">
        <f t="shared" si="560"/>
        <v>0</v>
      </c>
      <c r="AE337" s="773">
        <f t="shared" si="560"/>
        <v>0</v>
      </c>
      <c r="AF337" s="423">
        <f t="shared" ref="AF337" si="561">AF336</f>
        <v>0</v>
      </c>
      <c r="AG337" s="423">
        <f t="shared" ref="AG337" si="562">AG336</f>
        <v>0</v>
      </c>
      <c r="AH337" s="423">
        <f t="shared" ref="AH337" si="563">AH336</f>
        <v>0</v>
      </c>
      <c r="AI337" s="423">
        <f t="shared" ref="AI337" si="564">AI336</f>
        <v>0</v>
      </c>
      <c r="AJ337" s="423">
        <f t="shared" ref="AJ337" si="565">AJ336</f>
        <v>0</v>
      </c>
      <c r="AK337" s="423">
        <f t="shared" ref="AK337" si="566">AK336</f>
        <v>0</v>
      </c>
      <c r="AL337" s="423">
        <f t="shared" ref="AL337" si="567">AL336</f>
        <v>0</v>
      </c>
      <c r="AM337" s="319"/>
    </row>
    <row r="338" spans="1:39" ht="15" outlineLevel="1">
      <c r="B338" s="527"/>
      <c r="C338" s="304"/>
      <c r="D338" s="763"/>
      <c r="E338" s="763"/>
      <c r="F338" s="763"/>
      <c r="G338" s="763"/>
      <c r="H338" s="763"/>
      <c r="I338" s="763"/>
      <c r="J338" s="763"/>
      <c r="K338" s="763"/>
      <c r="L338" s="763"/>
      <c r="M338" s="763"/>
      <c r="N338" s="763"/>
      <c r="O338" s="763"/>
      <c r="P338" s="763"/>
      <c r="Q338" s="763"/>
      <c r="R338" s="763"/>
      <c r="S338" s="763"/>
      <c r="T338" s="763"/>
      <c r="U338" s="763"/>
      <c r="V338" s="763"/>
      <c r="W338" s="763"/>
      <c r="X338" s="763"/>
      <c r="Y338" s="774"/>
      <c r="Z338" s="793"/>
      <c r="AA338" s="793"/>
      <c r="AB338" s="793"/>
      <c r="AC338" s="793"/>
      <c r="AD338" s="793"/>
      <c r="AE338" s="793"/>
      <c r="AF338" s="435"/>
      <c r="AG338" s="435"/>
      <c r="AH338" s="435"/>
      <c r="AI338" s="435"/>
      <c r="AJ338" s="435"/>
      <c r="AK338" s="435"/>
      <c r="AL338" s="435"/>
      <c r="AM338" s="319"/>
    </row>
    <row r="339" spans="1:39" ht="30" outlineLevel="1">
      <c r="A339" s="529">
        <v>37</v>
      </c>
      <c r="B339" s="527" t="s">
        <v>129</v>
      </c>
      <c r="C339" s="304" t="s">
        <v>25</v>
      </c>
      <c r="D339" s="308"/>
      <c r="E339" s="308"/>
      <c r="F339" s="308"/>
      <c r="G339" s="308"/>
      <c r="H339" s="308"/>
      <c r="I339" s="308"/>
      <c r="J339" s="308"/>
      <c r="K339" s="308"/>
      <c r="L339" s="308"/>
      <c r="M339" s="308"/>
      <c r="N339" s="308">
        <v>12</v>
      </c>
      <c r="O339" s="308"/>
      <c r="P339" s="308"/>
      <c r="Q339" s="308"/>
      <c r="R339" s="308"/>
      <c r="S339" s="308"/>
      <c r="T339" s="308"/>
      <c r="U339" s="308"/>
      <c r="V339" s="308"/>
      <c r="W339" s="308"/>
      <c r="X339" s="308"/>
      <c r="Y339" s="789"/>
      <c r="Z339" s="772"/>
      <c r="AA339" s="772"/>
      <c r="AB339" s="772"/>
      <c r="AC339" s="772"/>
      <c r="AD339" s="772"/>
      <c r="AE339" s="772"/>
      <c r="AF339" s="422"/>
      <c r="AG339" s="427"/>
      <c r="AH339" s="427"/>
      <c r="AI339" s="427"/>
      <c r="AJ339" s="427"/>
      <c r="AK339" s="427"/>
      <c r="AL339" s="427"/>
      <c r="AM339" s="309">
        <f>SUM(Y339:AL339)</f>
        <v>0</v>
      </c>
    </row>
    <row r="340" spans="1:39" ht="15" outlineLevel="1">
      <c r="B340" s="307" t="s">
        <v>289</v>
      </c>
      <c r="C340" s="304" t="s">
        <v>163</v>
      </c>
      <c r="D340" s="308"/>
      <c r="E340" s="308"/>
      <c r="F340" s="308"/>
      <c r="G340" s="308"/>
      <c r="H340" s="308"/>
      <c r="I340" s="308"/>
      <c r="J340" s="308"/>
      <c r="K340" s="308"/>
      <c r="L340" s="308"/>
      <c r="M340" s="308"/>
      <c r="N340" s="308">
        <f>N339</f>
        <v>12</v>
      </c>
      <c r="O340" s="308"/>
      <c r="P340" s="308"/>
      <c r="Q340" s="308"/>
      <c r="R340" s="308"/>
      <c r="S340" s="308"/>
      <c r="T340" s="308"/>
      <c r="U340" s="308"/>
      <c r="V340" s="308"/>
      <c r="W340" s="308"/>
      <c r="X340" s="308"/>
      <c r="Y340" s="773">
        <f>Y339</f>
        <v>0</v>
      </c>
      <c r="Z340" s="773">
        <f t="shared" ref="Z340:AE340" si="568">Z339</f>
        <v>0</v>
      </c>
      <c r="AA340" s="773">
        <f t="shared" si="568"/>
        <v>0</v>
      </c>
      <c r="AB340" s="773">
        <f t="shared" si="568"/>
        <v>0</v>
      </c>
      <c r="AC340" s="773">
        <f t="shared" si="568"/>
        <v>0</v>
      </c>
      <c r="AD340" s="773">
        <f t="shared" si="568"/>
        <v>0</v>
      </c>
      <c r="AE340" s="773">
        <f t="shared" si="568"/>
        <v>0</v>
      </c>
      <c r="AF340" s="423">
        <f t="shared" ref="AF340" si="569">AF339</f>
        <v>0</v>
      </c>
      <c r="AG340" s="423">
        <f t="shared" ref="AG340" si="570">AG339</f>
        <v>0</v>
      </c>
      <c r="AH340" s="423">
        <f t="shared" ref="AH340" si="571">AH339</f>
        <v>0</v>
      </c>
      <c r="AI340" s="423">
        <f t="shared" ref="AI340" si="572">AI339</f>
        <v>0</v>
      </c>
      <c r="AJ340" s="423">
        <f t="shared" ref="AJ340" si="573">AJ339</f>
        <v>0</v>
      </c>
      <c r="AK340" s="423">
        <f t="shared" ref="AK340" si="574">AK339</f>
        <v>0</v>
      </c>
      <c r="AL340" s="423">
        <f t="shared" ref="AL340" si="575">AL339</f>
        <v>0</v>
      </c>
      <c r="AM340" s="319"/>
    </row>
    <row r="341" spans="1:39" ht="15" outlineLevel="1">
      <c r="B341" s="527"/>
      <c r="C341" s="304"/>
      <c r="D341" s="763"/>
      <c r="E341" s="763"/>
      <c r="F341" s="763"/>
      <c r="G341" s="763"/>
      <c r="H341" s="763"/>
      <c r="I341" s="763"/>
      <c r="J341" s="763"/>
      <c r="K341" s="763"/>
      <c r="L341" s="763"/>
      <c r="M341" s="763"/>
      <c r="N341" s="763"/>
      <c r="O341" s="763"/>
      <c r="P341" s="763"/>
      <c r="Q341" s="763"/>
      <c r="R341" s="763"/>
      <c r="S341" s="763"/>
      <c r="T341" s="763"/>
      <c r="U341" s="763"/>
      <c r="V341" s="763"/>
      <c r="W341" s="763"/>
      <c r="X341" s="763"/>
      <c r="Y341" s="774"/>
      <c r="Z341" s="793"/>
      <c r="AA341" s="793"/>
      <c r="AB341" s="793"/>
      <c r="AC341" s="793"/>
      <c r="AD341" s="793"/>
      <c r="AE341" s="793"/>
      <c r="AF341" s="435"/>
      <c r="AG341" s="435"/>
      <c r="AH341" s="435"/>
      <c r="AI341" s="435"/>
      <c r="AJ341" s="435"/>
      <c r="AK341" s="435"/>
      <c r="AL341" s="435"/>
      <c r="AM341" s="319"/>
    </row>
    <row r="342" spans="1:39" ht="15" outlineLevel="1">
      <c r="A342" s="529">
        <v>38</v>
      </c>
      <c r="B342" s="527" t="s">
        <v>130</v>
      </c>
      <c r="C342" s="304" t="s">
        <v>25</v>
      </c>
      <c r="D342" s="308"/>
      <c r="E342" s="308"/>
      <c r="F342" s="308"/>
      <c r="G342" s="308"/>
      <c r="H342" s="308"/>
      <c r="I342" s="308"/>
      <c r="J342" s="308"/>
      <c r="K342" s="308"/>
      <c r="L342" s="308"/>
      <c r="M342" s="308"/>
      <c r="N342" s="308">
        <v>12</v>
      </c>
      <c r="O342" s="308"/>
      <c r="P342" s="308"/>
      <c r="Q342" s="308"/>
      <c r="R342" s="308"/>
      <c r="S342" s="308"/>
      <c r="T342" s="308"/>
      <c r="U342" s="308"/>
      <c r="V342" s="308"/>
      <c r="W342" s="308"/>
      <c r="X342" s="308"/>
      <c r="Y342" s="789"/>
      <c r="Z342" s="772"/>
      <c r="AA342" s="772"/>
      <c r="AB342" s="772"/>
      <c r="AC342" s="772"/>
      <c r="AD342" s="772"/>
      <c r="AE342" s="772"/>
      <c r="AF342" s="422"/>
      <c r="AG342" s="427"/>
      <c r="AH342" s="427"/>
      <c r="AI342" s="427"/>
      <c r="AJ342" s="427"/>
      <c r="AK342" s="427"/>
      <c r="AL342" s="427"/>
      <c r="AM342" s="309">
        <f>SUM(Y342:AL342)</f>
        <v>0</v>
      </c>
    </row>
    <row r="343" spans="1:39" ht="15" outlineLevel="1">
      <c r="B343" s="307" t="s">
        <v>289</v>
      </c>
      <c r="C343" s="304" t="s">
        <v>163</v>
      </c>
      <c r="D343" s="308"/>
      <c r="E343" s="308"/>
      <c r="F343" s="308"/>
      <c r="G343" s="308"/>
      <c r="H343" s="308"/>
      <c r="I343" s="308"/>
      <c r="J343" s="308"/>
      <c r="K343" s="308"/>
      <c r="L343" s="308"/>
      <c r="M343" s="308"/>
      <c r="N343" s="308">
        <f>N342</f>
        <v>12</v>
      </c>
      <c r="O343" s="308"/>
      <c r="P343" s="308"/>
      <c r="Q343" s="308"/>
      <c r="R343" s="308"/>
      <c r="S343" s="308"/>
      <c r="T343" s="308"/>
      <c r="U343" s="308"/>
      <c r="V343" s="308"/>
      <c r="W343" s="308"/>
      <c r="X343" s="308"/>
      <c r="Y343" s="773">
        <f>Y342</f>
        <v>0</v>
      </c>
      <c r="Z343" s="773">
        <f t="shared" ref="Z343:AE343" si="576">Z342</f>
        <v>0</v>
      </c>
      <c r="AA343" s="773">
        <f t="shared" si="576"/>
        <v>0</v>
      </c>
      <c r="AB343" s="773">
        <f t="shared" si="576"/>
        <v>0</v>
      </c>
      <c r="AC343" s="773">
        <f t="shared" si="576"/>
        <v>0</v>
      </c>
      <c r="AD343" s="773">
        <f t="shared" si="576"/>
        <v>0</v>
      </c>
      <c r="AE343" s="773">
        <f t="shared" si="576"/>
        <v>0</v>
      </c>
      <c r="AF343" s="423">
        <f t="shared" ref="AF343" si="577">AF342</f>
        <v>0</v>
      </c>
      <c r="AG343" s="423">
        <f t="shared" ref="AG343" si="578">AG342</f>
        <v>0</v>
      </c>
      <c r="AH343" s="423">
        <f t="shared" ref="AH343" si="579">AH342</f>
        <v>0</v>
      </c>
      <c r="AI343" s="423">
        <f t="shared" ref="AI343" si="580">AI342</f>
        <v>0</v>
      </c>
      <c r="AJ343" s="423">
        <f t="shared" ref="AJ343" si="581">AJ342</f>
        <v>0</v>
      </c>
      <c r="AK343" s="423">
        <f t="shared" ref="AK343" si="582">AK342</f>
        <v>0</v>
      </c>
      <c r="AL343" s="423">
        <f t="shared" ref="AL343" si="583">AL342</f>
        <v>0</v>
      </c>
      <c r="AM343" s="319"/>
    </row>
    <row r="344" spans="1:39" ht="15" outlineLevel="1">
      <c r="B344" s="527"/>
      <c r="C344" s="304"/>
      <c r="D344" s="763"/>
      <c r="E344" s="763"/>
      <c r="F344" s="763"/>
      <c r="G344" s="763"/>
      <c r="H344" s="763"/>
      <c r="I344" s="763"/>
      <c r="J344" s="763"/>
      <c r="K344" s="763"/>
      <c r="L344" s="763"/>
      <c r="M344" s="763"/>
      <c r="N344" s="763"/>
      <c r="O344" s="763"/>
      <c r="P344" s="763"/>
      <c r="Q344" s="763"/>
      <c r="R344" s="763"/>
      <c r="S344" s="763"/>
      <c r="T344" s="763"/>
      <c r="U344" s="763"/>
      <c r="V344" s="763"/>
      <c r="W344" s="763"/>
      <c r="X344" s="763"/>
      <c r="Y344" s="774"/>
      <c r="Z344" s="793"/>
      <c r="AA344" s="793"/>
      <c r="AB344" s="793"/>
      <c r="AC344" s="793"/>
      <c r="AD344" s="793"/>
      <c r="AE344" s="793"/>
      <c r="AF344" s="435"/>
      <c r="AG344" s="435"/>
      <c r="AH344" s="435"/>
      <c r="AI344" s="435"/>
      <c r="AJ344" s="435"/>
      <c r="AK344" s="435"/>
      <c r="AL344" s="435"/>
      <c r="AM344" s="319"/>
    </row>
    <row r="345" spans="1:39" ht="30" outlineLevel="1">
      <c r="A345" s="529">
        <v>39</v>
      </c>
      <c r="B345" s="527" t="s">
        <v>131</v>
      </c>
      <c r="C345" s="304" t="s">
        <v>25</v>
      </c>
      <c r="D345" s="308"/>
      <c r="E345" s="308"/>
      <c r="F345" s="308"/>
      <c r="G345" s="308"/>
      <c r="H345" s="308"/>
      <c r="I345" s="308"/>
      <c r="J345" s="308"/>
      <c r="K345" s="308"/>
      <c r="L345" s="308"/>
      <c r="M345" s="308"/>
      <c r="N345" s="308">
        <v>12</v>
      </c>
      <c r="O345" s="308"/>
      <c r="P345" s="308"/>
      <c r="Q345" s="308"/>
      <c r="R345" s="308"/>
      <c r="S345" s="308"/>
      <c r="T345" s="308"/>
      <c r="U345" s="308"/>
      <c r="V345" s="308"/>
      <c r="W345" s="308"/>
      <c r="X345" s="308"/>
      <c r="Y345" s="789"/>
      <c r="Z345" s="772"/>
      <c r="AA345" s="772"/>
      <c r="AB345" s="772"/>
      <c r="AC345" s="772"/>
      <c r="AD345" s="772"/>
      <c r="AE345" s="772"/>
      <c r="AF345" s="422"/>
      <c r="AG345" s="427"/>
      <c r="AH345" s="427"/>
      <c r="AI345" s="427"/>
      <c r="AJ345" s="427"/>
      <c r="AK345" s="427"/>
      <c r="AL345" s="427"/>
      <c r="AM345" s="309">
        <f>SUM(Y345:AL345)</f>
        <v>0</v>
      </c>
    </row>
    <row r="346" spans="1:39" ht="15" outlineLevel="1">
      <c r="B346" s="307" t="s">
        <v>289</v>
      </c>
      <c r="C346" s="304" t="s">
        <v>163</v>
      </c>
      <c r="D346" s="308"/>
      <c r="E346" s="308"/>
      <c r="F346" s="308"/>
      <c r="G346" s="308"/>
      <c r="H346" s="308"/>
      <c r="I346" s="308"/>
      <c r="J346" s="308"/>
      <c r="K346" s="308"/>
      <c r="L346" s="308"/>
      <c r="M346" s="308"/>
      <c r="N346" s="308">
        <f>N345</f>
        <v>12</v>
      </c>
      <c r="O346" s="308"/>
      <c r="P346" s="308"/>
      <c r="Q346" s="308"/>
      <c r="R346" s="308"/>
      <c r="S346" s="308"/>
      <c r="T346" s="308"/>
      <c r="U346" s="308"/>
      <c r="V346" s="308"/>
      <c r="W346" s="308"/>
      <c r="X346" s="308"/>
      <c r="Y346" s="773">
        <f>Y345</f>
        <v>0</v>
      </c>
      <c r="Z346" s="773">
        <f t="shared" ref="Z346:AE346" si="584">Z345</f>
        <v>0</v>
      </c>
      <c r="AA346" s="773">
        <f t="shared" si="584"/>
        <v>0</v>
      </c>
      <c r="AB346" s="773">
        <f t="shared" si="584"/>
        <v>0</v>
      </c>
      <c r="AC346" s="773">
        <f t="shared" si="584"/>
        <v>0</v>
      </c>
      <c r="AD346" s="773">
        <f t="shared" si="584"/>
        <v>0</v>
      </c>
      <c r="AE346" s="773">
        <f t="shared" si="584"/>
        <v>0</v>
      </c>
      <c r="AF346" s="423">
        <f t="shared" ref="AF346" si="585">AF345</f>
        <v>0</v>
      </c>
      <c r="AG346" s="423">
        <f t="shared" ref="AG346" si="586">AG345</f>
        <v>0</v>
      </c>
      <c r="AH346" s="423">
        <f t="shared" ref="AH346" si="587">AH345</f>
        <v>0</v>
      </c>
      <c r="AI346" s="423">
        <f t="shared" ref="AI346" si="588">AI345</f>
        <v>0</v>
      </c>
      <c r="AJ346" s="423">
        <f t="shared" ref="AJ346" si="589">AJ345</f>
        <v>0</v>
      </c>
      <c r="AK346" s="423">
        <f t="shared" ref="AK346" si="590">AK345</f>
        <v>0</v>
      </c>
      <c r="AL346" s="423">
        <f t="shared" ref="AL346" si="591">AL345</f>
        <v>0</v>
      </c>
      <c r="AM346" s="319"/>
    </row>
    <row r="347" spans="1:39" ht="15" outlineLevel="1">
      <c r="B347" s="527"/>
      <c r="C347" s="304"/>
      <c r="D347" s="763"/>
      <c r="E347" s="763"/>
      <c r="F347" s="763"/>
      <c r="G347" s="763"/>
      <c r="H347" s="763"/>
      <c r="I347" s="763"/>
      <c r="J347" s="763"/>
      <c r="K347" s="763"/>
      <c r="L347" s="763"/>
      <c r="M347" s="763"/>
      <c r="N347" s="763"/>
      <c r="O347" s="763"/>
      <c r="P347" s="763"/>
      <c r="Q347" s="763"/>
      <c r="R347" s="763"/>
      <c r="S347" s="763"/>
      <c r="T347" s="763"/>
      <c r="U347" s="763"/>
      <c r="V347" s="763"/>
      <c r="W347" s="763"/>
      <c r="X347" s="763"/>
      <c r="Y347" s="774"/>
      <c r="Z347" s="793"/>
      <c r="AA347" s="793"/>
      <c r="AB347" s="793"/>
      <c r="AC347" s="793"/>
      <c r="AD347" s="793"/>
      <c r="AE347" s="793"/>
      <c r="AF347" s="435"/>
      <c r="AG347" s="435"/>
      <c r="AH347" s="435"/>
      <c r="AI347" s="435"/>
      <c r="AJ347" s="435"/>
      <c r="AK347" s="435"/>
      <c r="AL347" s="435"/>
      <c r="AM347" s="319"/>
    </row>
    <row r="348" spans="1:39" ht="30" outlineLevel="1">
      <c r="A348" s="529">
        <v>40</v>
      </c>
      <c r="B348" s="527" t="s">
        <v>132</v>
      </c>
      <c r="C348" s="304" t="s">
        <v>25</v>
      </c>
      <c r="D348" s="308"/>
      <c r="E348" s="308"/>
      <c r="F348" s="308"/>
      <c r="G348" s="308"/>
      <c r="H348" s="308"/>
      <c r="I348" s="308"/>
      <c r="J348" s="308"/>
      <c r="K348" s="308"/>
      <c r="L348" s="308"/>
      <c r="M348" s="308"/>
      <c r="N348" s="308">
        <v>12</v>
      </c>
      <c r="O348" s="308"/>
      <c r="P348" s="308"/>
      <c r="Q348" s="308"/>
      <c r="R348" s="308"/>
      <c r="S348" s="308"/>
      <c r="T348" s="308"/>
      <c r="U348" s="308"/>
      <c r="V348" s="308"/>
      <c r="W348" s="308"/>
      <c r="X348" s="308"/>
      <c r="Y348" s="789"/>
      <c r="Z348" s="772"/>
      <c r="AA348" s="772"/>
      <c r="AB348" s="772"/>
      <c r="AC348" s="772"/>
      <c r="AD348" s="772"/>
      <c r="AE348" s="772"/>
      <c r="AF348" s="422"/>
      <c r="AG348" s="427"/>
      <c r="AH348" s="427"/>
      <c r="AI348" s="427"/>
      <c r="AJ348" s="427"/>
      <c r="AK348" s="427"/>
      <c r="AL348" s="427"/>
      <c r="AM348" s="309">
        <f>SUM(Y348:AL348)</f>
        <v>0</v>
      </c>
    </row>
    <row r="349" spans="1:39" ht="15" outlineLevel="1">
      <c r="B349" s="307" t="s">
        <v>289</v>
      </c>
      <c r="C349" s="304" t="s">
        <v>163</v>
      </c>
      <c r="D349" s="308"/>
      <c r="E349" s="308"/>
      <c r="F349" s="308"/>
      <c r="G349" s="308"/>
      <c r="H349" s="308"/>
      <c r="I349" s="308"/>
      <c r="J349" s="308"/>
      <c r="K349" s="308"/>
      <c r="L349" s="308"/>
      <c r="M349" s="308"/>
      <c r="N349" s="308">
        <f>N348</f>
        <v>12</v>
      </c>
      <c r="O349" s="308"/>
      <c r="P349" s="308"/>
      <c r="Q349" s="308"/>
      <c r="R349" s="308"/>
      <c r="S349" s="308"/>
      <c r="T349" s="308"/>
      <c r="U349" s="308"/>
      <c r="V349" s="308"/>
      <c r="W349" s="308"/>
      <c r="X349" s="308"/>
      <c r="Y349" s="773">
        <f>Y348</f>
        <v>0</v>
      </c>
      <c r="Z349" s="773">
        <f t="shared" ref="Z349:AE349" si="592">Z348</f>
        <v>0</v>
      </c>
      <c r="AA349" s="773">
        <f t="shared" si="592"/>
        <v>0</v>
      </c>
      <c r="AB349" s="773">
        <f t="shared" si="592"/>
        <v>0</v>
      </c>
      <c r="AC349" s="773">
        <f t="shared" si="592"/>
        <v>0</v>
      </c>
      <c r="AD349" s="773">
        <f t="shared" si="592"/>
        <v>0</v>
      </c>
      <c r="AE349" s="773">
        <f t="shared" si="592"/>
        <v>0</v>
      </c>
      <c r="AF349" s="423">
        <f t="shared" ref="AF349" si="593">AF348</f>
        <v>0</v>
      </c>
      <c r="AG349" s="423">
        <f t="shared" ref="AG349" si="594">AG348</f>
        <v>0</v>
      </c>
      <c r="AH349" s="423">
        <f t="shared" ref="AH349" si="595">AH348</f>
        <v>0</v>
      </c>
      <c r="AI349" s="423">
        <f t="shared" ref="AI349" si="596">AI348</f>
        <v>0</v>
      </c>
      <c r="AJ349" s="423">
        <f t="shared" ref="AJ349" si="597">AJ348</f>
        <v>0</v>
      </c>
      <c r="AK349" s="423">
        <f t="shared" ref="AK349" si="598">AK348</f>
        <v>0</v>
      </c>
      <c r="AL349" s="423">
        <f t="shared" ref="AL349" si="599">AL348</f>
        <v>0</v>
      </c>
      <c r="AM349" s="319"/>
    </row>
    <row r="350" spans="1:39" ht="15" outlineLevel="1">
      <c r="B350" s="527"/>
      <c r="C350" s="304"/>
      <c r="D350" s="763"/>
      <c r="E350" s="763"/>
      <c r="F350" s="763"/>
      <c r="G350" s="763"/>
      <c r="H350" s="763"/>
      <c r="I350" s="763"/>
      <c r="J350" s="763"/>
      <c r="K350" s="763"/>
      <c r="L350" s="763"/>
      <c r="M350" s="763"/>
      <c r="N350" s="763"/>
      <c r="O350" s="763"/>
      <c r="P350" s="763"/>
      <c r="Q350" s="763"/>
      <c r="R350" s="763"/>
      <c r="S350" s="763"/>
      <c r="T350" s="763"/>
      <c r="U350" s="763"/>
      <c r="V350" s="763"/>
      <c r="W350" s="763"/>
      <c r="X350" s="763"/>
      <c r="Y350" s="774"/>
      <c r="Z350" s="793"/>
      <c r="AA350" s="793"/>
      <c r="AB350" s="793"/>
      <c r="AC350" s="793"/>
      <c r="AD350" s="793"/>
      <c r="AE350" s="793"/>
      <c r="AF350" s="435"/>
      <c r="AG350" s="435"/>
      <c r="AH350" s="435"/>
      <c r="AI350" s="435"/>
      <c r="AJ350" s="435"/>
      <c r="AK350" s="435"/>
      <c r="AL350" s="435"/>
      <c r="AM350" s="319"/>
    </row>
    <row r="351" spans="1:39" ht="45" outlineLevel="1">
      <c r="A351" s="529">
        <v>41</v>
      </c>
      <c r="B351" s="527" t="s">
        <v>133</v>
      </c>
      <c r="C351" s="304" t="s">
        <v>25</v>
      </c>
      <c r="D351" s="308"/>
      <c r="E351" s="308"/>
      <c r="F351" s="308"/>
      <c r="G351" s="308"/>
      <c r="H351" s="308"/>
      <c r="I351" s="308"/>
      <c r="J351" s="308"/>
      <c r="K351" s="308"/>
      <c r="L351" s="308"/>
      <c r="M351" s="308"/>
      <c r="N351" s="308">
        <v>12</v>
      </c>
      <c r="O351" s="308"/>
      <c r="P351" s="308"/>
      <c r="Q351" s="308"/>
      <c r="R351" s="308"/>
      <c r="S351" s="308"/>
      <c r="T351" s="308"/>
      <c r="U351" s="308"/>
      <c r="V351" s="308"/>
      <c r="W351" s="308"/>
      <c r="X351" s="308"/>
      <c r="Y351" s="789"/>
      <c r="Z351" s="772"/>
      <c r="AA351" s="772"/>
      <c r="AB351" s="772"/>
      <c r="AC351" s="772"/>
      <c r="AD351" s="772"/>
      <c r="AE351" s="772"/>
      <c r="AF351" s="422"/>
      <c r="AG351" s="427"/>
      <c r="AH351" s="427"/>
      <c r="AI351" s="427"/>
      <c r="AJ351" s="427"/>
      <c r="AK351" s="427"/>
      <c r="AL351" s="427"/>
      <c r="AM351" s="309">
        <f>SUM(Y351:AL351)</f>
        <v>0</v>
      </c>
    </row>
    <row r="352" spans="1:39" ht="15" outlineLevel="1">
      <c r="B352" s="307" t="s">
        <v>289</v>
      </c>
      <c r="C352" s="304" t="s">
        <v>163</v>
      </c>
      <c r="D352" s="308"/>
      <c r="E352" s="308"/>
      <c r="F352" s="308"/>
      <c r="G352" s="308"/>
      <c r="H352" s="308"/>
      <c r="I352" s="308"/>
      <c r="J352" s="308"/>
      <c r="K352" s="308"/>
      <c r="L352" s="308"/>
      <c r="M352" s="308"/>
      <c r="N352" s="308">
        <f>N351</f>
        <v>12</v>
      </c>
      <c r="O352" s="308"/>
      <c r="P352" s="308"/>
      <c r="Q352" s="308"/>
      <c r="R352" s="308"/>
      <c r="S352" s="308"/>
      <c r="T352" s="308"/>
      <c r="U352" s="308"/>
      <c r="V352" s="308"/>
      <c r="W352" s="308"/>
      <c r="X352" s="308"/>
      <c r="Y352" s="773">
        <f>Y351</f>
        <v>0</v>
      </c>
      <c r="Z352" s="773">
        <f t="shared" ref="Z352:AE352" si="600">Z351</f>
        <v>0</v>
      </c>
      <c r="AA352" s="773">
        <f t="shared" si="600"/>
        <v>0</v>
      </c>
      <c r="AB352" s="773">
        <f t="shared" si="600"/>
        <v>0</v>
      </c>
      <c r="AC352" s="773">
        <f t="shared" si="600"/>
        <v>0</v>
      </c>
      <c r="AD352" s="773">
        <f t="shared" si="600"/>
        <v>0</v>
      </c>
      <c r="AE352" s="773">
        <f t="shared" si="600"/>
        <v>0</v>
      </c>
      <c r="AF352" s="423">
        <f t="shared" ref="AF352" si="601">AF351</f>
        <v>0</v>
      </c>
      <c r="AG352" s="423">
        <f t="shared" ref="AG352" si="602">AG351</f>
        <v>0</v>
      </c>
      <c r="AH352" s="423">
        <f t="shared" ref="AH352" si="603">AH351</f>
        <v>0</v>
      </c>
      <c r="AI352" s="423">
        <f t="shared" ref="AI352" si="604">AI351</f>
        <v>0</v>
      </c>
      <c r="AJ352" s="423">
        <f t="shared" ref="AJ352" si="605">AJ351</f>
        <v>0</v>
      </c>
      <c r="AK352" s="423">
        <f t="shared" ref="AK352" si="606">AK351</f>
        <v>0</v>
      </c>
      <c r="AL352" s="423">
        <f t="shared" ref="AL352" si="607">AL351</f>
        <v>0</v>
      </c>
      <c r="AM352" s="319"/>
    </row>
    <row r="353" spans="1:39" ht="15" outlineLevel="1">
      <c r="B353" s="527"/>
      <c r="C353" s="304"/>
      <c r="D353" s="763"/>
      <c r="E353" s="763"/>
      <c r="F353" s="763"/>
      <c r="G353" s="763"/>
      <c r="H353" s="763"/>
      <c r="I353" s="763"/>
      <c r="J353" s="763"/>
      <c r="K353" s="763"/>
      <c r="L353" s="763"/>
      <c r="M353" s="763"/>
      <c r="N353" s="763"/>
      <c r="O353" s="763"/>
      <c r="P353" s="763"/>
      <c r="Q353" s="763"/>
      <c r="R353" s="763"/>
      <c r="S353" s="763"/>
      <c r="T353" s="763"/>
      <c r="U353" s="763"/>
      <c r="V353" s="763"/>
      <c r="W353" s="763"/>
      <c r="X353" s="763"/>
      <c r="Y353" s="774"/>
      <c r="Z353" s="793"/>
      <c r="AA353" s="793"/>
      <c r="AB353" s="793"/>
      <c r="AC353" s="793"/>
      <c r="AD353" s="793"/>
      <c r="AE353" s="793"/>
      <c r="AF353" s="435"/>
      <c r="AG353" s="435"/>
      <c r="AH353" s="435"/>
      <c r="AI353" s="435"/>
      <c r="AJ353" s="435"/>
      <c r="AK353" s="435"/>
      <c r="AL353" s="435"/>
      <c r="AM353" s="319"/>
    </row>
    <row r="354" spans="1:39" ht="30" outlineLevel="1">
      <c r="A354" s="529">
        <v>42</v>
      </c>
      <c r="B354" s="527" t="s">
        <v>134</v>
      </c>
      <c r="C354" s="304" t="s">
        <v>25</v>
      </c>
      <c r="D354" s="308"/>
      <c r="E354" s="308"/>
      <c r="F354" s="308"/>
      <c r="G354" s="308"/>
      <c r="H354" s="308"/>
      <c r="I354" s="308"/>
      <c r="J354" s="308"/>
      <c r="K354" s="308"/>
      <c r="L354" s="308"/>
      <c r="M354" s="308"/>
      <c r="N354" s="763"/>
      <c r="O354" s="308"/>
      <c r="P354" s="308"/>
      <c r="Q354" s="308"/>
      <c r="R354" s="308"/>
      <c r="S354" s="308"/>
      <c r="T354" s="308"/>
      <c r="U354" s="308"/>
      <c r="V354" s="308"/>
      <c r="W354" s="308"/>
      <c r="X354" s="308"/>
      <c r="Y354" s="789"/>
      <c r="Z354" s="772"/>
      <c r="AA354" s="772"/>
      <c r="AB354" s="772"/>
      <c r="AC354" s="772"/>
      <c r="AD354" s="772"/>
      <c r="AE354" s="772"/>
      <c r="AF354" s="422"/>
      <c r="AG354" s="427"/>
      <c r="AH354" s="427"/>
      <c r="AI354" s="427"/>
      <c r="AJ354" s="427"/>
      <c r="AK354" s="427"/>
      <c r="AL354" s="427"/>
      <c r="AM354" s="309">
        <f>SUM(Y354:AL354)</f>
        <v>0</v>
      </c>
    </row>
    <row r="355" spans="1:39" ht="15" outlineLevel="1">
      <c r="B355" s="307" t="s">
        <v>289</v>
      </c>
      <c r="C355" s="304" t="s">
        <v>163</v>
      </c>
      <c r="D355" s="308"/>
      <c r="E355" s="308"/>
      <c r="F355" s="308"/>
      <c r="G355" s="308"/>
      <c r="H355" s="308"/>
      <c r="I355" s="308"/>
      <c r="J355" s="308"/>
      <c r="K355" s="308"/>
      <c r="L355" s="308"/>
      <c r="M355" s="308"/>
      <c r="N355" s="764"/>
      <c r="O355" s="308"/>
      <c r="P355" s="308"/>
      <c r="Q355" s="308"/>
      <c r="R355" s="308"/>
      <c r="S355" s="308"/>
      <c r="T355" s="308"/>
      <c r="U355" s="308"/>
      <c r="V355" s="308"/>
      <c r="W355" s="308"/>
      <c r="X355" s="308"/>
      <c r="Y355" s="773">
        <f>Y354</f>
        <v>0</v>
      </c>
      <c r="Z355" s="773">
        <f t="shared" ref="Z355:AE355" si="608">Z354</f>
        <v>0</v>
      </c>
      <c r="AA355" s="773">
        <f t="shared" si="608"/>
        <v>0</v>
      </c>
      <c r="AB355" s="773">
        <f t="shared" si="608"/>
        <v>0</v>
      </c>
      <c r="AC355" s="773">
        <f t="shared" si="608"/>
        <v>0</v>
      </c>
      <c r="AD355" s="773">
        <f t="shared" si="608"/>
        <v>0</v>
      </c>
      <c r="AE355" s="773">
        <f t="shared" si="608"/>
        <v>0</v>
      </c>
      <c r="AF355" s="423">
        <f t="shared" ref="AF355" si="609">AF354</f>
        <v>0</v>
      </c>
      <c r="AG355" s="423">
        <f t="shared" ref="AG355" si="610">AG354</f>
        <v>0</v>
      </c>
      <c r="AH355" s="423">
        <f t="shared" ref="AH355" si="611">AH354</f>
        <v>0</v>
      </c>
      <c r="AI355" s="423">
        <f t="shared" ref="AI355" si="612">AI354</f>
        <v>0</v>
      </c>
      <c r="AJ355" s="423">
        <f t="shared" ref="AJ355" si="613">AJ354</f>
        <v>0</v>
      </c>
      <c r="AK355" s="423">
        <f t="shared" ref="AK355" si="614">AK354</f>
        <v>0</v>
      </c>
      <c r="AL355" s="423">
        <f t="shared" ref="AL355" si="615">AL354</f>
        <v>0</v>
      </c>
      <c r="AM355" s="319"/>
    </row>
    <row r="356" spans="1:39" ht="15" outlineLevel="1">
      <c r="B356" s="527"/>
      <c r="C356" s="304"/>
      <c r="D356" s="763"/>
      <c r="E356" s="763"/>
      <c r="F356" s="763"/>
      <c r="G356" s="763"/>
      <c r="H356" s="763"/>
      <c r="I356" s="763"/>
      <c r="J356" s="763"/>
      <c r="K356" s="763"/>
      <c r="L356" s="763"/>
      <c r="M356" s="763"/>
      <c r="N356" s="763"/>
      <c r="O356" s="763"/>
      <c r="P356" s="763"/>
      <c r="Q356" s="763"/>
      <c r="R356" s="763"/>
      <c r="S356" s="763"/>
      <c r="T356" s="763"/>
      <c r="U356" s="763"/>
      <c r="V356" s="763"/>
      <c r="W356" s="763"/>
      <c r="X356" s="763"/>
      <c r="Y356" s="774"/>
      <c r="Z356" s="793"/>
      <c r="AA356" s="793"/>
      <c r="AB356" s="793"/>
      <c r="AC356" s="793"/>
      <c r="AD356" s="793"/>
      <c r="AE356" s="793"/>
      <c r="AF356" s="435"/>
      <c r="AG356" s="435"/>
      <c r="AH356" s="435"/>
      <c r="AI356" s="435"/>
      <c r="AJ356" s="435"/>
      <c r="AK356" s="435"/>
      <c r="AL356" s="435"/>
      <c r="AM356" s="319"/>
    </row>
    <row r="357" spans="1:39" ht="15" outlineLevel="1">
      <c r="A357" s="529">
        <v>43</v>
      </c>
      <c r="B357" s="527" t="s">
        <v>135</v>
      </c>
      <c r="C357" s="304" t="s">
        <v>25</v>
      </c>
      <c r="D357" s="308"/>
      <c r="E357" s="308"/>
      <c r="F357" s="308"/>
      <c r="G357" s="308"/>
      <c r="H357" s="308"/>
      <c r="I357" s="308"/>
      <c r="J357" s="308"/>
      <c r="K357" s="308"/>
      <c r="L357" s="308"/>
      <c r="M357" s="308"/>
      <c r="N357" s="308">
        <v>12</v>
      </c>
      <c r="O357" s="308"/>
      <c r="P357" s="308"/>
      <c r="Q357" s="308"/>
      <c r="R357" s="308"/>
      <c r="S357" s="308"/>
      <c r="T357" s="308"/>
      <c r="U357" s="308"/>
      <c r="V357" s="308"/>
      <c r="W357" s="308"/>
      <c r="X357" s="308"/>
      <c r="Y357" s="789"/>
      <c r="Z357" s="772"/>
      <c r="AA357" s="772"/>
      <c r="AB357" s="772"/>
      <c r="AC357" s="772"/>
      <c r="AD357" s="772"/>
      <c r="AE357" s="772"/>
      <c r="AF357" s="422"/>
      <c r="AG357" s="427"/>
      <c r="AH357" s="427"/>
      <c r="AI357" s="427"/>
      <c r="AJ357" s="427"/>
      <c r="AK357" s="427"/>
      <c r="AL357" s="427"/>
      <c r="AM357" s="309">
        <f>SUM(Y357:AL357)</f>
        <v>0</v>
      </c>
    </row>
    <row r="358" spans="1:39" ht="15" outlineLevel="1">
      <c r="B358" s="307" t="s">
        <v>289</v>
      </c>
      <c r="C358" s="304" t="s">
        <v>163</v>
      </c>
      <c r="D358" s="308"/>
      <c r="E358" s="308"/>
      <c r="F358" s="308"/>
      <c r="G358" s="308"/>
      <c r="H358" s="308"/>
      <c r="I358" s="308"/>
      <c r="J358" s="308"/>
      <c r="K358" s="308"/>
      <c r="L358" s="308"/>
      <c r="M358" s="308"/>
      <c r="N358" s="308">
        <f>N357</f>
        <v>12</v>
      </c>
      <c r="O358" s="308"/>
      <c r="P358" s="308"/>
      <c r="Q358" s="308"/>
      <c r="R358" s="308"/>
      <c r="S358" s="308"/>
      <c r="T358" s="308"/>
      <c r="U358" s="308"/>
      <c r="V358" s="308"/>
      <c r="W358" s="308"/>
      <c r="X358" s="308"/>
      <c r="Y358" s="773">
        <f>Y357</f>
        <v>0</v>
      </c>
      <c r="Z358" s="773">
        <f t="shared" ref="Z358:AE358" si="616">Z357</f>
        <v>0</v>
      </c>
      <c r="AA358" s="773">
        <f t="shared" si="616"/>
        <v>0</v>
      </c>
      <c r="AB358" s="773">
        <f t="shared" si="616"/>
        <v>0</v>
      </c>
      <c r="AC358" s="773">
        <f t="shared" si="616"/>
        <v>0</v>
      </c>
      <c r="AD358" s="773">
        <f t="shared" si="616"/>
        <v>0</v>
      </c>
      <c r="AE358" s="773">
        <f t="shared" si="616"/>
        <v>0</v>
      </c>
      <c r="AF358" s="423">
        <f t="shared" ref="AF358" si="617">AF357</f>
        <v>0</v>
      </c>
      <c r="AG358" s="423">
        <f t="shared" ref="AG358" si="618">AG357</f>
        <v>0</v>
      </c>
      <c r="AH358" s="423">
        <f t="shared" ref="AH358" si="619">AH357</f>
        <v>0</v>
      </c>
      <c r="AI358" s="423">
        <f t="shared" ref="AI358" si="620">AI357</f>
        <v>0</v>
      </c>
      <c r="AJ358" s="423">
        <f t="shared" ref="AJ358" si="621">AJ357</f>
        <v>0</v>
      </c>
      <c r="AK358" s="423">
        <f t="shared" ref="AK358" si="622">AK357</f>
        <v>0</v>
      </c>
      <c r="AL358" s="423">
        <f t="shared" ref="AL358" si="623">AL357</f>
        <v>0</v>
      </c>
      <c r="AM358" s="319"/>
    </row>
    <row r="359" spans="1:39" ht="15" outlineLevel="1">
      <c r="B359" s="527"/>
      <c r="C359" s="304"/>
      <c r="D359" s="763"/>
      <c r="E359" s="763"/>
      <c r="F359" s="763"/>
      <c r="G359" s="763"/>
      <c r="H359" s="763"/>
      <c r="I359" s="763"/>
      <c r="J359" s="763"/>
      <c r="K359" s="763"/>
      <c r="L359" s="763"/>
      <c r="M359" s="763"/>
      <c r="N359" s="763"/>
      <c r="O359" s="763"/>
      <c r="P359" s="763"/>
      <c r="Q359" s="763"/>
      <c r="R359" s="763"/>
      <c r="S359" s="763"/>
      <c r="T359" s="763"/>
      <c r="U359" s="763"/>
      <c r="V359" s="763"/>
      <c r="W359" s="763"/>
      <c r="X359" s="763"/>
      <c r="Y359" s="774"/>
      <c r="Z359" s="793"/>
      <c r="AA359" s="793"/>
      <c r="AB359" s="793"/>
      <c r="AC359" s="793"/>
      <c r="AD359" s="793"/>
      <c r="AE359" s="793"/>
      <c r="AF359" s="435"/>
      <c r="AG359" s="435"/>
      <c r="AH359" s="435"/>
      <c r="AI359" s="435"/>
      <c r="AJ359" s="435"/>
      <c r="AK359" s="435"/>
      <c r="AL359" s="435"/>
      <c r="AM359" s="319"/>
    </row>
    <row r="360" spans="1:39" ht="45" outlineLevel="1">
      <c r="A360" s="529">
        <v>44</v>
      </c>
      <c r="B360" s="527" t="s">
        <v>136</v>
      </c>
      <c r="C360" s="304" t="s">
        <v>25</v>
      </c>
      <c r="D360" s="308"/>
      <c r="E360" s="308"/>
      <c r="F360" s="308"/>
      <c r="G360" s="308"/>
      <c r="H360" s="308"/>
      <c r="I360" s="308"/>
      <c r="J360" s="308"/>
      <c r="K360" s="308"/>
      <c r="L360" s="308"/>
      <c r="M360" s="308"/>
      <c r="N360" s="308">
        <v>12</v>
      </c>
      <c r="O360" s="308"/>
      <c r="P360" s="308"/>
      <c r="Q360" s="308"/>
      <c r="R360" s="308"/>
      <c r="S360" s="308"/>
      <c r="T360" s="308"/>
      <c r="U360" s="308"/>
      <c r="V360" s="308"/>
      <c r="W360" s="308"/>
      <c r="X360" s="308"/>
      <c r="Y360" s="789"/>
      <c r="Z360" s="772"/>
      <c r="AA360" s="772"/>
      <c r="AB360" s="772"/>
      <c r="AC360" s="772"/>
      <c r="AD360" s="772"/>
      <c r="AE360" s="772"/>
      <c r="AF360" s="422"/>
      <c r="AG360" s="427"/>
      <c r="AH360" s="427"/>
      <c r="AI360" s="427"/>
      <c r="AJ360" s="427"/>
      <c r="AK360" s="427"/>
      <c r="AL360" s="427"/>
      <c r="AM360" s="309">
        <f>SUM(Y360:AL360)</f>
        <v>0</v>
      </c>
    </row>
    <row r="361" spans="1:39" ht="15" outlineLevel="1">
      <c r="B361" s="307" t="s">
        <v>289</v>
      </c>
      <c r="C361" s="304" t="s">
        <v>163</v>
      </c>
      <c r="D361" s="308"/>
      <c r="E361" s="308"/>
      <c r="F361" s="308"/>
      <c r="G361" s="308"/>
      <c r="H361" s="308"/>
      <c r="I361" s="308"/>
      <c r="J361" s="308"/>
      <c r="K361" s="308"/>
      <c r="L361" s="308"/>
      <c r="M361" s="308"/>
      <c r="N361" s="308">
        <f>N360</f>
        <v>12</v>
      </c>
      <c r="O361" s="308"/>
      <c r="P361" s="308"/>
      <c r="Q361" s="308"/>
      <c r="R361" s="308"/>
      <c r="S361" s="308"/>
      <c r="T361" s="308"/>
      <c r="U361" s="308"/>
      <c r="V361" s="308"/>
      <c r="W361" s="308"/>
      <c r="X361" s="308"/>
      <c r="Y361" s="773">
        <f>Y360</f>
        <v>0</v>
      </c>
      <c r="Z361" s="773">
        <f t="shared" ref="Z361:AE361" si="624">Z360</f>
        <v>0</v>
      </c>
      <c r="AA361" s="773">
        <f t="shared" si="624"/>
        <v>0</v>
      </c>
      <c r="AB361" s="773">
        <f t="shared" si="624"/>
        <v>0</v>
      </c>
      <c r="AC361" s="773">
        <f t="shared" si="624"/>
        <v>0</v>
      </c>
      <c r="AD361" s="773">
        <f t="shared" si="624"/>
        <v>0</v>
      </c>
      <c r="AE361" s="773">
        <f t="shared" si="624"/>
        <v>0</v>
      </c>
      <c r="AF361" s="423">
        <f t="shared" ref="AF361" si="625">AF360</f>
        <v>0</v>
      </c>
      <c r="AG361" s="423">
        <f t="shared" ref="AG361" si="626">AG360</f>
        <v>0</v>
      </c>
      <c r="AH361" s="423">
        <f t="shared" ref="AH361" si="627">AH360</f>
        <v>0</v>
      </c>
      <c r="AI361" s="423">
        <f t="shared" ref="AI361" si="628">AI360</f>
        <v>0</v>
      </c>
      <c r="AJ361" s="423">
        <f t="shared" ref="AJ361" si="629">AJ360</f>
        <v>0</v>
      </c>
      <c r="AK361" s="423">
        <f t="shared" ref="AK361" si="630">AK360</f>
        <v>0</v>
      </c>
      <c r="AL361" s="423">
        <f t="shared" ref="AL361" si="631">AL360</f>
        <v>0</v>
      </c>
      <c r="AM361" s="319"/>
    </row>
    <row r="362" spans="1:39" ht="15" outlineLevel="1">
      <c r="B362" s="527"/>
      <c r="C362" s="304"/>
      <c r="D362" s="763"/>
      <c r="E362" s="763"/>
      <c r="F362" s="763"/>
      <c r="G362" s="763"/>
      <c r="H362" s="763"/>
      <c r="I362" s="763"/>
      <c r="J362" s="763"/>
      <c r="K362" s="763"/>
      <c r="L362" s="763"/>
      <c r="M362" s="763"/>
      <c r="N362" s="763"/>
      <c r="O362" s="763"/>
      <c r="P362" s="763"/>
      <c r="Q362" s="763"/>
      <c r="R362" s="763"/>
      <c r="S362" s="763"/>
      <c r="T362" s="763"/>
      <c r="U362" s="763"/>
      <c r="V362" s="763"/>
      <c r="W362" s="763"/>
      <c r="X362" s="763"/>
      <c r="Y362" s="774"/>
      <c r="Z362" s="793"/>
      <c r="AA362" s="793"/>
      <c r="AB362" s="793"/>
      <c r="AC362" s="793"/>
      <c r="AD362" s="793"/>
      <c r="AE362" s="793"/>
      <c r="AF362" s="435"/>
      <c r="AG362" s="435"/>
      <c r="AH362" s="435"/>
      <c r="AI362" s="435"/>
      <c r="AJ362" s="435"/>
      <c r="AK362" s="435"/>
      <c r="AL362" s="435"/>
      <c r="AM362" s="319"/>
    </row>
    <row r="363" spans="1:39" ht="30" outlineLevel="1">
      <c r="A363" s="529">
        <v>45</v>
      </c>
      <c r="B363" s="527" t="s">
        <v>137</v>
      </c>
      <c r="C363" s="304" t="s">
        <v>25</v>
      </c>
      <c r="D363" s="308"/>
      <c r="E363" s="308"/>
      <c r="F363" s="308"/>
      <c r="G363" s="308"/>
      <c r="H363" s="308"/>
      <c r="I363" s="308"/>
      <c r="J363" s="308"/>
      <c r="K363" s="308"/>
      <c r="L363" s="308"/>
      <c r="M363" s="308"/>
      <c r="N363" s="308">
        <v>12</v>
      </c>
      <c r="O363" s="308"/>
      <c r="P363" s="308"/>
      <c r="Q363" s="308"/>
      <c r="R363" s="308"/>
      <c r="S363" s="308"/>
      <c r="T363" s="308"/>
      <c r="U363" s="308"/>
      <c r="V363" s="308"/>
      <c r="W363" s="308"/>
      <c r="X363" s="308"/>
      <c r="Y363" s="789"/>
      <c r="Z363" s="772"/>
      <c r="AA363" s="772"/>
      <c r="AB363" s="772"/>
      <c r="AC363" s="772"/>
      <c r="AD363" s="772"/>
      <c r="AE363" s="772"/>
      <c r="AF363" s="422"/>
      <c r="AG363" s="427"/>
      <c r="AH363" s="427"/>
      <c r="AI363" s="427"/>
      <c r="AJ363" s="427"/>
      <c r="AK363" s="427"/>
      <c r="AL363" s="427"/>
      <c r="AM363" s="309">
        <f>SUM(Y363:AL363)</f>
        <v>0</v>
      </c>
    </row>
    <row r="364" spans="1:39" ht="15" outlineLevel="1">
      <c r="B364" s="307" t="s">
        <v>289</v>
      </c>
      <c r="C364" s="304" t="s">
        <v>163</v>
      </c>
      <c r="D364" s="308"/>
      <c r="E364" s="308"/>
      <c r="F364" s="308"/>
      <c r="G364" s="308"/>
      <c r="H364" s="308"/>
      <c r="I364" s="308"/>
      <c r="J364" s="308"/>
      <c r="K364" s="308"/>
      <c r="L364" s="308"/>
      <c r="M364" s="308"/>
      <c r="N364" s="308">
        <f>N363</f>
        <v>12</v>
      </c>
      <c r="O364" s="308"/>
      <c r="P364" s="308"/>
      <c r="Q364" s="308"/>
      <c r="R364" s="308"/>
      <c r="S364" s="308"/>
      <c r="T364" s="308"/>
      <c r="U364" s="308"/>
      <c r="V364" s="308"/>
      <c r="W364" s="308"/>
      <c r="X364" s="308"/>
      <c r="Y364" s="773">
        <f>Y363</f>
        <v>0</v>
      </c>
      <c r="Z364" s="773">
        <f t="shared" ref="Z364:AE364" si="632">Z363</f>
        <v>0</v>
      </c>
      <c r="AA364" s="773">
        <f t="shared" si="632"/>
        <v>0</v>
      </c>
      <c r="AB364" s="773">
        <f t="shared" si="632"/>
        <v>0</v>
      </c>
      <c r="AC364" s="773">
        <f t="shared" si="632"/>
        <v>0</v>
      </c>
      <c r="AD364" s="773">
        <f t="shared" si="632"/>
        <v>0</v>
      </c>
      <c r="AE364" s="773">
        <f t="shared" si="632"/>
        <v>0</v>
      </c>
      <c r="AF364" s="423">
        <f t="shared" ref="AF364" si="633">AF363</f>
        <v>0</v>
      </c>
      <c r="AG364" s="423">
        <f t="shared" ref="AG364" si="634">AG363</f>
        <v>0</v>
      </c>
      <c r="AH364" s="423">
        <f t="shared" ref="AH364" si="635">AH363</f>
        <v>0</v>
      </c>
      <c r="AI364" s="423">
        <f t="shared" ref="AI364" si="636">AI363</f>
        <v>0</v>
      </c>
      <c r="AJ364" s="423">
        <f t="shared" ref="AJ364" si="637">AJ363</f>
        <v>0</v>
      </c>
      <c r="AK364" s="423">
        <f t="shared" ref="AK364" si="638">AK363</f>
        <v>0</v>
      </c>
      <c r="AL364" s="423">
        <f t="shared" ref="AL364" si="639">AL363</f>
        <v>0</v>
      </c>
      <c r="AM364" s="319"/>
    </row>
    <row r="365" spans="1:39" ht="15" outlineLevel="1">
      <c r="B365" s="527"/>
      <c r="C365" s="304"/>
      <c r="D365" s="763"/>
      <c r="E365" s="763"/>
      <c r="F365" s="763"/>
      <c r="G365" s="763"/>
      <c r="H365" s="763"/>
      <c r="I365" s="763"/>
      <c r="J365" s="763"/>
      <c r="K365" s="763"/>
      <c r="L365" s="763"/>
      <c r="M365" s="763"/>
      <c r="N365" s="763"/>
      <c r="O365" s="763"/>
      <c r="P365" s="763"/>
      <c r="Q365" s="763"/>
      <c r="R365" s="763"/>
      <c r="S365" s="763"/>
      <c r="T365" s="763"/>
      <c r="U365" s="763"/>
      <c r="V365" s="763"/>
      <c r="W365" s="763"/>
      <c r="X365" s="763"/>
      <c r="Y365" s="774"/>
      <c r="Z365" s="793"/>
      <c r="AA365" s="793"/>
      <c r="AB365" s="793"/>
      <c r="AC365" s="793"/>
      <c r="AD365" s="793"/>
      <c r="AE365" s="793"/>
      <c r="AF365" s="435"/>
      <c r="AG365" s="435"/>
      <c r="AH365" s="435"/>
      <c r="AI365" s="435"/>
      <c r="AJ365" s="435"/>
      <c r="AK365" s="435"/>
      <c r="AL365" s="435"/>
      <c r="AM365" s="319"/>
    </row>
    <row r="366" spans="1:39" ht="30" outlineLevel="1">
      <c r="A366" s="529">
        <v>46</v>
      </c>
      <c r="B366" s="527" t="s">
        <v>138</v>
      </c>
      <c r="C366" s="304" t="s">
        <v>25</v>
      </c>
      <c r="D366" s="308"/>
      <c r="E366" s="308"/>
      <c r="F366" s="308"/>
      <c r="G366" s="308"/>
      <c r="H366" s="308"/>
      <c r="I366" s="308"/>
      <c r="J366" s="308"/>
      <c r="K366" s="308"/>
      <c r="L366" s="308"/>
      <c r="M366" s="308"/>
      <c r="N366" s="308">
        <v>12</v>
      </c>
      <c r="O366" s="308"/>
      <c r="P366" s="308"/>
      <c r="Q366" s="308"/>
      <c r="R366" s="308"/>
      <c r="S366" s="308"/>
      <c r="T366" s="308"/>
      <c r="U366" s="308"/>
      <c r="V366" s="308"/>
      <c r="W366" s="308"/>
      <c r="X366" s="308"/>
      <c r="Y366" s="789"/>
      <c r="Z366" s="772"/>
      <c r="AA366" s="772"/>
      <c r="AB366" s="772"/>
      <c r="AC366" s="772"/>
      <c r="AD366" s="772"/>
      <c r="AE366" s="772"/>
      <c r="AF366" s="422"/>
      <c r="AG366" s="427"/>
      <c r="AH366" s="427"/>
      <c r="AI366" s="427"/>
      <c r="AJ366" s="427"/>
      <c r="AK366" s="427"/>
      <c r="AL366" s="427"/>
      <c r="AM366" s="309">
        <f>SUM(Y366:AL366)</f>
        <v>0</v>
      </c>
    </row>
    <row r="367" spans="1:39" ht="15" outlineLevel="1">
      <c r="B367" s="307" t="s">
        <v>289</v>
      </c>
      <c r="C367" s="304" t="s">
        <v>163</v>
      </c>
      <c r="D367" s="308"/>
      <c r="E367" s="308"/>
      <c r="F367" s="308"/>
      <c r="G367" s="308"/>
      <c r="H367" s="308"/>
      <c r="I367" s="308"/>
      <c r="J367" s="308"/>
      <c r="K367" s="308"/>
      <c r="L367" s="308"/>
      <c r="M367" s="308"/>
      <c r="N367" s="308">
        <f>N366</f>
        <v>12</v>
      </c>
      <c r="O367" s="308"/>
      <c r="P367" s="308"/>
      <c r="Q367" s="308"/>
      <c r="R367" s="308"/>
      <c r="S367" s="308"/>
      <c r="T367" s="308"/>
      <c r="U367" s="308"/>
      <c r="V367" s="308"/>
      <c r="W367" s="308"/>
      <c r="X367" s="308"/>
      <c r="Y367" s="773">
        <f>Y366</f>
        <v>0</v>
      </c>
      <c r="Z367" s="773">
        <f t="shared" ref="Z367:AE367" si="640">Z366</f>
        <v>0</v>
      </c>
      <c r="AA367" s="773">
        <f t="shared" si="640"/>
        <v>0</v>
      </c>
      <c r="AB367" s="773">
        <f t="shared" si="640"/>
        <v>0</v>
      </c>
      <c r="AC367" s="773">
        <f t="shared" si="640"/>
        <v>0</v>
      </c>
      <c r="AD367" s="773">
        <f t="shared" si="640"/>
        <v>0</v>
      </c>
      <c r="AE367" s="773">
        <f t="shared" si="640"/>
        <v>0</v>
      </c>
      <c r="AF367" s="423">
        <f t="shared" ref="AF367" si="641">AF366</f>
        <v>0</v>
      </c>
      <c r="AG367" s="423">
        <f t="shared" ref="AG367" si="642">AG366</f>
        <v>0</v>
      </c>
      <c r="AH367" s="423">
        <f t="shared" ref="AH367" si="643">AH366</f>
        <v>0</v>
      </c>
      <c r="AI367" s="423">
        <f t="shared" ref="AI367" si="644">AI366</f>
        <v>0</v>
      </c>
      <c r="AJ367" s="423">
        <f t="shared" ref="AJ367" si="645">AJ366</f>
        <v>0</v>
      </c>
      <c r="AK367" s="423">
        <f t="shared" ref="AK367" si="646">AK366</f>
        <v>0</v>
      </c>
      <c r="AL367" s="423">
        <f t="shared" ref="AL367" si="647">AL366</f>
        <v>0</v>
      </c>
      <c r="AM367" s="319"/>
    </row>
    <row r="368" spans="1:39" ht="15" outlineLevel="1">
      <c r="B368" s="527"/>
      <c r="C368" s="304"/>
      <c r="D368" s="763"/>
      <c r="E368" s="763"/>
      <c r="F368" s="763"/>
      <c r="G368" s="763"/>
      <c r="H368" s="763"/>
      <c r="I368" s="763"/>
      <c r="J368" s="763"/>
      <c r="K368" s="763"/>
      <c r="L368" s="763"/>
      <c r="M368" s="763"/>
      <c r="N368" s="763"/>
      <c r="O368" s="763"/>
      <c r="P368" s="763"/>
      <c r="Q368" s="763"/>
      <c r="R368" s="763"/>
      <c r="S368" s="763"/>
      <c r="T368" s="763"/>
      <c r="U368" s="763"/>
      <c r="V368" s="763"/>
      <c r="W368" s="763"/>
      <c r="X368" s="763"/>
      <c r="Y368" s="774"/>
      <c r="Z368" s="793"/>
      <c r="AA368" s="793"/>
      <c r="AB368" s="793"/>
      <c r="AC368" s="793"/>
      <c r="AD368" s="793"/>
      <c r="AE368" s="793"/>
      <c r="AF368" s="435"/>
      <c r="AG368" s="435"/>
      <c r="AH368" s="435"/>
      <c r="AI368" s="435"/>
      <c r="AJ368" s="435"/>
      <c r="AK368" s="435"/>
      <c r="AL368" s="435"/>
      <c r="AM368" s="319"/>
    </row>
    <row r="369" spans="1:42" ht="30" outlineLevel="1">
      <c r="A369" s="529">
        <v>47</v>
      </c>
      <c r="B369" s="527" t="s">
        <v>139</v>
      </c>
      <c r="C369" s="304" t="s">
        <v>25</v>
      </c>
      <c r="D369" s="308"/>
      <c r="E369" s="308"/>
      <c r="F369" s="308"/>
      <c r="G369" s="308"/>
      <c r="H369" s="308"/>
      <c r="I369" s="308"/>
      <c r="J369" s="308"/>
      <c r="K369" s="308"/>
      <c r="L369" s="308"/>
      <c r="M369" s="308"/>
      <c r="N369" s="308">
        <v>12</v>
      </c>
      <c r="O369" s="308"/>
      <c r="P369" s="308"/>
      <c r="Q369" s="308"/>
      <c r="R369" s="308"/>
      <c r="S369" s="308"/>
      <c r="T369" s="308"/>
      <c r="U369" s="308"/>
      <c r="V369" s="308"/>
      <c r="W369" s="308"/>
      <c r="X369" s="308"/>
      <c r="Y369" s="789"/>
      <c r="Z369" s="772"/>
      <c r="AA369" s="772"/>
      <c r="AB369" s="772"/>
      <c r="AC369" s="772"/>
      <c r="AD369" s="772"/>
      <c r="AE369" s="772"/>
      <c r="AF369" s="422"/>
      <c r="AG369" s="427"/>
      <c r="AH369" s="427"/>
      <c r="AI369" s="427"/>
      <c r="AJ369" s="427"/>
      <c r="AK369" s="427"/>
      <c r="AL369" s="427"/>
      <c r="AM369" s="309">
        <f>SUM(Y369:AL369)</f>
        <v>0</v>
      </c>
    </row>
    <row r="370" spans="1:42" ht="15" outlineLevel="1">
      <c r="B370" s="307" t="s">
        <v>289</v>
      </c>
      <c r="C370" s="304" t="s">
        <v>163</v>
      </c>
      <c r="D370" s="308"/>
      <c r="E370" s="308"/>
      <c r="F370" s="308"/>
      <c r="G370" s="308"/>
      <c r="H370" s="308"/>
      <c r="I370" s="308"/>
      <c r="J370" s="308"/>
      <c r="K370" s="308"/>
      <c r="L370" s="308"/>
      <c r="M370" s="308"/>
      <c r="N370" s="308">
        <f>N369</f>
        <v>12</v>
      </c>
      <c r="O370" s="308"/>
      <c r="P370" s="308"/>
      <c r="Q370" s="308"/>
      <c r="R370" s="308"/>
      <c r="S370" s="308"/>
      <c r="T370" s="308"/>
      <c r="U370" s="308"/>
      <c r="V370" s="308"/>
      <c r="W370" s="308"/>
      <c r="X370" s="308"/>
      <c r="Y370" s="773">
        <f>Y369</f>
        <v>0</v>
      </c>
      <c r="Z370" s="773">
        <f t="shared" ref="Z370:AE370" si="648">Z369</f>
        <v>0</v>
      </c>
      <c r="AA370" s="773">
        <f t="shared" si="648"/>
        <v>0</v>
      </c>
      <c r="AB370" s="773">
        <f t="shared" si="648"/>
        <v>0</v>
      </c>
      <c r="AC370" s="773">
        <f t="shared" si="648"/>
        <v>0</v>
      </c>
      <c r="AD370" s="773">
        <f t="shared" si="648"/>
        <v>0</v>
      </c>
      <c r="AE370" s="773">
        <f t="shared" si="648"/>
        <v>0</v>
      </c>
      <c r="AF370" s="423">
        <f t="shared" ref="AF370" si="649">AF369</f>
        <v>0</v>
      </c>
      <c r="AG370" s="423">
        <f t="shared" ref="AG370" si="650">AG369</f>
        <v>0</v>
      </c>
      <c r="AH370" s="423">
        <f t="shared" ref="AH370" si="651">AH369</f>
        <v>0</v>
      </c>
      <c r="AI370" s="423">
        <f t="shared" ref="AI370" si="652">AI369</f>
        <v>0</v>
      </c>
      <c r="AJ370" s="423">
        <f t="shared" ref="AJ370" si="653">AJ369</f>
        <v>0</v>
      </c>
      <c r="AK370" s="423">
        <f t="shared" ref="AK370" si="654">AK369</f>
        <v>0</v>
      </c>
      <c r="AL370" s="423">
        <f t="shared" ref="AL370" si="655">AL369</f>
        <v>0</v>
      </c>
      <c r="AM370" s="319"/>
    </row>
    <row r="371" spans="1:42" ht="15" outlineLevel="1">
      <c r="B371" s="527"/>
      <c r="C371" s="304"/>
      <c r="D371" s="763"/>
      <c r="E371" s="763"/>
      <c r="F371" s="763"/>
      <c r="G371" s="763"/>
      <c r="H371" s="763"/>
      <c r="I371" s="763"/>
      <c r="J371" s="763"/>
      <c r="K371" s="763"/>
      <c r="L371" s="763"/>
      <c r="M371" s="763"/>
      <c r="N371" s="763"/>
      <c r="O371" s="763"/>
      <c r="P371" s="763"/>
      <c r="Q371" s="763"/>
      <c r="R371" s="763"/>
      <c r="S371" s="763"/>
      <c r="T371" s="763"/>
      <c r="U371" s="763"/>
      <c r="V371" s="763"/>
      <c r="W371" s="763"/>
      <c r="X371" s="763"/>
      <c r="Y371" s="774"/>
      <c r="Z371" s="793"/>
      <c r="AA371" s="793"/>
      <c r="AB371" s="793"/>
      <c r="AC371" s="793"/>
      <c r="AD371" s="793"/>
      <c r="AE371" s="793"/>
      <c r="AF371" s="435"/>
      <c r="AG371" s="435"/>
      <c r="AH371" s="435"/>
      <c r="AI371" s="435"/>
      <c r="AJ371" s="435"/>
      <c r="AK371" s="435"/>
      <c r="AL371" s="435"/>
      <c r="AM371" s="319"/>
    </row>
    <row r="372" spans="1:42" ht="30" outlineLevel="1">
      <c r="A372" s="529">
        <v>48</v>
      </c>
      <c r="B372" s="527" t="s">
        <v>140</v>
      </c>
      <c r="C372" s="304" t="s">
        <v>25</v>
      </c>
      <c r="D372" s="308"/>
      <c r="E372" s="308"/>
      <c r="F372" s="308"/>
      <c r="G372" s="308"/>
      <c r="H372" s="308"/>
      <c r="I372" s="308"/>
      <c r="J372" s="308"/>
      <c r="K372" s="308"/>
      <c r="L372" s="308"/>
      <c r="M372" s="308"/>
      <c r="N372" s="308">
        <v>12</v>
      </c>
      <c r="O372" s="308"/>
      <c r="P372" s="308"/>
      <c r="Q372" s="308"/>
      <c r="R372" s="308"/>
      <c r="S372" s="308"/>
      <c r="T372" s="308"/>
      <c r="U372" s="308"/>
      <c r="V372" s="308"/>
      <c r="W372" s="308"/>
      <c r="X372" s="308"/>
      <c r="Y372" s="789"/>
      <c r="Z372" s="772"/>
      <c r="AA372" s="772"/>
      <c r="AB372" s="772"/>
      <c r="AC372" s="772"/>
      <c r="AD372" s="772"/>
      <c r="AE372" s="772"/>
      <c r="AF372" s="422"/>
      <c r="AG372" s="427"/>
      <c r="AH372" s="427"/>
      <c r="AI372" s="427"/>
      <c r="AJ372" s="427"/>
      <c r="AK372" s="427"/>
      <c r="AL372" s="427"/>
      <c r="AM372" s="309">
        <f>SUM(Y372:AL372)</f>
        <v>0</v>
      </c>
    </row>
    <row r="373" spans="1:42" ht="15" outlineLevel="1">
      <c r="B373" s="307" t="s">
        <v>289</v>
      </c>
      <c r="C373" s="304" t="s">
        <v>163</v>
      </c>
      <c r="D373" s="308"/>
      <c r="E373" s="308"/>
      <c r="F373" s="308"/>
      <c r="G373" s="308"/>
      <c r="H373" s="308"/>
      <c r="I373" s="308"/>
      <c r="J373" s="308"/>
      <c r="K373" s="308"/>
      <c r="L373" s="308"/>
      <c r="M373" s="308"/>
      <c r="N373" s="308">
        <f>N372</f>
        <v>12</v>
      </c>
      <c r="O373" s="308"/>
      <c r="P373" s="308"/>
      <c r="Q373" s="308"/>
      <c r="R373" s="308"/>
      <c r="S373" s="308"/>
      <c r="T373" s="308"/>
      <c r="U373" s="308"/>
      <c r="V373" s="308"/>
      <c r="W373" s="308"/>
      <c r="X373" s="308"/>
      <c r="Y373" s="773">
        <f>Y372</f>
        <v>0</v>
      </c>
      <c r="Z373" s="773">
        <f t="shared" ref="Z373:AE373" si="656">Z372</f>
        <v>0</v>
      </c>
      <c r="AA373" s="773">
        <f t="shared" si="656"/>
        <v>0</v>
      </c>
      <c r="AB373" s="773">
        <f t="shared" si="656"/>
        <v>0</v>
      </c>
      <c r="AC373" s="773">
        <f t="shared" si="656"/>
        <v>0</v>
      </c>
      <c r="AD373" s="773">
        <f t="shared" si="656"/>
        <v>0</v>
      </c>
      <c r="AE373" s="773">
        <f t="shared" si="656"/>
        <v>0</v>
      </c>
      <c r="AF373" s="423">
        <f t="shared" ref="AF373" si="657">AF372</f>
        <v>0</v>
      </c>
      <c r="AG373" s="423">
        <f t="shared" ref="AG373" si="658">AG372</f>
        <v>0</v>
      </c>
      <c r="AH373" s="423">
        <f t="shared" ref="AH373" si="659">AH372</f>
        <v>0</v>
      </c>
      <c r="AI373" s="423">
        <f t="shared" ref="AI373" si="660">AI372</f>
        <v>0</v>
      </c>
      <c r="AJ373" s="423">
        <f t="shared" ref="AJ373" si="661">AJ372</f>
        <v>0</v>
      </c>
      <c r="AK373" s="423">
        <f t="shared" ref="AK373" si="662">AK372</f>
        <v>0</v>
      </c>
      <c r="AL373" s="423">
        <f t="shared" ref="AL373" si="663">AL372</f>
        <v>0</v>
      </c>
      <c r="AM373" s="319"/>
    </row>
    <row r="374" spans="1:42" ht="15" outlineLevel="1">
      <c r="B374" s="527"/>
      <c r="C374" s="304"/>
      <c r="D374" s="763"/>
      <c r="E374" s="763"/>
      <c r="F374" s="763"/>
      <c r="G374" s="763"/>
      <c r="H374" s="763"/>
      <c r="I374" s="763"/>
      <c r="J374" s="763"/>
      <c r="K374" s="763"/>
      <c r="L374" s="763"/>
      <c r="M374" s="763"/>
      <c r="N374" s="763"/>
      <c r="O374" s="763"/>
      <c r="P374" s="763"/>
      <c r="Q374" s="763"/>
      <c r="R374" s="763"/>
      <c r="S374" s="763"/>
      <c r="T374" s="763"/>
      <c r="U374" s="763"/>
      <c r="V374" s="763"/>
      <c r="W374" s="763"/>
      <c r="X374" s="763"/>
      <c r="Y374" s="774"/>
      <c r="Z374" s="793"/>
      <c r="AA374" s="793"/>
      <c r="AB374" s="793"/>
      <c r="AC374" s="793"/>
      <c r="AD374" s="793"/>
      <c r="AE374" s="793"/>
      <c r="AF374" s="435"/>
      <c r="AG374" s="435"/>
      <c r="AH374" s="435"/>
      <c r="AI374" s="435"/>
      <c r="AJ374" s="435"/>
      <c r="AK374" s="435"/>
      <c r="AL374" s="435"/>
      <c r="AM374" s="319"/>
    </row>
    <row r="375" spans="1:42" ht="30" outlineLevel="1">
      <c r="A375" s="529">
        <v>49</v>
      </c>
      <c r="B375" s="527" t="s">
        <v>141</v>
      </c>
      <c r="C375" s="304" t="s">
        <v>25</v>
      </c>
      <c r="D375" s="308"/>
      <c r="E375" s="308"/>
      <c r="F375" s="308"/>
      <c r="G375" s="308"/>
      <c r="H375" s="308"/>
      <c r="I375" s="308"/>
      <c r="J375" s="308"/>
      <c r="K375" s="308"/>
      <c r="L375" s="308"/>
      <c r="M375" s="308"/>
      <c r="N375" s="308">
        <v>12</v>
      </c>
      <c r="O375" s="308"/>
      <c r="P375" s="308"/>
      <c r="Q375" s="308"/>
      <c r="R375" s="308"/>
      <c r="S375" s="308"/>
      <c r="T375" s="308"/>
      <c r="U375" s="308"/>
      <c r="V375" s="308"/>
      <c r="W375" s="308"/>
      <c r="X375" s="308"/>
      <c r="Y375" s="789"/>
      <c r="Z375" s="772"/>
      <c r="AA375" s="772"/>
      <c r="AB375" s="772"/>
      <c r="AC375" s="772"/>
      <c r="AD375" s="772"/>
      <c r="AE375" s="772"/>
      <c r="AF375" s="422"/>
      <c r="AG375" s="427"/>
      <c r="AH375" s="427"/>
      <c r="AI375" s="427"/>
      <c r="AJ375" s="427"/>
      <c r="AK375" s="427"/>
      <c r="AL375" s="427"/>
      <c r="AM375" s="309">
        <f>SUM(Y375:AL375)</f>
        <v>0</v>
      </c>
    </row>
    <row r="376" spans="1:42" ht="15" outlineLevel="1">
      <c r="B376" s="307" t="s">
        <v>289</v>
      </c>
      <c r="C376" s="304" t="s">
        <v>163</v>
      </c>
      <c r="D376" s="308"/>
      <c r="E376" s="308"/>
      <c r="F376" s="308"/>
      <c r="G376" s="308"/>
      <c r="H376" s="308"/>
      <c r="I376" s="308"/>
      <c r="J376" s="308"/>
      <c r="K376" s="308"/>
      <c r="L376" s="308"/>
      <c r="M376" s="308"/>
      <c r="N376" s="308">
        <f>N375</f>
        <v>12</v>
      </c>
      <c r="O376" s="308"/>
      <c r="P376" s="308"/>
      <c r="Q376" s="308"/>
      <c r="R376" s="308"/>
      <c r="S376" s="308"/>
      <c r="T376" s="308"/>
      <c r="U376" s="308"/>
      <c r="V376" s="308"/>
      <c r="W376" s="308"/>
      <c r="X376" s="308"/>
      <c r="Y376" s="773">
        <f>Y375</f>
        <v>0</v>
      </c>
      <c r="Z376" s="773">
        <f t="shared" ref="Z376:AE376" si="664">Z375</f>
        <v>0</v>
      </c>
      <c r="AA376" s="773">
        <f t="shared" si="664"/>
        <v>0</v>
      </c>
      <c r="AB376" s="773">
        <f t="shared" si="664"/>
        <v>0</v>
      </c>
      <c r="AC376" s="773">
        <f t="shared" si="664"/>
        <v>0</v>
      </c>
      <c r="AD376" s="773">
        <f t="shared" si="664"/>
        <v>0</v>
      </c>
      <c r="AE376" s="773">
        <f t="shared" si="664"/>
        <v>0</v>
      </c>
      <c r="AF376" s="423">
        <f t="shared" ref="AF376" si="665">AF375</f>
        <v>0</v>
      </c>
      <c r="AG376" s="423">
        <f t="shared" ref="AG376" si="666">AG375</f>
        <v>0</v>
      </c>
      <c r="AH376" s="423">
        <f t="shared" ref="AH376" si="667">AH375</f>
        <v>0</v>
      </c>
      <c r="AI376" s="423">
        <f t="shared" ref="AI376" si="668">AI375</f>
        <v>0</v>
      </c>
      <c r="AJ376" s="423">
        <f t="shared" ref="AJ376" si="669">AJ375</f>
        <v>0</v>
      </c>
      <c r="AK376" s="423">
        <f t="shared" ref="AK376" si="670">AK375</f>
        <v>0</v>
      </c>
      <c r="AL376" s="423">
        <f t="shared" ref="AL376" si="671">AL375</f>
        <v>0</v>
      </c>
      <c r="AM376" s="319"/>
    </row>
    <row r="377" spans="1:42" ht="15" outlineLevel="1">
      <c r="B377" s="447"/>
      <c r="C377" s="318"/>
      <c r="D377" s="304"/>
      <c r="E377" s="304"/>
      <c r="F377" s="304"/>
      <c r="G377" s="304"/>
      <c r="H377" s="304"/>
      <c r="I377" s="304"/>
      <c r="J377" s="304"/>
      <c r="K377" s="304"/>
      <c r="L377" s="304"/>
      <c r="M377" s="304"/>
      <c r="N377" s="304"/>
      <c r="O377" s="304"/>
      <c r="P377" s="304"/>
      <c r="Q377" s="304"/>
      <c r="R377" s="304"/>
      <c r="S377" s="304"/>
      <c r="T377" s="304"/>
      <c r="U377" s="304"/>
      <c r="V377" s="304"/>
      <c r="W377" s="304"/>
      <c r="X377" s="304"/>
      <c r="Y377" s="314"/>
      <c r="Z377" s="314"/>
      <c r="AA377" s="314"/>
      <c r="AB377" s="314"/>
      <c r="AC377" s="314"/>
      <c r="AD377" s="314"/>
      <c r="AE377" s="314"/>
      <c r="AF377" s="314"/>
      <c r="AG377" s="314"/>
      <c r="AH377" s="314"/>
      <c r="AI377" s="314"/>
      <c r="AJ377" s="314"/>
      <c r="AK377" s="314"/>
      <c r="AL377" s="314"/>
      <c r="AM377" s="319"/>
    </row>
    <row r="378" spans="1:42" ht="15.6">
      <c r="B378" s="339" t="s">
        <v>274</v>
      </c>
      <c r="C378" s="341"/>
      <c r="D378" s="341">
        <f>SUM(D221:D376)</f>
        <v>5654334.6425871979</v>
      </c>
      <c r="E378" s="341"/>
      <c r="F378" s="341"/>
      <c r="G378" s="341"/>
      <c r="H378" s="341"/>
      <c r="I378" s="341"/>
      <c r="J378" s="341"/>
      <c r="K378" s="341"/>
      <c r="L378" s="341"/>
      <c r="M378" s="341"/>
      <c r="N378" s="341"/>
      <c r="O378" s="341">
        <f>SUM(O221:O376)</f>
        <v>406.0613172896758</v>
      </c>
      <c r="P378" s="341"/>
      <c r="Q378" s="341"/>
      <c r="R378" s="341"/>
      <c r="S378" s="341"/>
      <c r="T378" s="341"/>
      <c r="U378" s="341"/>
      <c r="V378" s="341"/>
      <c r="W378" s="341"/>
      <c r="X378" s="341"/>
      <c r="Y378" s="341">
        <f>IF(Y219="kWh",SUMPRODUCT(D221:D376,Y221:Y376))</f>
        <v>2595920</v>
      </c>
      <c r="Z378" s="341">
        <f>IF(Z219="kWh",SUMPRODUCT(D221:D376,Z221:Z376))</f>
        <v>384870.74915880442</v>
      </c>
      <c r="AA378" s="341">
        <f>IF(AA219="kw",SUMPRODUCT(N221:N376,O221:O376,AA221:AA376),SUMPRODUCT(D221:D376,AA221:AA376))</f>
        <v>119.83646307304659</v>
      </c>
      <c r="AB378" s="341">
        <f>IF(AB219="kw",SUMPRODUCT(N221:N376,O221:O376,AB221:AB376),SUMPRODUCT(D221:D376,AB221:AB376))</f>
        <v>601.87149265719472</v>
      </c>
      <c r="AC378" s="341">
        <f>IF(AC219="kw",SUMPRODUCT(N221:N376,O221:O376,AC221:AC376),SUMPRODUCT(D221:D376,AC221:AC376))</f>
        <v>0</v>
      </c>
      <c r="AD378" s="341">
        <f>IF(AD219="kw",SUMPRODUCT(N221:N376,O221:O376,AD221:AD376),SUMPRODUCT(D221:D376,AD221:AD376))</f>
        <v>0</v>
      </c>
      <c r="AE378" s="819">
        <f>-'8.  Streetlighting'!G62</f>
        <v>2057.6890559999997</v>
      </c>
      <c r="AF378" s="341">
        <f>IF(AF219="kw",SUMPRODUCT(N221:N376,O221:O376,AF221:AF376),SUMPRODUCT(D221:D376,AF221:AF376))</f>
        <v>0</v>
      </c>
      <c r="AG378" s="341">
        <f>IF(AG219="kw",SUMPRODUCT(N221:N376,O221:O376,AG221:AG376),SUMPRODUCT(D221:D376,AG221:AG376))</f>
        <v>0</v>
      </c>
      <c r="AH378" s="341">
        <f>IF(AH219="kw",SUMPRODUCT(N221:N376,O221:O376,AH221:AH376),SUMPRODUCT(D221:D376,AH221:AH376))</f>
        <v>0</v>
      </c>
      <c r="AI378" s="341">
        <f>IF(AI219="kw",SUMPRODUCT(N221:N376,O221:O376,AI221:AI376),SUMPRODUCT(D221:D376,AI221:AI376))</f>
        <v>0</v>
      </c>
      <c r="AJ378" s="341">
        <f>IF(AJ219="kw",SUMPRODUCT(N221:N376,O221:O376,AJ221:AJ376),SUMPRODUCT(D221:D376,AJ221:AJ376))</f>
        <v>0</v>
      </c>
      <c r="AK378" s="341">
        <f>IF(AK219="kw",SUMPRODUCT(N221:N376,O221:O376,AK221:AK376),SUMPRODUCT(D221:D376,AK221:AK376))</f>
        <v>0</v>
      </c>
      <c r="AL378" s="341">
        <f>IF(AL219="kw",SUMPRODUCT(N221:N376,O221:O376,AL221:AL376),SUMPRODUCT(D221:D376,AL221:AL376))</f>
        <v>0</v>
      </c>
      <c r="AM378" s="342"/>
    </row>
    <row r="379" spans="1:42" ht="15.6">
      <c r="B379" s="403" t="s">
        <v>275</v>
      </c>
      <c r="C379" s="404"/>
      <c r="D379" s="404"/>
      <c r="E379" s="404"/>
      <c r="F379" s="404"/>
      <c r="G379" s="404"/>
      <c r="H379" s="404"/>
      <c r="I379" s="404"/>
      <c r="J379" s="404"/>
      <c r="K379" s="404"/>
      <c r="L379" s="404"/>
      <c r="M379" s="404"/>
      <c r="N379" s="404"/>
      <c r="O379" s="404"/>
      <c r="P379" s="404"/>
      <c r="Q379" s="404"/>
      <c r="R379" s="404"/>
      <c r="S379" s="404"/>
      <c r="T379" s="404"/>
      <c r="U379" s="404"/>
      <c r="V379" s="404"/>
      <c r="W379" s="404"/>
      <c r="X379" s="404"/>
      <c r="Y379" s="404">
        <f>HLOOKUP(Y218,'2. LRAMVA Threshold'!$B$42:$Q$53,8,FALSE)</f>
        <v>691161</v>
      </c>
      <c r="Z379" s="404">
        <f>HLOOKUP(Z218,'2. LRAMVA Threshold'!$B$42:$Q$53,8,FALSE)</f>
        <v>74889</v>
      </c>
      <c r="AA379" s="404">
        <f>HLOOKUP(AA218,'2. LRAMVA Threshold'!$B$42:$Q$53,8,FALSE)</f>
        <v>3272</v>
      </c>
      <c r="AB379" s="404">
        <f>HLOOKUP(AB218,'2. LRAMVA Threshold'!$B$42:$Q$53,8,FALSE)</f>
        <v>2873</v>
      </c>
      <c r="AC379" s="404">
        <f>HLOOKUP(AC218,'2. LRAMVA Threshold'!$B$42:$Q$53,8,FALSE)</f>
        <v>0</v>
      </c>
      <c r="AD379" s="404">
        <f>HLOOKUP(AD218,'2. LRAMVA Threshold'!$B$42:$Q$53,8,FALSE)</f>
        <v>0</v>
      </c>
      <c r="AE379" s="404">
        <f>HLOOKUP(AE218,'2. LRAMVA Threshold'!$B$42:$Q$53,8,FALSE)</f>
        <v>3777</v>
      </c>
      <c r="AF379" s="404">
        <f>HLOOKUP(AF218,'2. LRAMVA Threshold'!$B$42:$Q$53,8,FALSE)</f>
        <v>0</v>
      </c>
      <c r="AG379" s="404">
        <f>HLOOKUP(AG218,'2. LRAMVA Threshold'!$B$42:$Q$53,8,FALSE)</f>
        <v>0</v>
      </c>
      <c r="AH379" s="404">
        <f>HLOOKUP(AH218,'2. LRAMVA Threshold'!$B$42:$Q$53,8,FALSE)</f>
        <v>0</v>
      </c>
      <c r="AI379" s="404">
        <f>HLOOKUP(AI218,'2. LRAMVA Threshold'!$B$42:$Q$53,8,FALSE)</f>
        <v>0</v>
      </c>
      <c r="AJ379" s="404">
        <f>HLOOKUP(AJ218,'2. LRAMVA Threshold'!$B$42:$Q$53,8,FALSE)</f>
        <v>0</v>
      </c>
      <c r="AK379" s="404">
        <f>HLOOKUP(AK218,'2. LRAMVA Threshold'!$B$42:$Q$53,8,FALSE)</f>
        <v>0</v>
      </c>
      <c r="AL379" s="404">
        <f>HLOOKUP(AL218,'2. LRAMVA Threshold'!$B$42:$Q$53,8,FALSE)</f>
        <v>0</v>
      </c>
      <c r="AM379" s="405"/>
    </row>
    <row r="380" spans="1:42" ht="15">
      <c r="B380" s="406"/>
      <c r="C380" s="442"/>
      <c r="D380" s="443"/>
      <c r="E380" s="443"/>
      <c r="F380" s="443"/>
      <c r="G380" s="443"/>
      <c r="H380" s="443"/>
      <c r="I380" s="443"/>
      <c r="J380" s="443"/>
      <c r="K380" s="443"/>
      <c r="L380" s="443"/>
      <c r="M380" s="443"/>
      <c r="N380" s="443"/>
      <c r="O380" s="444"/>
      <c r="P380" s="443"/>
      <c r="Q380" s="443"/>
      <c r="R380" s="443"/>
      <c r="S380" s="445"/>
      <c r="T380" s="445"/>
      <c r="U380" s="445"/>
      <c r="V380" s="445"/>
      <c r="W380" s="443"/>
      <c r="X380" s="443"/>
      <c r="Y380" s="446"/>
      <c r="Z380" s="446"/>
      <c r="AA380" s="446"/>
      <c r="AB380" s="446"/>
      <c r="AC380" s="446"/>
      <c r="AD380" s="446"/>
      <c r="AE380" s="446"/>
      <c r="AF380" s="411"/>
      <c r="AG380" s="411"/>
      <c r="AH380" s="411"/>
      <c r="AI380" s="411"/>
      <c r="AJ380" s="411"/>
      <c r="AK380" s="411"/>
      <c r="AL380" s="411"/>
      <c r="AM380" s="412"/>
    </row>
    <row r="381" spans="1:42" ht="15">
      <c r="B381" s="336" t="s">
        <v>276</v>
      </c>
      <c r="C381" s="350"/>
      <c r="D381" s="350"/>
      <c r="E381" s="388"/>
      <c r="F381" s="388"/>
      <c r="G381" s="388"/>
      <c r="H381" s="388"/>
      <c r="I381" s="388"/>
      <c r="J381" s="388"/>
      <c r="K381" s="388"/>
      <c r="L381" s="388"/>
      <c r="M381" s="388"/>
      <c r="N381" s="388"/>
      <c r="O381" s="304"/>
      <c r="P381" s="352"/>
      <c r="Q381" s="352"/>
      <c r="R381" s="352"/>
      <c r="S381" s="351"/>
      <c r="T381" s="351"/>
      <c r="U381" s="351"/>
      <c r="V381" s="351"/>
      <c r="W381" s="352"/>
      <c r="X381" s="352"/>
      <c r="Y381" s="353">
        <f>HLOOKUP(Y$35,'3.  Distribution Rates'!$C$122:$P$133,8,FALSE)</f>
        <v>1.0699999999999999E-2</v>
      </c>
      <c r="Z381" s="353">
        <f>HLOOKUP(Z$35,'3.  Distribution Rates'!$C$122:$P$133,8,FALSE)</f>
        <v>9.4000000000000004E-3</v>
      </c>
      <c r="AA381" s="353">
        <f>HLOOKUP(AA$35,'3.  Distribution Rates'!$C$122:$P$133,8,FALSE)</f>
        <v>3.6461000000000001</v>
      </c>
      <c r="AB381" s="353">
        <f>HLOOKUP(AB$35,'3.  Distribution Rates'!$C$122:$P$133,8,FALSE)</f>
        <v>3.2997000000000001</v>
      </c>
      <c r="AC381" s="353">
        <f>HLOOKUP(AC$35,'3.  Distribution Rates'!$C$122:$P$133,8,FALSE)</f>
        <v>5.0000000000000001E-3</v>
      </c>
      <c r="AD381" s="353">
        <f>HLOOKUP(AD$35,'3.  Distribution Rates'!$C$122:$P$133,8,FALSE)</f>
        <v>29.5989</v>
      </c>
      <c r="AE381" s="353">
        <f>HLOOKUP(AE$35,'3.  Distribution Rates'!$C$122:$P$133,8,FALSE)</f>
        <v>11.0238</v>
      </c>
      <c r="AF381" s="353">
        <f>HLOOKUP(AF$35,'3.  Distribution Rates'!$C$122:$P$133,8,FALSE)</f>
        <v>0</v>
      </c>
      <c r="AG381" s="353">
        <f>HLOOKUP(AG$35,'3.  Distribution Rates'!$C$122:$P$133,8,FALSE)</f>
        <v>0</v>
      </c>
      <c r="AH381" s="353">
        <f>HLOOKUP(AH$35,'3.  Distribution Rates'!$C$122:$P$133,8,FALSE)</f>
        <v>0</v>
      </c>
      <c r="AI381" s="353">
        <f>HLOOKUP(AI$35,'3.  Distribution Rates'!$C$122:$P$133,8,FALSE)</f>
        <v>0</v>
      </c>
      <c r="AJ381" s="353">
        <f>HLOOKUP(AJ$35,'3.  Distribution Rates'!$C$122:$P$133,8,FALSE)</f>
        <v>0</v>
      </c>
      <c r="AK381" s="353">
        <f>HLOOKUP(AK$35,'3.  Distribution Rates'!$C$122:$P$133,8,FALSE)</f>
        <v>0</v>
      </c>
      <c r="AL381" s="353">
        <f>HLOOKUP(AL$35,'3.  Distribution Rates'!$C$122:$P$133,8,FALSE)</f>
        <v>0</v>
      </c>
      <c r="AM381" s="389"/>
      <c r="AN381" s="353"/>
      <c r="AO381" s="353"/>
      <c r="AP381" s="353"/>
    </row>
    <row r="382" spans="1:42" ht="15">
      <c r="B382" s="336" t="s">
        <v>277</v>
      </c>
      <c r="C382" s="357"/>
      <c r="D382" s="322"/>
      <c r="E382" s="292"/>
      <c r="F382" s="292"/>
      <c r="G382" s="292"/>
      <c r="H382" s="292"/>
      <c r="I382" s="292"/>
      <c r="J382" s="292"/>
      <c r="K382" s="292"/>
      <c r="L382" s="292"/>
      <c r="M382" s="292"/>
      <c r="N382" s="292"/>
      <c r="O382" s="304"/>
      <c r="P382" s="292"/>
      <c r="Q382" s="292"/>
      <c r="R382" s="292"/>
      <c r="S382" s="322"/>
      <c r="T382" s="322"/>
      <c r="U382" s="322"/>
      <c r="V382" s="322"/>
      <c r="W382" s="292"/>
      <c r="X382" s="292"/>
      <c r="Y382" s="390">
        <f>'4.  2011-2014 LRAM'!Y139*Y381</f>
        <v>0</v>
      </c>
      <c r="Z382" s="390">
        <f>'4.  2011-2014 LRAM'!Z139*Z381</f>
        <v>0</v>
      </c>
      <c r="AA382" s="390">
        <f>'4.  2011-2014 LRAM'!AA139*AA381</f>
        <v>0</v>
      </c>
      <c r="AB382" s="390">
        <f>'4.  2011-2014 LRAM'!AB139*AB381</f>
        <v>0</v>
      </c>
      <c r="AC382" s="390">
        <f>'4.  2011-2014 LRAM'!AC139*AC381</f>
        <v>0</v>
      </c>
      <c r="AD382" s="390">
        <f>'4.  2011-2014 LRAM'!AD139*AD381</f>
        <v>0</v>
      </c>
      <c r="AE382" s="390">
        <f>'4.  2011-2014 LRAM'!AE139*AE381</f>
        <v>0</v>
      </c>
      <c r="AF382" s="390">
        <f>'4.  2011-2014 LRAM'!AF139*AF381</f>
        <v>0</v>
      </c>
      <c r="AG382" s="390">
        <f>'4.  2011-2014 LRAM'!AG139*AG381</f>
        <v>0</v>
      </c>
      <c r="AH382" s="390">
        <f>'4.  2011-2014 LRAM'!AH139*AH381</f>
        <v>0</v>
      </c>
      <c r="AI382" s="390">
        <f>'4.  2011-2014 LRAM'!AI139*AI381</f>
        <v>0</v>
      </c>
      <c r="AJ382" s="390">
        <f>'4.  2011-2014 LRAM'!AJ139*AJ381</f>
        <v>0</v>
      </c>
      <c r="AK382" s="390">
        <f>'4.  2011-2014 LRAM'!AK139*AK381</f>
        <v>0</v>
      </c>
      <c r="AL382" s="390">
        <f>'4.  2011-2014 LRAM'!AL139*AL381</f>
        <v>0</v>
      </c>
      <c r="AM382" s="635">
        <f>SUM(Y382:AL382)</f>
        <v>0</v>
      </c>
    </row>
    <row r="383" spans="1:42" ht="15">
      <c r="B383" s="336" t="s">
        <v>278</v>
      </c>
      <c r="C383" s="357"/>
      <c r="D383" s="322"/>
      <c r="E383" s="292"/>
      <c r="F383" s="292"/>
      <c r="G383" s="292"/>
      <c r="H383" s="292"/>
      <c r="I383" s="292"/>
      <c r="J383" s="292"/>
      <c r="K383" s="292"/>
      <c r="L383" s="292"/>
      <c r="M383" s="292"/>
      <c r="N383" s="292"/>
      <c r="O383" s="304"/>
      <c r="P383" s="292"/>
      <c r="Q383" s="292"/>
      <c r="R383" s="292"/>
      <c r="S383" s="322"/>
      <c r="T383" s="322"/>
      <c r="U383" s="322"/>
      <c r="V383" s="322"/>
      <c r="W383" s="292"/>
      <c r="X383" s="292"/>
      <c r="Y383" s="390">
        <f>'4.  2011-2014 LRAM'!Y268*Y381</f>
        <v>0</v>
      </c>
      <c r="Z383" s="390">
        <f>'4.  2011-2014 LRAM'!Z268*Z381</f>
        <v>0</v>
      </c>
      <c r="AA383" s="390">
        <f>'4.  2011-2014 LRAM'!AA268*AA381</f>
        <v>0</v>
      </c>
      <c r="AB383" s="390">
        <f>'4.  2011-2014 LRAM'!AB268*AB381</f>
        <v>0</v>
      </c>
      <c r="AC383" s="390">
        <f>'4.  2011-2014 LRAM'!AC268*AC381</f>
        <v>0</v>
      </c>
      <c r="AD383" s="390">
        <f>'4.  2011-2014 LRAM'!AD268*AD381</f>
        <v>0</v>
      </c>
      <c r="AE383" s="390">
        <f>'4.  2011-2014 LRAM'!AE268*AE381</f>
        <v>0</v>
      </c>
      <c r="AF383" s="390">
        <f>'4.  2011-2014 LRAM'!AF268*AF381</f>
        <v>0</v>
      </c>
      <c r="AG383" s="390">
        <f>'4.  2011-2014 LRAM'!AG268*AG381</f>
        <v>0</v>
      </c>
      <c r="AH383" s="390">
        <f>'4.  2011-2014 LRAM'!AH268*AH381</f>
        <v>0</v>
      </c>
      <c r="AI383" s="390">
        <f>'4.  2011-2014 LRAM'!AI268*AI381</f>
        <v>0</v>
      </c>
      <c r="AJ383" s="390">
        <f>'4.  2011-2014 LRAM'!AJ268*AJ381</f>
        <v>0</v>
      </c>
      <c r="AK383" s="390">
        <f>'4.  2011-2014 LRAM'!AK268*AK381</f>
        <v>0</v>
      </c>
      <c r="AL383" s="390">
        <f>'4.  2011-2014 LRAM'!AL268*AL381</f>
        <v>0</v>
      </c>
      <c r="AM383" s="635">
        <f>SUM(Y383:AL383)</f>
        <v>0</v>
      </c>
    </row>
    <row r="384" spans="1:42" ht="15">
      <c r="B384" s="336" t="s">
        <v>279</v>
      </c>
      <c r="C384" s="357"/>
      <c r="D384" s="322"/>
      <c r="E384" s="292"/>
      <c r="F384" s="292"/>
      <c r="G384" s="292"/>
      <c r="H384" s="292"/>
      <c r="I384" s="292"/>
      <c r="J384" s="292"/>
      <c r="K384" s="292"/>
      <c r="L384" s="292"/>
      <c r="M384" s="292"/>
      <c r="N384" s="292"/>
      <c r="O384" s="304"/>
      <c r="P384" s="292"/>
      <c r="Q384" s="292"/>
      <c r="R384" s="292"/>
      <c r="S384" s="322"/>
      <c r="T384" s="322"/>
      <c r="U384" s="322"/>
      <c r="V384" s="322"/>
      <c r="W384" s="292"/>
      <c r="X384" s="292"/>
      <c r="Y384" s="390">
        <f>'4.  2011-2014 LRAM'!Y397*Y381</f>
        <v>0</v>
      </c>
      <c r="Z384" s="390">
        <f>'4.  2011-2014 LRAM'!Z397*Z381</f>
        <v>0</v>
      </c>
      <c r="AA384" s="390">
        <f>'4.  2011-2014 LRAM'!AA397*AA381</f>
        <v>0</v>
      </c>
      <c r="AB384" s="390">
        <f>'4.  2011-2014 LRAM'!AB397*AB381</f>
        <v>0</v>
      </c>
      <c r="AC384" s="390">
        <f>'4.  2011-2014 LRAM'!AC397*AC381</f>
        <v>0</v>
      </c>
      <c r="AD384" s="390">
        <f>'4.  2011-2014 LRAM'!AD397*AD381</f>
        <v>0</v>
      </c>
      <c r="AE384" s="390">
        <f>'4.  2011-2014 LRAM'!AE397*AE381</f>
        <v>0</v>
      </c>
      <c r="AF384" s="390">
        <f>'4.  2011-2014 LRAM'!AF397*AF381</f>
        <v>0</v>
      </c>
      <c r="AG384" s="390">
        <f>'4.  2011-2014 LRAM'!AG397*AG381</f>
        <v>0</v>
      </c>
      <c r="AH384" s="390">
        <f>'4.  2011-2014 LRAM'!AH397*AH381</f>
        <v>0</v>
      </c>
      <c r="AI384" s="390">
        <f>'4.  2011-2014 LRAM'!AI397*AI381</f>
        <v>0</v>
      </c>
      <c r="AJ384" s="390">
        <f>'4.  2011-2014 LRAM'!AJ397*AJ381</f>
        <v>0</v>
      </c>
      <c r="AK384" s="390">
        <f>'4.  2011-2014 LRAM'!AK397*AK381</f>
        <v>0</v>
      </c>
      <c r="AL384" s="390">
        <f>'4.  2011-2014 LRAM'!AL397*AL381</f>
        <v>0</v>
      </c>
      <c r="AM384" s="635">
        <f>SUM(Y384:AL384)</f>
        <v>0</v>
      </c>
    </row>
    <row r="385" spans="2:39" ht="15">
      <c r="B385" s="336" t="s">
        <v>280</v>
      </c>
      <c r="C385" s="357"/>
      <c r="D385" s="322"/>
      <c r="E385" s="292"/>
      <c r="F385" s="292"/>
      <c r="G385" s="292"/>
      <c r="H385" s="292"/>
      <c r="I385" s="292"/>
      <c r="J385" s="292"/>
      <c r="K385" s="292"/>
      <c r="L385" s="292"/>
      <c r="M385" s="292"/>
      <c r="N385" s="292"/>
      <c r="O385" s="304"/>
      <c r="P385" s="292"/>
      <c r="Q385" s="292"/>
      <c r="R385" s="292"/>
      <c r="S385" s="322"/>
      <c r="T385" s="322"/>
      <c r="U385" s="322"/>
      <c r="V385" s="322"/>
      <c r="W385" s="292"/>
      <c r="X385" s="292"/>
      <c r="Y385" s="390">
        <f>'4.  2011-2014 LRAM'!Y527*Y381</f>
        <v>0</v>
      </c>
      <c r="Z385" s="390">
        <f>'4.  2011-2014 LRAM'!Z527*Z381</f>
        <v>0</v>
      </c>
      <c r="AA385" s="390">
        <f>'4.  2011-2014 LRAM'!AA527*AA381</f>
        <v>0</v>
      </c>
      <c r="AB385" s="390">
        <f>'4.  2011-2014 LRAM'!AB527*AB381</f>
        <v>0</v>
      </c>
      <c r="AC385" s="390">
        <f>'4.  2011-2014 LRAM'!AC527*AC381</f>
        <v>0</v>
      </c>
      <c r="AD385" s="390">
        <f>'4.  2011-2014 LRAM'!AD527*AD381</f>
        <v>0</v>
      </c>
      <c r="AE385" s="390">
        <f>'4.  2011-2014 LRAM'!AE527*AE381</f>
        <v>0</v>
      </c>
      <c r="AF385" s="390">
        <f>'4.  2011-2014 LRAM'!AF527*AF381</f>
        <v>0</v>
      </c>
      <c r="AG385" s="390">
        <f>'4.  2011-2014 LRAM'!AG527*AG381</f>
        <v>0</v>
      </c>
      <c r="AH385" s="390">
        <f>'4.  2011-2014 LRAM'!AH527*AH381</f>
        <v>0</v>
      </c>
      <c r="AI385" s="390">
        <f>'4.  2011-2014 LRAM'!AI527*AI381</f>
        <v>0</v>
      </c>
      <c r="AJ385" s="390">
        <f>'4.  2011-2014 LRAM'!AJ527*AJ381</f>
        <v>0</v>
      </c>
      <c r="AK385" s="390">
        <f>'4.  2011-2014 LRAM'!AK527*AK381</f>
        <v>0</v>
      </c>
      <c r="AL385" s="390">
        <f>'4.  2011-2014 LRAM'!AL527*AL381</f>
        <v>0</v>
      </c>
      <c r="AM385" s="635">
        <f t="shared" ref="AM385:AM387" si="672">SUM(Y385:AL385)</f>
        <v>0</v>
      </c>
    </row>
    <row r="386" spans="2:39" ht="15">
      <c r="B386" s="336" t="s">
        <v>281</v>
      </c>
      <c r="C386" s="357"/>
      <c r="D386" s="322"/>
      <c r="E386" s="292"/>
      <c r="F386" s="292"/>
      <c r="G386" s="292"/>
      <c r="H386" s="292"/>
      <c r="I386" s="292"/>
      <c r="J386" s="292"/>
      <c r="K386" s="292"/>
      <c r="L386" s="292"/>
      <c r="M386" s="292"/>
      <c r="N386" s="292"/>
      <c r="O386" s="304"/>
      <c r="P386" s="292"/>
      <c r="Q386" s="292"/>
      <c r="R386" s="292"/>
      <c r="S386" s="322"/>
      <c r="T386" s="322"/>
      <c r="U386" s="322"/>
      <c r="V386" s="322"/>
      <c r="W386" s="292"/>
      <c r="X386" s="292"/>
      <c r="Y386" s="390">
        <f t="shared" ref="Y386:AL386" si="673">Y208*Y381</f>
        <v>13020.498299999999</v>
      </c>
      <c r="Z386" s="390">
        <f t="shared" si="673"/>
        <v>14632.122579526922</v>
      </c>
      <c r="AA386" s="390">
        <f t="shared" si="673"/>
        <v>7910.419746633569</v>
      </c>
      <c r="AB386" s="390">
        <f t="shared" si="673"/>
        <v>7375.8213158507324</v>
      </c>
      <c r="AC386" s="390">
        <f t="shared" si="673"/>
        <v>0</v>
      </c>
      <c r="AD386" s="390">
        <f t="shared" si="673"/>
        <v>0</v>
      </c>
      <c r="AE386" s="390">
        <f t="shared" si="673"/>
        <v>4186.2884027616028</v>
      </c>
      <c r="AF386" s="390">
        <f t="shared" si="673"/>
        <v>0</v>
      </c>
      <c r="AG386" s="390">
        <f t="shared" si="673"/>
        <v>0</v>
      </c>
      <c r="AH386" s="390">
        <f t="shared" si="673"/>
        <v>0</v>
      </c>
      <c r="AI386" s="390">
        <f t="shared" si="673"/>
        <v>0</v>
      </c>
      <c r="AJ386" s="390">
        <f t="shared" si="673"/>
        <v>0</v>
      </c>
      <c r="AK386" s="390">
        <f t="shared" si="673"/>
        <v>0</v>
      </c>
      <c r="AL386" s="390">
        <f t="shared" si="673"/>
        <v>0</v>
      </c>
      <c r="AM386" s="635">
        <f t="shared" si="672"/>
        <v>47125.150344772825</v>
      </c>
    </row>
    <row r="387" spans="2:39" ht="15">
      <c r="B387" s="336" t="s">
        <v>290</v>
      </c>
      <c r="C387" s="357"/>
      <c r="D387" s="322"/>
      <c r="E387" s="292"/>
      <c r="F387" s="292"/>
      <c r="G387" s="292"/>
      <c r="H387" s="292"/>
      <c r="I387" s="292"/>
      <c r="J387" s="292"/>
      <c r="K387" s="292"/>
      <c r="L387" s="292"/>
      <c r="M387" s="292"/>
      <c r="N387" s="292"/>
      <c r="O387" s="304"/>
      <c r="P387" s="292"/>
      <c r="Q387" s="292"/>
      <c r="R387" s="292"/>
      <c r="S387" s="322"/>
      <c r="T387" s="322"/>
      <c r="U387" s="322"/>
      <c r="V387" s="322"/>
      <c r="W387" s="292"/>
      <c r="X387" s="292"/>
      <c r="Y387" s="390">
        <f>Y378*Y381</f>
        <v>27776.343999999997</v>
      </c>
      <c r="Z387" s="390">
        <f t="shared" ref="Z387:AL387" si="674">Z378*Z381</f>
        <v>3617.7850420927616</v>
      </c>
      <c r="AA387" s="390">
        <f t="shared" si="674"/>
        <v>436.93572801063516</v>
      </c>
      <c r="AB387" s="390">
        <f t="shared" si="674"/>
        <v>1985.9953643209456</v>
      </c>
      <c r="AC387" s="390">
        <f t="shared" si="674"/>
        <v>0</v>
      </c>
      <c r="AD387" s="390">
        <f t="shared" si="674"/>
        <v>0</v>
      </c>
      <c r="AE387" s="390">
        <f t="shared" si="674"/>
        <v>22683.552615532797</v>
      </c>
      <c r="AF387" s="390">
        <f t="shared" si="674"/>
        <v>0</v>
      </c>
      <c r="AG387" s="390">
        <f t="shared" si="674"/>
        <v>0</v>
      </c>
      <c r="AH387" s="390">
        <f t="shared" si="674"/>
        <v>0</v>
      </c>
      <c r="AI387" s="390">
        <f t="shared" si="674"/>
        <v>0</v>
      </c>
      <c r="AJ387" s="390">
        <f t="shared" si="674"/>
        <v>0</v>
      </c>
      <c r="AK387" s="390">
        <f t="shared" si="674"/>
        <v>0</v>
      </c>
      <c r="AL387" s="390">
        <f t="shared" si="674"/>
        <v>0</v>
      </c>
      <c r="AM387" s="635">
        <f t="shared" si="672"/>
        <v>56500.612749957138</v>
      </c>
    </row>
    <row r="388" spans="2:39" ht="15.6">
      <c r="B388" s="361" t="s">
        <v>282</v>
      </c>
      <c r="C388" s="357"/>
      <c r="D388" s="348"/>
      <c r="E388" s="346"/>
      <c r="F388" s="346"/>
      <c r="G388" s="346"/>
      <c r="H388" s="346"/>
      <c r="I388" s="346"/>
      <c r="J388" s="346"/>
      <c r="K388" s="346"/>
      <c r="L388" s="346"/>
      <c r="M388" s="346"/>
      <c r="N388" s="346"/>
      <c r="O388" s="313"/>
      <c r="P388" s="346"/>
      <c r="Q388" s="346"/>
      <c r="R388" s="346"/>
      <c r="S388" s="348"/>
      <c r="T388" s="348"/>
      <c r="U388" s="348"/>
      <c r="V388" s="348"/>
      <c r="W388" s="346"/>
      <c r="X388" s="346"/>
      <c r="Y388" s="358">
        <f>SUM(Y382:Y387)</f>
        <v>40796.842299999997</v>
      </c>
      <c r="Z388" s="358">
        <f t="shared" ref="Z388:AE388" si="675">SUM(Z382:Z387)</f>
        <v>18249.907621619685</v>
      </c>
      <c r="AA388" s="358">
        <f t="shared" si="675"/>
        <v>8347.3554746442042</v>
      </c>
      <c r="AB388" s="358">
        <f t="shared" si="675"/>
        <v>9361.8166801716779</v>
      </c>
      <c r="AC388" s="358">
        <f t="shared" si="675"/>
        <v>0</v>
      </c>
      <c r="AD388" s="358">
        <f t="shared" si="675"/>
        <v>0</v>
      </c>
      <c r="AE388" s="358">
        <f t="shared" si="675"/>
        <v>26869.841018294399</v>
      </c>
      <c r="AF388" s="358">
        <f>SUM(AF382:AF387)</f>
        <v>0</v>
      </c>
      <c r="AG388" s="358">
        <f t="shared" ref="AG388:AL388" si="676">SUM(AG382:AG387)</f>
        <v>0</v>
      </c>
      <c r="AH388" s="358">
        <f t="shared" si="676"/>
        <v>0</v>
      </c>
      <c r="AI388" s="358">
        <f t="shared" si="676"/>
        <v>0</v>
      </c>
      <c r="AJ388" s="358">
        <f t="shared" si="676"/>
        <v>0</v>
      </c>
      <c r="AK388" s="358">
        <f t="shared" si="676"/>
        <v>0</v>
      </c>
      <c r="AL388" s="358">
        <f t="shared" si="676"/>
        <v>0</v>
      </c>
      <c r="AM388" s="419">
        <f>SUM(AM382:AM387)</f>
        <v>103625.76309472996</v>
      </c>
    </row>
    <row r="389" spans="2:39" ht="15.6">
      <c r="B389" s="361" t="s">
        <v>283</v>
      </c>
      <c r="C389" s="357"/>
      <c r="D389" s="362"/>
      <c r="E389" s="346"/>
      <c r="F389" s="346"/>
      <c r="G389" s="346"/>
      <c r="H389" s="346"/>
      <c r="I389" s="346"/>
      <c r="J389" s="346"/>
      <c r="K389" s="346"/>
      <c r="L389" s="346"/>
      <c r="M389" s="346"/>
      <c r="N389" s="346"/>
      <c r="O389" s="313"/>
      <c r="P389" s="346"/>
      <c r="Q389" s="346"/>
      <c r="R389" s="346"/>
      <c r="S389" s="348"/>
      <c r="T389" s="348"/>
      <c r="U389" s="348"/>
      <c r="V389" s="348"/>
      <c r="W389" s="346"/>
      <c r="X389" s="346"/>
      <c r="Y389" s="359">
        <f>Y379*Y381</f>
        <v>7395.4226999999992</v>
      </c>
      <c r="Z389" s="359">
        <f t="shared" ref="Z389:AE389" si="677">Z379*Z381</f>
        <v>703.95659999999998</v>
      </c>
      <c r="AA389" s="359">
        <f t="shared" si="677"/>
        <v>11930.039200000001</v>
      </c>
      <c r="AB389" s="359">
        <f t="shared" si="677"/>
        <v>9480.0380999999998</v>
      </c>
      <c r="AC389" s="359">
        <f t="shared" si="677"/>
        <v>0</v>
      </c>
      <c r="AD389" s="359">
        <f t="shared" si="677"/>
        <v>0</v>
      </c>
      <c r="AE389" s="359">
        <f t="shared" si="677"/>
        <v>41636.892599999999</v>
      </c>
      <c r="AF389" s="359">
        <f>AF379*AF381</f>
        <v>0</v>
      </c>
      <c r="AG389" s="359">
        <f t="shared" ref="AG389:AL389" si="678">AG379*AG381</f>
        <v>0</v>
      </c>
      <c r="AH389" s="359">
        <f t="shared" si="678"/>
        <v>0</v>
      </c>
      <c r="AI389" s="359">
        <f t="shared" si="678"/>
        <v>0</v>
      </c>
      <c r="AJ389" s="359">
        <f t="shared" si="678"/>
        <v>0</v>
      </c>
      <c r="AK389" s="359">
        <f t="shared" si="678"/>
        <v>0</v>
      </c>
      <c r="AL389" s="359">
        <f t="shared" si="678"/>
        <v>0</v>
      </c>
      <c r="AM389" s="419">
        <f>SUM(Y389:AL389)</f>
        <v>71146.349199999997</v>
      </c>
    </row>
    <row r="390" spans="2:39" ht="15.6">
      <c r="B390" s="361" t="s">
        <v>284</v>
      </c>
      <c r="C390" s="357"/>
      <c r="D390" s="362"/>
      <c r="E390" s="346"/>
      <c r="F390" s="346"/>
      <c r="G390" s="346"/>
      <c r="H390" s="346"/>
      <c r="I390" s="346"/>
      <c r="J390" s="346"/>
      <c r="K390" s="346"/>
      <c r="L390" s="346"/>
      <c r="M390" s="346"/>
      <c r="N390" s="346"/>
      <c r="O390" s="313"/>
      <c r="P390" s="346"/>
      <c r="Q390" s="346"/>
      <c r="R390" s="346"/>
      <c r="S390" s="362"/>
      <c r="T390" s="362"/>
      <c r="U390" s="362"/>
      <c r="V390" s="362"/>
      <c r="W390" s="346"/>
      <c r="X390" s="346"/>
      <c r="Y390" s="363"/>
      <c r="Z390" s="363"/>
      <c r="AA390" s="363"/>
      <c r="AB390" s="363"/>
      <c r="AC390" s="363"/>
      <c r="AD390" s="363"/>
      <c r="AE390" s="363"/>
      <c r="AF390" s="363"/>
      <c r="AG390" s="363"/>
      <c r="AH390" s="363"/>
      <c r="AI390" s="363"/>
      <c r="AJ390" s="363"/>
      <c r="AK390" s="363"/>
      <c r="AL390" s="363"/>
      <c r="AM390" s="419">
        <f>AM388-AM389</f>
        <v>32479.413894729965</v>
      </c>
    </row>
    <row r="391" spans="2:39" ht="15">
      <c r="B391" s="336"/>
      <c r="C391" s="362"/>
      <c r="D391" s="362"/>
      <c r="E391" s="346"/>
      <c r="F391" s="346"/>
      <c r="G391" s="346"/>
      <c r="H391" s="346"/>
      <c r="I391" s="346"/>
      <c r="J391" s="346"/>
      <c r="K391" s="346"/>
      <c r="L391" s="346"/>
      <c r="M391" s="346"/>
      <c r="N391" s="346"/>
      <c r="O391" s="313"/>
      <c r="P391" s="346"/>
      <c r="Q391" s="346"/>
      <c r="R391" s="346"/>
      <c r="S391" s="362"/>
      <c r="T391" s="357"/>
      <c r="U391" s="362"/>
      <c r="V391" s="362"/>
      <c r="W391" s="346"/>
      <c r="X391" s="346"/>
      <c r="Y391" s="364"/>
      <c r="Z391" s="364"/>
      <c r="AA391" s="364"/>
      <c r="AB391" s="364"/>
      <c r="AC391" s="364"/>
      <c r="AD391" s="364"/>
      <c r="AE391" s="364"/>
      <c r="AF391" s="364"/>
      <c r="AG391" s="364"/>
      <c r="AH391" s="364"/>
      <c r="AI391" s="364"/>
      <c r="AJ391" s="364"/>
      <c r="AK391" s="364"/>
      <c r="AL391" s="364"/>
      <c r="AM391" s="360"/>
    </row>
    <row r="392" spans="2:39" ht="15">
      <c r="B392" s="449" t="s">
        <v>285</v>
      </c>
      <c r="C392" s="317"/>
      <c r="D392" s="292"/>
      <c r="E392" s="292"/>
      <c r="F392" s="292"/>
      <c r="G392" s="292"/>
      <c r="H392" s="292"/>
      <c r="I392" s="292"/>
      <c r="J392" s="292"/>
      <c r="K392" s="292"/>
      <c r="L392" s="292"/>
      <c r="M392" s="292"/>
      <c r="N392" s="292"/>
      <c r="O392" s="369"/>
      <c r="P392" s="292"/>
      <c r="Q392" s="292"/>
      <c r="R392" s="292"/>
      <c r="S392" s="317"/>
      <c r="T392" s="322"/>
      <c r="U392" s="322"/>
      <c r="V392" s="292"/>
      <c r="W392" s="292"/>
      <c r="X392" s="322"/>
      <c r="Y392" s="304">
        <f>SUMPRODUCT(E221:E376,Y221:Y376)</f>
        <v>2595920</v>
      </c>
      <c r="Z392" s="304">
        <f>SUMPRODUCT(E221:E376,Z221:Z376)</f>
        <v>307311.14277480508</v>
      </c>
      <c r="AA392" s="304">
        <f t="shared" ref="AA392:AL392" si="679">IF(AA219="kw",SUMPRODUCT($N$221:$N$376,$P$221:$P$376,AA221:AA376),SUMPRODUCT($E$221:$E$376,AA221:AA376))</f>
        <v>54.427339726203272</v>
      </c>
      <c r="AB392" s="304">
        <f t="shared" si="679"/>
        <v>273.35806950846268</v>
      </c>
      <c r="AC392" s="304">
        <f t="shared" si="679"/>
        <v>0</v>
      </c>
      <c r="AD392" s="304">
        <f t="shared" si="679"/>
        <v>0</v>
      </c>
      <c r="AE392" s="820">
        <f>'8.  Streetlighting'!G63</f>
        <v>3573.9218879999999</v>
      </c>
      <c r="AF392" s="304">
        <f t="shared" si="679"/>
        <v>0</v>
      </c>
      <c r="AG392" s="304">
        <f t="shared" si="679"/>
        <v>0</v>
      </c>
      <c r="AH392" s="304">
        <f t="shared" si="679"/>
        <v>0</v>
      </c>
      <c r="AI392" s="304">
        <f t="shared" si="679"/>
        <v>0</v>
      </c>
      <c r="AJ392" s="304">
        <f t="shared" si="679"/>
        <v>0</v>
      </c>
      <c r="AK392" s="304">
        <f t="shared" si="679"/>
        <v>0</v>
      </c>
      <c r="AL392" s="304">
        <f t="shared" si="679"/>
        <v>0</v>
      </c>
      <c r="AM392" s="360"/>
    </row>
    <row r="393" spans="2:39" ht="15">
      <c r="B393" s="449" t="s">
        <v>286</v>
      </c>
      <c r="C393" s="317"/>
      <c r="D393" s="292"/>
      <c r="E393" s="292"/>
      <c r="F393" s="292"/>
      <c r="G393" s="292"/>
      <c r="H393" s="292"/>
      <c r="I393" s="292"/>
      <c r="J393" s="292"/>
      <c r="K393" s="292"/>
      <c r="L393" s="292"/>
      <c r="M393" s="292"/>
      <c r="N393" s="292"/>
      <c r="O393" s="369"/>
      <c r="P393" s="292"/>
      <c r="Q393" s="292"/>
      <c r="R393" s="292"/>
      <c r="S393" s="317"/>
      <c r="T393" s="322"/>
      <c r="U393" s="322"/>
      <c r="V393" s="292"/>
      <c r="W393" s="292"/>
      <c r="X393" s="322"/>
      <c r="Y393" s="304">
        <f>SUMPRODUCT(F221:F376,Y221:Y376)</f>
        <v>2595920</v>
      </c>
      <c r="Z393" s="304">
        <f>SUMPRODUCT(F221:F376,Z221:Z376)</f>
        <v>307311.14277480508</v>
      </c>
      <c r="AA393" s="304">
        <f t="shared" ref="AA393:AL393" si="680">IF(AA219="kw",SUMPRODUCT($N$221:$N$376,$Q$221:$Q$376,AA221:AA376),SUMPRODUCT($F$221:$F$376,AA221:AA376))</f>
        <v>54.427339726203272</v>
      </c>
      <c r="AB393" s="304">
        <f t="shared" si="680"/>
        <v>273.35806950846268</v>
      </c>
      <c r="AC393" s="304">
        <f t="shared" si="680"/>
        <v>0</v>
      </c>
      <c r="AD393" s="304">
        <f t="shared" si="680"/>
        <v>0</v>
      </c>
      <c r="AE393" s="820">
        <f>'8.  Streetlighting'!G64</f>
        <v>3573.9218879999999</v>
      </c>
      <c r="AF393" s="304">
        <f t="shared" si="680"/>
        <v>0</v>
      </c>
      <c r="AG393" s="304">
        <f t="shared" si="680"/>
        <v>0</v>
      </c>
      <c r="AH393" s="304">
        <f t="shared" si="680"/>
        <v>0</v>
      </c>
      <c r="AI393" s="304">
        <f t="shared" si="680"/>
        <v>0</v>
      </c>
      <c r="AJ393" s="304">
        <f t="shared" si="680"/>
        <v>0</v>
      </c>
      <c r="AK393" s="304">
        <f t="shared" si="680"/>
        <v>0</v>
      </c>
      <c r="AL393" s="304">
        <f t="shared" si="680"/>
        <v>0</v>
      </c>
      <c r="AM393" s="349"/>
    </row>
    <row r="394" spans="2:39" ht="15">
      <c r="B394" s="449" t="s">
        <v>287</v>
      </c>
      <c r="C394" s="317"/>
      <c r="D394" s="292"/>
      <c r="E394" s="292"/>
      <c r="F394" s="292"/>
      <c r="G394" s="292"/>
      <c r="H394" s="292"/>
      <c r="I394" s="292"/>
      <c r="J394" s="292"/>
      <c r="K394" s="292"/>
      <c r="L394" s="292"/>
      <c r="M394" s="292"/>
      <c r="N394" s="292"/>
      <c r="O394" s="369"/>
      <c r="P394" s="292"/>
      <c r="Q394" s="292"/>
      <c r="R394" s="292"/>
      <c r="S394" s="317"/>
      <c r="T394" s="322"/>
      <c r="U394" s="322"/>
      <c r="V394" s="292"/>
      <c r="W394" s="292"/>
      <c r="X394" s="322"/>
      <c r="Y394" s="304">
        <f>SUMPRODUCT(G221:G376,Y221:Y376)</f>
        <v>2595920</v>
      </c>
      <c r="Z394" s="304">
        <f>SUMPRODUCT(G221:G376,Z221:Z376)</f>
        <v>307311.14277480508</v>
      </c>
      <c r="AA394" s="304">
        <f t="shared" ref="AA394:AL394" si="681">IF(AA219="kw",SUMPRODUCT($N$221:$N$376,$R$221:$R$376,AA221:AA376),SUMPRODUCT($G$221:$G$376,AA221:AA376))</f>
        <v>54.427339726203272</v>
      </c>
      <c r="AB394" s="304">
        <f t="shared" si="681"/>
        <v>273.35806950846268</v>
      </c>
      <c r="AC394" s="304">
        <f t="shared" si="681"/>
        <v>0</v>
      </c>
      <c r="AD394" s="304">
        <f t="shared" si="681"/>
        <v>0</v>
      </c>
      <c r="AE394" s="820">
        <f>'8.  Streetlighting'!G65</f>
        <v>3573.9218879999999</v>
      </c>
      <c r="AF394" s="304">
        <f t="shared" si="681"/>
        <v>0</v>
      </c>
      <c r="AG394" s="304">
        <f t="shared" si="681"/>
        <v>0</v>
      </c>
      <c r="AH394" s="304">
        <f t="shared" si="681"/>
        <v>0</v>
      </c>
      <c r="AI394" s="304">
        <f t="shared" si="681"/>
        <v>0</v>
      </c>
      <c r="AJ394" s="304">
        <f t="shared" si="681"/>
        <v>0</v>
      </c>
      <c r="AK394" s="304">
        <f t="shared" si="681"/>
        <v>0</v>
      </c>
      <c r="AL394" s="304">
        <f t="shared" si="681"/>
        <v>0</v>
      </c>
      <c r="AM394" s="349"/>
    </row>
    <row r="395" spans="2:39" ht="15">
      <c r="B395" s="450" t="s">
        <v>288</v>
      </c>
      <c r="C395" s="376"/>
      <c r="D395" s="396"/>
      <c r="E395" s="396"/>
      <c r="F395" s="396"/>
      <c r="G395" s="396"/>
      <c r="H395" s="396"/>
      <c r="I395" s="396"/>
      <c r="J395" s="396"/>
      <c r="K395" s="396"/>
      <c r="L395" s="396"/>
      <c r="M395" s="396"/>
      <c r="N395" s="396"/>
      <c r="O395" s="395"/>
      <c r="P395" s="396"/>
      <c r="Q395" s="396"/>
      <c r="R395" s="396"/>
      <c r="S395" s="376"/>
      <c r="T395" s="397"/>
      <c r="U395" s="397"/>
      <c r="V395" s="396"/>
      <c r="W395" s="396"/>
      <c r="X395" s="397"/>
      <c r="Y395" s="338">
        <f>SUMPRODUCT(H221:H376,Y221:Y376)</f>
        <v>2595920</v>
      </c>
      <c r="Z395" s="338">
        <f>SUMPRODUCT(H221:H376,Z221:Z376)</f>
        <v>307311.14277480508</v>
      </c>
      <c r="AA395" s="338">
        <f t="shared" ref="AA395:AL395" si="682">IF(AA219="kw",SUMPRODUCT($N$221:$N$376,$S$221:$S$376,AA221:AA376),SUMPRODUCT($H$221:$H$376,AA221:AA376))</f>
        <v>47.712108578055179</v>
      </c>
      <c r="AB395" s="338">
        <f t="shared" si="682"/>
        <v>239.63122134364039</v>
      </c>
      <c r="AC395" s="338">
        <f t="shared" si="682"/>
        <v>0</v>
      </c>
      <c r="AD395" s="338">
        <f t="shared" si="682"/>
        <v>0</v>
      </c>
      <c r="AE395" s="821">
        <f>'8.  Streetlighting'!G66</f>
        <v>3573.9218879999999</v>
      </c>
      <c r="AF395" s="338">
        <f t="shared" si="682"/>
        <v>0</v>
      </c>
      <c r="AG395" s="338">
        <f t="shared" si="682"/>
        <v>0</v>
      </c>
      <c r="AH395" s="338">
        <f t="shared" si="682"/>
        <v>0</v>
      </c>
      <c r="AI395" s="338">
        <f t="shared" si="682"/>
        <v>0</v>
      </c>
      <c r="AJ395" s="338">
        <f t="shared" si="682"/>
        <v>0</v>
      </c>
      <c r="AK395" s="338">
        <f t="shared" si="682"/>
        <v>0</v>
      </c>
      <c r="AL395" s="338">
        <f t="shared" si="682"/>
        <v>0</v>
      </c>
      <c r="AM395" s="398"/>
    </row>
    <row r="396" spans="2:39" ht="21" customHeight="1">
      <c r="B396" s="380" t="s">
        <v>586</v>
      </c>
      <c r="C396" s="399"/>
      <c r="D396" s="400"/>
      <c r="E396" s="400"/>
      <c r="F396" s="400"/>
      <c r="G396" s="400"/>
      <c r="H396" s="400"/>
      <c r="I396" s="400"/>
      <c r="J396" s="400"/>
      <c r="K396" s="400"/>
      <c r="L396" s="400"/>
      <c r="M396" s="400"/>
      <c r="N396" s="400"/>
      <c r="O396" s="400"/>
      <c r="P396" s="400"/>
      <c r="Q396" s="400"/>
      <c r="R396" s="400"/>
      <c r="S396" s="383"/>
      <c r="T396" s="384"/>
      <c r="U396" s="400"/>
      <c r="V396" s="400"/>
      <c r="W396" s="400"/>
      <c r="X396" s="400"/>
      <c r="Y396" s="421"/>
      <c r="Z396" s="421"/>
      <c r="AA396" s="421"/>
      <c r="AB396" s="421"/>
      <c r="AC396" s="421"/>
      <c r="AD396" s="421"/>
      <c r="AE396" s="421"/>
      <c r="AF396" s="421"/>
      <c r="AG396" s="421"/>
      <c r="AH396" s="421"/>
      <c r="AI396" s="421"/>
      <c r="AJ396" s="421"/>
      <c r="AK396" s="421"/>
      <c r="AL396" s="421"/>
      <c r="AM396" s="401"/>
    </row>
    <row r="399" spans="2:39" ht="15.6">
      <c r="B399" s="293" t="s">
        <v>291</v>
      </c>
      <c r="C399" s="294"/>
      <c r="D399" s="596" t="s">
        <v>525</v>
      </c>
      <c r="E399" s="266"/>
      <c r="F399" s="598"/>
      <c r="G399" s="266"/>
      <c r="H399" s="266"/>
      <c r="I399" s="266"/>
      <c r="J399" s="266"/>
      <c r="K399" s="266"/>
      <c r="L399" s="266"/>
      <c r="M399" s="266"/>
      <c r="N399" s="266"/>
      <c r="O399" s="294"/>
      <c r="P399" s="266"/>
      <c r="Q399" s="266"/>
      <c r="R399" s="266"/>
      <c r="S399" s="266"/>
      <c r="T399" s="266"/>
      <c r="U399" s="266"/>
      <c r="V399" s="266"/>
      <c r="W399" s="266"/>
      <c r="X399" s="266"/>
      <c r="Y399" s="283"/>
      <c r="Z399" s="280"/>
      <c r="AA399" s="280"/>
      <c r="AB399" s="280"/>
      <c r="AC399" s="280"/>
      <c r="AD399" s="280"/>
      <c r="AE399" s="280"/>
      <c r="AF399" s="280"/>
      <c r="AG399" s="280"/>
      <c r="AH399" s="280"/>
      <c r="AI399" s="280"/>
      <c r="AJ399" s="280"/>
      <c r="AK399" s="280"/>
      <c r="AL399" s="280"/>
      <c r="AM399" s="295"/>
    </row>
    <row r="400" spans="2:39" ht="33.75" customHeight="1">
      <c r="B400" s="901" t="s">
        <v>211</v>
      </c>
      <c r="C400" s="903" t="s">
        <v>33</v>
      </c>
      <c r="D400" s="297" t="s">
        <v>421</v>
      </c>
      <c r="E400" s="905" t="s">
        <v>209</v>
      </c>
      <c r="F400" s="906"/>
      <c r="G400" s="906"/>
      <c r="H400" s="906"/>
      <c r="I400" s="906"/>
      <c r="J400" s="906"/>
      <c r="K400" s="906"/>
      <c r="L400" s="906"/>
      <c r="M400" s="907"/>
      <c r="N400" s="911" t="s">
        <v>213</v>
      </c>
      <c r="O400" s="297" t="s">
        <v>422</v>
      </c>
      <c r="P400" s="905" t="s">
        <v>212</v>
      </c>
      <c r="Q400" s="906"/>
      <c r="R400" s="906"/>
      <c r="S400" s="906"/>
      <c r="T400" s="906"/>
      <c r="U400" s="906"/>
      <c r="V400" s="906"/>
      <c r="W400" s="906"/>
      <c r="X400" s="907"/>
      <c r="Y400" s="908" t="s">
        <v>243</v>
      </c>
      <c r="Z400" s="909"/>
      <c r="AA400" s="909"/>
      <c r="AB400" s="909"/>
      <c r="AC400" s="909"/>
      <c r="AD400" s="909"/>
      <c r="AE400" s="909"/>
      <c r="AF400" s="909"/>
      <c r="AG400" s="909"/>
      <c r="AH400" s="909"/>
      <c r="AI400" s="909"/>
      <c r="AJ400" s="909"/>
      <c r="AK400" s="909"/>
      <c r="AL400" s="909"/>
      <c r="AM400" s="910"/>
    </row>
    <row r="401" spans="1:39" ht="61.5" customHeight="1">
      <c r="B401" s="902"/>
      <c r="C401" s="904"/>
      <c r="D401" s="298">
        <v>2017</v>
      </c>
      <c r="E401" s="298">
        <v>2018</v>
      </c>
      <c r="F401" s="298">
        <v>2019</v>
      </c>
      <c r="G401" s="298">
        <v>2020</v>
      </c>
      <c r="H401" s="298">
        <v>2021</v>
      </c>
      <c r="I401" s="298">
        <v>2022</v>
      </c>
      <c r="J401" s="298">
        <v>2023</v>
      </c>
      <c r="K401" s="298">
        <v>2024</v>
      </c>
      <c r="L401" s="298">
        <v>2025</v>
      </c>
      <c r="M401" s="298">
        <v>2026</v>
      </c>
      <c r="N401" s="912"/>
      <c r="O401" s="298">
        <v>2017</v>
      </c>
      <c r="P401" s="298">
        <v>2018</v>
      </c>
      <c r="Q401" s="298">
        <v>2019</v>
      </c>
      <c r="R401" s="298">
        <v>2020</v>
      </c>
      <c r="S401" s="298">
        <v>2021</v>
      </c>
      <c r="T401" s="298">
        <v>2022</v>
      </c>
      <c r="U401" s="298">
        <v>2023</v>
      </c>
      <c r="V401" s="298">
        <v>2024</v>
      </c>
      <c r="W401" s="298">
        <v>2025</v>
      </c>
      <c r="X401" s="298">
        <v>2026</v>
      </c>
      <c r="Y401" s="298" t="str">
        <f>'1.  LRAMVA Summary'!D52</f>
        <v>Residential</v>
      </c>
      <c r="Z401" s="298" t="str">
        <f>'1.  LRAMVA Summary'!E52</f>
        <v>GS&lt;50 kW</v>
      </c>
      <c r="AA401" s="298" t="str">
        <f>'1.  LRAMVA Summary'!F52</f>
        <v>GS 50 - 999 kW</v>
      </c>
      <c r="AB401" s="298" t="str">
        <f>'1.  LRAMVA Summary'!G52</f>
        <v>GS 1,000 - 4,999 kW</v>
      </c>
      <c r="AC401" s="298" t="str">
        <f>'1.  LRAMVA Summary'!H52</f>
        <v>USL</v>
      </c>
      <c r="AD401" s="298" t="str">
        <f>'1.  LRAMVA Summary'!I52</f>
        <v>Sentinel Lighting</v>
      </c>
      <c r="AE401" s="298" t="str">
        <f>'1.  LRAMVA Summary'!J52</f>
        <v>Street Lighting</v>
      </c>
      <c r="AF401" s="298" t="str">
        <f>'1.  LRAMVA Summary'!K52</f>
        <v/>
      </c>
      <c r="AG401" s="298" t="str">
        <f>'1.  LRAMVA Summary'!L52</f>
        <v/>
      </c>
      <c r="AH401" s="298" t="str">
        <f>'1.  LRAMVA Summary'!M52</f>
        <v/>
      </c>
      <c r="AI401" s="298" t="str">
        <f>'1.  LRAMVA Summary'!N52</f>
        <v/>
      </c>
      <c r="AJ401" s="298" t="str">
        <f>'1.  LRAMVA Summary'!O52</f>
        <v/>
      </c>
      <c r="AK401" s="298" t="str">
        <f>'1.  LRAMVA Summary'!P52</f>
        <v/>
      </c>
      <c r="AL401" s="298" t="str">
        <f>'1.  LRAMVA Summary'!Q52</f>
        <v/>
      </c>
      <c r="AM401" s="300" t="str">
        <f>'1.  LRAMVA Summary'!R52</f>
        <v>Total</v>
      </c>
    </row>
    <row r="402" spans="1:39" ht="15.75" customHeight="1">
      <c r="A402" s="539"/>
      <c r="B402" s="531" t="s">
        <v>503</v>
      </c>
      <c r="C402" s="302"/>
      <c r="D402" s="302"/>
      <c r="E402" s="302"/>
      <c r="F402" s="302"/>
      <c r="G402" s="302"/>
      <c r="H402" s="302"/>
      <c r="I402" s="302"/>
      <c r="J402" s="302"/>
      <c r="K402" s="302"/>
      <c r="L402" s="302"/>
      <c r="M402" s="302"/>
      <c r="N402" s="303"/>
      <c r="O402" s="302"/>
      <c r="P402" s="302"/>
      <c r="Q402" s="302"/>
      <c r="R402" s="302"/>
      <c r="S402" s="302"/>
      <c r="T402" s="302"/>
      <c r="U402" s="302"/>
      <c r="V402" s="302"/>
      <c r="W402" s="302"/>
      <c r="X402" s="302"/>
      <c r="Y402" s="304" t="str">
        <f>'1.  LRAMVA Summary'!D53</f>
        <v>kWh</v>
      </c>
      <c r="Z402" s="304" t="str">
        <f>'1.  LRAMVA Summary'!E53</f>
        <v>kWh</v>
      </c>
      <c r="AA402" s="304" t="str">
        <f>'1.  LRAMVA Summary'!F53</f>
        <v>kW</v>
      </c>
      <c r="AB402" s="304" t="str">
        <f>'1.  LRAMVA Summary'!G53</f>
        <v>kW</v>
      </c>
      <c r="AC402" s="304" t="str">
        <f>'1.  LRAMVA Summary'!H53</f>
        <v>kWh</v>
      </c>
      <c r="AD402" s="304" t="str">
        <f>'1.  LRAMVA Summary'!I53</f>
        <v>kW</v>
      </c>
      <c r="AE402" s="304" t="str">
        <f>'1.  LRAMVA Summary'!J53</f>
        <v>kW</v>
      </c>
      <c r="AF402" s="304">
        <f>'1.  LRAMVA Summary'!K53</f>
        <v>0</v>
      </c>
      <c r="AG402" s="304">
        <f>'1.  LRAMVA Summary'!L53</f>
        <v>0</v>
      </c>
      <c r="AH402" s="304">
        <f>'1.  LRAMVA Summary'!M53</f>
        <v>0</v>
      </c>
      <c r="AI402" s="304">
        <f>'1.  LRAMVA Summary'!N53</f>
        <v>0</v>
      </c>
      <c r="AJ402" s="304">
        <f>'1.  LRAMVA Summary'!O53</f>
        <v>0</v>
      </c>
      <c r="AK402" s="304">
        <f>'1.  LRAMVA Summary'!P53</f>
        <v>0</v>
      </c>
      <c r="AL402" s="304">
        <f>'1.  LRAMVA Summary'!Q53</f>
        <v>0</v>
      </c>
      <c r="AM402" s="305"/>
    </row>
    <row r="403" spans="1:39" ht="15.6" outlineLevel="1">
      <c r="A403" s="539"/>
      <c r="B403" s="511" t="s">
        <v>496</v>
      </c>
      <c r="C403" s="302"/>
      <c r="D403" s="302"/>
      <c r="E403" s="302"/>
      <c r="F403" s="302"/>
      <c r="G403" s="302"/>
      <c r="H403" s="302"/>
      <c r="I403" s="302"/>
      <c r="J403" s="302"/>
      <c r="K403" s="302"/>
      <c r="L403" s="302"/>
      <c r="M403" s="302"/>
      <c r="N403" s="303"/>
      <c r="O403" s="302"/>
      <c r="P403" s="302"/>
      <c r="Q403" s="302"/>
      <c r="R403" s="302"/>
      <c r="S403" s="302"/>
      <c r="T403" s="302"/>
      <c r="U403" s="302"/>
      <c r="V403" s="302"/>
      <c r="W403" s="302"/>
      <c r="X403" s="302"/>
      <c r="Y403" s="304"/>
      <c r="Z403" s="304"/>
      <c r="AA403" s="304"/>
      <c r="AB403" s="304"/>
      <c r="AC403" s="304"/>
      <c r="AD403" s="304"/>
      <c r="AE403" s="304"/>
      <c r="AF403" s="304"/>
      <c r="AG403" s="304"/>
      <c r="AH403" s="304"/>
      <c r="AI403" s="304"/>
      <c r="AJ403" s="304"/>
      <c r="AK403" s="304"/>
      <c r="AL403" s="304"/>
      <c r="AM403" s="305"/>
    </row>
    <row r="404" spans="1:39" ht="15" outlineLevel="1">
      <c r="A404" s="539">
        <v>1</v>
      </c>
      <c r="B404" s="438" t="s">
        <v>95</v>
      </c>
      <c r="C404" s="304" t="s">
        <v>25</v>
      </c>
      <c r="D404" s="308"/>
      <c r="E404" s="308"/>
      <c r="F404" s="308"/>
      <c r="G404" s="308"/>
      <c r="H404" s="308"/>
      <c r="I404" s="308"/>
      <c r="J404" s="308"/>
      <c r="K404" s="308"/>
      <c r="L404" s="308"/>
      <c r="M404" s="308"/>
      <c r="N404" s="763"/>
      <c r="O404" s="308"/>
      <c r="P404" s="308"/>
      <c r="Q404" s="308"/>
      <c r="R404" s="308"/>
      <c r="S404" s="308"/>
      <c r="T404" s="308"/>
      <c r="U404" s="308"/>
      <c r="V404" s="308"/>
      <c r="W404" s="308"/>
      <c r="X404" s="308"/>
      <c r="Y404" s="772"/>
      <c r="Z404" s="772"/>
      <c r="AA404" s="772"/>
      <c r="AB404" s="772"/>
      <c r="AC404" s="772"/>
      <c r="AD404" s="772"/>
      <c r="AE404" s="772"/>
      <c r="AF404" s="422"/>
      <c r="AG404" s="422"/>
      <c r="AH404" s="422"/>
      <c r="AI404" s="422"/>
      <c r="AJ404" s="422"/>
      <c r="AK404" s="422"/>
      <c r="AL404" s="422"/>
      <c r="AM404" s="309">
        <f>SUM(Y404:AL404)</f>
        <v>0</v>
      </c>
    </row>
    <row r="405" spans="1:39" ht="15" outlineLevel="1">
      <c r="A405" s="539"/>
      <c r="B405" s="441" t="s">
        <v>308</v>
      </c>
      <c r="C405" s="304" t="s">
        <v>163</v>
      </c>
      <c r="D405" s="308"/>
      <c r="E405" s="308"/>
      <c r="F405" s="308"/>
      <c r="G405" s="308"/>
      <c r="H405" s="308"/>
      <c r="I405" s="308"/>
      <c r="J405" s="308"/>
      <c r="K405" s="308"/>
      <c r="L405" s="308"/>
      <c r="M405" s="308"/>
      <c r="N405" s="764"/>
      <c r="O405" s="308"/>
      <c r="P405" s="308"/>
      <c r="Q405" s="308"/>
      <c r="R405" s="308"/>
      <c r="S405" s="308"/>
      <c r="T405" s="308"/>
      <c r="U405" s="308"/>
      <c r="V405" s="308"/>
      <c r="W405" s="308"/>
      <c r="X405" s="308"/>
      <c r="Y405" s="773">
        <f>Y404</f>
        <v>0</v>
      </c>
      <c r="Z405" s="773">
        <f t="shared" ref="Z405:AE405" si="683">Z404</f>
        <v>0</v>
      </c>
      <c r="AA405" s="773">
        <f t="shared" si="683"/>
        <v>0</v>
      </c>
      <c r="AB405" s="773">
        <f t="shared" si="683"/>
        <v>0</v>
      </c>
      <c r="AC405" s="773">
        <f t="shared" si="683"/>
        <v>0</v>
      </c>
      <c r="AD405" s="773">
        <f t="shared" si="683"/>
        <v>0</v>
      </c>
      <c r="AE405" s="773">
        <f t="shared" si="683"/>
        <v>0</v>
      </c>
      <c r="AF405" s="423">
        <f t="shared" ref="AF405" si="684">AF404</f>
        <v>0</v>
      </c>
      <c r="AG405" s="423">
        <f t="shared" ref="AG405" si="685">AG404</f>
        <v>0</v>
      </c>
      <c r="AH405" s="423">
        <f t="shared" ref="AH405" si="686">AH404</f>
        <v>0</v>
      </c>
      <c r="AI405" s="423">
        <f t="shared" ref="AI405" si="687">AI404</f>
        <v>0</v>
      </c>
      <c r="AJ405" s="423">
        <f t="shared" ref="AJ405" si="688">AJ404</f>
        <v>0</v>
      </c>
      <c r="AK405" s="423">
        <f t="shared" ref="AK405" si="689">AK404</f>
        <v>0</v>
      </c>
      <c r="AL405" s="423">
        <f t="shared" ref="AL405" si="690">AL404</f>
        <v>0</v>
      </c>
      <c r="AM405" s="310"/>
    </row>
    <row r="406" spans="1:39" ht="15.6" outlineLevel="1">
      <c r="A406" s="539"/>
      <c r="B406" s="532"/>
      <c r="C406" s="312"/>
      <c r="D406" s="765"/>
      <c r="E406" s="765"/>
      <c r="F406" s="765"/>
      <c r="G406" s="765"/>
      <c r="H406" s="765"/>
      <c r="I406" s="765"/>
      <c r="J406" s="765"/>
      <c r="K406" s="765"/>
      <c r="L406" s="765"/>
      <c r="M406" s="765"/>
      <c r="N406" s="771"/>
      <c r="O406" s="765"/>
      <c r="P406" s="765"/>
      <c r="Q406" s="765"/>
      <c r="R406" s="765"/>
      <c r="S406" s="765"/>
      <c r="T406" s="765"/>
      <c r="U406" s="765"/>
      <c r="V406" s="765"/>
      <c r="W406" s="765"/>
      <c r="X406" s="765"/>
      <c r="Y406" s="774"/>
      <c r="Z406" s="775"/>
      <c r="AA406" s="775"/>
      <c r="AB406" s="775"/>
      <c r="AC406" s="775"/>
      <c r="AD406" s="775"/>
      <c r="AE406" s="775"/>
      <c r="AF406" s="425"/>
      <c r="AG406" s="425"/>
      <c r="AH406" s="425"/>
      <c r="AI406" s="425"/>
      <c r="AJ406" s="425"/>
      <c r="AK406" s="425"/>
      <c r="AL406" s="425"/>
      <c r="AM406" s="315"/>
    </row>
    <row r="407" spans="1:39" ht="15" outlineLevel="1">
      <c r="A407" s="539">
        <v>2</v>
      </c>
      <c r="B407" s="438" t="s">
        <v>96</v>
      </c>
      <c r="C407" s="304" t="s">
        <v>25</v>
      </c>
      <c r="D407" s="308"/>
      <c r="E407" s="308"/>
      <c r="F407" s="308"/>
      <c r="G407" s="308"/>
      <c r="H407" s="308"/>
      <c r="I407" s="308"/>
      <c r="J407" s="308"/>
      <c r="K407" s="308"/>
      <c r="L407" s="308"/>
      <c r="M407" s="308"/>
      <c r="N407" s="763"/>
      <c r="O407" s="308"/>
      <c r="P407" s="308"/>
      <c r="Q407" s="308"/>
      <c r="R407" s="308"/>
      <c r="S407" s="308"/>
      <c r="T407" s="308"/>
      <c r="U407" s="308"/>
      <c r="V407" s="308"/>
      <c r="W407" s="308"/>
      <c r="X407" s="308"/>
      <c r="Y407" s="772"/>
      <c r="Z407" s="772"/>
      <c r="AA407" s="772"/>
      <c r="AB407" s="772"/>
      <c r="AC407" s="772"/>
      <c r="AD407" s="772"/>
      <c r="AE407" s="772"/>
      <c r="AF407" s="422"/>
      <c r="AG407" s="422"/>
      <c r="AH407" s="422"/>
      <c r="AI407" s="422"/>
      <c r="AJ407" s="422"/>
      <c r="AK407" s="422"/>
      <c r="AL407" s="422"/>
      <c r="AM407" s="309">
        <f>SUM(Y407:AL407)</f>
        <v>0</v>
      </c>
    </row>
    <row r="408" spans="1:39" ht="15" outlineLevel="1">
      <c r="A408" s="539"/>
      <c r="B408" s="441" t="s">
        <v>308</v>
      </c>
      <c r="C408" s="304" t="s">
        <v>163</v>
      </c>
      <c r="D408" s="308"/>
      <c r="E408" s="308"/>
      <c r="F408" s="308"/>
      <c r="G408" s="308"/>
      <c r="H408" s="308"/>
      <c r="I408" s="308"/>
      <c r="J408" s="308"/>
      <c r="K408" s="308"/>
      <c r="L408" s="308"/>
      <c r="M408" s="308"/>
      <c r="N408" s="764"/>
      <c r="O408" s="308"/>
      <c r="P408" s="308"/>
      <c r="Q408" s="308"/>
      <c r="R408" s="308"/>
      <c r="S408" s="308"/>
      <c r="T408" s="308"/>
      <c r="U408" s="308"/>
      <c r="V408" s="308"/>
      <c r="W408" s="308"/>
      <c r="X408" s="308"/>
      <c r="Y408" s="773">
        <f>Y407</f>
        <v>0</v>
      </c>
      <c r="Z408" s="773">
        <f t="shared" ref="Z408:AE408" si="691">Z407</f>
        <v>0</v>
      </c>
      <c r="AA408" s="773">
        <f t="shared" si="691"/>
        <v>0</v>
      </c>
      <c r="AB408" s="773">
        <f t="shared" si="691"/>
        <v>0</v>
      </c>
      <c r="AC408" s="773">
        <f t="shared" si="691"/>
        <v>0</v>
      </c>
      <c r="AD408" s="773">
        <f t="shared" si="691"/>
        <v>0</v>
      </c>
      <c r="AE408" s="773">
        <f t="shared" si="691"/>
        <v>0</v>
      </c>
      <c r="AF408" s="423">
        <f t="shared" ref="AF408" si="692">AF407</f>
        <v>0</v>
      </c>
      <c r="AG408" s="423">
        <f t="shared" ref="AG408" si="693">AG407</f>
        <v>0</v>
      </c>
      <c r="AH408" s="423">
        <f t="shared" ref="AH408" si="694">AH407</f>
        <v>0</v>
      </c>
      <c r="AI408" s="423">
        <f t="shared" ref="AI408" si="695">AI407</f>
        <v>0</v>
      </c>
      <c r="AJ408" s="423">
        <f t="shared" ref="AJ408" si="696">AJ407</f>
        <v>0</v>
      </c>
      <c r="AK408" s="423">
        <f t="shared" ref="AK408" si="697">AK407</f>
        <v>0</v>
      </c>
      <c r="AL408" s="423">
        <f t="shared" ref="AL408" si="698">AL407</f>
        <v>0</v>
      </c>
      <c r="AM408" s="310"/>
    </row>
    <row r="409" spans="1:39" ht="15.6" outlineLevel="1">
      <c r="A409" s="539"/>
      <c r="B409" s="532"/>
      <c r="C409" s="312"/>
      <c r="D409" s="766"/>
      <c r="E409" s="766"/>
      <c r="F409" s="766"/>
      <c r="G409" s="766"/>
      <c r="H409" s="766"/>
      <c r="I409" s="766"/>
      <c r="J409" s="766"/>
      <c r="K409" s="766"/>
      <c r="L409" s="766"/>
      <c r="M409" s="766"/>
      <c r="N409" s="771"/>
      <c r="O409" s="766"/>
      <c r="P409" s="766"/>
      <c r="Q409" s="766"/>
      <c r="R409" s="766"/>
      <c r="S409" s="766"/>
      <c r="T409" s="766"/>
      <c r="U409" s="766"/>
      <c r="V409" s="766"/>
      <c r="W409" s="766"/>
      <c r="X409" s="766"/>
      <c r="Y409" s="774"/>
      <c r="Z409" s="775"/>
      <c r="AA409" s="775"/>
      <c r="AB409" s="775"/>
      <c r="AC409" s="775"/>
      <c r="AD409" s="775"/>
      <c r="AE409" s="775"/>
      <c r="AF409" s="425"/>
      <c r="AG409" s="425"/>
      <c r="AH409" s="425"/>
      <c r="AI409" s="425"/>
      <c r="AJ409" s="425"/>
      <c r="AK409" s="425"/>
      <c r="AL409" s="425"/>
      <c r="AM409" s="315"/>
    </row>
    <row r="410" spans="1:39" ht="15" outlineLevel="1">
      <c r="A410" s="539">
        <v>3</v>
      </c>
      <c r="B410" s="438" t="s">
        <v>97</v>
      </c>
      <c r="C410" s="304" t="s">
        <v>25</v>
      </c>
      <c r="D410" s="308"/>
      <c r="E410" s="308"/>
      <c r="F410" s="308"/>
      <c r="G410" s="308"/>
      <c r="H410" s="308"/>
      <c r="I410" s="308"/>
      <c r="J410" s="308"/>
      <c r="K410" s="308"/>
      <c r="L410" s="308"/>
      <c r="M410" s="308"/>
      <c r="N410" s="763"/>
      <c r="O410" s="308"/>
      <c r="P410" s="308"/>
      <c r="Q410" s="308"/>
      <c r="R410" s="308"/>
      <c r="S410" s="308"/>
      <c r="T410" s="308"/>
      <c r="U410" s="308"/>
      <c r="V410" s="308"/>
      <c r="W410" s="308"/>
      <c r="X410" s="308"/>
      <c r="Y410" s="772"/>
      <c r="Z410" s="772"/>
      <c r="AA410" s="772"/>
      <c r="AB410" s="772"/>
      <c r="AC410" s="772"/>
      <c r="AD410" s="772"/>
      <c r="AE410" s="772"/>
      <c r="AF410" s="422"/>
      <c r="AG410" s="422"/>
      <c r="AH410" s="422"/>
      <c r="AI410" s="422"/>
      <c r="AJ410" s="422"/>
      <c r="AK410" s="422"/>
      <c r="AL410" s="422"/>
      <c r="AM410" s="309">
        <f>SUM(Y410:AL410)</f>
        <v>0</v>
      </c>
    </row>
    <row r="411" spans="1:39" ht="15" outlineLevel="1">
      <c r="A411" s="539"/>
      <c r="B411" s="441" t="s">
        <v>308</v>
      </c>
      <c r="C411" s="304" t="s">
        <v>163</v>
      </c>
      <c r="D411" s="308"/>
      <c r="E411" s="308"/>
      <c r="F411" s="308"/>
      <c r="G411" s="308"/>
      <c r="H411" s="308"/>
      <c r="I411" s="308"/>
      <c r="J411" s="308"/>
      <c r="K411" s="308"/>
      <c r="L411" s="308"/>
      <c r="M411" s="308"/>
      <c r="N411" s="764"/>
      <c r="O411" s="308"/>
      <c r="P411" s="308"/>
      <c r="Q411" s="308"/>
      <c r="R411" s="308"/>
      <c r="S411" s="308"/>
      <c r="T411" s="308"/>
      <c r="U411" s="308"/>
      <c r="V411" s="308"/>
      <c r="W411" s="308"/>
      <c r="X411" s="308"/>
      <c r="Y411" s="773">
        <f>Y410</f>
        <v>0</v>
      </c>
      <c r="Z411" s="773">
        <f t="shared" ref="Z411:AE411" si="699">Z410</f>
        <v>0</v>
      </c>
      <c r="AA411" s="773">
        <f t="shared" si="699"/>
        <v>0</v>
      </c>
      <c r="AB411" s="773">
        <f t="shared" si="699"/>
        <v>0</v>
      </c>
      <c r="AC411" s="773">
        <f t="shared" si="699"/>
        <v>0</v>
      </c>
      <c r="AD411" s="773">
        <f t="shared" si="699"/>
        <v>0</v>
      </c>
      <c r="AE411" s="773">
        <f t="shared" si="699"/>
        <v>0</v>
      </c>
      <c r="AF411" s="423">
        <f t="shared" ref="AF411" si="700">AF410</f>
        <v>0</v>
      </c>
      <c r="AG411" s="423">
        <f t="shared" ref="AG411" si="701">AG410</f>
        <v>0</v>
      </c>
      <c r="AH411" s="423">
        <f t="shared" ref="AH411" si="702">AH410</f>
        <v>0</v>
      </c>
      <c r="AI411" s="423">
        <f t="shared" ref="AI411" si="703">AI410</f>
        <v>0</v>
      </c>
      <c r="AJ411" s="423">
        <f t="shared" ref="AJ411" si="704">AJ410</f>
        <v>0</v>
      </c>
      <c r="AK411" s="423">
        <f t="shared" ref="AK411" si="705">AK410</f>
        <v>0</v>
      </c>
      <c r="AL411" s="423">
        <f t="shared" ref="AL411" si="706">AL410</f>
        <v>0</v>
      </c>
      <c r="AM411" s="310"/>
    </row>
    <row r="412" spans="1:39" ht="15" outlineLevel="1">
      <c r="A412" s="539"/>
      <c r="B412" s="441"/>
      <c r="C412" s="318"/>
      <c r="D412" s="763"/>
      <c r="E412" s="763"/>
      <c r="F412" s="763"/>
      <c r="G412" s="763"/>
      <c r="H412" s="763"/>
      <c r="I412" s="763"/>
      <c r="J412" s="763"/>
      <c r="K412" s="763"/>
      <c r="L412" s="763"/>
      <c r="M412" s="763"/>
      <c r="N412" s="763"/>
      <c r="O412" s="763"/>
      <c r="P412" s="763"/>
      <c r="Q412" s="763"/>
      <c r="R412" s="763"/>
      <c r="S412" s="763"/>
      <c r="T412" s="763"/>
      <c r="U412" s="763"/>
      <c r="V412" s="763"/>
      <c r="W412" s="763"/>
      <c r="X412" s="763"/>
      <c r="Y412" s="774"/>
      <c r="Z412" s="774"/>
      <c r="AA412" s="774"/>
      <c r="AB412" s="774"/>
      <c r="AC412" s="774"/>
      <c r="AD412" s="774"/>
      <c r="AE412" s="774"/>
      <c r="AF412" s="424"/>
      <c r="AG412" s="424"/>
      <c r="AH412" s="424"/>
      <c r="AI412" s="424"/>
      <c r="AJ412" s="424"/>
      <c r="AK412" s="424"/>
      <c r="AL412" s="424"/>
      <c r="AM412" s="319"/>
    </row>
    <row r="413" spans="1:39" ht="15" outlineLevel="1">
      <c r="A413" s="539">
        <v>4</v>
      </c>
      <c r="B413" s="527" t="s">
        <v>676</v>
      </c>
      <c r="C413" s="304" t="s">
        <v>25</v>
      </c>
      <c r="D413" s="308"/>
      <c r="E413" s="308"/>
      <c r="F413" s="308"/>
      <c r="G413" s="308"/>
      <c r="H413" s="308"/>
      <c r="I413" s="308"/>
      <c r="J413" s="308"/>
      <c r="K413" s="308"/>
      <c r="L413" s="308"/>
      <c r="M413" s="308"/>
      <c r="N413" s="763"/>
      <c r="O413" s="308"/>
      <c r="P413" s="308"/>
      <c r="Q413" s="308"/>
      <c r="R413" s="308"/>
      <c r="S413" s="308"/>
      <c r="T413" s="308"/>
      <c r="U413" s="308"/>
      <c r="V413" s="308"/>
      <c r="W413" s="308"/>
      <c r="X413" s="308"/>
      <c r="Y413" s="772"/>
      <c r="Z413" s="772"/>
      <c r="AA413" s="772"/>
      <c r="AB413" s="772"/>
      <c r="AC413" s="772"/>
      <c r="AD413" s="772"/>
      <c r="AE413" s="772"/>
      <c r="AF413" s="422"/>
      <c r="AG413" s="422"/>
      <c r="AH413" s="422"/>
      <c r="AI413" s="422"/>
      <c r="AJ413" s="422"/>
      <c r="AK413" s="422"/>
      <c r="AL413" s="422"/>
      <c r="AM413" s="309">
        <f>SUM(Y413:AL413)</f>
        <v>0</v>
      </c>
    </row>
    <row r="414" spans="1:39" ht="15" outlineLevel="1">
      <c r="A414" s="539"/>
      <c r="B414" s="441" t="s">
        <v>308</v>
      </c>
      <c r="C414" s="304" t="s">
        <v>163</v>
      </c>
      <c r="D414" s="308"/>
      <c r="E414" s="308"/>
      <c r="F414" s="308"/>
      <c r="G414" s="308"/>
      <c r="H414" s="308"/>
      <c r="I414" s="308"/>
      <c r="J414" s="308"/>
      <c r="K414" s="308"/>
      <c r="L414" s="308"/>
      <c r="M414" s="308"/>
      <c r="N414" s="764"/>
      <c r="O414" s="308"/>
      <c r="P414" s="308"/>
      <c r="Q414" s="308"/>
      <c r="R414" s="308"/>
      <c r="S414" s="308"/>
      <c r="T414" s="308"/>
      <c r="U414" s="308"/>
      <c r="V414" s="308"/>
      <c r="W414" s="308"/>
      <c r="X414" s="308"/>
      <c r="Y414" s="773">
        <f>Y413</f>
        <v>0</v>
      </c>
      <c r="Z414" s="773">
        <f t="shared" ref="Z414:AE414" si="707">Z413</f>
        <v>0</v>
      </c>
      <c r="AA414" s="773">
        <f t="shared" si="707"/>
        <v>0</v>
      </c>
      <c r="AB414" s="773">
        <f t="shared" si="707"/>
        <v>0</v>
      </c>
      <c r="AC414" s="773">
        <f t="shared" si="707"/>
        <v>0</v>
      </c>
      <c r="AD414" s="773">
        <f t="shared" si="707"/>
        <v>0</v>
      </c>
      <c r="AE414" s="773">
        <f t="shared" si="707"/>
        <v>0</v>
      </c>
      <c r="AF414" s="423">
        <f t="shared" ref="AF414" si="708">AF413</f>
        <v>0</v>
      </c>
      <c r="AG414" s="423">
        <f t="shared" ref="AG414" si="709">AG413</f>
        <v>0</v>
      </c>
      <c r="AH414" s="423">
        <f t="shared" ref="AH414" si="710">AH413</f>
        <v>0</v>
      </c>
      <c r="AI414" s="423">
        <f t="shared" ref="AI414" si="711">AI413</f>
        <v>0</v>
      </c>
      <c r="AJ414" s="423">
        <f t="shared" ref="AJ414" si="712">AJ413</f>
        <v>0</v>
      </c>
      <c r="AK414" s="423">
        <f t="shared" ref="AK414" si="713">AK413</f>
        <v>0</v>
      </c>
      <c r="AL414" s="423">
        <f t="shared" ref="AL414" si="714">AL413</f>
        <v>0</v>
      </c>
      <c r="AM414" s="310"/>
    </row>
    <row r="415" spans="1:39" ht="15" outlineLevel="1">
      <c r="A415" s="539"/>
      <c r="B415" s="441"/>
      <c r="C415" s="318"/>
      <c r="D415" s="766"/>
      <c r="E415" s="766"/>
      <c r="F415" s="766"/>
      <c r="G415" s="766"/>
      <c r="H415" s="766"/>
      <c r="I415" s="766"/>
      <c r="J415" s="766"/>
      <c r="K415" s="766"/>
      <c r="L415" s="766"/>
      <c r="M415" s="766"/>
      <c r="N415" s="763"/>
      <c r="O415" s="766"/>
      <c r="P415" s="766"/>
      <c r="Q415" s="766"/>
      <c r="R415" s="766"/>
      <c r="S415" s="766"/>
      <c r="T415" s="766"/>
      <c r="U415" s="766"/>
      <c r="V415" s="766"/>
      <c r="W415" s="766"/>
      <c r="X415" s="766"/>
      <c r="Y415" s="774"/>
      <c r="Z415" s="774"/>
      <c r="AA415" s="774"/>
      <c r="AB415" s="774"/>
      <c r="AC415" s="774"/>
      <c r="AD415" s="774"/>
      <c r="AE415" s="774"/>
      <c r="AF415" s="424"/>
      <c r="AG415" s="424"/>
      <c r="AH415" s="424"/>
      <c r="AI415" s="424"/>
      <c r="AJ415" s="424"/>
      <c r="AK415" s="424"/>
      <c r="AL415" s="424"/>
      <c r="AM415" s="319"/>
    </row>
    <row r="416" spans="1:39" ht="30" outlineLevel="1">
      <c r="A416" s="539">
        <v>5</v>
      </c>
      <c r="B416" s="438" t="s">
        <v>98</v>
      </c>
      <c r="C416" s="304" t="s">
        <v>25</v>
      </c>
      <c r="D416" s="308"/>
      <c r="E416" s="308"/>
      <c r="F416" s="308"/>
      <c r="G416" s="308"/>
      <c r="H416" s="308"/>
      <c r="I416" s="308"/>
      <c r="J416" s="308"/>
      <c r="K416" s="308"/>
      <c r="L416" s="308"/>
      <c r="M416" s="308"/>
      <c r="N416" s="763"/>
      <c r="O416" s="308"/>
      <c r="P416" s="308"/>
      <c r="Q416" s="308"/>
      <c r="R416" s="308"/>
      <c r="S416" s="308"/>
      <c r="T416" s="308"/>
      <c r="U416" s="308"/>
      <c r="V416" s="308"/>
      <c r="W416" s="308"/>
      <c r="X416" s="308"/>
      <c r="Y416" s="772"/>
      <c r="Z416" s="772"/>
      <c r="AA416" s="772"/>
      <c r="AB416" s="772"/>
      <c r="AC416" s="772"/>
      <c r="AD416" s="772"/>
      <c r="AE416" s="772"/>
      <c r="AF416" s="422"/>
      <c r="AG416" s="422"/>
      <c r="AH416" s="422"/>
      <c r="AI416" s="422"/>
      <c r="AJ416" s="422"/>
      <c r="AK416" s="422"/>
      <c r="AL416" s="422"/>
      <c r="AM416" s="309">
        <f>SUM(Y416:AL416)</f>
        <v>0</v>
      </c>
    </row>
    <row r="417" spans="1:39" ht="15" outlineLevel="1">
      <c r="A417" s="539"/>
      <c r="B417" s="441" t="s">
        <v>308</v>
      </c>
      <c r="C417" s="304" t="s">
        <v>163</v>
      </c>
      <c r="D417" s="308"/>
      <c r="E417" s="308"/>
      <c r="F417" s="308"/>
      <c r="G417" s="308"/>
      <c r="H417" s="308"/>
      <c r="I417" s="308"/>
      <c r="J417" s="308"/>
      <c r="K417" s="308"/>
      <c r="L417" s="308"/>
      <c r="M417" s="308"/>
      <c r="N417" s="764"/>
      <c r="O417" s="308"/>
      <c r="P417" s="308"/>
      <c r="Q417" s="308"/>
      <c r="R417" s="308"/>
      <c r="S417" s="308"/>
      <c r="T417" s="308"/>
      <c r="U417" s="308"/>
      <c r="V417" s="308"/>
      <c r="W417" s="308"/>
      <c r="X417" s="308"/>
      <c r="Y417" s="773">
        <f>Y416</f>
        <v>0</v>
      </c>
      <c r="Z417" s="773">
        <f t="shared" ref="Z417:AE417" si="715">Z416</f>
        <v>0</v>
      </c>
      <c r="AA417" s="773">
        <f t="shared" si="715"/>
        <v>0</v>
      </c>
      <c r="AB417" s="773">
        <f t="shared" si="715"/>
        <v>0</v>
      </c>
      <c r="AC417" s="773">
        <f t="shared" si="715"/>
        <v>0</v>
      </c>
      <c r="AD417" s="773">
        <f t="shared" si="715"/>
        <v>0</v>
      </c>
      <c r="AE417" s="773">
        <f t="shared" si="715"/>
        <v>0</v>
      </c>
      <c r="AF417" s="423">
        <f t="shared" ref="AF417" si="716">AF416</f>
        <v>0</v>
      </c>
      <c r="AG417" s="423">
        <f t="shared" ref="AG417" si="717">AG416</f>
        <v>0</v>
      </c>
      <c r="AH417" s="423">
        <f t="shared" ref="AH417" si="718">AH416</f>
        <v>0</v>
      </c>
      <c r="AI417" s="423">
        <f t="shared" ref="AI417" si="719">AI416</f>
        <v>0</v>
      </c>
      <c r="AJ417" s="423">
        <f t="shared" ref="AJ417" si="720">AJ416</f>
        <v>0</v>
      </c>
      <c r="AK417" s="423">
        <f t="shared" ref="AK417" si="721">AK416</f>
        <v>0</v>
      </c>
      <c r="AL417" s="423">
        <f t="shared" ref="AL417" si="722">AL416</f>
        <v>0</v>
      </c>
      <c r="AM417" s="310"/>
    </row>
    <row r="418" spans="1:39" ht="15" outlineLevel="1">
      <c r="A418" s="539"/>
      <c r="B418" s="441"/>
      <c r="C418" s="304"/>
      <c r="D418" s="763"/>
      <c r="E418" s="763"/>
      <c r="F418" s="763"/>
      <c r="G418" s="763"/>
      <c r="H418" s="763"/>
      <c r="I418" s="763"/>
      <c r="J418" s="763"/>
      <c r="K418" s="763"/>
      <c r="L418" s="763"/>
      <c r="M418" s="763"/>
      <c r="N418" s="763"/>
      <c r="O418" s="763"/>
      <c r="P418" s="763"/>
      <c r="Q418" s="763"/>
      <c r="R418" s="763"/>
      <c r="S418" s="763"/>
      <c r="T418" s="763"/>
      <c r="U418" s="763"/>
      <c r="V418" s="763"/>
      <c r="W418" s="763"/>
      <c r="X418" s="763"/>
      <c r="Y418" s="784"/>
      <c r="Z418" s="785"/>
      <c r="AA418" s="785"/>
      <c r="AB418" s="785"/>
      <c r="AC418" s="785"/>
      <c r="AD418" s="785"/>
      <c r="AE418" s="785"/>
      <c r="AF418" s="433"/>
      <c r="AG418" s="433"/>
      <c r="AH418" s="433"/>
      <c r="AI418" s="433"/>
      <c r="AJ418" s="433"/>
      <c r="AK418" s="433"/>
      <c r="AL418" s="433"/>
      <c r="AM418" s="310"/>
    </row>
    <row r="419" spans="1:39" ht="15.6" outlineLevel="1">
      <c r="A419" s="539"/>
      <c r="B419" s="521" t="s">
        <v>497</v>
      </c>
      <c r="C419" s="302"/>
      <c r="D419" s="767"/>
      <c r="E419" s="767"/>
      <c r="F419" s="767"/>
      <c r="G419" s="767"/>
      <c r="H419" s="767"/>
      <c r="I419" s="767"/>
      <c r="J419" s="767"/>
      <c r="K419" s="767"/>
      <c r="L419" s="767"/>
      <c r="M419" s="767"/>
      <c r="N419" s="769"/>
      <c r="O419" s="767"/>
      <c r="P419" s="767"/>
      <c r="Q419" s="767"/>
      <c r="R419" s="767"/>
      <c r="S419" s="767"/>
      <c r="T419" s="767"/>
      <c r="U419" s="767"/>
      <c r="V419" s="767"/>
      <c r="W419" s="767"/>
      <c r="X419" s="767"/>
      <c r="Y419" s="776"/>
      <c r="Z419" s="776"/>
      <c r="AA419" s="776"/>
      <c r="AB419" s="776"/>
      <c r="AC419" s="776"/>
      <c r="AD419" s="776"/>
      <c r="AE419" s="776"/>
      <c r="AF419" s="426"/>
      <c r="AG419" s="426"/>
      <c r="AH419" s="426"/>
      <c r="AI419" s="426"/>
      <c r="AJ419" s="426"/>
      <c r="AK419" s="426"/>
      <c r="AL419" s="426"/>
      <c r="AM419" s="305"/>
    </row>
    <row r="420" spans="1:39" ht="15" outlineLevel="1">
      <c r="A420" s="539">
        <v>6</v>
      </c>
      <c r="B420" s="438" t="s">
        <v>99</v>
      </c>
      <c r="C420" s="304" t="s">
        <v>25</v>
      </c>
      <c r="D420" s="308"/>
      <c r="E420" s="308"/>
      <c r="F420" s="308"/>
      <c r="G420" s="308"/>
      <c r="H420" s="308"/>
      <c r="I420" s="308"/>
      <c r="J420" s="308"/>
      <c r="K420" s="308"/>
      <c r="L420" s="308"/>
      <c r="M420" s="308"/>
      <c r="N420" s="308">
        <v>12</v>
      </c>
      <c r="O420" s="308"/>
      <c r="P420" s="308"/>
      <c r="Q420" s="308"/>
      <c r="R420" s="308"/>
      <c r="S420" s="308"/>
      <c r="T420" s="308"/>
      <c r="U420" s="308"/>
      <c r="V420" s="308"/>
      <c r="W420" s="308"/>
      <c r="X420" s="308"/>
      <c r="Y420" s="777"/>
      <c r="Z420" s="772"/>
      <c r="AA420" s="772"/>
      <c r="AB420" s="772"/>
      <c r="AC420" s="772"/>
      <c r="AD420" s="772"/>
      <c r="AE420" s="772"/>
      <c r="AF420" s="427"/>
      <c r="AG420" s="427"/>
      <c r="AH420" s="427"/>
      <c r="AI420" s="427"/>
      <c r="AJ420" s="427"/>
      <c r="AK420" s="427"/>
      <c r="AL420" s="427"/>
      <c r="AM420" s="309">
        <f>SUM(Y420:AL420)</f>
        <v>0</v>
      </c>
    </row>
    <row r="421" spans="1:39" ht="15" outlineLevel="1">
      <c r="A421" s="539"/>
      <c r="B421" s="441" t="s">
        <v>308</v>
      </c>
      <c r="C421" s="304" t="s">
        <v>163</v>
      </c>
      <c r="D421" s="308"/>
      <c r="E421" s="308"/>
      <c r="F421" s="308"/>
      <c r="G421" s="308"/>
      <c r="H421" s="308"/>
      <c r="I421" s="308"/>
      <c r="J421" s="308"/>
      <c r="K421" s="308"/>
      <c r="L421" s="308"/>
      <c r="M421" s="308"/>
      <c r="N421" s="308">
        <f>N420</f>
        <v>12</v>
      </c>
      <c r="O421" s="308"/>
      <c r="P421" s="308"/>
      <c r="Q421" s="308"/>
      <c r="R421" s="308"/>
      <c r="S421" s="308"/>
      <c r="T421" s="308"/>
      <c r="U421" s="308"/>
      <c r="V421" s="308"/>
      <c r="W421" s="308"/>
      <c r="X421" s="308"/>
      <c r="Y421" s="773">
        <f>Y420</f>
        <v>0</v>
      </c>
      <c r="Z421" s="773">
        <f t="shared" ref="Z421:AE421" si="723">Z420</f>
        <v>0</v>
      </c>
      <c r="AA421" s="773">
        <f t="shared" si="723"/>
        <v>0</v>
      </c>
      <c r="AB421" s="773">
        <f t="shared" si="723"/>
        <v>0</v>
      </c>
      <c r="AC421" s="773">
        <f t="shared" si="723"/>
        <v>0</v>
      </c>
      <c r="AD421" s="773">
        <f t="shared" si="723"/>
        <v>0</v>
      </c>
      <c r="AE421" s="773">
        <f t="shared" si="723"/>
        <v>0</v>
      </c>
      <c r="AF421" s="423">
        <f t="shared" ref="AF421" si="724">AF420</f>
        <v>0</v>
      </c>
      <c r="AG421" s="423">
        <f t="shared" ref="AG421" si="725">AG420</f>
        <v>0</v>
      </c>
      <c r="AH421" s="423">
        <f t="shared" ref="AH421" si="726">AH420</f>
        <v>0</v>
      </c>
      <c r="AI421" s="423">
        <f t="shared" ref="AI421" si="727">AI420</f>
        <v>0</v>
      </c>
      <c r="AJ421" s="423">
        <f t="shared" ref="AJ421" si="728">AJ420</f>
        <v>0</v>
      </c>
      <c r="AK421" s="423">
        <f t="shared" ref="AK421" si="729">AK420</f>
        <v>0</v>
      </c>
      <c r="AL421" s="423">
        <f t="shared" ref="AL421" si="730">AL420</f>
        <v>0</v>
      </c>
      <c r="AM421" s="324"/>
    </row>
    <row r="422" spans="1:39" ht="15" outlineLevel="1">
      <c r="A422" s="539"/>
      <c r="B422" s="533"/>
      <c r="C422" s="325"/>
      <c r="D422" s="763"/>
      <c r="E422" s="763"/>
      <c r="F422" s="763"/>
      <c r="G422" s="763"/>
      <c r="H422" s="763"/>
      <c r="I422" s="763"/>
      <c r="J422" s="763"/>
      <c r="K422" s="763"/>
      <c r="L422" s="763"/>
      <c r="M422" s="763"/>
      <c r="N422" s="763"/>
      <c r="O422" s="763"/>
      <c r="P422" s="763"/>
      <c r="Q422" s="763"/>
      <c r="R422" s="763"/>
      <c r="S422" s="763"/>
      <c r="T422" s="763"/>
      <c r="U422" s="763"/>
      <c r="V422" s="763"/>
      <c r="W422" s="763"/>
      <c r="X422" s="763"/>
      <c r="Y422" s="778"/>
      <c r="Z422" s="778"/>
      <c r="AA422" s="778"/>
      <c r="AB422" s="778"/>
      <c r="AC422" s="778"/>
      <c r="AD422" s="778"/>
      <c r="AE422" s="778"/>
      <c r="AF422" s="428"/>
      <c r="AG422" s="428"/>
      <c r="AH422" s="428"/>
      <c r="AI422" s="428"/>
      <c r="AJ422" s="428"/>
      <c r="AK422" s="428"/>
      <c r="AL422" s="428"/>
      <c r="AM422" s="326"/>
    </row>
    <row r="423" spans="1:39" ht="30" outlineLevel="1">
      <c r="A423" s="539">
        <v>7</v>
      </c>
      <c r="B423" s="438" t="s">
        <v>100</v>
      </c>
      <c r="C423" s="304" t="s">
        <v>25</v>
      </c>
      <c r="D423" s="308"/>
      <c r="E423" s="308"/>
      <c r="F423" s="308"/>
      <c r="G423" s="308"/>
      <c r="H423" s="308"/>
      <c r="I423" s="308"/>
      <c r="J423" s="308"/>
      <c r="K423" s="308"/>
      <c r="L423" s="308"/>
      <c r="M423" s="308"/>
      <c r="N423" s="308">
        <v>12</v>
      </c>
      <c r="O423" s="308"/>
      <c r="P423" s="308"/>
      <c r="Q423" s="308"/>
      <c r="R423" s="308"/>
      <c r="S423" s="308"/>
      <c r="T423" s="308"/>
      <c r="U423" s="308"/>
      <c r="V423" s="308"/>
      <c r="W423" s="308"/>
      <c r="X423" s="308"/>
      <c r="Y423" s="777"/>
      <c r="Z423" s="772"/>
      <c r="AA423" s="772"/>
      <c r="AB423" s="772"/>
      <c r="AC423" s="772"/>
      <c r="AD423" s="772"/>
      <c r="AE423" s="772"/>
      <c r="AF423" s="427"/>
      <c r="AG423" s="427"/>
      <c r="AH423" s="427"/>
      <c r="AI423" s="427"/>
      <c r="AJ423" s="427"/>
      <c r="AK423" s="427"/>
      <c r="AL423" s="427"/>
      <c r="AM423" s="309">
        <f>SUM(Y423:AL423)</f>
        <v>0</v>
      </c>
    </row>
    <row r="424" spans="1:39" ht="15" outlineLevel="1">
      <c r="A424" s="539"/>
      <c r="B424" s="441" t="s">
        <v>308</v>
      </c>
      <c r="C424" s="304" t="s">
        <v>163</v>
      </c>
      <c r="D424" s="308"/>
      <c r="E424" s="308"/>
      <c r="F424" s="308"/>
      <c r="G424" s="308"/>
      <c r="H424" s="308"/>
      <c r="I424" s="308"/>
      <c r="J424" s="308"/>
      <c r="K424" s="308"/>
      <c r="L424" s="308"/>
      <c r="M424" s="308"/>
      <c r="N424" s="308">
        <f>N423</f>
        <v>12</v>
      </c>
      <c r="O424" s="308"/>
      <c r="P424" s="308"/>
      <c r="Q424" s="308"/>
      <c r="R424" s="308"/>
      <c r="S424" s="308"/>
      <c r="T424" s="308"/>
      <c r="U424" s="308"/>
      <c r="V424" s="308"/>
      <c r="W424" s="308"/>
      <c r="X424" s="308"/>
      <c r="Y424" s="773">
        <f>Y423</f>
        <v>0</v>
      </c>
      <c r="Z424" s="773">
        <f t="shared" ref="Z424:AE424" si="731">Z423</f>
        <v>0</v>
      </c>
      <c r="AA424" s="773">
        <f t="shared" si="731"/>
        <v>0</v>
      </c>
      <c r="AB424" s="773">
        <f t="shared" si="731"/>
        <v>0</v>
      </c>
      <c r="AC424" s="773">
        <f t="shared" si="731"/>
        <v>0</v>
      </c>
      <c r="AD424" s="773">
        <f t="shared" si="731"/>
        <v>0</v>
      </c>
      <c r="AE424" s="773">
        <f t="shared" si="731"/>
        <v>0</v>
      </c>
      <c r="AF424" s="423">
        <f t="shared" ref="AF424" si="732">AF423</f>
        <v>0</v>
      </c>
      <c r="AG424" s="423">
        <f t="shared" ref="AG424" si="733">AG423</f>
        <v>0</v>
      </c>
      <c r="AH424" s="423">
        <f t="shared" ref="AH424" si="734">AH423</f>
        <v>0</v>
      </c>
      <c r="AI424" s="423">
        <f t="shared" ref="AI424" si="735">AI423</f>
        <v>0</v>
      </c>
      <c r="AJ424" s="423">
        <f t="shared" ref="AJ424" si="736">AJ423</f>
        <v>0</v>
      </c>
      <c r="AK424" s="423">
        <f t="shared" ref="AK424" si="737">AK423</f>
        <v>0</v>
      </c>
      <c r="AL424" s="423">
        <f t="shared" ref="AL424" si="738">AL423</f>
        <v>0</v>
      </c>
      <c r="AM424" s="324"/>
    </row>
    <row r="425" spans="1:39" ht="15" outlineLevel="1">
      <c r="A425" s="539"/>
      <c r="B425" s="534"/>
      <c r="C425" s="325"/>
      <c r="D425" s="763"/>
      <c r="E425" s="763"/>
      <c r="F425" s="763"/>
      <c r="G425" s="763"/>
      <c r="H425" s="763"/>
      <c r="I425" s="763"/>
      <c r="J425" s="763"/>
      <c r="K425" s="763"/>
      <c r="L425" s="763"/>
      <c r="M425" s="763"/>
      <c r="N425" s="763"/>
      <c r="O425" s="763"/>
      <c r="P425" s="763"/>
      <c r="Q425" s="763"/>
      <c r="R425" s="763"/>
      <c r="S425" s="763"/>
      <c r="T425" s="763"/>
      <c r="U425" s="763"/>
      <c r="V425" s="763"/>
      <c r="W425" s="763"/>
      <c r="X425" s="763"/>
      <c r="Y425" s="778"/>
      <c r="Z425" s="779"/>
      <c r="AA425" s="778"/>
      <c r="AB425" s="778"/>
      <c r="AC425" s="778"/>
      <c r="AD425" s="778"/>
      <c r="AE425" s="778"/>
      <c r="AF425" s="428"/>
      <c r="AG425" s="428"/>
      <c r="AH425" s="428"/>
      <c r="AI425" s="428"/>
      <c r="AJ425" s="428"/>
      <c r="AK425" s="428"/>
      <c r="AL425" s="428"/>
      <c r="AM425" s="326"/>
    </row>
    <row r="426" spans="1:39" ht="30" outlineLevel="1">
      <c r="A426" s="539">
        <v>8</v>
      </c>
      <c r="B426" s="438" t="s">
        <v>101</v>
      </c>
      <c r="C426" s="304" t="s">
        <v>25</v>
      </c>
      <c r="D426" s="308"/>
      <c r="E426" s="308"/>
      <c r="F426" s="308"/>
      <c r="G426" s="308"/>
      <c r="H426" s="308"/>
      <c r="I426" s="308"/>
      <c r="J426" s="308"/>
      <c r="K426" s="308"/>
      <c r="L426" s="308"/>
      <c r="M426" s="308"/>
      <c r="N426" s="308">
        <v>12</v>
      </c>
      <c r="O426" s="308"/>
      <c r="P426" s="308"/>
      <c r="Q426" s="308"/>
      <c r="R426" s="308"/>
      <c r="S426" s="308"/>
      <c r="T426" s="308"/>
      <c r="U426" s="308"/>
      <c r="V426" s="308"/>
      <c r="W426" s="308"/>
      <c r="X426" s="308"/>
      <c r="Y426" s="777"/>
      <c r="Z426" s="772"/>
      <c r="AA426" s="772"/>
      <c r="AB426" s="772"/>
      <c r="AC426" s="772"/>
      <c r="AD426" s="772"/>
      <c r="AE426" s="772"/>
      <c r="AF426" s="427"/>
      <c r="AG426" s="427"/>
      <c r="AH426" s="427"/>
      <c r="AI426" s="427"/>
      <c r="AJ426" s="427"/>
      <c r="AK426" s="427"/>
      <c r="AL426" s="427"/>
      <c r="AM426" s="309">
        <f>SUM(Y426:AL426)</f>
        <v>0</v>
      </c>
    </row>
    <row r="427" spans="1:39" ht="15" outlineLevel="1">
      <c r="A427" s="539"/>
      <c r="B427" s="441" t="s">
        <v>308</v>
      </c>
      <c r="C427" s="304" t="s">
        <v>163</v>
      </c>
      <c r="D427" s="308"/>
      <c r="E427" s="308"/>
      <c r="F427" s="308"/>
      <c r="G427" s="308"/>
      <c r="H427" s="308"/>
      <c r="I427" s="308"/>
      <c r="J427" s="308"/>
      <c r="K427" s="308"/>
      <c r="L427" s="308"/>
      <c r="M427" s="308"/>
      <c r="N427" s="308">
        <f>N426</f>
        <v>12</v>
      </c>
      <c r="O427" s="308"/>
      <c r="P427" s="308"/>
      <c r="Q427" s="308"/>
      <c r="R427" s="308"/>
      <c r="S427" s="308"/>
      <c r="T427" s="308"/>
      <c r="U427" s="308"/>
      <c r="V427" s="308"/>
      <c r="W427" s="308"/>
      <c r="X427" s="308"/>
      <c r="Y427" s="773">
        <f>Y426</f>
        <v>0</v>
      </c>
      <c r="Z427" s="773">
        <f t="shared" ref="Z427:AE427" si="739">Z426</f>
        <v>0</v>
      </c>
      <c r="AA427" s="773">
        <f t="shared" si="739"/>
        <v>0</v>
      </c>
      <c r="AB427" s="773">
        <f t="shared" si="739"/>
        <v>0</v>
      </c>
      <c r="AC427" s="773">
        <f t="shared" si="739"/>
        <v>0</v>
      </c>
      <c r="AD427" s="773">
        <f t="shared" si="739"/>
        <v>0</v>
      </c>
      <c r="AE427" s="773">
        <f t="shared" si="739"/>
        <v>0</v>
      </c>
      <c r="AF427" s="423">
        <f t="shared" ref="AF427" si="740">AF426</f>
        <v>0</v>
      </c>
      <c r="AG427" s="423">
        <f t="shared" ref="AG427" si="741">AG426</f>
        <v>0</v>
      </c>
      <c r="AH427" s="423">
        <f t="shared" ref="AH427" si="742">AH426</f>
        <v>0</v>
      </c>
      <c r="AI427" s="423">
        <f t="shared" ref="AI427" si="743">AI426</f>
        <v>0</v>
      </c>
      <c r="AJ427" s="423">
        <f t="shared" ref="AJ427" si="744">AJ426</f>
        <v>0</v>
      </c>
      <c r="AK427" s="423">
        <f t="shared" ref="AK427" si="745">AK426</f>
        <v>0</v>
      </c>
      <c r="AL427" s="423">
        <f t="shared" ref="AL427" si="746">AL426</f>
        <v>0</v>
      </c>
      <c r="AM427" s="324"/>
    </row>
    <row r="428" spans="1:39" ht="15" outlineLevel="1">
      <c r="A428" s="539"/>
      <c r="B428" s="534"/>
      <c r="C428" s="325"/>
      <c r="D428" s="768"/>
      <c r="E428" s="768"/>
      <c r="F428" s="768"/>
      <c r="G428" s="768"/>
      <c r="H428" s="768"/>
      <c r="I428" s="768"/>
      <c r="J428" s="768"/>
      <c r="K428" s="768"/>
      <c r="L428" s="768"/>
      <c r="M428" s="768"/>
      <c r="N428" s="763"/>
      <c r="O428" s="768"/>
      <c r="P428" s="768"/>
      <c r="Q428" s="768"/>
      <c r="R428" s="768"/>
      <c r="S428" s="768"/>
      <c r="T428" s="768"/>
      <c r="U428" s="768"/>
      <c r="V428" s="768"/>
      <c r="W428" s="768"/>
      <c r="X428" s="768"/>
      <c r="Y428" s="778"/>
      <c r="Z428" s="779"/>
      <c r="AA428" s="778"/>
      <c r="AB428" s="778"/>
      <c r="AC428" s="778"/>
      <c r="AD428" s="778"/>
      <c r="AE428" s="778"/>
      <c r="AF428" s="428"/>
      <c r="AG428" s="428"/>
      <c r="AH428" s="428"/>
      <c r="AI428" s="428"/>
      <c r="AJ428" s="428"/>
      <c r="AK428" s="428"/>
      <c r="AL428" s="428"/>
      <c r="AM428" s="326"/>
    </row>
    <row r="429" spans="1:39" ht="30" outlineLevel="1">
      <c r="A429" s="539">
        <v>9</v>
      </c>
      <c r="B429" s="438" t="s">
        <v>102</v>
      </c>
      <c r="C429" s="304" t="s">
        <v>25</v>
      </c>
      <c r="D429" s="308"/>
      <c r="E429" s="308"/>
      <c r="F429" s="308"/>
      <c r="G429" s="308"/>
      <c r="H429" s="308"/>
      <c r="I429" s="308"/>
      <c r="J429" s="308"/>
      <c r="K429" s="308"/>
      <c r="L429" s="308"/>
      <c r="M429" s="308"/>
      <c r="N429" s="308">
        <v>12</v>
      </c>
      <c r="O429" s="308"/>
      <c r="P429" s="308"/>
      <c r="Q429" s="308"/>
      <c r="R429" s="308"/>
      <c r="S429" s="308"/>
      <c r="T429" s="308"/>
      <c r="U429" s="308"/>
      <c r="V429" s="308"/>
      <c r="W429" s="308"/>
      <c r="X429" s="308"/>
      <c r="Y429" s="777"/>
      <c r="Z429" s="772"/>
      <c r="AA429" s="772"/>
      <c r="AB429" s="772"/>
      <c r="AC429" s="772"/>
      <c r="AD429" s="772"/>
      <c r="AE429" s="772"/>
      <c r="AF429" s="427"/>
      <c r="AG429" s="427"/>
      <c r="AH429" s="427"/>
      <c r="AI429" s="427"/>
      <c r="AJ429" s="427"/>
      <c r="AK429" s="427"/>
      <c r="AL429" s="427"/>
      <c r="AM429" s="309">
        <f>SUM(Y429:AL429)</f>
        <v>0</v>
      </c>
    </row>
    <row r="430" spans="1:39" ht="15" outlineLevel="1">
      <c r="A430" s="539"/>
      <c r="B430" s="441" t="s">
        <v>308</v>
      </c>
      <c r="C430" s="304" t="s">
        <v>163</v>
      </c>
      <c r="D430" s="308"/>
      <c r="E430" s="308"/>
      <c r="F430" s="308"/>
      <c r="G430" s="308"/>
      <c r="H430" s="308"/>
      <c r="I430" s="308"/>
      <c r="J430" s="308"/>
      <c r="K430" s="308"/>
      <c r="L430" s="308"/>
      <c r="M430" s="308"/>
      <c r="N430" s="308">
        <f>N429</f>
        <v>12</v>
      </c>
      <c r="O430" s="308"/>
      <c r="P430" s="308"/>
      <c r="Q430" s="308"/>
      <c r="R430" s="308"/>
      <c r="S430" s="308"/>
      <c r="T430" s="308"/>
      <c r="U430" s="308"/>
      <c r="V430" s="308"/>
      <c r="W430" s="308"/>
      <c r="X430" s="308"/>
      <c r="Y430" s="773">
        <f>Y429</f>
        <v>0</v>
      </c>
      <c r="Z430" s="773">
        <f t="shared" ref="Z430:AE430" si="747">Z429</f>
        <v>0</v>
      </c>
      <c r="AA430" s="773">
        <f t="shared" si="747"/>
        <v>0</v>
      </c>
      <c r="AB430" s="773">
        <f t="shared" si="747"/>
        <v>0</v>
      </c>
      <c r="AC430" s="773">
        <f t="shared" si="747"/>
        <v>0</v>
      </c>
      <c r="AD430" s="773">
        <f t="shared" si="747"/>
        <v>0</v>
      </c>
      <c r="AE430" s="773">
        <f t="shared" si="747"/>
        <v>0</v>
      </c>
      <c r="AF430" s="423">
        <f t="shared" ref="AF430" si="748">AF429</f>
        <v>0</v>
      </c>
      <c r="AG430" s="423">
        <f t="shared" ref="AG430" si="749">AG429</f>
        <v>0</v>
      </c>
      <c r="AH430" s="423">
        <f t="shared" ref="AH430" si="750">AH429</f>
        <v>0</v>
      </c>
      <c r="AI430" s="423">
        <f t="shared" ref="AI430" si="751">AI429</f>
        <v>0</v>
      </c>
      <c r="AJ430" s="423">
        <f t="shared" ref="AJ430" si="752">AJ429</f>
        <v>0</v>
      </c>
      <c r="AK430" s="423">
        <f t="shared" ref="AK430" si="753">AK429</f>
        <v>0</v>
      </c>
      <c r="AL430" s="423">
        <f t="shared" ref="AL430" si="754">AL429</f>
        <v>0</v>
      </c>
      <c r="AM430" s="324"/>
    </row>
    <row r="431" spans="1:39" ht="15" outlineLevel="1">
      <c r="A431" s="539"/>
      <c r="B431" s="534"/>
      <c r="C431" s="325"/>
      <c r="D431" s="768"/>
      <c r="E431" s="768"/>
      <c r="F431" s="768"/>
      <c r="G431" s="768"/>
      <c r="H431" s="768"/>
      <c r="I431" s="768"/>
      <c r="J431" s="768"/>
      <c r="K431" s="768"/>
      <c r="L431" s="768"/>
      <c r="M431" s="768"/>
      <c r="N431" s="763"/>
      <c r="O431" s="768"/>
      <c r="P431" s="768"/>
      <c r="Q431" s="768"/>
      <c r="R431" s="768"/>
      <c r="S431" s="768"/>
      <c r="T431" s="768"/>
      <c r="U431" s="768"/>
      <c r="V431" s="768"/>
      <c r="W431" s="768"/>
      <c r="X431" s="768"/>
      <c r="Y431" s="778"/>
      <c r="Z431" s="778"/>
      <c r="AA431" s="778"/>
      <c r="AB431" s="778"/>
      <c r="AC431" s="778"/>
      <c r="AD431" s="778"/>
      <c r="AE431" s="778"/>
      <c r="AF431" s="428"/>
      <c r="AG431" s="428"/>
      <c r="AH431" s="428"/>
      <c r="AI431" s="428"/>
      <c r="AJ431" s="428"/>
      <c r="AK431" s="428"/>
      <c r="AL431" s="428"/>
      <c r="AM431" s="326"/>
    </row>
    <row r="432" spans="1:39" ht="30" outlineLevel="1">
      <c r="A432" s="539">
        <v>10</v>
      </c>
      <c r="B432" s="438" t="s">
        <v>103</v>
      </c>
      <c r="C432" s="304" t="s">
        <v>25</v>
      </c>
      <c r="D432" s="308"/>
      <c r="E432" s="308"/>
      <c r="F432" s="308"/>
      <c r="G432" s="308"/>
      <c r="H432" s="308"/>
      <c r="I432" s="308"/>
      <c r="J432" s="308"/>
      <c r="K432" s="308"/>
      <c r="L432" s="308"/>
      <c r="M432" s="308"/>
      <c r="N432" s="308">
        <v>3</v>
      </c>
      <c r="O432" s="308"/>
      <c r="P432" s="308"/>
      <c r="Q432" s="308"/>
      <c r="R432" s="308"/>
      <c r="S432" s="308"/>
      <c r="T432" s="308"/>
      <c r="U432" s="308"/>
      <c r="V432" s="308"/>
      <c r="W432" s="308"/>
      <c r="X432" s="308"/>
      <c r="Y432" s="777"/>
      <c r="Z432" s="772"/>
      <c r="AA432" s="772"/>
      <c r="AB432" s="772"/>
      <c r="AC432" s="772"/>
      <c r="AD432" s="772"/>
      <c r="AE432" s="772"/>
      <c r="AF432" s="427"/>
      <c r="AG432" s="427"/>
      <c r="AH432" s="427"/>
      <c r="AI432" s="427"/>
      <c r="AJ432" s="427"/>
      <c r="AK432" s="427"/>
      <c r="AL432" s="427"/>
      <c r="AM432" s="309">
        <f>SUM(Y432:AL432)</f>
        <v>0</v>
      </c>
    </row>
    <row r="433" spans="1:40" ht="15" outlineLevel="1">
      <c r="A433" s="539"/>
      <c r="B433" s="441" t="s">
        <v>308</v>
      </c>
      <c r="C433" s="304" t="s">
        <v>163</v>
      </c>
      <c r="D433" s="308"/>
      <c r="E433" s="308"/>
      <c r="F433" s="308"/>
      <c r="G433" s="308"/>
      <c r="H433" s="308"/>
      <c r="I433" s="308"/>
      <c r="J433" s="308"/>
      <c r="K433" s="308"/>
      <c r="L433" s="308"/>
      <c r="M433" s="308"/>
      <c r="N433" s="308">
        <f>N432</f>
        <v>3</v>
      </c>
      <c r="O433" s="308"/>
      <c r="P433" s="308"/>
      <c r="Q433" s="308"/>
      <c r="R433" s="308"/>
      <c r="S433" s="308"/>
      <c r="T433" s="308"/>
      <c r="U433" s="308"/>
      <c r="V433" s="308"/>
      <c r="W433" s="308"/>
      <c r="X433" s="308"/>
      <c r="Y433" s="773">
        <f>Y432</f>
        <v>0</v>
      </c>
      <c r="Z433" s="773">
        <f t="shared" ref="Z433:AE433" si="755">Z432</f>
        <v>0</v>
      </c>
      <c r="AA433" s="773">
        <f t="shared" si="755"/>
        <v>0</v>
      </c>
      <c r="AB433" s="773">
        <f t="shared" si="755"/>
        <v>0</v>
      </c>
      <c r="AC433" s="773">
        <f t="shared" si="755"/>
        <v>0</v>
      </c>
      <c r="AD433" s="773">
        <f t="shared" si="755"/>
        <v>0</v>
      </c>
      <c r="AE433" s="773">
        <f t="shared" si="755"/>
        <v>0</v>
      </c>
      <c r="AF433" s="423">
        <f t="shared" ref="AF433" si="756">AF432</f>
        <v>0</v>
      </c>
      <c r="AG433" s="423">
        <f t="shared" ref="AG433" si="757">AG432</f>
        <v>0</v>
      </c>
      <c r="AH433" s="423">
        <f t="shared" ref="AH433" si="758">AH432</f>
        <v>0</v>
      </c>
      <c r="AI433" s="423">
        <f t="shared" ref="AI433" si="759">AI432</f>
        <v>0</v>
      </c>
      <c r="AJ433" s="423">
        <f t="shared" ref="AJ433" si="760">AJ432</f>
        <v>0</v>
      </c>
      <c r="AK433" s="423">
        <f t="shared" ref="AK433" si="761">AK432</f>
        <v>0</v>
      </c>
      <c r="AL433" s="423">
        <f t="shared" ref="AL433" si="762">AL432</f>
        <v>0</v>
      </c>
      <c r="AM433" s="324"/>
    </row>
    <row r="434" spans="1:40" ht="15" outlineLevel="1">
      <c r="A434" s="539"/>
      <c r="B434" s="534"/>
      <c r="C434" s="325"/>
      <c r="D434" s="768"/>
      <c r="E434" s="768"/>
      <c r="F434" s="768"/>
      <c r="G434" s="768"/>
      <c r="H434" s="768"/>
      <c r="I434" s="768"/>
      <c r="J434" s="768"/>
      <c r="K434" s="768"/>
      <c r="L434" s="768"/>
      <c r="M434" s="768"/>
      <c r="N434" s="763"/>
      <c r="O434" s="768"/>
      <c r="P434" s="768"/>
      <c r="Q434" s="768"/>
      <c r="R434" s="768"/>
      <c r="S434" s="768"/>
      <c r="T434" s="768"/>
      <c r="U434" s="768"/>
      <c r="V434" s="768"/>
      <c r="W434" s="768"/>
      <c r="X434" s="768"/>
      <c r="Y434" s="778"/>
      <c r="Z434" s="779"/>
      <c r="AA434" s="778"/>
      <c r="AB434" s="778"/>
      <c r="AC434" s="778"/>
      <c r="AD434" s="778"/>
      <c r="AE434" s="778"/>
      <c r="AF434" s="428"/>
      <c r="AG434" s="428"/>
      <c r="AH434" s="428"/>
      <c r="AI434" s="428"/>
      <c r="AJ434" s="428"/>
      <c r="AK434" s="428"/>
      <c r="AL434" s="428"/>
      <c r="AM434" s="326"/>
    </row>
    <row r="435" spans="1:40" ht="15.6" outlineLevel="1">
      <c r="A435" s="539"/>
      <c r="B435" s="511" t="s">
        <v>10</v>
      </c>
      <c r="C435" s="302"/>
      <c r="D435" s="767"/>
      <c r="E435" s="767"/>
      <c r="F435" s="767"/>
      <c r="G435" s="767"/>
      <c r="H435" s="767"/>
      <c r="I435" s="767"/>
      <c r="J435" s="767"/>
      <c r="K435" s="767"/>
      <c r="L435" s="767"/>
      <c r="M435" s="767"/>
      <c r="N435" s="769"/>
      <c r="O435" s="767"/>
      <c r="P435" s="767"/>
      <c r="Q435" s="767"/>
      <c r="R435" s="767"/>
      <c r="S435" s="767"/>
      <c r="T435" s="767"/>
      <c r="U435" s="767"/>
      <c r="V435" s="767"/>
      <c r="W435" s="767"/>
      <c r="X435" s="767"/>
      <c r="Y435" s="776"/>
      <c r="Z435" s="776"/>
      <c r="AA435" s="776"/>
      <c r="AB435" s="776"/>
      <c r="AC435" s="776"/>
      <c r="AD435" s="776"/>
      <c r="AE435" s="776"/>
      <c r="AF435" s="426"/>
      <c r="AG435" s="426"/>
      <c r="AH435" s="426"/>
      <c r="AI435" s="426"/>
      <c r="AJ435" s="426"/>
      <c r="AK435" s="426"/>
      <c r="AL435" s="426"/>
      <c r="AM435" s="305"/>
    </row>
    <row r="436" spans="1:40" ht="30" outlineLevel="1">
      <c r="A436" s="539">
        <v>11</v>
      </c>
      <c r="B436" s="438" t="s">
        <v>104</v>
      </c>
      <c r="C436" s="304" t="s">
        <v>25</v>
      </c>
      <c r="D436" s="308"/>
      <c r="E436" s="308"/>
      <c r="F436" s="308"/>
      <c r="G436" s="308"/>
      <c r="H436" s="308"/>
      <c r="I436" s="308"/>
      <c r="J436" s="308"/>
      <c r="K436" s="308"/>
      <c r="L436" s="308"/>
      <c r="M436" s="308"/>
      <c r="N436" s="308">
        <v>12</v>
      </c>
      <c r="O436" s="308"/>
      <c r="P436" s="308"/>
      <c r="Q436" s="308"/>
      <c r="R436" s="308"/>
      <c r="S436" s="308"/>
      <c r="T436" s="308"/>
      <c r="U436" s="308"/>
      <c r="V436" s="308"/>
      <c r="W436" s="308"/>
      <c r="X436" s="308"/>
      <c r="Y436" s="789"/>
      <c r="Z436" s="772"/>
      <c r="AA436" s="772"/>
      <c r="AB436" s="772"/>
      <c r="AC436" s="772"/>
      <c r="AD436" s="772"/>
      <c r="AE436" s="772"/>
      <c r="AF436" s="427"/>
      <c r="AG436" s="427"/>
      <c r="AH436" s="427"/>
      <c r="AI436" s="427"/>
      <c r="AJ436" s="427"/>
      <c r="AK436" s="427"/>
      <c r="AL436" s="427"/>
      <c r="AM436" s="309">
        <f>SUM(Y436:AL436)</f>
        <v>0</v>
      </c>
    </row>
    <row r="437" spans="1:40" ht="15" outlineLevel="1">
      <c r="A437" s="539"/>
      <c r="B437" s="441" t="s">
        <v>308</v>
      </c>
      <c r="C437" s="304" t="s">
        <v>163</v>
      </c>
      <c r="D437" s="308"/>
      <c r="E437" s="308"/>
      <c r="F437" s="308"/>
      <c r="G437" s="308"/>
      <c r="H437" s="308"/>
      <c r="I437" s="308"/>
      <c r="J437" s="308"/>
      <c r="K437" s="308"/>
      <c r="L437" s="308"/>
      <c r="M437" s="308"/>
      <c r="N437" s="308">
        <f>N436</f>
        <v>12</v>
      </c>
      <c r="O437" s="308"/>
      <c r="P437" s="308"/>
      <c r="Q437" s="308"/>
      <c r="R437" s="308"/>
      <c r="S437" s="308"/>
      <c r="T437" s="308"/>
      <c r="U437" s="308"/>
      <c r="V437" s="308"/>
      <c r="W437" s="308"/>
      <c r="X437" s="308"/>
      <c r="Y437" s="773">
        <f>Y436</f>
        <v>0</v>
      </c>
      <c r="Z437" s="773">
        <f t="shared" ref="Z437:AE437" si="763">Z436</f>
        <v>0</v>
      </c>
      <c r="AA437" s="773">
        <f t="shared" si="763"/>
        <v>0</v>
      </c>
      <c r="AB437" s="773">
        <f t="shared" si="763"/>
        <v>0</v>
      </c>
      <c r="AC437" s="773">
        <f t="shared" si="763"/>
        <v>0</v>
      </c>
      <c r="AD437" s="773">
        <f t="shared" si="763"/>
        <v>0</v>
      </c>
      <c r="AE437" s="773">
        <f t="shared" si="763"/>
        <v>0</v>
      </c>
      <c r="AF437" s="423">
        <f t="shared" ref="AF437" si="764">AF436</f>
        <v>0</v>
      </c>
      <c r="AG437" s="423">
        <f t="shared" ref="AG437" si="765">AG436</f>
        <v>0</v>
      </c>
      <c r="AH437" s="423">
        <f t="shared" ref="AH437" si="766">AH436</f>
        <v>0</v>
      </c>
      <c r="AI437" s="423">
        <f t="shared" ref="AI437" si="767">AI436</f>
        <v>0</v>
      </c>
      <c r="AJ437" s="423">
        <f t="shared" ref="AJ437" si="768">AJ436</f>
        <v>0</v>
      </c>
      <c r="AK437" s="423">
        <f t="shared" ref="AK437" si="769">AK436</f>
        <v>0</v>
      </c>
      <c r="AL437" s="423">
        <f t="shared" ref="AL437" si="770">AL436</f>
        <v>0</v>
      </c>
      <c r="AM437" s="310"/>
    </row>
    <row r="438" spans="1:40" ht="15" outlineLevel="1">
      <c r="A438" s="539"/>
      <c r="B438" s="535"/>
      <c r="C438" s="318"/>
      <c r="D438" s="763"/>
      <c r="E438" s="763"/>
      <c r="F438" s="763"/>
      <c r="G438" s="763"/>
      <c r="H438" s="763"/>
      <c r="I438" s="763"/>
      <c r="J438" s="763"/>
      <c r="K438" s="763"/>
      <c r="L438" s="763"/>
      <c r="M438" s="763"/>
      <c r="N438" s="763"/>
      <c r="O438" s="763"/>
      <c r="P438" s="763"/>
      <c r="Q438" s="763"/>
      <c r="R438" s="763"/>
      <c r="S438" s="763"/>
      <c r="T438" s="763"/>
      <c r="U438" s="763"/>
      <c r="V438" s="763"/>
      <c r="W438" s="763"/>
      <c r="X438" s="763"/>
      <c r="Y438" s="774"/>
      <c r="Z438" s="783"/>
      <c r="AA438" s="783"/>
      <c r="AB438" s="783"/>
      <c r="AC438" s="783"/>
      <c r="AD438" s="783"/>
      <c r="AE438" s="783"/>
      <c r="AF438" s="431"/>
      <c r="AG438" s="431"/>
      <c r="AH438" s="431"/>
      <c r="AI438" s="431"/>
      <c r="AJ438" s="431"/>
      <c r="AK438" s="431"/>
      <c r="AL438" s="431"/>
      <c r="AM438" s="319"/>
    </row>
    <row r="439" spans="1:40" ht="30" outlineLevel="1">
      <c r="A439" s="539">
        <v>12</v>
      </c>
      <c r="B439" s="438" t="s">
        <v>105</v>
      </c>
      <c r="C439" s="304" t="s">
        <v>25</v>
      </c>
      <c r="D439" s="308"/>
      <c r="E439" s="308"/>
      <c r="F439" s="308"/>
      <c r="G439" s="308"/>
      <c r="H439" s="308"/>
      <c r="I439" s="308"/>
      <c r="J439" s="308"/>
      <c r="K439" s="308"/>
      <c r="L439" s="308"/>
      <c r="M439" s="308"/>
      <c r="N439" s="308">
        <v>12</v>
      </c>
      <c r="O439" s="308"/>
      <c r="P439" s="308"/>
      <c r="Q439" s="308"/>
      <c r="R439" s="308"/>
      <c r="S439" s="308"/>
      <c r="T439" s="308"/>
      <c r="U439" s="308"/>
      <c r="V439" s="308"/>
      <c r="W439" s="308"/>
      <c r="X439" s="308"/>
      <c r="Y439" s="772"/>
      <c r="Z439" s="772"/>
      <c r="AA439" s="772"/>
      <c r="AB439" s="772"/>
      <c r="AC439" s="772"/>
      <c r="AD439" s="772"/>
      <c r="AE439" s="772"/>
      <c r="AF439" s="427"/>
      <c r="AG439" s="427"/>
      <c r="AH439" s="427"/>
      <c r="AI439" s="427"/>
      <c r="AJ439" s="427"/>
      <c r="AK439" s="427"/>
      <c r="AL439" s="427"/>
      <c r="AM439" s="309">
        <f>SUM(Y439:AL439)</f>
        <v>0</v>
      </c>
    </row>
    <row r="440" spans="1:40" ht="15" outlineLevel="1">
      <c r="A440" s="539"/>
      <c r="B440" s="441" t="s">
        <v>308</v>
      </c>
      <c r="C440" s="304" t="s">
        <v>163</v>
      </c>
      <c r="D440" s="308"/>
      <c r="E440" s="308"/>
      <c r="F440" s="308"/>
      <c r="G440" s="308"/>
      <c r="H440" s="308"/>
      <c r="I440" s="308"/>
      <c r="J440" s="308"/>
      <c r="K440" s="308"/>
      <c r="L440" s="308"/>
      <c r="M440" s="308"/>
      <c r="N440" s="308">
        <f>N439</f>
        <v>12</v>
      </c>
      <c r="O440" s="308"/>
      <c r="P440" s="308"/>
      <c r="Q440" s="308"/>
      <c r="R440" s="308"/>
      <c r="S440" s="308"/>
      <c r="T440" s="308"/>
      <c r="U440" s="308"/>
      <c r="V440" s="308"/>
      <c r="W440" s="308"/>
      <c r="X440" s="308"/>
      <c r="Y440" s="773">
        <f>Y439</f>
        <v>0</v>
      </c>
      <c r="Z440" s="773">
        <f t="shared" ref="Z440:AE440" si="771">Z439</f>
        <v>0</v>
      </c>
      <c r="AA440" s="773">
        <f t="shared" si="771"/>
        <v>0</v>
      </c>
      <c r="AB440" s="773">
        <f t="shared" si="771"/>
        <v>0</v>
      </c>
      <c r="AC440" s="773">
        <f t="shared" si="771"/>
        <v>0</v>
      </c>
      <c r="AD440" s="773">
        <f t="shared" si="771"/>
        <v>0</v>
      </c>
      <c r="AE440" s="773">
        <f t="shared" si="771"/>
        <v>0</v>
      </c>
      <c r="AF440" s="423">
        <f t="shared" ref="AF440" si="772">AF439</f>
        <v>0</v>
      </c>
      <c r="AG440" s="423">
        <f t="shared" ref="AG440" si="773">AG439</f>
        <v>0</v>
      </c>
      <c r="AH440" s="423">
        <f t="shared" ref="AH440" si="774">AH439</f>
        <v>0</v>
      </c>
      <c r="AI440" s="423">
        <f t="shared" ref="AI440" si="775">AI439</f>
        <v>0</v>
      </c>
      <c r="AJ440" s="423">
        <f t="shared" ref="AJ440" si="776">AJ439</f>
        <v>0</v>
      </c>
      <c r="AK440" s="423">
        <f t="shared" ref="AK440" si="777">AK439</f>
        <v>0</v>
      </c>
      <c r="AL440" s="423">
        <f t="shared" ref="AL440" si="778">AL439</f>
        <v>0</v>
      </c>
      <c r="AM440" s="310"/>
    </row>
    <row r="441" spans="1:40" ht="15" outlineLevel="1">
      <c r="A441" s="539"/>
      <c r="B441" s="535"/>
      <c r="C441" s="318"/>
      <c r="D441" s="763"/>
      <c r="E441" s="763"/>
      <c r="F441" s="763"/>
      <c r="G441" s="763"/>
      <c r="H441" s="763"/>
      <c r="I441" s="763"/>
      <c r="J441" s="763"/>
      <c r="K441" s="763"/>
      <c r="L441" s="763"/>
      <c r="M441" s="763"/>
      <c r="N441" s="763"/>
      <c r="O441" s="763"/>
      <c r="P441" s="763"/>
      <c r="Q441" s="763"/>
      <c r="R441" s="763"/>
      <c r="S441" s="763"/>
      <c r="T441" s="763"/>
      <c r="U441" s="763"/>
      <c r="V441" s="763"/>
      <c r="W441" s="763"/>
      <c r="X441" s="763"/>
      <c r="Y441" s="784"/>
      <c r="Z441" s="784"/>
      <c r="AA441" s="774"/>
      <c r="AB441" s="774"/>
      <c r="AC441" s="774"/>
      <c r="AD441" s="774"/>
      <c r="AE441" s="774"/>
      <c r="AF441" s="424"/>
      <c r="AG441" s="424"/>
      <c r="AH441" s="424"/>
      <c r="AI441" s="424"/>
      <c r="AJ441" s="424"/>
      <c r="AK441" s="424"/>
      <c r="AL441" s="424"/>
      <c r="AM441" s="319"/>
    </row>
    <row r="442" spans="1:40" ht="30" outlineLevel="1">
      <c r="A442" s="539">
        <v>13</v>
      </c>
      <c r="B442" s="438" t="s">
        <v>106</v>
      </c>
      <c r="C442" s="304" t="s">
        <v>25</v>
      </c>
      <c r="D442" s="308"/>
      <c r="E442" s="308"/>
      <c r="F442" s="308"/>
      <c r="G442" s="308"/>
      <c r="H442" s="308"/>
      <c r="I442" s="308"/>
      <c r="J442" s="308"/>
      <c r="K442" s="308"/>
      <c r="L442" s="308"/>
      <c r="M442" s="308"/>
      <c r="N442" s="308">
        <v>12</v>
      </c>
      <c r="O442" s="308"/>
      <c r="P442" s="308"/>
      <c r="Q442" s="308"/>
      <c r="R442" s="308"/>
      <c r="S442" s="308"/>
      <c r="T442" s="308"/>
      <c r="U442" s="308"/>
      <c r="V442" s="308"/>
      <c r="W442" s="308"/>
      <c r="X442" s="308"/>
      <c r="Y442" s="772"/>
      <c r="Z442" s="772"/>
      <c r="AA442" s="772"/>
      <c r="AB442" s="772"/>
      <c r="AC442" s="772"/>
      <c r="AD442" s="772"/>
      <c r="AE442" s="772"/>
      <c r="AF442" s="427"/>
      <c r="AG442" s="427"/>
      <c r="AH442" s="427"/>
      <c r="AI442" s="427"/>
      <c r="AJ442" s="427"/>
      <c r="AK442" s="427"/>
      <c r="AL442" s="427"/>
      <c r="AM442" s="309">
        <f>SUM(Y442:AL442)</f>
        <v>0</v>
      </c>
    </row>
    <row r="443" spans="1:40" ht="15" outlineLevel="1">
      <c r="A443" s="539"/>
      <c r="B443" s="441" t="s">
        <v>308</v>
      </c>
      <c r="C443" s="304" t="s">
        <v>163</v>
      </c>
      <c r="D443" s="308"/>
      <c r="E443" s="308"/>
      <c r="F443" s="308"/>
      <c r="G443" s="308"/>
      <c r="H443" s="308"/>
      <c r="I443" s="308"/>
      <c r="J443" s="308"/>
      <c r="K443" s="308"/>
      <c r="L443" s="308"/>
      <c r="M443" s="308"/>
      <c r="N443" s="308">
        <f>N442</f>
        <v>12</v>
      </c>
      <c r="O443" s="308"/>
      <c r="P443" s="308"/>
      <c r="Q443" s="308"/>
      <c r="R443" s="308"/>
      <c r="S443" s="308"/>
      <c r="T443" s="308"/>
      <c r="U443" s="308"/>
      <c r="V443" s="308"/>
      <c r="W443" s="308"/>
      <c r="X443" s="308"/>
      <c r="Y443" s="773">
        <f>Y442</f>
        <v>0</v>
      </c>
      <c r="Z443" s="773">
        <f t="shared" ref="Z443:AE443" si="779">Z442</f>
        <v>0</v>
      </c>
      <c r="AA443" s="773">
        <f t="shared" si="779"/>
        <v>0</v>
      </c>
      <c r="AB443" s="773">
        <f t="shared" si="779"/>
        <v>0</v>
      </c>
      <c r="AC443" s="773">
        <f t="shared" si="779"/>
        <v>0</v>
      </c>
      <c r="AD443" s="773">
        <f t="shared" si="779"/>
        <v>0</v>
      </c>
      <c r="AE443" s="773">
        <f t="shared" si="779"/>
        <v>0</v>
      </c>
      <c r="AF443" s="423">
        <f t="shared" ref="AF443" si="780">AF442</f>
        <v>0</v>
      </c>
      <c r="AG443" s="423">
        <f t="shared" ref="AG443" si="781">AG442</f>
        <v>0</v>
      </c>
      <c r="AH443" s="423">
        <f t="shared" ref="AH443" si="782">AH442</f>
        <v>0</v>
      </c>
      <c r="AI443" s="423">
        <f t="shared" ref="AI443" si="783">AI442</f>
        <v>0</v>
      </c>
      <c r="AJ443" s="423">
        <f t="shared" ref="AJ443" si="784">AJ442</f>
        <v>0</v>
      </c>
      <c r="AK443" s="423">
        <f t="shared" ref="AK443" si="785">AK442</f>
        <v>0</v>
      </c>
      <c r="AL443" s="423">
        <f t="shared" ref="AL443" si="786">AL442</f>
        <v>0</v>
      </c>
      <c r="AM443" s="319"/>
    </row>
    <row r="444" spans="1:40" ht="15" outlineLevel="1">
      <c r="A444" s="539"/>
      <c r="B444" s="535"/>
      <c r="C444" s="318"/>
      <c r="D444" s="763"/>
      <c r="E444" s="763"/>
      <c r="F444" s="763"/>
      <c r="G444" s="763"/>
      <c r="H444" s="763"/>
      <c r="I444" s="763"/>
      <c r="J444" s="763"/>
      <c r="K444" s="763"/>
      <c r="L444" s="763"/>
      <c r="M444" s="763"/>
      <c r="N444" s="763"/>
      <c r="O444" s="763"/>
      <c r="P444" s="763"/>
      <c r="Q444" s="763"/>
      <c r="R444" s="763"/>
      <c r="S444" s="763"/>
      <c r="T444" s="763"/>
      <c r="U444" s="763"/>
      <c r="V444" s="763"/>
      <c r="W444" s="763"/>
      <c r="X444" s="763"/>
      <c r="Y444" s="774"/>
      <c r="Z444" s="774"/>
      <c r="AA444" s="774"/>
      <c r="AB444" s="774"/>
      <c r="AC444" s="774"/>
      <c r="AD444" s="774"/>
      <c r="AE444" s="774"/>
      <c r="AF444" s="424"/>
      <c r="AG444" s="424"/>
      <c r="AH444" s="424"/>
      <c r="AI444" s="424"/>
      <c r="AJ444" s="424"/>
      <c r="AK444" s="424"/>
      <c r="AL444" s="424"/>
      <c r="AM444" s="319"/>
    </row>
    <row r="445" spans="1:40" ht="15.6" outlineLevel="1">
      <c r="A445" s="539"/>
      <c r="B445" s="511" t="s">
        <v>107</v>
      </c>
      <c r="C445" s="302"/>
      <c r="D445" s="769"/>
      <c r="E445" s="769"/>
      <c r="F445" s="769"/>
      <c r="G445" s="769"/>
      <c r="H445" s="769"/>
      <c r="I445" s="769"/>
      <c r="J445" s="769"/>
      <c r="K445" s="769"/>
      <c r="L445" s="769"/>
      <c r="M445" s="769"/>
      <c r="N445" s="769"/>
      <c r="O445" s="769"/>
      <c r="P445" s="767"/>
      <c r="Q445" s="767"/>
      <c r="R445" s="767"/>
      <c r="S445" s="767"/>
      <c r="T445" s="767"/>
      <c r="U445" s="767"/>
      <c r="V445" s="767"/>
      <c r="W445" s="767"/>
      <c r="X445" s="767"/>
      <c r="Y445" s="776"/>
      <c r="Z445" s="776"/>
      <c r="AA445" s="776"/>
      <c r="AB445" s="776"/>
      <c r="AC445" s="776"/>
      <c r="AD445" s="776"/>
      <c r="AE445" s="776"/>
      <c r="AF445" s="426"/>
      <c r="AG445" s="426"/>
      <c r="AH445" s="426"/>
      <c r="AI445" s="426"/>
      <c r="AJ445" s="426"/>
      <c r="AK445" s="426"/>
      <c r="AL445" s="426"/>
      <c r="AM445" s="305"/>
    </row>
    <row r="446" spans="1:40" ht="15" outlineLevel="1">
      <c r="A446" s="539">
        <v>14</v>
      </c>
      <c r="B446" s="535" t="s">
        <v>108</v>
      </c>
      <c r="C446" s="304" t="s">
        <v>25</v>
      </c>
      <c r="D446" s="308"/>
      <c r="E446" s="308"/>
      <c r="F446" s="308"/>
      <c r="G446" s="308"/>
      <c r="H446" s="308"/>
      <c r="I446" s="308"/>
      <c r="J446" s="308"/>
      <c r="K446" s="308"/>
      <c r="L446" s="308"/>
      <c r="M446" s="308"/>
      <c r="N446" s="308">
        <v>12</v>
      </c>
      <c r="O446" s="308"/>
      <c r="P446" s="308"/>
      <c r="Q446" s="308"/>
      <c r="R446" s="308"/>
      <c r="S446" s="308"/>
      <c r="T446" s="308"/>
      <c r="U446" s="308"/>
      <c r="V446" s="308"/>
      <c r="W446" s="308"/>
      <c r="X446" s="308"/>
      <c r="Y446" s="772"/>
      <c r="Z446" s="772"/>
      <c r="AA446" s="772"/>
      <c r="AB446" s="772"/>
      <c r="AC446" s="772"/>
      <c r="AD446" s="772"/>
      <c r="AE446" s="772"/>
      <c r="AF446" s="422"/>
      <c r="AG446" s="422"/>
      <c r="AH446" s="422"/>
      <c r="AI446" s="422"/>
      <c r="AJ446" s="422"/>
      <c r="AK446" s="422"/>
      <c r="AL446" s="422"/>
      <c r="AM446" s="309">
        <f>SUM(Y446:AL446)</f>
        <v>0</v>
      </c>
    </row>
    <row r="447" spans="1:40" ht="15" outlineLevel="1">
      <c r="A447" s="539"/>
      <c r="B447" s="441" t="s">
        <v>308</v>
      </c>
      <c r="C447" s="304" t="s">
        <v>163</v>
      </c>
      <c r="D447" s="308"/>
      <c r="E447" s="308"/>
      <c r="F447" s="308"/>
      <c r="G447" s="308"/>
      <c r="H447" s="308"/>
      <c r="I447" s="308"/>
      <c r="J447" s="308"/>
      <c r="K447" s="308"/>
      <c r="L447" s="308"/>
      <c r="M447" s="308"/>
      <c r="N447" s="308">
        <f>N446</f>
        <v>12</v>
      </c>
      <c r="O447" s="308"/>
      <c r="P447" s="308"/>
      <c r="Q447" s="308"/>
      <c r="R447" s="308"/>
      <c r="S447" s="308"/>
      <c r="T447" s="308"/>
      <c r="U447" s="308"/>
      <c r="V447" s="308"/>
      <c r="W447" s="308"/>
      <c r="X447" s="308"/>
      <c r="Y447" s="773">
        <f>Y446</f>
        <v>0</v>
      </c>
      <c r="Z447" s="773">
        <f t="shared" ref="Z447:AE447" si="787">Z446</f>
        <v>0</v>
      </c>
      <c r="AA447" s="773">
        <f t="shared" si="787"/>
        <v>0</v>
      </c>
      <c r="AB447" s="773">
        <f t="shared" si="787"/>
        <v>0</v>
      </c>
      <c r="AC447" s="773">
        <f t="shared" si="787"/>
        <v>0</v>
      </c>
      <c r="AD447" s="773">
        <f t="shared" si="787"/>
        <v>0</v>
      </c>
      <c r="AE447" s="773">
        <f t="shared" si="787"/>
        <v>0</v>
      </c>
      <c r="AF447" s="423">
        <f t="shared" ref="AF447" si="788">AF446</f>
        <v>0</v>
      </c>
      <c r="AG447" s="423">
        <f t="shared" ref="AG447" si="789">AG446</f>
        <v>0</v>
      </c>
      <c r="AH447" s="423">
        <f t="shared" ref="AH447" si="790">AH446</f>
        <v>0</v>
      </c>
      <c r="AI447" s="423">
        <f t="shared" ref="AI447" si="791">AI446</f>
        <v>0</v>
      </c>
      <c r="AJ447" s="423">
        <f t="shared" ref="AJ447" si="792">AJ446</f>
        <v>0</v>
      </c>
      <c r="AK447" s="423">
        <f t="shared" ref="AK447" si="793">AK446</f>
        <v>0</v>
      </c>
      <c r="AL447" s="423">
        <f t="shared" ref="AL447" si="794">AL446</f>
        <v>0</v>
      </c>
      <c r="AM447" s="310"/>
    </row>
    <row r="448" spans="1:40" ht="15" outlineLevel="1">
      <c r="A448" s="539"/>
      <c r="B448" s="535"/>
      <c r="C448" s="318"/>
      <c r="D448" s="763"/>
      <c r="E448" s="763"/>
      <c r="F448" s="763"/>
      <c r="G448" s="763"/>
      <c r="H448" s="763"/>
      <c r="I448" s="763"/>
      <c r="J448" s="763"/>
      <c r="K448" s="763"/>
      <c r="L448" s="763"/>
      <c r="M448" s="763"/>
      <c r="N448" s="764"/>
      <c r="O448" s="763"/>
      <c r="P448" s="763"/>
      <c r="Q448" s="763"/>
      <c r="R448" s="763"/>
      <c r="S448" s="763"/>
      <c r="T448" s="763"/>
      <c r="U448" s="763"/>
      <c r="V448" s="763"/>
      <c r="W448" s="763"/>
      <c r="X448" s="763"/>
      <c r="Y448" s="774"/>
      <c r="Z448" s="774"/>
      <c r="AA448" s="774"/>
      <c r="AB448" s="774"/>
      <c r="AC448" s="774"/>
      <c r="AD448" s="774"/>
      <c r="AE448" s="774"/>
      <c r="AF448" s="424"/>
      <c r="AG448" s="424"/>
      <c r="AH448" s="424"/>
      <c r="AI448" s="424"/>
      <c r="AJ448" s="424"/>
      <c r="AK448" s="424"/>
      <c r="AL448" s="424"/>
      <c r="AM448" s="314"/>
      <c r="AN448" s="636"/>
    </row>
    <row r="449" spans="1:40" s="322" customFormat="1" ht="15.6" outlineLevel="1">
      <c r="A449" s="539"/>
      <c r="B449" s="511" t="s">
        <v>489</v>
      </c>
      <c r="C449" s="304"/>
      <c r="D449" s="763"/>
      <c r="E449" s="763"/>
      <c r="F449" s="763"/>
      <c r="G449" s="763"/>
      <c r="H449" s="763"/>
      <c r="I449" s="763"/>
      <c r="J449" s="763"/>
      <c r="K449" s="763"/>
      <c r="L449" s="763"/>
      <c r="M449" s="763"/>
      <c r="N449" s="763"/>
      <c r="O449" s="763"/>
      <c r="P449" s="763"/>
      <c r="Q449" s="763"/>
      <c r="R449" s="763"/>
      <c r="S449" s="763"/>
      <c r="T449" s="763"/>
      <c r="U449" s="763"/>
      <c r="V449" s="763"/>
      <c r="W449" s="763"/>
      <c r="X449" s="763"/>
      <c r="Y449" s="774"/>
      <c r="Z449" s="774"/>
      <c r="AA449" s="774"/>
      <c r="AB449" s="774"/>
      <c r="AC449" s="774"/>
      <c r="AD449" s="774"/>
      <c r="AE449" s="778"/>
      <c r="AF449" s="428"/>
      <c r="AG449" s="428"/>
      <c r="AH449" s="428"/>
      <c r="AI449" s="428"/>
      <c r="AJ449" s="428"/>
      <c r="AK449" s="428"/>
      <c r="AL449" s="428"/>
      <c r="AM449" s="524"/>
      <c r="AN449" s="637"/>
    </row>
    <row r="450" spans="1:40" ht="15" outlineLevel="1">
      <c r="A450" s="539">
        <v>15</v>
      </c>
      <c r="B450" s="441" t="s">
        <v>494</v>
      </c>
      <c r="C450" s="304" t="s">
        <v>25</v>
      </c>
      <c r="D450" s="308"/>
      <c r="E450" s="308"/>
      <c r="F450" s="308"/>
      <c r="G450" s="308"/>
      <c r="H450" s="308"/>
      <c r="I450" s="308"/>
      <c r="J450" s="308"/>
      <c r="K450" s="308"/>
      <c r="L450" s="308"/>
      <c r="M450" s="308"/>
      <c r="N450" s="308">
        <v>0</v>
      </c>
      <c r="O450" s="308"/>
      <c r="P450" s="308"/>
      <c r="Q450" s="308"/>
      <c r="R450" s="308"/>
      <c r="S450" s="308"/>
      <c r="T450" s="308"/>
      <c r="U450" s="308"/>
      <c r="V450" s="308"/>
      <c r="W450" s="308"/>
      <c r="X450" s="308"/>
      <c r="Y450" s="772"/>
      <c r="Z450" s="772"/>
      <c r="AA450" s="772"/>
      <c r="AB450" s="772"/>
      <c r="AC450" s="772"/>
      <c r="AD450" s="772"/>
      <c r="AE450" s="772"/>
      <c r="AF450" s="422"/>
      <c r="AG450" s="422"/>
      <c r="AH450" s="422"/>
      <c r="AI450" s="422"/>
      <c r="AJ450" s="422"/>
      <c r="AK450" s="422"/>
      <c r="AL450" s="422"/>
      <c r="AM450" s="309">
        <f>SUM(Y450:AL450)</f>
        <v>0</v>
      </c>
    </row>
    <row r="451" spans="1:40" ht="15" outlineLevel="1">
      <c r="A451" s="539"/>
      <c r="B451" s="441" t="s">
        <v>308</v>
      </c>
      <c r="C451" s="304" t="s">
        <v>163</v>
      </c>
      <c r="D451" s="308"/>
      <c r="E451" s="308"/>
      <c r="F451" s="308"/>
      <c r="G451" s="308"/>
      <c r="H451" s="308"/>
      <c r="I451" s="308"/>
      <c r="J451" s="308"/>
      <c r="K451" s="308"/>
      <c r="L451" s="308"/>
      <c r="M451" s="308"/>
      <c r="N451" s="308">
        <f>N450</f>
        <v>0</v>
      </c>
      <c r="O451" s="308"/>
      <c r="P451" s="308"/>
      <c r="Q451" s="308"/>
      <c r="R451" s="308"/>
      <c r="S451" s="308"/>
      <c r="T451" s="308"/>
      <c r="U451" s="308"/>
      <c r="V451" s="308"/>
      <c r="W451" s="308"/>
      <c r="X451" s="308"/>
      <c r="Y451" s="773">
        <f>Y450</f>
        <v>0</v>
      </c>
      <c r="Z451" s="773">
        <f t="shared" ref="Z451:AE451" si="795">Z450</f>
        <v>0</v>
      </c>
      <c r="AA451" s="773">
        <f t="shared" si="795"/>
        <v>0</v>
      </c>
      <c r="AB451" s="773">
        <f t="shared" si="795"/>
        <v>0</v>
      </c>
      <c r="AC451" s="773">
        <f t="shared" si="795"/>
        <v>0</v>
      </c>
      <c r="AD451" s="773">
        <f t="shared" si="795"/>
        <v>0</v>
      </c>
      <c r="AE451" s="773">
        <f t="shared" si="795"/>
        <v>0</v>
      </c>
      <c r="AF451" s="423">
        <f t="shared" ref="AF451:AL451" si="796">AF450</f>
        <v>0</v>
      </c>
      <c r="AG451" s="423">
        <f t="shared" si="796"/>
        <v>0</v>
      </c>
      <c r="AH451" s="423">
        <f t="shared" si="796"/>
        <v>0</v>
      </c>
      <c r="AI451" s="423">
        <f t="shared" si="796"/>
        <v>0</v>
      </c>
      <c r="AJ451" s="423">
        <f t="shared" si="796"/>
        <v>0</v>
      </c>
      <c r="AK451" s="423">
        <f t="shared" si="796"/>
        <v>0</v>
      </c>
      <c r="AL451" s="423">
        <f t="shared" si="796"/>
        <v>0</v>
      </c>
      <c r="AM451" s="310"/>
    </row>
    <row r="452" spans="1:40" ht="15" outlineLevel="1">
      <c r="A452" s="539"/>
      <c r="B452" s="535"/>
      <c r="C452" s="318"/>
      <c r="D452" s="763"/>
      <c r="E452" s="763"/>
      <c r="F452" s="763"/>
      <c r="G452" s="763"/>
      <c r="H452" s="763"/>
      <c r="I452" s="763"/>
      <c r="J452" s="763"/>
      <c r="K452" s="763"/>
      <c r="L452" s="763"/>
      <c r="M452" s="763"/>
      <c r="N452" s="763"/>
      <c r="O452" s="763"/>
      <c r="P452" s="763"/>
      <c r="Q452" s="763"/>
      <c r="R452" s="763"/>
      <c r="S452" s="763"/>
      <c r="T452" s="763"/>
      <c r="U452" s="763"/>
      <c r="V452" s="763"/>
      <c r="W452" s="763"/>
      <c r="X452" s="763"/>
      <c r="Y452" s="774"/>
      <c r="Z452" s="774"/>
      <c r="AA452" s="774"/>
      <c r="AB452" s="774"/>
      <c r="AC452" s="774"/>
      <c r="AD452" s="774"/>
      <c r="AE452" s="774"/>
      <c r="AF452" s="424"/>
      <c r="AG452" s="424"/>
      <c r="AH452" s="424"/>
      <c r="AI452" s="424"/>
      <c r="AJ452" s="424"/>
      <c r="AK452" s="424"/>
      <c r="AL452" s="424"/>
      <c r="AM452" s="319"/>
    </row>
    <row r="453" spans="1:40" s="296" customFormat="1" ht="15" outlineLevel="1">
      <c r="A453" s="539">
        <v>16</v>
      </c>
      <c r="B453" s="536" t="s">
        <v>490</v>
      </c>
      <c r="C453" s="304" t="s">
        <v>25</v>
      </c>
      <c r="D453" s="308"/>
      <c r="E453" s="308"/>
      <c r="F453" s="308"/>
      <c r="G453" s="308"/>
      <c r="H453" s="308"/>
      <c r="I453" s="308"/>
      <c r="J453" s="308"/>
      <c r="K453" s="308"/>
      <c r="L453" s="308"/>
      <c r="M453" s="308"/>
      <c r="N453" s="308">
        <v>0</v>
      </c>
      <c r="O453" s="308"/>
      <c r="P453" s="308"/>
      <c r="Q453" s="308"/>
      <c r="R453" s="308"/>
      <c r="S453" s="308"/>
      <c r="T453" s="308"/>
      <c r="U453" s="308"/>
      <c r="V453" s="308"/>
      <c r="W453" s="308"/>
      <c r="X453" s="308"/>
      <c r="Y453" s="772"/>
      <c r="Z453" s="772"/>
      <c r="AA453" s="772"/>
      <c r="AB453" s="772"/>
      <c r="AC453" s="772"/>
      <c r="AD453" s="772"/>
      <c r="AE453" s="772"/>
      <c r="AF453" s="422"/>
      <c r="AG453" s="422"/>
      <c r="AH453" s="422"/>
      <c r="AI453" s="422"/>
      <c r="AJ453" s="422"/>
      <c r="AK453" s="422"/>
      <c r="AL453" s="422"/>
      <c r="AM453" s="309">
        <f>SUM(Y453:AL453)</f>
        <v>0</v>
      </c>
    </row>
    <row r="454" spans="1:40" s="296" customFormat="1" ht="15" outlineLevel="1">
      <c r="A454" s="539"/>
      <c r="B454" s="536" t="s">
        <v>308</v>
      </c>
      <c r="C454" s="304" t="s">
        <v>163</v>
      </c>
      <c r="D454" s="308"/>
      <c r="E454" s="308"/>
      <c r="F454" s="308"/>
      <c r="G454" s="308"/>
      <c r="H454" s="308"/>
      <c r="I454" s="308"/>
      <c r="J454" s="308"/>
      <c r="K454" s="308"/>
      <c r="L454" s="308"/>
      <c r="M454" s="308"/>
      <c r="N454" s="308">
        <f>N453</f>
        <v>0</v>
      </c>
      <c r="O454" s="308"/>
      <c r="P454" s="308"/>
      <c r="Q454" s="308"/>
      <c r="R454" s="308"/>
      <c r="S454" s="308"/>
      <c r="T454" s="308"/>
      <c r="U454" s="308"/>
      <c r="V454" s="308"/>
      <c r="W454" s="308"/>
      <c r="X454" s="308"/>
      <c r="Y454" s="773">
        <f>Y453</f>
        <v>0</v>
      </c>
      <c r="Z454" s="773">
        <f t="shared" ref="Z454:AE454" si="797">Z453</f>
        <v>0</v>
      </c>
      <c r="AA454" s="773">
        <f t="shared" si="797"/>
        <v>0</v>
      </c>
      <c r="AB454" s="773">
        <f t="shared" si="797"/>
        <v>0</v>
      </c>
      <c r="AC454" s="773">
        <f t="shared" si="797"/>
        <v>0</v>
      </c>
      <c r="AD454" s="773">
        <f t="shared" si="797"/>
        <v>0</v>
      </c>
      <c r="AE454" s="773">
        <f t="shared" si="797"/>
        <v>0</v>
      </c>
      <c r="AF454" s="423">
        <f t="shared" ref="AF454:AL454" si="798">AF453</f>
        <v>0</v>
      </c>
      <c r="AG454" s="423">
        <f t="shared" si="798"/>
        <v>0</v>
      </c>
      <c r="AH454" s="423">
        <f t="shared" si="798"/>
        <v>0</v>
      </c>
      <c r="AI454" s="423">
        <f t="shared" si="798"/>
        <v>0</v>
      </c>
      <c r="AJ454" s="423">
        <f t="shared" si="798"/>
        <v>0</v>
      </c>
      <c r="AK454" s="423">
        <f t="shared" si="798"/>
        <v>0</v>
      </c>
      <c r="AL454" s="423">
        <f t="shared" si="798"/>
        <v>0</v>
      </c>
      <c r="AM454" s="310"/>
    </row>
    <row r="455" spans="1:40" s="296" customFormat="1" ht="15" outlineLevel="1">
      <c r="A455" s="539"/>
      <c r="B455" s="536"/>
      <c r="C455" s="304"/>
      <c r="D455" s="763"/>
      <c r="E455" s="763"/>
      <c r="F455" s="763"/>
      <c r="G455" s="763"/>
      <c r="H455" s="763"/>
      <c r="I455" s="763"/>
      <c r="J455" s="763"/>
      <c r="K455" s="763"/>
      <c r="L455" s="763"/>
      <c r="M455" s="763"/>
      <c r="N455" s="763"/>
      <c r="O455" s="763"/>
      <c r="P455" s="763"/>
      <c r="Q455" s="763"/>
      <c r="R455" s="763"/>
      <c r="S455" s="763"/>
      <c r="T455" s="763"/>
      <c r="U455" s="763"/>
      <c r="V455" s="763"/>
      <c r="W455" s="763"/>
      <c r="X455" s="763"/>
      <c r="Y455" s="774"/>
      <c r="Z455" s="774"/>
      <c r="AA455" s="774"/>
      <c r="AB455" s="774"/>
      <c r="AC455" s="774"/>
      <c r="AD455" s="774"/>
      <c r="AE455" s="778"/>
      <c r="AF455" s="428"/>
      <c r="AG455" s="428"/>
      <c r="AH455" s="428"/>
      <c r="AI455" s="428"/>
      <c r="AJ455" s="428"/>
      <c r="AK455" s="428"/>
      <c r="AL455" s="428"/>
      <c r="AM455" s="326"/>
    </row>
    <row r="456" spans="1:40" ht="15.6" outlineLevel="1">
      <c r="A456" s="539"/>
      <c r="B456" s="537" t="s">
        <v>495</v>
      </c>
      <c r="C456" s="332"/>
      <c r="D456" s="769"/>
      <c r="E456" s="767"/>
      <c r="F456" s="767"/>
      <c r="G456" s="767"/>
      <c r="H456" s="767"/>
      <c r="I456" s="767"/>
      <c r="J456" s="767"/>
      <c r="K456" s="767"/>
      <c r="L456" s="767"/>
      <c r="M456" s="767"/>
      <c r="N456" s="769"/>
      <c r="O456" s="767"/>
      <c r="P456" s="767"/>
      <c r="Q456" s="767"/>
      <c r="R456" s="767"/>
      <c r="S456" s="767"/>
      <c r="T456" s="767"/>
      <c r="U456" s="767"/>
      <c r="V456" s="767"/>
      <c r="W456" s="767"/>
      <c r="X456" s="767"/>
      <c r="Y456" s="776"/>
      <c r="Z456" s="776"/>
      <c r="AA456" s="776"/>
      <c r="AB456" s="776"/>
      <c r="AC456" s="776"/>
      <c r="AD456" s="776"/>
      <c r="AE456" s="776"/>
      <c r="AF456" s="426"/>
      <c r="AG456" s="426"/>
      <c r="AH456" s="426"/>
      <c r="AI456" s="426"/>
      <c r="AJ456" s="426"/>
      <c r="AK456" s="426"/>
      <c r="AL456" s="426"/>
      <c r="AM456" s="305"/>
    </row>
    <row r="457" spans="1:40" ht="15" outlineLevel="1">
      <c r="A457" s="539">
        <v>17</v>
      </c>
      <c r="B457" s="438" t="s">
        <v>112</v>
      </c>
      <c r="C457" s="304" t="s">
        <v>25</v>
      </c>
      <c r="D457" s="308"/>
      <c r="E457" s="308"/>
      <c r="F457" s="308"/>
      <c r="G457" s="308"/>
      <c r="H457" s="308"/>
      <c r="I457" s="308"/>
      <c r="J457" s="308"/>
      <c r="K457" s="308"/>
      <c r="L457" s="308"/>
      <c r="M457" s="308"/>
      <c r="N457" s="308">
        <v>12</v>
      </c>
      <c r="O457" s="308"/>
      <c r="P457" s="308"/>
      <c r="Q457" s="308"/>
      <c r="R457" s="308"/>
      <c r="S457" s="308"/>
      <c r="T457" s="308"/>
      <c r="U457" s="308"/>
      <c r="V457" s="308"/>
      <c r="W457" s="308"/>
      <c r="X457" s="308"/>
      <c r="Y457" s="789"/>
      <c r="Z457" s="772"/>
      <c r="AA457" s="772"/>
      <c r="AB457" s="772"/>
      <c r="AC457" s="772"/>
      <c r="AD457" s="772"/>
      <c r="AE457" s="772"/>
      <c r="AF457" s="427"/>
      <c r="AG457" s="427"/>
      <c r="AH457" s="427"/>
      <c r="AI457" s="427"/>
      <c r="AJ457" s="427"/>
      <c r="AK457" s="427"/>
      <c r="AL457" s="427"/>
      <c r="AM457" s="309">
        <f>SUM(Y457:AL457)</f>
        <v>0</v>
      </c>
    </row>
    <row r="458" spans="1:40" ht="15" outlineLevel="1">
      <c r="A458" s="539"/>
      <c r="B458" s="441" t="s">
        <v>308</v>
      </c>
      <c r="C458" s="304" t="s">
        <v>163</v>
      </c>
      <c r="D458" s="308"/>
      <c r="E458" s="308"/>
      <c r="F458" s="308"/>
      <c r="G458" s="308"/>
      <c r="H458" s="308"/>
      <c r="I458" s="308"/>
      <c r="J458" s="308"/>
      <c r="K458" s="308"/>
      <c r="L458" s="308"/>
      <c r="M458" s="308"/>
      <c r="N458" s="308">
        <f>N457</f>
        <v>12</v>
      </c>
      <c r="O458" s="308"/>
      <c r="P458" s="308"/>
      <c r="Q458" s="308"/>
      <c r="R458" s="308"/>
      <c r="S458" s="308"/>
      <c r="T458" s="308"/>
      <c r="U458" s="308"/>
      <c r="V458" s="308"/>
      <c r="W458" s="308"/>
      <c r="X458" s="308"/>
      <c r="Y458" s="773">
        <f>Y457</f>
        <v>0</v>
      </c>
      <c r="Z458" s="773">
        <f t="shared" ref="Z458:AE458" si="799">Z457</f>
        <v>0</v>
      </c>
      <c r="AA458" s="773">
        <f t="shared" si="799"/>
        <v>0</v>
      </c>
      <c r="AB458" s="773">
        <f t="shared" si="799"/>
        <v>0</v>
      </c>
      <c r="AC458" s="773">
        <f t="shared" si="799"/>
        <v>0</v>
      </c>
      <c r="AD458" s="773">
        <f t="shared" si="799"/>
        <v>0</v>
      </c>
      <c r="AE458" s="773">
        <f t="shared" si="799"/>
        <v>0</v>
      </c>
      <c r="AF458" s="423">
        <f t="shared" ref="AF458:AL458" si="800">AF457</f>
        <v>0</v>
      </c>
      <c r="AG458" s="423">
        <f t="shared" si="800"/>
        <v>0</v>
      </c>
      <c r="AH458" s="423">
        <f t="shared" si="800"/>
        <v>0</v>
      </c>
      <c r="AI458" s="423">
        <f t="shared" si="800"/>
        <v>0</v>
      </c>
      <c r="AJ458" s="423">
        <f t="shared" si="800"/>
        <v>0</v>
      </c>
      <c r="AK458" s="423">
        <f t="shared" si="800"/>
        <v>0</v>
      </c>
      <c r="AL458" s="423">
        <f t="shared" si="800"/>
        <v>0</v>
      </c>
      <c r="AM458" s="319"/>
    </row>
    <row r="459" spans="1:40" ht="15" outlineLevel="1">
      <c r="A459" s="539"/>
      <c r="B459" s="441"/>
      <c r="C459" s="304"/>
      <c r="D459" s="763"/>
      <c r="E459" s="763"/>
      <c r="F459" s="763"/>
      <c r="G459" s="763"/>
      <c r="H459" s="763"/>
      <c r="I459" s="763"/>
      <c r="J459" s="763"/>
      <c r="K459" s="763"/>
      <c r="L459" s="763"/>
      <c r="M459" s="763"/>
      <c r="N459" s="763"/>
      <c r="O459" s="763"/>
      <c r="P459" s="763"/>
      <c r="Q459" s="763"/>
      <c r="R459" s="763"/>
      <c r="S459" s="763"/>
      <c r="T459" s="763"/>
      <c r="U459" s="763"/>
      <c r="V459" s="763"/>
      <c r="W459" s="763"/>
      <c r="X459" s="763"/>
      <c r="Y459" s="784"/>
      <c r="Z459" s="793"/>
      <c r="AA459" s="793"/>
      <c r="AB459" s="793"/>
      <c r="AC459" s="793"/>
      <c r="AD459" s="793"/>
      <c r="AE459" s="793"/>
      <c r="AF459" s="435"/>
      <c r="AG459" s="435"/>
      <c r="AH459" s="435"/>
      <c r="AI459" s="435"/>
      <c r="AJ459" s="435"/>
      <c r="AK459" s="435"/>
      <c r="AL459" s="435"/>
      <c r="AM459" s="319"/>
    </row>
    <row r="460" spans="1:40" ht="15" outlineLevel="1">
      <c r="A460" s="539">
        <v>18</v>
      </c>
      <c r="B460" s="438" t="s">
        <v>109</v>
      </c>
      <c r="C460" s="304" t="s">
        <v>25</v>
      </c>
      <c r="D460" s="308"/>
      <c r="E460" s="308"/>
      <c r="F460" s="308"/>
      <c r="G460" s="308"/>
      <c r="H460" s="308"/>
      <c r="I460" s="308"/>
      <c r="J460" s="308"/>
      <c r="K460" s="308"/>
      <c r="L460" s="308"/>
      <c r="M460" s="308"/>
      <c r="N460" s="308">
        <v>12</v>
      </c>
      <c r="O460" s="308"/>
      <c r="P460" s="308"/>
      <c r="Q460" s="308"/>
      <c r="R460" s="308"/>
      <c r="S460" s="308"/>
      <c r="T460" s="308"/>
      <c r="U460" s="308"/>
      <c r="V460" s="308"/>
      <c r="W460" s="308"/>
      <c r="X460" s="308"/>
      <c r="Y460" s="789"/>
      <c r="Z460" s="772"/>
      <c r="AA460" s="772"/>
      <c r="AB460" s="772"/>
      <c r="AC460" s="772"/>
      <c r="AD460" s="772"/>
      <c r="AE460" s="772"/>
      <c r="AF460" s="427"/>
      <c r="AG460" s="427"/>
      <c r="AH460" s="427"/>
      <c r="AI460" s="427"/>
      <c r="AJ460" s="427"/>
      <c r="AK460" s="427"/>
      <c r="AL460" s="427"/>
      <c r="AM460" s="309">
        <f>SUM(Y460:AL460)</f>
        <v>0</v>
      </c>
    </row>
    <row r="461" spans="1:40" ht="15" outlineLevel="1">
      <c r="A461" s="539"/>
      <c r="B461" s="441" t="s">
        <v>308</v>
      </c>
      <c r="C461" s="304" t="s">
        <v>163</v>
      </c>
      <c r="D461" s="308"/>
      <c r="E461" s="308"/>
      <c r="F461" s="308"/>
      <c r="G461" s="308"/>
      <c r="H461" s="308"/>
      <c r="I461" s="308"/>
      <c r="J461" s="308"/>
      <c r="K461" s="308"/>
      <c r="L461" s="308"/>
      <c r="M461" s="308"/>
      <c r="N461" s="308">
        <f>N460</f>
        <v>12</v>
      </c>
      <c r="O461" s="308"/>
      <c r="P461" s="308"/>
      <c r="Q461" s="308"/>
      <c r="R461" s="308"/>
      <c r="S461" s="308"/>
      <c r="T461" s="308"/>
      <c r="U461" s="308"/>
      <c r="V461" s="308"/>
      <c r="W461" s="308"/>
      <c r="X461" s="308"/>
      <c r="Y461" s="773">
        <f>Y460</f>
        <v>0</v>
      </c>
      <c r="Z461" s="773">
        <f t="shared" ref="Z461:AE461" si="801">Z460</f>
        <v>0</v>
      </c>
      <c r="AA461" s="773">
        <f t="shared" si="801"/>
        <v>0</v>
      </c>
      <c r="AB461" s="773">
        <f t="shared" si="801"/>
        <v>0</v>
      </c>
      <c r="AC461" s="773">
        <f t="shared" si="801"/>
        <v>0</v>
      </c>
      <c r="AD461" s="773">
        <f t="shared" si="801"/>
        <v>0</v>
      </c>
      <c r="AE461" s="773">
        <f t="shared" si="801"/>
        <v>0</v>
      </c>
      <c r="AF461" s="423">
        <f t="shared" ref="AF461:AL461" si="802">AF460</f>
        <v>0</v>
      </c>
      <c r="AG461" s="423">
        <f t="shared" si="802"/>
        <v>0</v>
      </c>
      <c r="AH461" s="423">
        <f t="shared" si="802"/>
        <v>0</v>
      </c>
      <c r="AI461" s="423">
        <f t="shared" si="802"/>
        <v>0</v>
      </c>
      <c r="AJ461" s="423">
        <f t="shared" si="802"/>
        <v>0</v>
      </c>
      <c r="AK461" s="423">
        <f t="shared" si="802"/>
        <v>0</v>
      </c>
      <c r="AL461" s="423">
        <f t="shared" si="802"/>
        <v>0</v>
      </c>
      <c r="AM461" s="319"/>
    </row>
    <row r="462" spans="1:40" ht="15" outlineLevel="1">
      <c r="A462" s="539"/>
      <c r="B462" s="440"/>
      <c r="C462" s="304"/>
      <c r="D462" s="763"/>
      <c r="E462" s="763"/>
      <c r="F462" s="763"/>
      <c r="G462" s="763"/>
      <c r="H462" s="763"/>
      <c r="I462" s="763"/>
      <c r="J462" s="763"/>
      <c r="K462" s="763"/>
      <c r="L462" s="763"/>
      <c r="M462" s="763"/>
      <c r="N462" s="763"/>
      <c r="O462" s="763"/>
      <c r="P462" s="763"/>
      <c r="Q462" s="763"/>
      <c r="R462" s="763"/>
      <c r="S462" s="763"/>
      <c r="T462" s="763"/>
      <c r="U462" s="763"/>
      <c r="V462" s="763"/>
      <c r="W462" s="763"/>
      <c r="X462" s="763"/>
      <c r="Y462" s="785"/>
      <c r="Z462" s="786"/>
      <c r="AA462" s="786"/>
      <c r="AB462" s="786"/>
      <c r="AC462" s="786"/>
      <c r="AD462" s="786"/>
      <c r="AE462" s="786"/>
      <c r="AF462" s="434"/>
      <c r="AG462" s="434"/>
      <c r="AH462" s="434"/>
      <c r="AI462" s="434"/>
      <c r="AJ462" s="434"/>
      <c r="AK462" s="434"/>
      <c r="AL462" s="434"/>
      <c r="AM462" s="310"/>
    </row>
    <row r="463" spans="1:40" ht="15" outlineLevel="1">
      <c r="A463" s="539">
        <v>19</v>
      </c>
      <c r="B463" s="438" t="s">
        <v>111</v>
      </c>
      <c r="C463" s="304" t="s">
        <v>25</v>
      </c>
      <c r="D463" s="308"/>
      <c r="E463" s="308"/>
      <c r="F463" s="308"/>
      <c r="G463" s="308"/>
      <c r="H463" s="308"/>
      <c r="I463" s="308"/>
      <c r="J463" s="308"/>
      <c r="K463" s="308"/>
      <c r="L463" s="308"/>
      <c r="M463" s="308"/>
      <c r="N463" s="308">
        <v>12</v>
      </c>
      <c r="O463" s="308"/>
      <c r="P463" s="308"/>
      <c r="Q463" s="308"/>
      <c r="R463" s="308"/>
      <c r="S463" s="308"/>
      <c r="T463" s="308"/>
      <c r="U463" s="308"/>
      <c r="V463" s="308"/>
      <c r="W463" s="308"/>
      <c r="X463" s="308"/>
      <c r="Y463" s="789"/>
      <c r="Z463" s="772"/>
      <c r="AA463" s="772"/>
      <c r="AB463" s="772"/>
      <c r="AC463" s="772"/>
      <c r="AD463" s="772"/>
      <c r="AE463" s="772"/>
      <c r="AF463" s="427"/>
      <c r="AG463" s="427"/>
      <c r="AH463" s="427"/>
      <c r="AI463" s="427"/>
      <c r="AJ463" s="427"/>
      <c r="AK463" s="427"/>
      <c r="AL463" s="427"/>
      <c r="AM463" s="309">
        <f>SUM(Y463:AL463)</f>
        <v>0</v>
      </c>
    </row>
    <row r="464" spans="1:40" ht="15" outlineLevel="1">
      <c r="A464" s="539"/>
      <c r="B464" s="441" t="s">
        <v>308</v>
      </c>
      <c r="C464" s="304" t="s">
        <v>163</v>
      </c>
      <c r="D464" s="308"/>
      <c r="E464" s="308"/>
      <c r="F464" s="308"/>
      <c r="G464" s="308"/>
      <c r="H464" s="308"/>
      <c r="I464" s="308"/>
      <c r="J464" s="308"/>
      <c r="K464" s="308"/>
      <c r="L464" s="308"/>
      <c r="M464" s="308"/>
      <c r="N464" s="308">
        <f>N463</f>
        <v>12</v>
      </c>
      <c r="O464" s="308"/>
      <c r="P464" s="308"/>
      <c r="Q464" s="308"/>
      <c r="R464" s="308"/>
      <c r="S464" s="308"/>
      <c r="T464" s="308"/>
      <c r="U464" s="308"/>
      <c r="V464" s="308"/>
      <c r="W464" s="308"/>
      <c r="X464" s="308"/>
      <c r="Y464" s="773">
        <f>Y463</f>
        <v>0</v>
      </c>
      <c r="Z464" s="773">
        <f t="shared" ref="Z464:AE464" si="803">Z463</f>
        <v>0</v>
      </c>
      <c r="AA464" s="773">
        <f t="shared" si="803"/>
        <v>0</v>
      </c>
      <c r="AB464" s="773">
        <f t="shared" si="803"/>
        <v>0</v>
      </c>
      <c r="AC464" s="773">
        <f t="shared" si="803"/>
        <v>0</v>
      </c>
      <c r="AD464" s="773">
        <f t="shared" si="803"/>
        <v>0</v>
      </c>
      <c r="AE464" s="773">
        <f t="shared" si="803"/>
        <v>0</v>
      </c>
      <c r="AF464" s="423">
        <f t="shared" ref="AF464:AL464" si="804">AF463</f>
        <v>0</v>
      </c>
      <c r="AG464" s="423">
        <f t="shared" si="804"/>
        <v>0</v>
      </c>
      <c r="AH464" s="423">
        <f t="shared" si="804"/>
        <v>0</v>
      </c>
      <c r="AI464" s="423">
        <f t="shared" si="804"/>
        <v>0</v>
      </c>
      <c r="AJ464" s="423">
        <f t="shared" si="804"/>
        <v>0</v>
      </c>
      <c r="AK464" s="423">
        <f t="shared" si="804"/>
        <v>0</v>
      </c>
      <c r="AL464" s="423">
        <f t="shared" si="804"/>
        <v>0</v>
      </c>
      <c r="AM464" s="310"/>
    </row>
    <row r="465" spans="1:39" ht="15" outlineLevel="1">
      <c r="A465" s="539"/>
      <c r="B465" s="440"/>
      <c r="C465" s="304"/>
      <c r="D465" s="763"/>
      <c r="E465" s="763"/>
      <c r="F465" s="763"/>
      <c r="G465" s="763"/>
      <c r="H465" s="763"/>
      <c r="I465" s="763"/>
      <c r="J465" s="763"/>
      <c r="K465" s="763"/>
      <c r="L465" s="763"/>
      <c r="M465" s="763"/>
      <c r="N465" s="763"/>
      <c r="O465" s="763"/>
      <c r="P465" s="763"/>
      <c r="Q465" s="763"/>
      <c r="R465" s="763"/>
      <c r="S465" s="763"/>
      <c r="T465" s="763"/>
      <c r="U465" s="763"/>
      <c r="V465" s="763"/>
      <c r="W465" s="763"/>
      <c r="X465" s="763"/>
      <c r="Y465" s="774"/>
      <c r="Z465" s="774"/>
      <c r="AA465" s="774"/>
      <c r="AB465" s="774"/>
      <c r="AC465" s="774"/>
      <c r="AD465" s="774"/>
      <c r="AE465" s="774"/>
      <c r="AF465" s="424"/>
      <c r="AG465" s="424"/>
      <c r="AH465" s="424"/>
      <c r="AI465" s="424"/>
      <c r="AJ465" s="424"/>
      <c r="AK465" s="424"/>
      <c r="AL465" s="424"/>
      <c r="AM465" s="319"/>
    </row>
    <row r="466" spans="1:39" ht="15" outlineLevel="1">
      <c r="A466" s="539">
        <v>20</v>
      </c>
      <c r="B466" s="438" t="s">
        <v>110</v>
      </c>
      <c r="C466" s="304" t="s">
        <v>25</v>
      </c>
      <c r="D466" s="308"/>
      <c r="E466" s="308"/>
      <c r="F466" s="308"/>
      <c r="G466" s="308"/>
      <c r="H466" s="308"/>
      <c r="I466" s="308"/>
      <c r="J466" s="308"/>
      <c r="K466" s="308"/>
      <c r="L466" s="308"/>
      <c r="M466" s="308"/>
      <c r="N466" s="308">
        <v>12</v>
      </c>
      <c r="O466" s="308"/>
      <c r="P466" s="308"/>
      <c r="Q466" s="308"/>
      <c r="R466" s="308"/>
      <c r="S466" s="308"/>
      <c r="T466" s="308"/>
      <c r="U466" s="308"/>
      <c r="V466" s="308"/>
      <c r="W466" s="308"/>
      <c r="X466" s="308"/>
      <c r="Y466" s="789"/>
      <c r="Z466" s="772"/>
      <c r="AA466" s="772"/>
      <c r="AB466" s="772"/>
      <c r="AC466" s="772"/>
      <c r="AD466" s="772"/>
      <c r="AE466" s="772"/>
      <c r="AF466" s="427"/>
      <c r="AG466" s="427"/>
      <c r="AH466" s="427"/>
      <c r="AI466" s="427"/>
      <c r="AJ466" s="427"/>
      <c r="AK466" s="427"/>
      <c r="AL466" s="427"/>
      <c r="AM466" s="309">
        <f>SUM(Y466:AL466)</f>
        <v>0</v>
      </c>
    </row>
    <row r="467" spans="1:39" ht="15" outlineLevel="1">
      <c r="A467" s="539"/>
      <c r="B467" s="441" t="s">
        <v>308</v>
      </c>
      <c r="C467" s="304" t="s">
        <v>163</v>
      </c>
      <c r="D467" s="308"/>
      <c r="E467" s="308"/>
      <c r="F467" s="308"/>
      <c r="G467" s="308"/>
      <c r="H467" s="308"/>
      <c r="I467" s="308"/>
      <c r="J467" s="308"/>
      <c r="K467" s="308"/>
      <c r="L467" s="308"/>
      <c r="M467" s="308"/>
      <c r="N467" s="308">
        <f>N466</f>
        <v>12</v>
      </c>
      <c r="O467" s="308"/>
      <c r="P467" s="308"/>
      <c r="Q467" s="308"/>
      <c r="R467" s="308"/>
      <c r="S467" s="308"/>
      <c r="T467" s="308"/>
      <c r="U467" s="308"/>
      <c r="V467" s="308"/>
      <c r="W467" s="308"/>
      <c r="X467" s="308"/>
      <c r="Y467" s="773">
        <f t="shared" ref="Y467:AE467" si="805">Y466</f>
        <v>0</v>
      </c>
      <c r="Z467" s="773">
        <f t="shared" si="805"/>
        <v>0</v>
      </c>
      <c r="AA467" s="773">
        <f t="shared" si="805"/>
        <v>0</v>
      </c>
      <c r="AB467" s="773">
        <f t="shared" si="805"/>
        <v>0</v>
      </c>
      <c r="AC467" s="773">
        <f t="shared" si="805"/>
        <v>0</v>
      </c>
      <c r="AD467" s="773">
        <f t="shared" si="805"/>
        <v>0</v>
      </c>
      <c r="AE467" s="773">
        <f t="shared" si="805"/>
        <v>0</v>
      </c>
      <c r="AF467" s="423">
        <f t="shared" ref="AF467:AL467" si="806">AF466</f>
        <v>0</v>
      </c>
      <c r="AG467" s="423">
        <f t="shared" si="806"/>
        <v>0</v>
      </c>
      <c r="AH467" s="423">
        <f t="shared" si="806"/>
        <v>0</v>
      </c>
      <c r="AI467" s="423">
        <f t="shared" si="806"/>
        <v>0</v>
      </c>
      <c r="AJ467" s="423">
        <f t="shared" si="806"/>
        <v>0</v>
      </c>
      <c r="AK467" s="423">
        <f t="shared" si="806"/>
        <v>0</v>
      </c>
      <c r="AL467" s="423">
        <f t="shared" si="806"/>
        <v>0</v>
      </c>
      <c r="AM467" s="319"/>
    </row>
    <row r="468" spans="1:39" ht="15.6" outlineLevel="1">
      <c r="A468" s="539"/>
      <c r="B468" s="538"/>
      <c r="C468" s="313"/>
      <c r="D468" s="763"/>
      <c r="E468" s="763"/>
      <c r="F468" s="763"/>
      <c r="G468" s="763"/>
      <c r="H468" s="763"/>
      <c r="I468" s="763"/>
      <c r="J468" s="763"/>
      <c r="K468" s="763"/>
      <c r="L468" s="763"/>
      <c r="M468" s="763"/>
      <c r="N468" s="771"/>
      <c r="O468" s="763"/>
      <c r="P468" s="763"/>
      <c r="Q468" s="763"/>
      <c r="R468" s="763"/>
      <c r="S468" s="763"/>
      <c r="T468" s="763"/>
      <c r="U468" s="763"/>
      <c r="V468" s="763"/>
      <c r="W468" s="763"/>
      <c r="X468" s="763"/>
      <c r="Y468" s="774"/>
      <c r="Z468" s="774"/>
      <c r="AA468" s="774"/>
      <c r="AB468" s="774"/>
      <c r="AC468" s="774"/>
      <c r="AD468" s="774"/>
      <c r="AE468" s="774"/>
      <c r="AF468" s="424"/>
      <c r="AG468" s="424"/>
      <c r="AH468" s="424"/>
      <c r="AI468" s="424"/>
      <c r="AJ468" s="424"/>
      <c r="AK468" s="424"/>
      <c r="AL468" s="424"/>
      <c r="AM468" s="319"/>
    </row>
    <row r="469" spans="1:39" ht="15.6" outlineLevel="1">
      <c r="A469" s="539"/>
      <c r="B469" s="531" t="s">
        <v>502</v>
      </c>
      <c r="C469" s="304"/>
      <c r="D469" s="763"/>
      <c r="E469" s="763"/>
      <c r="F469" s="763"/>
      <c r="G469" s="763"/>
      <c r="H469" s="763"/>
      <c r="I469" s="763"/>
      <c r="J469" s="763"/>
      <c r="K469" s="763"/>
      <c r="L469" s="763"/>
      <c r="M469" s="763"/>
      <c r="N469" s="763"/>
      <c r="O469" s="763"/>
      <c r="P469" s="763"/>
      <c r="Q469" s="763"/>
      <c r="R469" s="763"/>
      <c r="S469" s="763"/>
      <c r="T469" s="763"/>
      <c r="U469" s="763"/>
      <c r="V469" s="763"/>
      <c r="W469" s="763"/>
      <c r="X469" s="763"/>
      <c r="Y469" s="784"/>
      <c r="Z469" s="793"/>
      <c r="AA469" s="793"/>
      <c r="AB469" s="793"/>
      <c r="AC469" s="793"/>
      <c r="AD469" s="793"/>
      <c r="AE469" s="793"/>
      <c r="AF469" s="435"/>
      <c r="AG469" s="435"/>
      <c r="AH469" s="435"/>
      <c r="AI469" s="435"/>
      <c r="AJ469" s="435"/>
      <c r="AK469" s="435"/>
      <c r="AL469" s="435"/>
      <c r="AM469" s="319"/>
    </row>
    <row r="470" spans="1:39" ht="15.6" outlineLevel="1">
      <c r="A470" s="539"/>
      <c r="B470" s="511" t="s">
        <v>498</v>
      </c>
      <c r="C470" s="304"/>
      <c r="D470" s="763"/>
      <c r="E470" s="763"/>
      <c r="F470" s="763"/>
      <c r="G470" s="763"/>
      <c r="H470" s="763"/>
      <c r="I470" s="763"/>
      <c r="J470" s="763"/>
      <c r="K470" s="763"/>
      <c r="L470" s="763"/>
      <c r="M470" s="763"/>
      <c r="N470" s="763"/>
      <c r="O470" s="763"/>
      <c r="P470" s="763"/>
      <c r="Q470" s="763"/>
      <c r="R470" s="763"/>
      <c r="S470" s="763"/>
      <c r="T470" s="763"/>
      <c r="U470" s="763"/>
      <c r="V470" s="763"/>
      <c r="W470" s="763"/>
      <c r="X470" s="763"/>
      <c r="Y470" s="784"/>
      <c r="Z470" s="793"/>
      <c r="AA470" s="793"/>
      <c r="AB470" s="793"/>
      <c r="AC470" s="793"/>
      <c r="AD470" s="793"/>
      <c r="AE470" s="793"/>
      <c r="AF470" s="435"/>
      <c r="AG470" s="435"/>
      <c r="AH470" s="435"/>
      <c r="AI470" s="435"/>
      <c r="AJ470" s="435"/>
      <c r="AK470" s="435"/>
      <c r="AL470" s="435"/>
      <c r="AM470" s="319"/>
    </row>
    <row r="471" spans="1:39" ht="15" outlineLevel="1">
      <c r="A471" s="539">
        <v>21</v>
      </c>
      <c r="B471" s="438" t="s">
        <v>113</v>
      </c>
      <c r="C471" s="304" t="s">
        <v>25</v>
      </c>
      <c r="D471" s="308">
        <f>'7.  Persistence Report'!AW123</f>
        <v>2771539</v>
      </c>
      <c r="E471" s="308">
        <f>'7.  Persistence Report'!AX123</f>
        <v>2230710</v>
      </c>
      <c r="F471" s="308">
        <f>'7.  Persistence Report'!AY123</f>
        <v>2230710</v>
      </c>
      <c r="G471" s="308">
        <f>'7.  Persistence Report'!AZ123</f>
        <v>2230710</v>
      </c>
      <c r="H471" s="308">
        <f>'7.  Persistence Report'!BA123</f>
        <v>2230710</v>
      </c>
      <c r="I471" s="308">
        <f>'7.  Persistence Report'!BB123</f>
        <v>2230710</v>
      </c>
      <c r="J471" s="308">
        <f>'7.  Persistence Report'!BC123</f>
        <v>2230710</v>
      </c>
      <c r="K471" s="308">
        <f>'7.  Persistence Report'!BD123</f>
        <v>2230687</v>
      </c>
      <c r="L471" s="308">
        <f>'7.  Persistence Report'!BE123</f>
        <v>2230687</v>
      </c>
      <c r="M471" s="308">
        <f>'7.  Persistence Report'!BF123</f>
        <v>2225156</v>
      </c>
      <c r="N471" s="763"/>
      <c r="O471" s="308">
        <f>'7.  Persistence Report'!R123</f>
        <v>192</v>
      </c>
      <c r="P471" s="308">
        <f>'7.  Persistence Report'!S123</f>
        <v>156</v>
      </c>
      <c r="Q471" s="308">
        <f>'7.  Persistence Report'!T123</f>
        <v>156</v>
      </c>
      <c r="R471" s="308">
        <f>'7.  Persistence Report'!U123</f>
        <v>156</v>
      </c>
      <c r="S471" s="308">
        <f>'7.  Persistence Report'!V123</f>
        <v>156</v>
      </c>
      <c r="T471" s="308">
        <f>'7.  Persistence Report'!W123</f>
        <v>156</v>
      </c>
      <c r="U471" s="308">
        <f>'7.  Persistence Report'!X123</f>
        <v>156</v>
      </c>
      <c r="V471" s="308">
        <f>'7.  Persistence Report'!Y123</f>
        <v>156</v>
      </c>
      <c r="W471" s="308">
        <f>'7.  Persistence Report'!Z123</f>
        <v>156</v>
      </c>
      <c r="X471" s="308">
        <f>'7.  Persistence Report'!AA123</f>
        <v>156</v>
      </c>
      <c r="Y471" s="772">
        <v>1</v>
      </c>
      <c r="Z471" s="772"/>
      <c r="AA471" s="772"/>
      <c r="AB471" s="772"/>
      <c r="AC471" s="772"/>
      <c r="AD471" s="772"/>
      <c r="AE471" s="772"/>
      <c r="AF471" s="422"/>
      <c r="AG471" s="422"/>
      <c r="AH471" s="422"/>
      <c r="AI471" s="422"/>
      <c r="AJ471" s="422"/>
      <c r="AK471" s="422"/>
      <c r="AL471" s="422"/>
      <c r="AM471" s="309">
        <f>SUM(Y471:AL471)</f>
        <v>1</v>
      </c>
    </row>
    <row r="472" spans="1:39" ht="15" outlineLevel="1">
      <c r="A472" s="539"/>
      <c r="B472" s="441" t="s">
        <v>308</v>
      </c>
      <c r="C472" s="304" t="s">
        <v>163</v>
      </c>
      <c r="D472" s="308">
        <f>'7.  Persistence Report'!AW143</f>
        <v>3073.7186798762305</v>
      </c>
      <c r="E472" s="308">
        <f>'7.  Persistence Report'!AX143</f>
        <v>3061.0847121937386</v>
      </c>
      <c r="F472" s="308">
        <f>'7.  Persistence Report'!AY143</f>
        <v>3048.4507445112463</v>
      </c>
      <c r="G472" s="308"/>
      <c r="H472" s="308"/>
      <c r="I472" s="308"/>
      <c r="J472" s="308"/>
      <c r="K472" s="308"/>
      <c r="L472" s="308"/>
      <c r="M472" s="308"/>
      <c r="N472" s="763"/>
      <c r="O472" s="308">
        <f>'7.  Persistence Report'!R143</f>
        <v>0</v>
      </c>
      <c r="P472" s="308"/>
      <c r="Q472" s="308"/>
      <c r="R472" s="308"/>
      <c r="S472" s="308"/>
      <c r="T472" s="308"/>
      <c r="U472" s="308"/>
      <c r="V472" s="308"/>
      <c r="W472" s="308"/>
      <c r="X472" s="308"/>
      <c r="Y472" s="773">
        <f>Y471</f>
        <v>1</v>
      </c>
      <c r="Z472" s="773">
        <f t="shared" ref="Z472:AE472" si="807">Z471</f>
        <v>0</v>
      </c>
      <c r="AA472" s="773">
        <f t="shared" si="807"/>
        <v>0</v>
      </c>
      <c r="AB472" s="773">
        <f t="shared" si="807"/>
        <v>0</v>
      </c>
      <c r="AC472" s="773">
        <f t="shared" si="807"/>
        <v>0</v>
      </c>
      <c r="AD472" s="773">
        <f t="shared" si="807"/>
        <v>0</v>
      </c>
      <c r="AE472" s="773">
        <f t="shared" si="807"/>
        <v>0</v>
      </c>
      <c r="AF472" s="423">
        <f t="shared" ref="AF472" si="808">AF471</f>
        <v>0</v>
      </c>
      <c r="AG472" s="423">
        <f t="shared" ref="AG472" si="809">AG471</f>
        <v>0</v>
      </c>
      <c r="AH472" s="423">
        <f t="shared" ref="AH472" si="810">AH471</f>
        <v>0</v>
      </c>
      <c r="AI472" s="423">
        <f t="shared" ref="AI472" si="811">AI471</f>
        <v>0</v>
      </c>
      <c r="AJ472" s="423">
        <f t="shared" ref="AJ472" si="812">AJ471</f>
        <v>0</v>
      </c>
      <c r="AK472" s="423">
        <f t="shared" ref="AK472" si="813">AK471</f>
        <v>0</v>
      </c>
      <c r="AL472" s="423">
        <f t="shared" ref="AL472" si="814">AL471</f>
        <v>0</v>
      </c>
      <c r="AM472" s="319"/>
    </row>
    <row r="473" spans="1:39" ht="15" outlineLevel="1">
      <c r="A473" s="539"/>
      <c r="B473" s="441"/>
      <c r="C473" s="304"/>
      <c r="D473" s="763"/>
      <c r="E473" s="763"/>
      <c r="F473" s="763"/>
      <c r="G473" s="763"/>
      <c r="H473" s="763"/>
      <c r="I473" s="763"/>
      <c r="J473" s="763"/>
      <c r="K473" s="763"/>
      <c r="L473" s="763"/>
      <c r="M473" s="763"/>
      <c r="N473" s="763"/>
      <c r="O473" s="763"/>
      <c r="P473" s="763"/>
      <c r="Q473" s="763"/>
      <c r="R473" s="763"/>
      <c r="S473" s="763"/>
      <c r="T473" s="763"/>
      <c r="U473" s="763"/>
      <c r="V473" s="763"/>
      <c r="W473" s="763"/>
      <c r="X473" s="763"/>
      <c r="Y473" s="784"/>
      <c r="Z473" s="793"/>
      <c r="AA473" s="793"/>
      <c r="AB473" s="793"/>
      <c r="AC473" s="793"/>
      <c r="AD473" s="793"/>
      <c r="AE473" s="793"/>
      <c r="AF473" s="435"/>
      <c r="AG473" s="435"/>
      <c r="AH473" s="435"/>
      <c r="AI473" s="435"/>
      <c r="AJ473" s="435"/>
      <c r="AK473" s="435"/>
      <c r="AL473" s="435"/>
      <c r="AM473" s="319"/>
    </row>
    <row r="474" spans="1:39" ht="30" outlineLevel="1">
      <c r="A474" s="539">
        <v>22</v>
      </c>
      <c r="B474" s="438" t="s">
        <v>114</v>
      </c>
      <c r="C474" s="304" t="s">
        <v>25</v>
      </c>
      <c r="D474" s="308">
        <f>'7.  Persistence Report'!AW125</f>
        <v>385017</v>
      </c>
      <c r="E474" s="308">
        <f>'7.  Persistence Report'!AX125</f>
        <v>385017</v>
      </c>
      <c r="F474" s="308">
        <f>'7.  Persistence Report'!AY125</f>
        <v>385017</v>
      </c>
      <c r="G474" s="308">
        <f>'7.  Persistence Report'!AZ125</f>
        <v>385017</v>
      </c>
      <c r="H474" s="308">
        <f>'7.  Persistence Report'!BA125</f>
        <v>385017</v>
      </c>
      <c r="I474" s="308">
        <f>'7.  Persistence Report'!BB125</f>
        <v>385017</v>
      </c>
      <c r="J474" s="308">
        <f>'7.  Persistence Report'!BC125</f>
        <v>385017</v>
      </c>
      <c r="K474" s="308">
        <f>'7.  Persistence Report'!BD125</f>
        <v>385017</v>
      </c>
      <c r="L474" s="308">
        <f>'7.  Persistence Report'!BE125</f>
        <v>385017</v>
      </c>
      <c r="M474" s="308">
        <f>'7.  Persistence Report'!BF125</f>
        <v>385017</v>
      </c>
      <c r="N474" s="763"/>
      <c r="O474" s="308">
        <f>'7.  Persistence Report'!R125</f>
        <v>107</v>
      </c>
      <c r="P474" s="308">
        <f>'7.  Persistence Report'!S125</f>
        <v>107</v>
      </c>
      <c r="Q474" s="308">
        <f>'7.  Persistence Report'!T125</f>
        <v>107</v>
      </c>
      <c r="R474" s="308">
        <f>'7.  Persistence Report'!U125</f>
        <v>107</v>
      </c>
      <c r="S474" s="308">
        <f>'7.  Persistence Report'!V125</f>
        <v>107</v>
      </c>
      <c r="T474" s="308">
        <f>'7.  Persistence Report'!W125</f>
        <v>107</v>
      </c>
      <c r="U474" s="308">
        <f>'7.  Persistence Report'!X125</f>
        <v>107</v>
      </c>
      <c r="V474" s="308">
        <f>'7.  Persistence Report'!Y125</f>
        <v>107</v>
      </c>
      <c r="W474" s="308">
        <f>'7.  Persistence Report'!Z125</f>
        <v>107</v>
      </c>
      <c r="X474" s="308">
        <f>'7.  Persistence Report'!AA125</f>
        <v>107</v>
      </c>
      <c r="Y474" s="772">
        <v>1</v>
      </c>
      <c r="Z474" s="772"/>
      <c r="AA474" s="772"/>
      <c r="AB474" s="772"/>
      <c r="AC474" s="772"/>
      <c r="AD474" s="772"/>
      <c r="AE474" s="772"/>
      <c r="AF474" s="422"/>
      <c r="AG474" s="422"/>
      <c r="AH474" s="422"/>
      <c r="AI474" s="422"/>
      <c r="AJ474" s="422"/>
      <c r="AK474" s="422"/>
      <c r="AL474" s="422"/>
      <c r="AM474" s="309">
        <f>SUM(Y474:AL474)</f>
        <v>1</v>
      </c>
    </row>
    <row r="475" spans="1:39" ht="15" outlineLevel="1">
      <c r="A475" s="539"/>
      <c r="B475" s="441" t="s">
        <v>308</v>
      </c>
      <c r="C475" s="304" t="s">
        <v>163</v>
      </c>
      <c r="D475" s="308">
        <f>'7.  Persistence Report'!AW144</f>
        <v>41191.050054453</v>
      </c>
      <c r="E475" s="308">
        <f>'7.  Persistence Report'!AX144</f>
        <v>41191.050054453</v>
      </c>
      <c r="F475" s="308">
        <f>'7.  Persistence Report'!AY144</f>
        <v>41191.050054453</v>
      </c>
      <c r="G475" s="308"/>
      <c r="H475" s="308"/>
      <c r="I475" s="308"/>
      <c r="J475" s="308"/>
      <c r="K475" s="308"/>
      <c r="L475" s="308"/>
      <c r="M475" s="308"/>
      <c r="N475" s="763"/>
      <c r="O475" s="308">
        <f>'7.  Persistence Report'!R144</f>
        <v>11.928629880022589</v>
      </c>
      <c r="P475" s="308">
        <f>'7.  Persistence Report'!S144</f>
        <v>11.928629880022589</v>
      </c>
      <c r="Q475" s="308">
        <f>'7.  Persistence Report'!T144</f>
        <v>11.928629880022589</v>
      </c>
      <c r="R475" s="308"/>
      <c r="S475" s="308"/>
      <c r="T475" s="308"/>
      <c r="U475" s="308"/>
      <c r="V475" s="308"/>
      <c r="W475" s="308"/>
      <c r="X475" s="308"/>
      <c r="Y475" s="773">
        <f>Y474</f>
        <v>1</v>
      </c>
      <c r="Z475" s="773">
        <f t="shared" ref="Z475:AE475" si="815">Z474</f>
        <v>0</v>
      </c>
      <c r="AA475" s="773">
        <f t="shared" si="815"/>
        <v>0</v>
      </c>
      <c r="AB475" s="773">
        <f t="shared" si="815"/>
        <v>0</v>
      </c>
      <c r="AC475" s="773">
        <f t="shared" si="815"/>
        <v>0</v>
      </c>
      <c r="AD475" s="773">
        <f t="shared" si="815"/>
        <v>0</v>
      </c>
      <c r="AE475" s="773">
        <f t="shared" si="815"/>
        <v>0</v>
      </c>
      <c r="AF475" s="423">
        <f t="shared" ref="AF475" si="816">AF474</f>
        <v>0</v>
      </c>
      <c r="AG475" s="423">
        <f t="shared" ref="AG475" si="817">AG474</f>
        <v>0</v>
      </c>
      <c r="AH475" s="423">
        <f t="shared" ref="AH475" si="818">AH474</f>
        <v>0</v>
      </c>
      <c r="AI475" s="423">
        <f t="shared" ref="AI475" si="819">AI474</f>
        <v>0</v>
      </c>
      <c r="AJ475" s="423">
        <f t="shared" ref="AJ475" si="820">AJ474</f>
        <v>0</v>
      </c>
      <c r="AK475" s="423">
        <f t="shared" ref="AK475" si="821">AK474</f>
        <v>0</v>
      </c>
      <c r="AL475" s="423">
        <f t="shared" ref="AL475" si="822">AL474</f>
        <v>0</v>
      </c>
      <c r="AM475" s="319"/>
    </row>
    <row r="476" spans="1:39" ht="15" outlineLevel="1">
      <c r="A476" s="539"/>
      <c r="B476" s="441"/>
      <c r="C476" s="304"/>
      <c r="D476" s="763"/>
      <c r="E476" s="763"/>
      <c r="F476" s="763"/>
      <c r="G476" s="763"/>
      <c r="H476" s="763"/>
      <c r="I476" s="763"/>
      <c r="J476" s="763"/>
      <c r="K476" s="763"/>
      <c r="L476" s="763"/>
      <c r="M476" s="763"/>
      <c r="N476" s="763"/>
      <c r="O476" s="763"/>
      <c r="P476" s="763"/>
      <c r="Q476" s="763"/>
      <c r="R476" s="763"/>
      <c r="S476" s="763"/>
      <c r="T476" s="763"/>
      <c r="U476" s="763"/>
      <c r="V476" s="763"/>
      <c r="W476" s="763"/>
      <c r="X476" s="763"/>
      <c r="Y476" s="784"/>
      <c r="Z476" s="793"/>
      <c r="AA476" s="793"/>
      <c r="AB476" s="793"/>
      <c r="AC476" s="793"/>
      <c r="AD476" s="793"/>
      <c r="AE476" s="793"/>
      <c r="AF476" s="435"/>
      <c r="AG476" s="435"/>
      <c r="AH476" s="435"/>
      <c r="AI476" s="435"/>
      <c r="AJ476" s="435"/>
      <c r="AK476" s="435"/>
      <c r="AL476" s="435"/>
      <c r="AM476" s="319"/>
    </row>
    <row r="477" spans="1:39" ht="30" outlineLevel="1">
      <c r="A477" s="539">
        <v>23</v>
      </c>
      <c r="B477" s="438" t="s">
        <v>115</v>
      </c>
      <c r="C477" s="304" t="s">
        <v>25</v>
      </c>
      <c r="D477" s="308"/>
      <c r="E477" s="308"/>
      <c r="F477" s="308"/>
      <c r="G477" s="308"/>
      <c r="H477" s="308"/>
      <c r="I477" s="308"/>
      <c r="J477" s="308"/>
      <c r="K477" s="308"/>
      <c r="L477" s="308"/>
      <c r="M477" s="308"/>
      <c r="N477" s="763"/>
      <c r="O477" s="308"/>
      <c r="P477" s="308"/>
      <c r="Q477" s="308"/>
      <c r="R477" s="308"/>
      <c r="S477" s="308"/>
      <c r="T477" s="308"/>
      <c r="U477" s="308"/>
      <c r="V477" s="308"/>
      <c r="W477" s="308"/>
      <c r="X477" s="308"/>
      <c r="Y477" s="772"/>
      <c r="Z477" s="772"/>
      <c r="AA477" s="772"/>
      <c r="AB477" s="772"/>
      <c r="AC477" s="772"/>
      <c r="AD477" s="772"/>
      <c r="AE477" s="772"/>
      <c r="AF477" s="422"/>
      <c r="AG477" s="422"/>
      <c r="AH477" s="422"/>
      <c r="AI477" s="422"/>
      <c r="AJ477" s="422"/>
      <c r="AK477" s="422"/>
      <c r="AL477" s="422"/>
      <c r="AM477" s="309">
        <f>SUM(Y477:AL477)</f>
        <v>0</v>
      </c>
    </row>
    <row r="478" spans="1:39" ht="15" outlineLevel="1">
      <c r="A478" s="539"/>
      <c r="B478" s="441" t="s">
        <v>308</v>
      </c>
      <c r="C478" s="304" t="s">
        <v>163</v>
      </c>
      <c r="D478" s="308"/>
      <c r="E478" s="308"/>
      <c r="F478" s="308"/>
      <c r="G478" s="308"/>
      <c r="H478" s="308"/>
      <c r="I478" s="308"/>
      <c r="J478" s="308"/>
      <c r="K478" s="308"/>
      <c r="L478" s="308"/>
      <c r="M478" s="308"/>
      <c r="N478" s="763"/>
      <c r="O478" s="308"/>
      <c r="P478" s="308"/>
      <c r="Q478" s="308"/>
      <c r="R478" s="308"/>
      <c r="S478" s="308"/>
      <c r="T478" s="308"/>
      <c r="U478" s="308"/>
      <c r="V478" s="308"/>
      <c r="W478" s="308"/>
      <c r="X478" s="308"/>
      <c r="Y478" s="773">
        <f>Y477</f>
        <v>0</v>
      </c>
      <c r="Z478" s="773">
        <f t="shared" ref="Z478:AE478" si="823">Z477</f>
        <v>0</v>
      </c>
      <c r="AA478" s="773">
        <f t="shared" si="823"/>
        <v>0</v>
      </c>
      <c r="AB478" s="773">
        <f t="shared" si="823"/>
        <v>0</v>
      </c>
      <c r="AC478" s="773">
        <f t="shared" si="823"/>
        <v>0</v>
      </c>
      <c r="AD478" s="773">
        <f t="shared" si="823"/>
        <v>0</v>
      </c>
      <c r="AE478" s="773">
        <f t="shared" si="823"/>
        <v>0</v>
      </c>
      <c r="AF478" s="423">
        <f t="shared" ref="AF478" si="824">AF477</f>
        <v>0</v>
      </c>
      <c r="AG478" s="423">
        <f t="shared" ref="AG478" si="825">AG477</f>
        <v>0</v>
      </c>
      <c r="AH478" s="423">
        <f t="shared" ref="AH478" si="826">AH477</f>
        <v>0</v>
      </c>
      <c r="AI478" s="423">
        <f t="shared" ref="AI478" si="827">AI477</f>
        <v>0</v>
      </c>
      <c r="AJ478" s="423">
        <f t="shared" ref="AJ478" si="828">AJ477</f>
        <v>0</v>
      </c>
      <c r="AK478" s="423">
        <f t="shared" ref="AK478" si="829">AK477</f>
        <v>0</v>
      </c>
      <c r="AL478" s="423">
        <f t="shared" ref="AL478" si="830">AL477</f>
        <v>0</v>
      </c>
      <c r="AM478" s="319"/>
    </row>
    <row r="479" spans="1:39" ht="15" outlineLevel="1">
      <c r="A479" s="539"/>
      <c r="B479" s="440"/>
      <c r="C479" s="304"/>
      <c r="D479" s="763"/>
      <c r="E479" s="763"/>
      <c r="F479" s="763"/>
      <c r="G479" s="763"/>
      <c r="H479" s="763"/>
      <c r="I479" s="763"/>
      <c r="J479" s="763"/>
      <c r="K479" s="763"/>
      <c r="L479" s="763"/>
      <c r="M479" s="763"/>
      <c r="N479" s="763"/>
      <c r="O479" s="763"/>
      <c r="P479" s="763"/>
      <c r="Q479" s="763"/>
      <c r="R479" s="763"/>
      <c r="S479" s="763"/>
      <c r="T479" s="763"/>
      <c r="U479" s="763"/>
      <c r="V479" s="763"/>
      <c r="W479" s="763"/>
      <c r="X479" s="763"/>
      <c r="Y479" s="784"/>
      <c r="Z479" s="793"/>
      <c r="AA479" s="793"/>
      <c r="AB479" s="793"/>
      <c r="AC479" s="793"/>
      <c r="AD479" s="793"/>
      <c r="AE479" s="793"/>
      <c r="AF479" s="435"/>
      <c r="AG479" s="435"/>
      <c r="AH479" s="435"/>
      <c r="AI479" s="435"/>
      <c r="AJ479" s="435"/>
      <c r="AK479" s="435"/>
      <c r="AL479" s="435"/>
      <c r="AM479" s="319"/>
    </row>
    <row r="480" spans="1:39" ht="15" outlineLevel="1">
      <c r="A480" s="539">
        <v>24</v>
      </c>
      <c r="B480" s="438" t="s">
        <v>116</v>
      </c>
      <c r="C480" s="304" t="s">
        <v>25</v>
      </c>
      <c r="D480" s="308">
        <f>'7.  Persistence Report'!AW124</f>
        <v>2611264</v>
      </c>
      <c r="E480" s="308">
        <f>'7.  Persistence Report'!AX124</f>
        <v>1891047</v>
      </c>
      <c r="F480" s="308">
        <f>'7.  Persistence Report'!AY124</f>
        <v>1891047</v>
      </c>
      <c r="G480" s="308">
        <f>'7.  Persistence Report'!AZ124</f>
        <v>1891047</v>
      </c>
      <c r="H480" s="308">
        <f>'7.  Persistence Report'!BA124</f>
        <v>1891047</v>
      </c>
      <c r="I480" s="308">
        <f>'7.  Persistence Report'!BB124</f>
        <v>1891047</v>
      </c>
      <c r="J480" s="308">
        <f>'7.  Persistence Report'!BC124</f>
        <v>1891047</v>
      </c>
      <c r="K480" s="308">
        <f>'7.  Persistence Report'!BD124</f>
        <v>1891011</v>
      </c>
      <c r="L480" s="308">
        <f>'7.  Persistence Report'!BE124</f>
        <v>1891011</v>
      </c>
      <c r="M480" s="308">
        <f>'7.  Persistence Report'!BF124</f>
        <v>1891011</v>
      </c>
      <c r="N480" s="763"/>
      <c r="O480" s="308">
        <f>'7.  Persistence Report'!R124</f>
        <v>179</v>
      </c>
      <c r="P480" s="308">
        <f>'7.  Persistence Report'!S124</f>
        <v>131</v>
      </c>
      <c r="Q480" s="308">
        <f>'7.  Persistence Report'!T124</f>
        <v>131</v>
      </c>
      <c r="R480" s="308">
        <f>'7.  Persistence Report'!U124</f>
        <v>131</v>
      </c>
      <c r="S480" s="308">
        <f>'7.  Persistence Report'!V124</f>
        <v>131</v>
      </c>
      <c r="T480" s="308">
        <f>'7.  Persistence Report'!W124</f>
        <v>131</v>
      </c>
      <c r="U480" s="308">
        <f>'7.  Persistence Report'!X124</f>
        <v>131</v>
      </c>
      <c r="V480" s="308">
        <f>'7.  Persistence Report'!Y124</f>
        <v>131</v>
      </c>
      <c r="W480" s="308">
        <f>'7.  Persistence Report'!Z124</f>
        <v>131</v>
      </c>
      <c r="X480" s="308">
        <f>'7.  Persistence Report'!AA124</f>
        <v>131</v>
      </c>
      <c r="Y480" s="772">
        <v>1</v>
      </c>
      <c r="Z480" s="772"/>
      <c r="AA480" s="772"/>
      <c r="AB480" s="772"/>
      <c r="AC480" s="772"/>
      <c r="AD480" s="772"/>
      <c r="AE480" s="772"/>
      <c r="AF480" s="422"/>
      <c r="AG480" s="422"/>
      <c r="AH480" s="422"/>
      <c r="AI480" s="422"/>
      <c r="AJ480" s="422"/>
      <c r="AK480" s="422"/>
      <c r="AL480" s="422"/>
      <c r="AM480" s="309">
        <f>SUM(Y480:AL480)</f>
        <v>1</v>
      </c>
    </row>
    <row r="481" spans="1:39" ht="15" outlineLevel="1">
      <c r="A481" s="539"/>
      <c r="B481" s="441" t="s">
        <v>308</v>
      </c>
      <c r="C481" s="304" t="s">
        <v>163</v>
      </c>
      <c r="D481" s="308"/>
      <c r="E481" s="308"/>
      <c r="F481" s="308"/>
      <c r="G481" s="308"/>
      <c r="H481" s="308"/>
      <c r="I481" s="308"/>
      <c r="J481" s="308"/>
      <c r="K481" s="308"/>
      <c r="L481" s="308"/>
      <c r="M481" s="308"/>
      <c r="N481" s="763"/>
      <c r="O481" s="308"/>
      <c r="P481" s="308"/>
      <c r="Q481" s="308"/>
      <c r="R481" s="308"/>
      <c r="S481" s="308"/>
      <c r="T481" s="308"/>
      <c r="U481" s="308"/>
      <c r="V481" s="308"/>
      <c r="W481" s="308"/>
      <c r="X481" s="308"/>
      <c r="Y481" s="773">
        <f>Y480</f>
        <v>1</v>
      </c>
      <c r="Z481" s="773">
        <f t="shared" ref="Z481:AE481" si="831">Z480</f>
        <v>0</v>
      </c>
      <c r="AA481" s="773">
        <f t="shared" si="831"/>
        <v>0</v>
      </c>
      <c r="AB481" s="773">
        <f t="shared" si="831"/>
        <v>0</v>
      </c>
      <c r="AC481" s="773">
        <f t="shared" si="831"/>
        <v>0</v>
      </c>
      <c r="AD481" s="773">
        <f t="shared" si="831"/>
        <v>0</v>
      </c>
      <c r="AE481" s="773">
        <f t="shared" si="831"/>
        <v>0</v>
      </c>
      <c r="AF481" s="423">
        <f t="shared" ref="AF481" si="832">AF480</f>
        <v>0</v>
      </c>
      <c r="AG481" s="423">
        <f t="shared" ref="AG481" si="833">AG480</f>
        <v>0</v>
      </c>
      <c r="AH481" s="423">
        <f t="shared" ref="AH481" si="834">AH480</f>
        <v>0</v>
      </c>
      <c r="AI481" s="423">
        <f t="shared" ref="AI481" si="835">AI480</f>
        <v>0</v>
      </c>
      <c r="AJ481" s="423">
        <f t="shared" ref="AJ481" si="836">AJ480</f>
        <v>0</v>
      </c>
      <c r="AK481" s="423">
        <f t="shared" ref="AK481" si="837">AK480</f>
        <v>0</v>
      </c>
      <c r="AL481" s="423">
        <f t="shared" ref="AL481" si="838">AL480</f>
        <v>0</v>
      </c>
      <c r="AM481" s="319"/>
    </row>
    <row r="482" spans="1:39" ht="15" outlineLevel="1">
      <c r="A482" s="539"/>
      <c r="B482" s="441"/>
      <c r="C482" s="304"/>
      <c r="D482" s="763"/>
      <c r="E482" s="763"/>
      <c r="F482" s="763"/>
      <c r="G482" s="763"/>
      <c r="H482" s="763"/>
      <c r="I482" s="763"/>
      <c r="J482" s="763"/>
      <c r="K482" s="763"/>
      <c r="L482" s="763"/>
      <c r="M482" s="763"/>
      <c r="N482" s="763"/>
      <c r="O482" s="763"/>
      <c r="P482" s="763"/>
      <c r="Q482" s="763"/>
      <c r="R482" s="763"/>
      <c r="S482" s="763"/>
      <c r="T482" s="763"/>
      <c r="U482" s="763"/>
      <c r="V482" s="763"/>
      <c r="W482" s="763"/>
      <c r="X482" s="763"/>
      <c r="Y482" s="774"/>
      <c r="Z482" s="793"/>
      <c r="AA482" s="793"/>
      <c r="AB482" s="793"/>
      <c r="AC482" s="793"/>
      <c r="AD482" s="793"/>
      <c r="AE482" s="793"/>
      <c r="AF482" s="435"/>
      <c r="AG482" s="435"/>
      <c r="AH482" s="435"/>
      <c r="AI482" s="435"/>
      <c r="AJ482" s="435"/>
      <c r="AK482" s="435"/>
      <c r="AL482" s="435"/>
      <c r="AM482" s="319"/>
    </row>
    <row r="483" spans="1:39" ht="15.6" outlineLevel="1">
      <c r="A483" s="539"/>
      <c r="B483" s="511" t="s">
        <v>499</v>
      </c>
      <c r="C483" s="304"/>
      <c r="D483" s="763"/>
      <c r="E483" s="763"/>
      <c r="F483" s="763"/>
      <c r="G483" s="763"/>
      <c r="H483" s="763"/>
      <c r="I483" s="763"/>
      <c r="J483" s="763"/>
      <c r="K483" s="763"/>
      <c r="L483" s="763"/>
      <c r="M483" s="763"/>
      <c r="N483" s="763"/>
      <c r="O483" s="763"/>
      <c r="P483" s="763"/>
      <c r="Q483" s="763"/>
      <c r="R483" s="763"/>
      <c r="S483" s="763"/>
      <c r="T483" s="763"/>
      <c r="U483" s="763"/>
      <c r="V483" s="763"/>
      <c r="W483" s="763"/>
      <c r="X483" s="763"/>
      <c r="Y483" s="774"/>
      <c r="Z483" s="793"/>
      <c r="AA483" s="793"/>
      <c r="AB483" s="793"/>
      <c r="AC483" s="793"/>
      <c r="AD483" s="793"/>
      <c r="AE483" s="793"/>
      <c r="AF483" s="435"/>
      <c r="AG483" s="435"/>
      <c r="AH483" s="435"/>
      <c r="AI483" s="435"/>
      <c r="AJ483" s="435"/>
      <c r="AK483" s="435"/>
      <c r="AL483" s="435"/>
      <c r="AM483" s="319"/>
    </row>
    <row r="484" spans="1:39" ht="15" outlineLevel="1">
      <c r="A484" s="539">
        <v>25</v>
      </c>
      <c r="B484" s="438" t="s">
        <v>117</v>
      </c>
      <c r="C484" s="304" t="s">
        <v>25</v>
      </c>
      <c r="D484" s="308"/>
      <c r="E484" s="308"/>
      <c r="F484" s="308"/>
      <c r="G484" s="308"/>
      <c r="H484" s="308"/>
      <c r="I484" s="308"/>
      <c r="J484" s="308"/>
      <c r="K484" s="308"/>
      <c r="L484" s="308"/>
      <c r="M484" s="308"/>
      <c r="N484" s="308">
        <v>12</v>
      </c>
      <c r="O484" s="308"/>
      <c r="P484" s="308"/>
      <c r="Q484" s="308"/>
      <c r="R484" s="308"/>
      <c r="S484" s="308"/>
      <c r="T484" s="308"/>
      <c r="U484" s="308"/>
      <c r="V484" s="308"/>
      <c r="W484" s="308"/>
      <c r="X484" s="308"/>
      <c r="Y484" s="789"/>
      <c r="Z484" s="772"/>
      <c r="AA484" s="772"/>
      <c r="AB484" s="772"/>
      <c r="AC484" s="772"/>
      <c r="AD484" s="772"/>
      <c r="AE484" s="772"/>
      <c r="AF484" s="427"/>
      <c r="AG484" s="427"/>
      <c r="AH484" s="427"/>
      <c r="AI484" s="427"/>
      <c r="AJ484" s="427"/>
      <c r="AK484" s="427"/>
      <c r="AL484" s="427"/>
      <c r="AM484" s="309">
        <f>SUM(Y484:AL484)</f>
        <v>0</v>
      </c>
    </row>
    <row r="485" spans="1:39" ht="15" outlineLevel="1">
      <c r="A485" s="539"/>
      <c r="B485" s="441" t="s">
        <v>308</v>
      </c>
      <c r="C485" s="304" t="s">
        <v>163</v>
      </c>
      <c r="D485" s="308"/>
      <c r="E485" s="308"/>
      <c r="F485" s="308"/>
      <c r="G485" s="308"/>
      <c r="H485" s="308"/>
      <c r="I485" s="308"/>
      <c r="J485" s="308"/>
      <c r="K485" s="308"/>
      <c r="L485" s="308"/>
      <c r="M485" s="308"/>
      <c r="N485" s="308">
        <f>N484</f>
        <v>12</v>
      </c>
      <c r="O485" s="308"/>
      <c r="P485" s="308"/>
      <c r="Q485" s="308"/>
      <c r="R485" s="308"/>
      <c r="S485" s="308"/>
      <c r="T485" s="308"/>
      <c r="U485" s="308"/>
      <c r="V485" s="308"/>
      <c r="W485" s="308"/>
      <c r="X485" s="308"/>
      <c r="Y485" s="773">
        <f>Y484</f>
        <v>0</v>
      </c>
      <c r="Z485" s="773">
        <f t="shared" ref="Z485:AE485" si="839">Z484</f>
        <v>0</v>
      </c>
      <c r="AA485" s="773">
        <f t="shared" si="839"/>
        <v>0</v>
      </c>
      <c r="AB485" s="773">
        <f t="shared" si="839"/>
        <v>0</v>
      </c>
      <c r="AC485" s="773">
        <f t="shared" si="839"/>
        <v>0</v>
      </c>
      <c r="AD485" s="773">
        <f t="shared" si="839"/>
        <v>0</v>
      </c>
      <c r="AE485" s="773">
        <f t="shared" si="839"/>
        <v>0</v>
      </c>
      <c r="AF485" s="423">
        <f t="shared" ref="AF485" si="840">AF484</f>
        <v>0</v>
      </c>
      <c r="AG485" s="423">
        <f t="shared" ref="AG485" si="841">AG484</f>
        <v>0</v>
      </c>
      <c r="AH485" s="423">
        <f t="shared" ref="AH485" si="842">AH484</f>
        <v>0</v>
      </c>
      <c r="AI485" s="423">
        <f t="shared" ref="AI485" si="843">AI484</f>
        <v>0</v>
      </c>
      <c r="AJ485" s="423">
        <f t="shared" ref="AJ485" si="844">AJ484</f>
        <v>0</v>
      </c>
      <c r="AK485" s="423">
        <f t="shared" ref="AK485" si="845">AK484</f>
        <v>0</v>
      </c>
      <c r="AL485" s="423">
        <f t="shared" ref="AL485" si="846">AL484</f>
        <v>0</v>
      </c>
      <c r="AM485" s="319"/>
    </row>
    <row r="486" spans="1:39" ht="15" outlineLevel="1">
      <c r="A486" s="539"/>
      <c r="B486" s="441"/>
      <c r="C486" s="304"/>
      <c r="D486" s="763"/>
      <c r="E486" s="763"/>
      <c r="F486" s="763"/>
      <c r="G486" s="763"/>
      <c r="H486" s="763"/>
      <c r="I486" s="763"/>
      <c r="J486" s="763"/>
      <c r="K486" s="763"/>
      <c r="L486" s="763"/>
      <c r="M486" s="763"/>
      <c r="N486" s="763"/>
      <c r="O486" s="763"/>
      <c r="P486" s="763"/>
      <c r="Q486" s="763"/>
      <c r="R486" s="763"/>
      <c r="S486" s="763"/>
      <c r="T486" s="763"/>
      <c r="U486" s="763"/>
      <c r="V486" s="763"/>
      <c r="W486" s="763"/>
      <c r="X486" s="763"/>
      <c r="Y486" s="774"/>
      <c r="Z486" s="793"/>
      <c r="AA486" s="793"/>
      <c r="AB486" s="793"/>
      <c r="AC486" s="793"/>
      <c r="AD486" s="793"/>
      <c r="AE486" s="793"/>
      <c r="AF486" s="435"/>
      <c r="AG486" s="435"/>
      <c r="AH486" s="435"/>
      <c r="AI486" s="435"/>
      <c r="AJ486" s="435"/>
      <c r="AK486" s="435"/>
      <c r="AL486" s="435"/>
      <c r="AM486" s="319"/>
    </row>
    <row r="487" spans="1:39" ht="15" outlineLevel="1">
      <c r="A487" s="539">
        <v>26</v>
      </c>
      <c r="B487" s="438" t="s">
        <v>118</v>
      </c>
      <c r="C487" s="304" t="s">
        <v>25</v>
      </c>
      <c r="D487" s="308">
        <f>'7.  Persistence Report'!AW126</f>
        <v>2780342</v>
      </c>
      <c r="E487" s="308">
        <f>'7.  Persistence Report'!AX126</f>
        <v>2784605</v>
      </c>
      <c r="F487" s="308">
        <f>'7.  Persistence Report'!AY126</f>
        <v>2784605</v>
      </c>
      <c r="G487" s="308">
        <f>'7.  Persistence Report'!AZ126</f>
        <v>2784605</v>
      </c>
      <c r="H487" s="308">
        <f>'7.  Persistence Report'!BA126</f>
        <v>2784605</v>
      </c>
      <c r="I487" s="308">
        <f>'7.  Persistence Report'!BB126</f>
        <v>2681722</v>
      </c>
      <c r="J487" s="308">
        <f>'7.  Persistence Report'!BC126</f>
        <v>2681722</v>
      </c>
      <c r="K487" s="308">
        <f>'7.  Persistence Report'!BD126</f>
        <v>2681722</v>
      </c>
      <c r="L487" s="308">
        <f>'7.  Persistence Report'!BE126</f>
        <v>2680749</v>
      </c>
      <c r="M487" s="308">
        <f>'7.  Persistence Report'!BF126</f>
        <v>2680749</v>
      </c>
      <c r="N487" s="308">
        <v>12</v>
      </c>
      <c r="O487" s="308">
        <f>'7.  Persistence Report'!R126</f>
        <v>591</v>
      </c>
      <c r="P487" s="308">
        <f>'7.  Persistence Report'!S126</f>
        <v>592</v>
      </c>
      <c r="Q487" s="308">
        <f>'7.  Persistence Report'!T126</f>
        <v>592</v>
      </c>
      <c r="R487" s="308">
        <f>'7.  Persistence Report'!U126</f>
        <v>592</v>
      </c>
      <c r="S487" s="308">
        <f>'7.  Persistence Report'!V126</f>
        <v>592</v>
      </c>
      <c r="T487" s="308">
        <f>'7.  Persistence Report'!W126</f>
        <v>571</v>
      </c>
      <c r="U487" s="308">
        <f>'7.  Persistence Report'!X126</f>
        <v>571</v>
      </c>
      <c r="V487" s="308">
        <f>'7.  Persistence Report'!Y126</f>
        <v>571</v>
      </c>
      <c r="W487" s="308">
        <f>'7.  Persistence Report'!Z126</f>
        <v>571</v>
      </c>
      <c r="X487" s="308">
        <f>'7.  Persistence Report'!AA126</f>
        <v>571</v>
      </c>
      <c r="Y487" s="789"/>
      <c r="Z487" s="772">
        <v>0.37809999999999999</v>
      </c>
      <c r="AA487" s="772">
        <v>0.36109999999999998</v>
      </c>
      <c r="AB487" s="772">
        <v>0.26069999999999999</v>
      </c>
      <c r="AC487" s="772"/>
      <c r="AD487" s="772"/>
      <c r="AE487" s="772"/>
      <c r="AF487" s="427"/>
      <c r="AG487" s="427"/>
      <c r="AH487" s="427"/>
      <c r="AI487" s="427"/>
      <c r="AJ487" s="427"/>
      <c r="AK487" s="427"/>
      <c r="AL487" s="427"/>
      <c r="AM487" s="309">
        <f>SUM(Y487:AL487)</f>
        <v>0.99990000000000001</v>
      </c>
    </row>
    <row r="488" spans="1:39" ht="15" outlineLevel="1">
      <c r="A488" s="539"/>
      <c r="B488" s="441" t="s">
        <v>308</v>
      </c>
      <c r="C488" s="304" t="s">
        <v>163</v>
      </c>
      <c r="D488" s="308">
        <f>'7.  Persistence Report'!AW146+'7.  Persistence Report'!AW141</f>
        <v>522551.79638588312</v>
      </c>
      <c r="E488" s="308">
        <f>'7.  Persistence Report'!AX146+'7.  Persistence Report'!AX141</f>
        <v>480779.99220292037</v>
      </c>
      <c r="F488" s="308">
        <f>'7.  Persistence Report'!AY146+'7.  Persistence Report'!AY141</f>
        <v>479384.79131706408</v>
      </c>
      <c r="G488" s="308">
        <f>'7.  Persistence Report'!AZ146+'7.  Persistence Report'!AZ141</f>
        <v>477989.59043120779</v>
      </c>
      <c r="H488" s="308"/>
      <c r="I488" s="308"/>
      <c r="J488" s="308"/>
      <c r="K488" s="308"/>
      <c r="L488" s="308"/>
      <c r="M488" s="308"/>
      <c r="N488" s="308">
        <f>N487</f>
        <v>12</v>
      </c>
      <c r="O488" s="308">
        <f>'7.  Persistence Report'!R146+'7.  Persistence Report'!R141</f>
        <v>65.427868980111356</v>
      </c>
      <c r="P488" s="308">
        <f>'7.  Persistence Report'!S146+'7.  Persistence Report'!S141</f>
        <v>60.306998755435885</v>
      </c>
      <c r="Q488" s="308">
        <f>'7.  Persistence Report'!T146+'7.  Persistence Report'!T141</f>
        <v>60.131990686357568</v>
      </c>
      <c r="R488" s="308"/>
      <c r="S488" s="308"/>
      <c r="T488" s="308"/>
      <c r="U488" s="308"/>
      <c r="V488" s="308"/>
      <c r="W488" s="308"/>
      <c r="X488" s="308"/>
      <c r="Y488" s="773">
        <f>Y487</f>
        <v>0</v>
      </c>
      <c r="Z488" s="773">
        <f t="shared" ref="Z488:AE488" si="847">Z487</f>
        <v>0.37809999999999999</v>
      </c>
      <c r="AA488" s="773">
        <f t="shared" si="847"/>
        <v>0.36109999999999998</v>
      </c>
      <c r="AB488" s="773">
        <f t="shared" si="847"/>
        <v>0.26069999999999999</v>
      </c>
      <c r="AC488" s="773">
        <f t="shared" si="847"/>
        <v>0</v>
      </c>
      <c r="AD488" s="773">
        <f t="shared" si="847"/>
        <v>0</v>
      </c>
      <c r="AE488" s="773">
        <f t="shared" si="847"/>
        <v>0</v>
      </c>
      <c r="AF488" s="423">
        <f t="shared" ref="AF488" si="848">AF487</f>
        <v>0</v>
      </c>
      <c r="AG488" s="423">
        <f t="shared" ref="AG488" si="849">AG487</f>
        <v>0</v>
      </c>
      <c r="AH488" s="423">
        <f t="shared" ref="AH488" si="850">AH487</f>
        <v>0</v>
      </c>
      <c r="AI488" s="423">
        <f t="shared" ref="AI488" si="851">AI487</f>
        <v>0</v>
      </c>
      <c r="AJ488" s="423">
        <f t="shared" ref="AJ488" si="852">AJ487</f>
        <v>0</v>
      </c>
      <c r="AK488" s="423">
        <f t="shared" ref="AK488" si="853">AK487</f>
        <v>0</v>
      </c>
      <c r="AL488" s="423">
        <f t="shared" ref="AL488" si="854">AL487</f>
        <v>0</v>
      </c>
      <c r="AM488" s="319"/>
    </row>
    <row r="489" spans="1:39" ht="15" outlineLevel="1">
      <c r="A489" s="539"/>
      <c r="B489" s="441"/>
      <c r="C489" s="304"/>
      <c r="D489" s="763"/>
      <c r="E489" s="763"/>
      <c r="F489" s="763"/>
      <c r="G489" s="763"/>
      <c r="H489" s="763"/>
      <c r="I489" s="763"/>
      <c r="J489" s="763"/>
      <c r="K489" s="763"/>
      <c r="L489" s="763"/>
      <c r="M489" s="763"/>
      <c r="N489" s="763"/>
      <c r="O489" s="763"/>
      <c r="P489" s="763"/>
      <c r="Q489" s="763"/>
      <c r="R489" s="763"/>
      <c r="S489" s="763"/>
      <c r="T489" s="763"/>
      <c r="U489" s="763"/>
      <c r="V489" s="763"/>
      <c r="W489" s="763"/>
      <c r="X489" s="763"/>
      <c r="Y489" s="774"/>
      <c r="Z489" s="793"/>
      <c r="AA489" s="793"/>
      <c r="AB489" s="793"/>
      <c r="AC489" s="793"/>
      <c r="AD489" s="793"/>
      <c r="AE489" s="793"/>
      <c r="AF489" s="435"/>
      <c r="AG489" s="435"/>
      <c r="AH489" s="435"/>
      <c r="AI489" s="435"/>
      <c r="AJ489" s="435"/>
      <c r="AK489" s="435"/>
      <c r="AL489" s="435"/>
      <c r="AM489" s="319"/>
    </row>
    <row r="490" spans="1:39" ht="30" outlineLevel="1">
      <c r="A490" s="539">
        <v>27</v>
      </c>
      <c r="B490" s="438" t="s">
        <v>119</v>
      </c>
      <c r="C490" s="304" t="s">
        <v>25</v>
      </c>
      <c r="D490" s="308"/>
      <c r="E490" s="308"/>
      <c r="F490" s="308"/>
      <c r="G490" s="308"/>
      <c r="H490" s="308"/>
      <c r="I490" s="308"/>
      <c r="J490" s="308"/>
      <c r="K490" s="308"/>
      <c r="L490" s="308"/>
      <c r="M490" s="308"/>
      <c r="N490" s="308">
        <v>12</v>
      </c>
      <c r="O490" s="308"/>
      <c r="P490" s="308"/>
      <c r="Q490" s="308"/>
      <c r="R490" s="308"/>
      <c r="S490" s="308"/>
      <c r="T490" s="308"/>
      <c r="U490" s="308"/>
      <c r="V490" s="308"/>
      <c r="W490" s="308"/>
      <c r="X490" s="308"/>
      <c r="Y490" s="789"/>
      <c r="Z490" s="772"/>
      <c r="AA490" s="772"/>
      <c r="AB490" s="772"/>
      <c r="AC490" s="772"/>
      <c r="AD490" s="772"/>
      <c r="AE490" s="772"/>
      <c r="AF490" s="427"/>
      <c r="AG490" s="427"/>
      <c r="AH490" s="427"/>
      <c r="AI490" s="427"/>
      <c r="AJ490" s="427"/>
      <c r="AK490" s="427"/>
      <c r="AL490" s="427"/>
      <c r="AM490" s="309">
        <f>SUM(Y490:AL490)</f>
        <v>0</v>
      </c>
    </row>
    <row r="491" spans="1:39" ht="15" outlineLevel="1">
      <c r="A491" s="539"/>
      <c r="B491" s="441" t="s">
        <v>308</v>
      </c>
      <c r="C491" s="304" t="s">
        <v>163</v>
      </c>
      <c r="D491" s="308"/>
      <c r="E491" s="308"/>
      <c r="F491" s="308"/>
      <c r="G491" s="308"/>
      <c r="H491" s="308"/>
      <c r="I491" s="308"/>
      <c r="J491" s="308"/>
      <c r="K491" s="308"/>
      <c r="L491" s="308"/>
      <c r="M491" s="308"/>
      <c r="N491" s="308">
        <f>N490</f>
        <v>12</v>
      </c>
      <c r="O491" s="308"/>
      <c r="P491" s="308"/>
      <c r="Q491" s="308"/>
      <c r="R491" s="308"/>
      <c r="S491" s="308"/>
      <c r="T491" s="308"/>
      <c r="U491" s="308"/>
      <c r="V491" s="308"/>
      <c r="W491" s="308"/>
      <c r="X491" s="308"/>
      <c r="Y491" s="773">
        <f>Y490</f>
        <v>0</v>
      </c>
      <c r="Z491" s="773">
        <f t="shared" ref="Z491:AE491" si="855">Z490</f>
        <v>0</v>
      </c>
      <c r="AA491" s="773">
        <f t="shared" si="855"/>
        <v>0</v>
      </c>
      <c r="AB491" s="773">
        <f t="shared" si="855"/>
        <v>0</v>
      </c>
      <c r="AC491" s="773">
        <f t="shared" si="855"/>
        <v>0</v>
      </c>
      <c r="AD491" s="773">
        <f t="shared" si="855"/>
        <v>0</v>
      </c>
      <c r="AE491" s="773">
        <f t="shared" si="855"/>
        <v>0</v>
      </c>
      <c r="AF491" s="423">
        <f t="shared" ref="AF491" si="856">AF490</f>
        <v>0</v>
      </c>
      <c r="AG491" s="423">
        <f t="shared" ref="AG491" si="857">AG490</f>
        <v>0</v>
      </c>
      <c r="AH491" s="423">
        <f t="shared" ref="AH491" si="858">AH490</f>
        <v>0</v>
      </c>
      <c r="AI491" s="423">
        <f t="shared" ref="AI491" si="859">AI490</f>
        <v>0</v>
      </c>
      <c r="AJ491" s="423">
        <f t="shared" ref="AJ491" si="860">AJ490</f>
        <v>0</v>
      </c>
      <c r="AK491" s="423">
        <f t="shared" ref="AK491" si="861">AK490</f>
        <v>0</v>
      </c>
      <c r="AL491" s="423">
        <f t="shared" ref="AL491" si="862">AL490</f>
        <v>0</v>
      </c>
      <c r="AM491" s="319"/>
    </row>
    <row r="492" spans="1:39" ht="15" outlineLevel="1">
      <c r="A492" s="539"/>
      <c r="B492" s="441"/>
      <c r="C492" s="304"/>
      <c r="D492" s="763"/>
      <c r="E492" s="763"/>
      <c r="F492" s="763"/>
      <c r="G492" s="763"/>
      <c r="H492" s="763"/>
      <c r="I492" s="763"/>
      <c r="J492" s="763"/>
      <c r="K492" s="763"/>
      <c r="L492" s="763"/>
      <c r="M492" s="763"/>
      <c r="N492" s="763"/>
      <c r="O492" s="763"/>
      <c r="P492" s="763"/>
      <c r="Q492" s="763"/>
      <c r="R492" s="763"/>
      <c r="S492" s="763"/>
      <c r="T492" s="763"/>
      <c r="U492" s="763"/>
      <c r="V492" s="763"/>
      <c r="W492" s="763"/>
      <c r="X492" s="763"/>
      <c r="Y492" s="774"/>
      <c r="Z492" s="793"/>
      <c r="AA492" s="793"/>
      <c r="AB492" s="793"/>
      <c r="AC492" s="793"/>
      <c r="AD492" s="793"/>
      <c r="AE492" s="793"/>
      <c r="AF492" s="435"/>
      <c r="AG492" s="435"/>
      <c r="AH492" s="435"/>
      <c r="AI492" s="435"/>
      <c r="AJ492" s="435"/>
      <c r="AK492" s="435"/>
      <c r="AL492" s="435"/>
      <c r="AM492" s="319"/>
    </row>
    <row r="493" spans="1:39" ht="30" outlineLevel="1">
      <c r="A493" s="539">
        <v>28</v>
      </c>
      <c r="B493" s="438" t="s">
        <v>120</v>
      </c>
      <c r="C493" s="304" t="s">
        <v>25</v>
      </c>
      <c r="D493" s="308"/>
      <c r="E493" s="308"/>
      <c r="F493" s="308"/>
      <c r="G493" s="308"/>
      <c r="H493" s="308"/>
      <c r="I493" s="308"/>
      <c r="J493" s="308"/>
      <c r="K493" s="308"/>
      <c r="L493" s="308"/>
      <c r="M493" s="308"/>
      <c r="N493" s="308">
        <v>12</v>
      </c>
      <c r="O493" s="308"/>
      <c r="P493" s="308"/>
      <c r="Q493" s="308"/>
      <c r="R493" s="308"/>
      <c r="S493" s="308"/>
      <c r="T493" s="308"/>
      <c r="U493" s="308"/>
      <c r="V493" s="308"/>
      <c r="W493" s="308"/>
      <c r="X493" s="308"/>
      <c r="Y493" s="789"/>
      <c r="Z493" s="772"/>
      <c r="AA493" s="772"/>
      <c r="AB493" s="772"/>
      <c r="AC493" s="772"/>
      <c r="AD493" s="772"/>
      <c r="AE493" s="772"/>
      <c r="AF493" s="427"/>
      <c r="AG493" s="427"/>
      <c r="AH493" s="427"/>
      <c r="AI493" s="427"/>
      <c r="AJ493" s="427"/>
      <c r="AK493" s="427"/>
      <c r="AL493" s="427"/>
      <c r="AM493" s="309">
        <f>SUM(Y493:AL493)</f>
        <v>0</v>
      </c>
    </row>
    <row r="494" spans="1:39" ht="15" outlineLevel="1">
      <c r="A494" s="539"/>
      <c r="B494" s="441" t="s">
        <v>308</v>
      </c>
      <c r="C494" s="304" t="s">
        <v>163</v>
      </c>
      <c r="D494" s="308"/>
      <c r="E494" s="308"/>
      <c r="F494" s="308"/>
      <c r="G494" s="308"/>
      <c r="H494" s="308"/>
      <c r="I494" s="308"/>
      <c r="J494" s="308"/>
      <c r="K494" s="308"/>
      <c r="L494" s="308"/>
      <c r="M494" s="308"/>
      <c r="N494" s="308">
        <f>N493</f>
        <v>12</v>
      </c>
      <c r="O494" s="308"/>
      <c r="P494" s="308"/>
      <c r="Q494" s="308"/>
      <c r="R494" s="308"/>
      <c r="S494" s="308"/>
      <c r="T494" s="308"/>
      <c r="U494" s="308"/>
      <c r="V494" s="308"/>
      <c r="W494" s="308"/>
      <c r="X494" s="308"/>
      <c r="Y494" s="773">
        <f>Y493</f>
        <v>0</v>
      </c>
      <c r="Z494" s="773">
        <f t="shared" ref="Z494:AE494" si="863">Z493</f>
        <v>0</v>
      </c>
      <c r="AA494" s="773">
        <f t="shared" si="863"/>
        <v>0</v>
      </c>
      <c r="AB494" s="773">
        <f t="shared" si="863"/>
        <v>0</v>
      </c>
      <c r="AC494" s="773">
        <f t="shared" si="863"/>
        <v>0</v>
      </c>
      <c r="AD494" s="773">
        <f t="shared" si="863"/>
        <v>0</v>
      </c>
      <c r="AE494" s="773">
        <f t="shared" si="863"/>
        <v>0</v>
      </c>
      <c r="AF494" s="423">
        <f t="shared" ref="AF494" si="864">AF493</f>
        <v>0</v>
      </c>
      <c r="AG494" s="423">
        <f t="shared" ref="AG494" si="865">AG493</f>
        <v>0</v>
      </c>
      <c r="AH494" s="423">
        <f t="shared" ref="AH494" si="866">AH493</f>
        <v>0</v>
      </c>
      <c r="AI494" s="423">
        <f t="shared" ref="AI494" si="867">AI493</f>
        <v>0</v>
      </c>
      <c r="AJ494" s="423">
        <f t="shared" ref="AJ494" si="868">AJ493</f>
        <v>0</v>
      </c>
      <c r="AK494" s="423">
        <f t="shared" ref="AK494" si="869">AK493</f>
        <v>0</v>
      </c>
      <c r="AL494" s="423">
        <f t="shared" ref="AL494" si="870">AL493</f>
        <v>0</v>
      </c>
      <c r="AM494" s="319"/>
    </row>
    <row r="495" spans="1:39" ht="15" outlineLevel="1">
      <c r="A495" s="539"/>
      <c r="B495" s="441"/>
      <c r="C495" s="304"/>
      <c r="D495" s="763"/>
      <c r="E495" s="763"/>
      <c r="F495" s="763"/>
      <c r="G495" s="763"/>
      <c r="H495" s="763"/>
      <c r="I495" s="763"/>
      <c r="J495" s="763"/>
      <c r="K495" s="763"/>
      <c r="L495" s="763"/>
      <c r="M495" s="763"/>
      <c r="N495" s="763"/>
      <c r="O495" s="763"/>
      <c r="P495" s="763"/>
      <c r="Q495" s="763"/>
      <c r="R495" s="763"/>
      <c r="S495" s="763"/>
      <c r="T495" s="763"/>
      <c r="U495" s="763"/>
      <c r="V495" s="763"/>
      <c r="W495" s="763"/>
      <c r="X495" s="763"/>
      <c r="Y495" s="774"/>
      <c r="Z495" s="793"/>
      <c r="AA495" s="793"/>
      <c r="AB495" s="793"/>
      <c r="AC495" s="793"/>
      <c r="AD495" s="793"/>
      <c r="AE495" s="793"/>
      <c r="AF495" s="435"/>
      <c r="AG495" s="435"/>
      <c r="AH495" s="435"/>
      <c r="AI495" s="435"/>
      <c r="AJ495" s="435"/>
      <c r="AK495" s="435"/>
      <c r="AL495" s="435"/>
      <c r="AM495" s="319"/>
    </row>
    <row r="496" spans="1:39" ht="30" outlineLevel="1">
      <c r="A496" s="539">
        <v>29</v>
      </c>
      <c r="B496" s="438" t="s">
        <v>121</v>
      </c>
      <c r="C496" s="304" t="s">
        <v>25</v>
      </c>
      <c r="D496" s="308"/>
      <c r="E496" s="308"/>
      <c r="F496" s="308"/>
      <c r="G496" s="308"/>
      <c r="H496" s="308"/>
      <c r="I496" s="308"/>
      <c r="J496" s="308"/>
      <c r="K496" s="308"/>
      <c r="L496" s="308"/>
      <c r="M496" s="308"/>
      <c r="N496" s="308">
        <v>3</v>
      </c>
      <c r="O496" s="308"/>
      <c r="P496" s="308"/>
      <c r="Q496" s="308"/>
      <c r="R496" s="308"/>
      <c r="S496" s="308"/>
      <c r="T496" s="308"/>
      <c r="U496" s="308"/>
      <c r="V496" s="308"/>
      <c r="W496" s="308"/>
      <c r="X496" s="308"/>
      <c r="Y496" s="789"/>
      <c r="Z496" s="772"/>
      <c r="AA496" s="772"/>
      <c r="AB496" s="772"/>
      <c r="AC496" s="772"/>
      <c r="AD496" s="772"/>
      <c r="AE496" s="772"/>
      <c r="AF496" s="427"/>
      <c r="AG496" s="427"/>
      <c r="AH496" s="427"/>
      <c r="AI496" s="427"/>
      <c r="AJ496" s="427"/>
      <c r="AK496" s="427"/>
      <c r="AL496" s="427"/>
      <c r="AM496" s="309">
        <f>SUM(Y496:AL496)</f>
        <v>0</v>
      </c>
    </row>
    <row r="497" spans="1:39" ht="15" outlineLevel="1">
      <c r="A497" s="539"/>
      <c r="B497" s="441" t="s">
        <v>308</v>
      </c>
      <c r="C497" s="304" t="s">
        <v>163</v>
      </c>
      <c r="D497" s="308"/>
      <c r="E497" s="308"/>
      <c r="F497" s="308"/>
      <c r="G497" s="308"/>
      <c r="H497" s="308"/>
      <c r="I497" s="308"/>
      <c r="J497" s="308"/>
      <c r="K497" s="308"/>
      <c r="L497" s="308"/>
      <c r="M497" s="308"/>
      <c r="N497" s="308">
        <f>N496</f>
        <v>3</v>
      </c>
      <c r="O497" s="308"/>
      <c r="P497" s="308"/>
      <c r="Q497" s="308"/>
      <c r="R497" s="308"/>
      <c r="S497" s="308"/>
      <c r="T497" s="308"/>
      <c r="U497" s="308"/>
      <c r="V497" s="308"/>
      <c r="W497" s="308"/>
      <c r="X497" s="308"/>
      <c r="Y497" s="773">
        <f>Y496</f>
        <v>0</v>
      </c>
      <c r="Z497" s="773">
        <f t="shared" ref="Z497:AE497" si="871">Z496</f>
        <v>0</v>
      </c>
      <c r="AA497" s="773">
        <f t="shared" si="871"/>
        <v>0</v>
      </c>
      <c r="AB497" s="773">
        <f t="shared" si="871"/>
        <v>0</v>
      </c>
      <c r="AC497" s="773">
        <f t="shared" si="871"/>
        <v>0</v>
      </c>
      <c r="AD497" s="773">
        <f t="shared" si="871"/>
        <v>0</v>
      </c>
      <c r="AE497" s="773">
        <f t="shared" si="871"/>
        <v>0</v>
      </c>
      <c r="AF497" s="423">
        <f t="shared" ref="AF497" si="872">AF496</f>
        <v>0</v>
      </c>
      <c r="AG497" s="423">
        <f t="shared" ref="AG497" si="873">AG496</f>
        <v>0</v>
      </c>
      <c r="AH497" s="423">
        <f t="shared" ref="AH497" si="874">AH496</f>
        <v>0</v>
      </c>
      <c r="AI497" s="423">
        <f t="shared" ref="AI497" si="875">AI496</f>
        <v>0</v>
      </c>
      <c r="AJ497" s="423">
        <f t="shared" ref="AJ497" si="876">AJ496</f>
        <v>0</v>
      </c>
      <c r="AK497" s="423">
        <f t="shared" ref="AK497" si="877">AK496</f>
        <v>0</v>
      </c>
      <c r="AL497" s="423">
        <f t="shared" ref="AL497" si="878">AL496</f>
        <v>0</v>
      </c>
      <c r="AM497" s="319"/>
    </row>
    <row r="498" spans="1:39" ht="15" outlineLevel="1">
      <c r="A498" s="539"/>
      <c r="B498" s="441"/>
      <c r="C498" s="304"/>
      <c r="D498" s="763"/>
      <c r="E498" s="763"/>
      <c r="F498" s="763"/>
      <c r="G498" s="763"/>
      <c r="H498" s="763"/>
      <c r="I498" s="763"/>
      <c r="J498" s="763"/>
      <c r="K498" s="763"/>
      <c r="L498" s="763"/>
      <c r="M498" s="763"/>
      <c r="N498" s="763"/>
      <c r="O498" s="763"/>
      <c r="P498" s="763"/>
      <c r="Q498" s="763"/>
      <c r="R498" s="763"/>
      <c r="S498" s="763"/>
      <c r="T498" s="763"/>
      <c r="U498" s="763"/>
      <c r="V498" s="763"/>
      <c r="W498" s="763"/>
      <c r="X498" s="763"/>
      <c r="Y498" s="774"/>
      <c r="Z498" s="793"/>
      <c r="AA498" s="793"/>
      <c r="AB498" s="793"/>
      <c r="AC498" s="793"/>
      <c r="AD498" s="793"/>
      <c r="AE498" s="793"/>
      <c r="AF498" s="435"/>
      <c r="AG498" s="435"/>
      <c r="AH498" s="435"/>
      <c r="AI498" s="435"/>
      <c r="AJ498" s="435"/>
      <c r="AK498" s="435"/>
      <c r="AL498" s="435"/>
      <c r="AM498" s="319"/>
    </row>
    <row r="499" spans="1:39" ht="30" outlineLevel="1">
      <c r="A499" s="539">
        <v>30</v>
      </c>
      <c r="B499" s="438" t="s">
        <v>122</v>
      </c>
      <c r="C499" s="304" t="s">
        <v>25</v>
      </c>
      <c r="D499" s="308"/>
      <c r="E499" s="308"/>
      <c r="F499" s="308"/>
      <c r="G499" s="308"/>
      <c r="H499" s="308"/>
      <c r="I499" s="308"/>
      <c r="J499" s="308"/>
      <c r="K499" s="308"/>
      <c r="L499" s="308"/>
      <c r="M499" s="308"/>
      <c r="N499" s="308">
        <v>12</v>
      </c>
      <c r="O499" s="308"/>
      <c r="P499" s="308"/>
      <c r="Q499" s="308"/>
      <c r="R499" s="308"/>
      <c r="S499" s="308"/>
      <c r="T499" s="308"/>
      <c r="U499" s="308"/>
      <c r="V499" s="308"/>
      <c r="W499" s="308"/>
      <c r="X499" s="308"/>
      <c r="Y499" s="789"/>
      <c r="Z499" s="772"/>
      <c r="AA499" s="772"/>
      <c r="AB499" s="772"/>
      <c r="AC499" s="772"/>
      <c r="AD499" s="772"/>
      <c r="AE499" s="772"/>
      <c r="AF499" s="427"/>
      <c r="AG499" s="427"/>
      <c r="AH499" s="427"/>
      <c r="AI499" s="427"/>
      <c r="AJ499" s="427"/>
      <c r="AK499" s="427"/>
      <c r="AL499" s="427"/>
      <c r="AM499" s="309">
        <f>SUM(Y499:AL499)</f>
        <v>0</v>
      </c>
    </row>
    <row r="500" spans="1:39" ht="15" outlineLevel="1">
      <c r="A500" s="539"/>
      <c r="B500" s="441" t="s">
        <v>308</v>
      </c>
      <c r="C500" s="304" t="s">
        <v>163</v>
      </c>
      <c r="D500" s="308"/>
      <c r="E500" s="308"/>
      <c r="F500" s="308"/>
      <c r="G500" s="308"/>
      <c r="H500" s="308"/>
      <c r="I500" s="308"/>
      <c r="J500" s="308"/>
      <c r="K500" s="308"/>
      <c r="L500" s="308"/>
      <c r="M500" s="308"/>
      <c r="N500" s="308">
        <f>N499</f>
        <v>12</v>
      </c>
      <c r="O500" s="308"/>
      <c r="P500" s="308"/>
      <c r="Q500" s="308"/>
      <c r="R500" s="308"/>
      <c r="S500" s="308"/>
      <c r="T500" s="308"/>
      <c r="U500" s="308"/>
      <c r="V500" s="308"/>
      <c r="W500" s="308"/>
      <c r="X500" s="308"/>
      <c r="Y500" s="773">
        <f>Y499</f>
        <v>0</v>
      </c>
      <c r="Z500" s="773">
        <f t="shared" ref="Z500:AE500" si="879">Z499</f>
        <v>0</v>
      </c>
      <c r="AA500" s="773">
        <f t="shared" si="879"/>
        <v>0</v>
      </c>
      <c r="AB500" s="773">
        <f t="shared" si="879"/>
        <v>0</v>
      </c>
      <c r="AC500" s="773">
        <f t="shared" si="879"/>
        <v>0</v>
      </c>
      <c r="AD500" s="773">
        <f t="shared" si="879"/>
        <v>0</v>
      </c>
      <c r="AE500" s="773">
        <f t="shared" si="879"/>
        <v>0</v>
      </c>
      <c r="AF500" s="423">
        <f t="shared" ref="AF500" si="880">AF499</f>
        <v>0</v>
      </c>
      <c r="AG500" s="423">
        <f t="shared" ref="AG500" si="881">AG499</f>
        <v>0</v>
      </c>
      <c r="AH500" s="423">
        <f t="shared" ref="AH500" si="882">AH499</f>
        <v>0</v>
      </c>
      <c r="AI500" s="423">
        <f t="shared" ref="AI500" si="883">AI499</f>
        <v>0</v>
      </c>
      <c r="AJ500" s="423">
        <f t="shared" ref="AJ500" si="884">AJ499</f>
        <v>0</v>
      </c>
      <c r="AK500" s="423">
        <f t="shared" ref="AK500" si="885">AK499</f>
        <v>0</v>
      </c>
      <c r="AL500" s="423">
        <f t="shared" ref="AL500" si="886">AL499</f>
        <v>0</v>
      </c>
      <c r="AM500" s="319"/>
    </row>
    <row r="501" spans="1:39" ht="15" outlineLevel="1">
      <c r="A501" s="539"/>
      <c r="B501" s="441"/>
      <c r="C501" s="304"/>
      <c r="D501" s="763"/>
      <c r="E501" s="763"/>
      <c r="F501" s="763"/>
      <c r="G501" s="763"/>
      <c r="H501" s="763"/>
      <c r="I501" s="763"/>
      <c r="J501" s="763"/>
      <c r="K501" s="763"/>
      <c r="L501" s="763"/>
      <c r="M501" s="763"/>
      <c r="N501" s="763"/>
      <c r="O501" s="763"/>
      <c r="P501" s="763"/>
      <c r="Q501" s="763"/>
      <c r="R501" s="763"/>
      <c r="S501" s="763"/>
      <c r="T501" s="763"/>
      <c r="U501" s="763"/>
      <c r="V501" s="763"/>
      <c r="W501" s="763"/>
      <c r="X501" s="763"/>
      <c r="Y501" s="774"/>
      <c r="Z501" s="793"/>
      <c r="AA501" s="793"/>
      <c r="AB501" s="793"/>
      <c r="AC501" s="793"/>
      <c r="AD501" s="793"/>
      <c r="AE501" s="793"/>
      <c r="AF501" s="435"/>
      <c r="AG501" s="435"/>
      <c r="AH501" s="435"/>
      <c r="AI501" s="435"/>
      <c r="AJ501" s="435"/>
      <c r="AK501" s="435"/>
      <c r="AL501" s="435"/>
      <c r="AM501" s="319"/>
    </row>
    <row r="502" spans="1:39" ht="30" outlineLevel="1">
      <c r="A502" s="539">
        <v>31</v>
      </c>
      <c r="B502" s="438" t="s">
        <v>123</v>
      </c>
      <c r="C502" s="304" t="s">
        <v>25</v>
      </c>
      <c r="D502" s="308"/>
      <c r="E502" s="308"/>
      <c r="F502" s="308"/>
      <c r="G502" s="308"/>
      <c r="H502" s="308"/>
      <c r="I502" s="308"/>
      <c r="J502" s="308"/>
      <c r="K502" s="308"/>
      <c r="L502" s="308"/>
      <c r="M502" s="308"/>
      <c r="N502" s="308">
        <v>12</v>
      </c>
      <c r="O502" s="308"/>
      <c r="P502" s="308"/>
      <c r="Q502" s="308"/>
      <c r="R502" s="308"/>
      <c r="S502" s="308"/>
      <c r="T502" s="308"/>
      <c r="U502" s="308"/>
      <c r="V502" s="308"/>
      <c r="W502" s="308"/>
      <c r="X502" s="308"/>
      <c r="Y502" s="789"/>
      <c r="Z502" s="772"/>
      <c r="AA502" s="772"/>
      <c r="AB502" s="772"/>
      <c r="AC502" s="772"/>
      <c r="AD502" s="772"/>
      <c r="AE502" s="772"/>
      <c r="AF502" s="427"/>
      <c r="AG502" s="427"/>
      <c r="AH502" s="427"/>
      <c r="AI502" s="427"/>
      <c r="AJ502" s="427"/>
      <c r="AK502" s="427"/>
      <c r="AL502" s="427"/>
      <c r="AM502" s="309">
        <f>SUM(Y502:AL502)</f>
        <v>0</v>
      </c>
    </row>
    <row r="503" spans="1:39" ht="15" outlineLevel="1">
      <c r="A503" s="539"/>
      <c r="B503" s="441" t="s">
        <v>308</v>
      </c>
      <c r="C503" s="304" t="s">
        <v>163</v>
      </c>
      <c r="D503" s="308"/>
      <c r="E503" s="308"/>
      <c r="F503" s="308"/>
      <c r="G503" s="308"/>
      <c r="H503" s="308"/>
      <c r="I503" s="308"/>
      <c r="J503" s="308"/>
      <c r="K503" s="308"/>
      <c r="L503" s="308"/>
      <c r="M503" s="308"/>
      <c r="N503" s="308">
        <f>N502</f>
        <v>12</v>
      </c>
      <c r="O503" s="308"/>
      <c r="P503" s="308"/>
      <c r="Q503" s="308"/>
      <c r="R503" s="308"/>
      <c r="S503" s="308"/>
      <c r="T503" s="308"/>
      <c r="U503" s="308"/>
      <c r="V503" s="308"/>
      <c r="W503" s="308"/>
      <c r="X503" s="308"/>
      <c r="Y503" s="773">
        <f>Y502</f>
        <v>0</v>
      </c>
      <c r="Z503" s="773">
        <f t="shared" ref="Z503:AE503" si="887">Z502</f>
        <v>0</v>
      </c>
      <c r="AA503" s="773">
        <f t="shared" si="887"/>
        <v>0</v>
      </c>
      <c r="AB503" s="773">
        <f t="shared" si="887"/>
        <v>0</v>
      </c>
      <c r="AC503" s="773">
        <f t="shared" si="887"/>
        <v>0</v>
      </c>
      <c r="AD503" s="773">
        <f t="shared" si="887"/>
        <v>0</v>
      </c>
      <c r="AE503" s="773">
        <f t="shared" si="887"/>
        <v>0</v>
      </c>
      <c r="AF503" s="423">
        <f t="shared" ref="AF503" si="888">AF502</f>
        <v>0</v>
      </c>
      <c r="AG503" s="423">
        <f t="shared" ref="AG503" si="889">AG502</f>
        <v>0</v>
      </c>
      <c r="AH503" s="423">
        <f t="shared" ref="AH503" si="890">AH502</f>
        <v>0</v>
      </c>
      <c r="AI503" s="423">
        <f t="shared" ref="AI503" si="891">AI502</f>
        <v>0</v>
      </c>
      <c r="AJ503" s="423">
        <f t="shared" ref="AJ503" si="892">AJ502</f>
        <v>0</v>
      </c>
      <c r="AK503" s="423">
        <f t="shared" ref="AK503" si="893">AK502</f>
        <v>0</v>
      </c>
      <c r="AL503" s="423">
        <f t="shared" ref="AL503" si="894">AL502</f>
        <v>0</v>
      </c>
      <c r="AM503" s="319"/>
    </row>
    <row r="504" spans="1:39" ht="15" outlineLevel="1">
      <c r="A504" s="539"/>
      <c r="B504" s="438"/>
      <c r="C504" s="304"/>
      <c r="D504" s="763"/>
      <c r="E504" s="763"/>
      <c r="F504" s="763"/>
      <c r="G504" s="763"/>
      <c r="H504" s="763"/>
      <c r="I504" s="763"/>
      <c r="J504" s="763"/>
      <c r="K504" s="763"/>
      <c r="L504" s="763"/>
      <c r="M504" s="763"/>
      <c r="N504" s="763"/>
      <c r="O504" s="763"/>
      <c r="P504" s="763"/>
      <c r="Q504" s="763"/>
      <c r="R504" s="763"/>
      <c r="S504" s="763"/>
      <c r="T504" s="763"/>
      <c r="U504" s="763"/>
      <c r="V504" s="763"/>
      <c r="W504" s="763"/>
      <c r="X504" s="763"/>
      <c r="Y504" s="774"/>
      <c r="Z504" s="793"/>
      <c r="AA504" s="793"/>
      <c r="AB504" s="793"/>
      <c r="AC504" s="793"/>
      <c r="AD504" s="793"/>
      <c r="AE504" s="793"/>
      <c r="AF504" s="435"/>
      <c r="AG504" s="435"/>
      <c r="AH504" s="435"/>
      <c r="AI504" s="435"/>
      <c r="AJ504" s="435"/>
      <c r="AK504" s="435"/>
      <c r="AL504" s="435"/>
      <c r="AM504" s="319"/>
    </row>
    <row r="505" spans="1:39" ht="15" outlineLevel="1">
      <c r="A505" s="539">
        <v>32</v>
      </c>
      <c r="B505" s="438" t="s">
        <v>124</v>
      </c>
      <c r="C505" s="304" t="s">
        <v>25</v>
      </c>
      <c r="D505" s="308"/>
      <c r="E505" s="308"/>
      <c r="F505" s="308"/>
      <c r="G505" s="308"/>
      <c r="H505" s="308"/>
      <c r="I505" s="308"/>
      <c r="J505" s="308"/>
      <c r="K505" s="308"/>
      <c r="L505" s="308"/>
      <c r="M505" s="308"/>
      <c r="N505" s="308">
        <v>12</v>
      </c>
      <c r="O505" s="308"/>
      <c r="P505" s="308"/>
      <c r="Q505" s="308"/>
      <c r="R505" s="308"/>
      <c r="S505" s="308"/>
      <c r="T505" s="308"/>
      <c r="U505" s="308"/>
      <c r="V505" s="308"/>
      <c r="W505" s="308"/>
      <c r="X505" s="308"/>
      <c r="Y505" s="789"/>
      <c r="Z505" s="772"/>
      <c r="AA505" s="772"/>
      <c r="AB505" s="772"/>
      <c r="AC505" s="772"/>
      <c r="AD505" s="772"/>
      <c r="AE505" s="772"/>
      <c r="AF505" s="427"/>
      <c r="AG505" s="427"/>
      <c r="AH505" s="427"/>
      <c r="AI505" s="427"/>
      <c r="AJ505" s="427"/>
      <c r="AK505" s="427"/>
      <c r="AL505" s="427"/>
      <c r="AM505" s="309">
        <f>SUM(Y505:AL505)</f>
        <v>0</v>
      </c>
    </row>
    <row r="506" spans="1:39" ht="15" outlineLevel="1">
      <c r="A506" s="539"/>
      <c r="B506" s="441" t="s">
        <v>308</v>
      </c>
      <c r="C506" s="304" t="s">
        <v>163</v>
      </c>
      <c r="D506" s="308"/>
      <c r="E506" s="308"/>
      <c r="F506" s="308"/>
      <c r="G506" s="308"/>
      <c r="H506" s="308"/>
      <c r="I506" s="308"/>
      <c r="J506" s="308"/>
      <c r="K506" s="308"/>
      <c r="L506" s="308"/>
      <c r="M506" s="308"/>
      <c r="N506" s="308">
        <f>N505</f>
        <v>12</v>
      </c>
      <c r="O506" s="308"/>
      <c r="P506" s="308"/>
      <c r="Q506" s="308"/>
      <c r="R506" s="308"/>
      <c r="S506" s="308"/>
      <c r="T506" s="308"/>
      <c r="U506" s="308"/>
      <c r="V506" s="308"/>
      <c r="W506" s="308"/>
      <c r="X506" s="308"/>
      <c r="Y506" s="773">
        <f>Y505</f>
        <v>0</v>
      </c>
      <c r="Z506" s="773">
        <f t="shared" ref="Z506:AE506" si="895">Z505</f>
        <v>0</v>
      </c>
      <c r="AA506" s="773">
        <f t="shared" si="895"/>
        <v>0</v>
      </c>
      <c r="AB506" s="773">
        <f t="shared" si="895"/>
        <v>0</v>
      </c>
      <c r="AC506" s="773">
        <f t="shared" si="895"/>
        <v>0</v>
      </c>
      <c r="AD506" s="773">
        <f t="shared" si="895"/>
        <v>0</v>
      </c>
      <c r="AE506" s="773">
        <f t="shared" si="895"/>
        <v>0</v>
      </c>
      <c r="AF506" s="423">
        <f t="shared" ref="AF506" si="896">AF505</f>
        <v>0</v>
      </c>
      <c r="AG506" s="423">
        <f t="shared" ref="AG506" si="897">AG505</f>
        <v>0</v>
      </c>
      <c r="AH506" s="423">
        <f t="shared" ref="AH506" si="898">AH505</f>
        <v>0</v>
      </c>
      <c r="AI506" s="423">
        <f t="shared" ref="AI506" si="899">AI505</f>
        <v>0</v>
      </c>
      <c r="AJ506" s="423">
        <f t="shared" ref="AJ506" si="900">AJ505</f>
        <v>0</v>
      </c>
      <c r="AK506" s="423">
        <f t="shared" ref="AK506" si="901">AK505</f>
        <v>0</v>
      </c>
      <c r="AL506" s="423">
        <f t="shared" ref="AL506" si="902">AL505</f>
        <v>0</v>
      </c>
      <c r="AM506" s="319"/>
    </row>
    <row r="507" spans="1:39" ht="15" outlineLevel="1">
      <c r="A507" s="539"/>
      <c r="B507" s="438"/>
      <c r="C507" s="304"/>
      <c r="D507" s="763"/>
      <c r="E507" s="763"/>
      <c r="F507" s="763"/>
      <c r="G507" s="763"/>
      <c r="H507" s="763"/>
      <c r="I507" s="763"/>
      <c r="J507" s="763"/>
      <c r="K507" s="763"/>
      <c r="L507" s="763"/>
      <c r="M507" s="763"/>
      <c r="N507" s="763"/>
      <c r="O507" s="763"/>
      <c r="P507" s="763"/>
      <c r="Q507" s="763"/>
      <c r="R507" s="763"/>
      <c r="S507" s="763"/>
      <c r="T507" s="763"/>
      <c r="U507" s="763"/>
      <c r="V507" s="763"/>
      <c r="W507" s="763"/>
      <c r="X507" s="763"/>
      <c r="Y507" s="774"/>
      <c r="Z507" s="793"/>
      <c r="AA507" s="793"/>
      <c r="AB507" s="793"/>
      <c r="AC507" s="793"/>
      <c r="AD507" s="793"/>
      <c r="AE507" s="793"/>
      <c r="AF507" s="435"/>
      <c r="AG507" s="435"/>
      <c r="AH507" s="435"/>
      <c r="AI507" s="435"/>
      <c r="AJ507" s="435"/>
      <c r="AK507" s="435"/>
      <c r="AL507" s="435"/>
      <c r="AM507" s="319"/>
    </row>
    <row r="508" spans="1:39" ht="15.6" outlineLevel="1">
      <c r="A508" s="539"/>
      <c r="B508" s="511" t="s">
        <v>500</v>
      </c>
      <c r="C508" s="304"/>
      <c r="D508" s="763"/>
      <c r="E508" s="763"/>
      <c r="F508" s="763"/>
      <c r="G508" s="763"/>
      <c r="H508" s="763"/>
      <c r="I508" s="763"/>
      <c r="J508" s="763"/>
      <c r="K508" s="763"/>
      <c r="L508" s="763"/>
      <c r="M508" s="763"/>
      <c r="N508" s="763"/>
      <c r="O508" s="763"/>
      <c r="P508" s="763"/>
      <c r="Q508" s="763"/>
      <c r="R508" s="763"/>
      <c r="S508" s="763"/>
      <c r="T508" s="763"/>
      <c r="U508" s="763"/>
      <c r="V508" s="763"/>
      <c r="W508" s="763"/>
      <c r="X508" s="763"/>
      <c r="Y508" s="774"/>
      <c r="Z508" s="793"/>
      <c r="AA508" s="793"/>
      <c r="AB508" s="793"/>
      <c r="AC508" s="793"/>
      <c r="AD508" s="793"/>
      <c r="AE508" s="793"/>
      <c r="AF508" s="435"/>
      <c r="AG508" s="435"/>
      <c r="AH508" s="435"/>
      <c r="AI508" s="435"/>
      <c r="AJ508" s="435"/>
      <c r="AK508" s="435"/>
      <c r="AL508" s="435"/>
      <c r="AM508" s="319"/>
    </row>
    <row r="509" spans="1:39" ht="15" outlineLevel="1">
      <c r="A509" s="539">
        <v>33</v>
      </c>
      <c r="B509" s="438" t="s">
        <v>125</v>
      </c>
      <c r="C509" s="304" t="s">
        <v>25</v>
      </c>
      <c r="D509" s="308"/>
      <c r="E509" s="308"/>
      <c r="F509" s="308"/>
      <c r="G509" s="308"/>
      <c r="H509" s="308"/>
      <c r="I509" s="308"/>
      <c r="J509" s="308"/>
      <c r="K509" s="308"/>
      <c r="L509" s="308"/>
      <c r="M509" s="308"/>
      <c r="N509" s="308">
        <v>0</v>
      </c>
      <c r="O509" s="308"/>
      <c r="P509" s="308"/>
      <c r="Q509" s="308"/>
      <c r="R509" s="308"/>
      <c r="S509" s="308"/>
      <c r="T509" s="308"/>
      <c r="U509" s="308"/>
      <c r="V509" s="308"/>
      <c r="W509" s="308"/>
      <c r="X509" s="308"/>
      <c r="Y509" s="789"/>
      <c r="Z509" s="772"/>
      <c r="AA509" s="772"/>
      <c r="AB509" s="772"/>
      <c r="AC509" s="772"/>
      <c r="AD509" s="772"/>
      <c r="AE509" s="772"/>
      <c r="AF509" s="427"/>
      <c r="AG509" s="427"/>
      <c r="AH509" s="427"/>
      <c r="AI509" s="427"/>
      <c r="AJ509" s="427"/>
      <c r="AK509" s="427"/>
      <c r="AL509" s="427"/>
      <c r="AM509" s="309">
        <f>SUM(Y509:AL509)</f>
        <v>0</v>
      </c>
    </row>
    <row r="510" spans="1:39" ht="15" outlineLevel="1">
      <c r="A510" s="539"/>
      <c r="B510" s="441" t="s">
        <v>308</v>
      </c>
      <c r="C510" s="304" t="s">
        <v>163</v>
      </c>
      <c r="D510" s="308"/>
      <c r="E510" s="308"/>
      <c r="F510" s="308"/>
      <c r="G510" s="308"/>
      <c r="H510" s="308"/>
      <c r="I510" s="308"/>
      <c r="J510" s="308"/>
      <c r="K510" s="308"/>
      <c r="L510" s="308"/>
      <c r="M510" s="308"/>
      <c r="N510" s="308">
        <f>N509</f>
        <v>0</v>
      </c>
      <c r="O510" s="308"/>
      <c r="P510" s="308"/>
      <c r="Q510" s="308"/>
      <c r="R510" s="308"/>
      <c r="S510" s="308"/>
      <c r="T510" s="308"/>
      <c r="U510" s="308"/>
      <c r="V510" s="308"/>
      <c r="W510" s="308"/>
      <c r="X510" s="308"/>
      <c r="Y510" s="773">
        <f>Y509</f>
        <v>0</v>
      </c>
      <c r="Z510" s="773">
        <f t="shared" ref="Z510:AE510" si="903">Z509</f>
        <v>0</v>
      </c>
      <c r="AA510" s="773">
        <f t="shared" si="903"/>
        <v>0</v>
      </c>
      <c r="AB510" s="773">
        <f t="shared" si="903"/>
        <v>0</v>
      </c>
      <c r="AC510" s="773">
        <f t="shared" si="903"/>
        <v>0</v>
      </c>
      <c r="AD510" s="773">
        <f t="shared" si="903"/>
        <v>0</v>
      </c>
      <c r="AE510" s="773">
        <f t="shared" si="903"/>
        <v>0</v>
      </c>
      <c r="AF510" s="423">
        <f t="shared" ref="AF510" si="904">AF509</f>
        <v>0</v>
      </c>
      <c r="AG510" s="423">
        <f t="shared" ref="AG510" si="905">AG509</f>
        <v>0</v>
      </c>
      <c r="AH510" s="423">
        <f t="shared" ref="AH510" si="906">AH509</f>
        <v>0</v>
      </c>
      <c r="AI510" s="423">
        <f t="shared" ref="AI510" si="907">AI509</f>
        <v>0</v>
      </c>
      <c r="AJ510" s="423">
        <f t="shared" ref="AJ510" si="908">AJ509</f>
        <v>0</v>
      </c>
      <c r="AK510" s="423">
        <f t="shared" ref="AK510" si="909">AK509</f>
        <v>0</v>
      </c>
      <c r="AL510" s="423">
        <f t="shared" ref="AL510" si="910">AL509</f>
        <v>0</v>
      </c>
      <c r="AM510" s="319"/>
    </row>
    <row r="511" spans="1:39" ht="15" outlineLevel="1">
      <c r="A511" s="539"/>
      <c r="B511" s="438"/>
      <c r="C511" s="304"/>
      <c r="D511" s="763"/>
      <c r="E511" s="763"/>
      <c r="F511" s="763"/>
      <c r="G511" s="763"/>
      <c r="H511" s="763"/>
      <c r="I511" s="763"/>
      <c r="J511" s="763"/>
      <c r="K511" s="763"/>
      <c r="L511" s="763"/>
      <c r="M511" s="763"/>
      <c r="N511" s="763"/>
      <c r="O511" s="763"/>
      <c r="P511" s="763"/>
      <c r="Q511" s="763"/>
      <c r="R511" s="763"/>
      <c r="S511" s="763"/>
      <c r="T511" s="763"/>
      <c r="U511" s="763"/>
      <c r="V511" s="763"/>
      <c r="W511" s="763"/>
      <c r="X511" s="763"/>
      <c r="Y511" s="774"/>
      <c r="Z511" s="793"/>
      <c r="AA511" s="793"/>
      <c r="AB511" s="793"/>
      <c r="AC511" s="793"/>
      <c r="AD511" s="793"/>
      <c r="AE511" s="793"/>
      <c r="AF511" s="435"/>
      <c r="AG511" s="435"/>
      <c r="AH511" s="435"/>
      <c r="AI511" s="435"/>
      <c r="AJ511" s="435"/>
      <c r="AK511" s="435"/>
      <c r="AL511" s="435"/>
      <c r="AM511" s="319"/>
    </row>
    <row r="512" spans="1:39" ht="15" outlineLevel="1">
      <c r="A512" s="539">
        <v>34</v>
      </c>
      <c r="B512" s="438" t="s">
        <v>126</v>
      </c>
      <c r="C512" s="304" t="s">
        <v>25</v>
      </c>
      <c r="D512" s="308"/>
      <c r="E512" s="308"/>
      <c r="F512" s="308"/>
      <c r="G512" s="308"/>
      <c r="H512" s="308"/>
      <c r="I512" s="308"/>
      <c r="J512" s="308"/>
      <c r="K512" s="308"/>
      <c r="L512" s="308"/>
      <c r="M512" s="308"/>
      <c r="N512" s="308">
        <v>0</v>
      </c>
      <c r="O512" s="308"/>
      <c r="P512" s="308"/>
      <c r="Q512" s="308"/>
      <c r="R512" s="308"/>
      <c r="S512" s="308"/>
      <c r="T512" s="308"/>
      <c r="U512" s="308"/>
      <c r="V512" s="308"/>
      <c r="W512" s="308"/>
      <c r="X512" s="308"/>
      <c r="Y512" s="789"/>
      <c r="Z512" s="772"/>
      <c r="AA512" s="772"/>
      <c r="AB512" s="772"/>
      <c r="AC512" s="772"/>
      <c r="AD512" s="772"/>
      <c r="AE512" s="772"/>
      <c r="AF512" s="427"/>
      <c r="AG512" s="427"/>
      <c r="AH512" s="427"/>
      <c r="AI512" s="427"/>
      <c r="AJ512" s="427"/>
      <c r="AK512" s="427"/>
      <c r="AL512" s="427"/>
      <c r="AM512" s="309">
        <f>SUM(Y512:AL512)</f>
        <v>0</v>
      </c>
    </row>
    <row r="513" spans="1:39" ht="15" outlineLevel="1">
      <c r="A513" s="539"/>
      <c r="B513" s="441" t="s">
        <v>308</v>
      </c>
      <c r="C513" s="304" t="s">
        <v>163</v>
      </c>
      <c r="D513" s="308"/>
      <c r="E513" s="308"/>
      <c r="F513" s="308"/>
      <c r="G513" s="308"/>
      <c r="H513" s="308"/>
      <c r="I513" s="308"/>
      <c r="J513" s="308"/>
      <c r="K513" s="308"/>
      <c r="L513" s="308"/>
      <c r="M513" s="308"/>
      <c r="N513" s="308">
        <f>N512</f>
        <v>0</v>
      </c>
      <c r="O513" s="308"/>
      <c r="P513" s="308"/>
      <c r="Q513" s="308"/>
      <c r="R513" s="308"/>
      <c r="S513" s="308"/>
      <c r="T513" s="308"/>
      <c r="U513" s="308"/>
      <c r="V513" s="308"/>
      <c r="W513" s="308"/>
      <c r="X513" s="308"/>
      <c r="Y513" s="773">
        <f>Y512</f>
        <v>0</v>
      </c>
      <c r="Z513" s="773">
        <f t="shared" ref="Z513:AE513" si="911">Z512</f>
        <v>0</v>
      </c>
      <c r="AA513" s="773">
        <f t="shared" si="911"/>
        <v>0</v>
      </c>
      <c r="AB513" s="773">
        <f t="shared" si="911"/>
        <v>0</v>
      </c>
      <c r="AC513" s="773">
        <f t="shared" si="911"/>
        <v>0</v>
      </c>
      <c r="AD513" s="773">
        <f t="shared" si="911"/>
        <v>0</v>
      </c>
      <c r="AE513" s="773">
        <f t="shared" si="911"/>
        <v>0</v>
      </c>
      <c r="AF513" s="423">
        <f t="shared" ref="AF513" si="912">AF512</f>
        <v>0</v>
      </c>
      <c r="AG513" s="423">
        <f t="shared" ref="AG513" si="913">AG512</f>
        <v>0</v>
      </c>
      <c r="AH513" s="423">
        <f t="shared" ref="AH513" si="914">AH512</f>
        <v>0</v>
      </c>
      <c r="AI513" s="423">
        <f t="shared" ref="AI513" si="915">AI512</f>
        <v>0</v>
      </c>
      <c r="AJ513" s="423">
        <f t="shared" ref="AJ513" si="916">AJ512</f>
        <v>0</v>
      </c>
      <c r="AK513" s="423">
        <f t="shared" ref="AK513" si="917">AK512</f>
        <v>0</v>
      </c>
      <c r="AL513" s="423">
        <f t="shared" ref="AL513" si="918">AL512</f>
        <v>0</v>
      </c>
      <c r="AM513" s="319"/>
    </row>
    <row r="514" spans="1:39" ht="15" outlineLevel="1">
      <c r="A514" s="539"/>
      <c r="B514" s="438"/>
      <c r="C514" s="304"/>
      <c r="D514" s="763"/>
      <c r="E514" s="763"/>
      <c r="F514" s="763"/>
      <c r="G514" s="763"/>
      <c r="H514" s="763"/>
      <c r="I514" s="763"/>
      <c r="J514" s="763"/>
      <c r="K514" s="763"/>
      <c r="L514" s="763"/>
      <c r="M514" s="763"/>
      <c r="N514" s="763"/>
      <c r="O514" s="763"/>
      <c r="P514" s="763"/>
      <c r="Q514" s="763"/>
      <c r="R514" s="763"/>
      <c r="S514" s="763"/>
      <c r="T514" s="763"/>
      <c r="U514" s="763"/>
      <c r="V514" s="763"/>
      <c r="W514" s="763"/>
      <c r="X514" s="763"/>
      <c r="Y514" s="774"/>
      <c r="Z514" s="793"/>
      <c r="AA514" s="793"/>
      <c r="AB514" s="793"/>
      <c r="AC514" s="793"/>
      <c r="AD514" s="793"/>
      <c r="AE514" s="793"/>
      <c r="AF514" s="435"/>
      <c r="AG514" s="435"/>
      <c r="AH514" s="435"/>
      <c r="AI514" s="435"/>
      <c r="AJ514" s="435"/>
      <c r="AK514" s="435"/>
      <c r="AL514" s="435"/>
      <c r="AM514" s="319"/>
    </row>
    <row r="515" spans="1:39" ht="15" outlineLevel="1">
      <c r="A515" s="539">
        <v>35</v>
      </c>
      <c r="B515" s="438" t="s">
        <v>127</v>
      </c>
      <c r="C515" s="304" t="s">
        <v>25</v>
      </c>
      <c r="D515" s="308">
        <f>'7.  Persistence Report'!AW127</f>
        <v>170819</v>
      </c>
      <c r="E515" s="308">
        <f>'7.  Persistence Report'!AX127</f>
        <v>170819</v>
      </c>
      <c r="F515" s="308">
        <f>'7.  Persistence Report'!AY127</f>
        <v>170819</v>
      </c>
      <c r="G515" s="308">
        <f>'7.  Persistence Report'!AZ127</f>
        <v>170819</v>
      </c>
      <c r="H515" s="308">
        <f>'7.  Persistence Report'!BA127</f>
        <v>170819</v>
      </c>
      <c r="I515" s="308">
        <f>'7.  Persistence Report'!BB127</f>
        <v>170819</v>
      </c>
      <c r="J515" s="308">
        <f>'7.  Persistence Report'!BC127</f>
        <v>170819</v>
      </c>
      <c r="K515" s="308">
        <f>'7.  Persistence Report'!BD127</f>
        <v>170819</v>
      </c>
      <c r="L515" s="308">
        <f>'7.  Persistence Report'!BE127</f>
        <v>170819</v>
      </c>
      <c r="M515" s="308">
        <f>'7.  Persistence Report'!BF127</f>
        <v>170819</v>
      </c>
      <c r="N515" s="308">
        <v>0</v>
      </c>
      <c r="O515" s="308">
        <f>'7.  Persistence Report'!R127</f>
        <v>33</v>
      </c>
      <c r="P515" s="308">
        <f>'7.  Persistence Report'!S127</f>
        <v>33</v>
      </c>
      <c r="Q515" s="308">
        <f>'7.  Persistence Report'!T127</f>
        <v>33</v>
      </c>
      <c r="R515" s="308">
        <f>'7.  Persistence Report'!U127</f>
        <v>33</v>
      </c>
      <c r="S515" s="308">
        <f>'7.  Persistence Report'!V127</f>
        <v>33</v>
      </c>
      <c r="T515" s="308">
        <f>'7.  Persistence Report'!W127</f>
        <v>33</v>
      </c>
      <c r="U515" s="308">
        <f>'7.  Persistence Report'!X127</f>
        <v>33</v>
      </c>
      <c r="V515" s="308">
        <f>'7.  Persistence Report'!Y127</f>
        <v>33</v>
      </c>
      <c r="W515" s="308">
        <f>'7.  Persistence Report'!Z127</f>
        <v>33</v>
      </c>
      <c r="X515" s="308">
        <f>'7.  Persistence Report'!AA127</f>
        <v>33</v>
      </c>
      <c r="Y515" s="789">
        <v>1</v>
      </c>
      <c r="Z515" s="772"/>
      <c r="AA515" s="772"/>
      <c r="AB515" s="772"/>
      <c r="AC515" s="772"/>
      <c r="AD515" s="772"/>
      <c r="AE515" s="772"/>
      <c r="AF515" s="427"/>
      <c r="AG515" s="427"/>
      <c r="AH515" s="427"/>
      <c r="AI515" s="427"/>
      <c r="AJ515" s="427"/>
      <c r="AK515" s="427"/>
      <c r="AL515" s="427"/>
      <c r="AM515" s="309">
        <f>SUM(Y515:AL515)</f>
        <v>1</v>
      </c>
    </row>
    <row r="516" spans="1:39" ht="15" outlineLevel="1">
      <c r="A516" s="539"/>
      <c r="B516" s="441" t="s">
        <v>308</v>
      </c>
      <c r="C516" s="304" t="s">
        <v>163</v>
      </c>
      <c r="D516" s="308"/>
      <c r="E516" s="308"/>
      <c r="F516" s="308"/>
      <c r="G516" s="308"/>
      <c r="H516" s="308"/>
      <c r="I516" s="308"/>
      <c r="J516" s="308"/>
      <c r="K516" s="308"/>
      <c r="L516" s="308"/>
      <c r="M516" s="308"/>
      <c r="N516" s="308">
        <f>N515</f>
        <v>0</v>
      </c>
      <c r="O516" s="308"/>
      <c r="P516" s="308"/>
      <c r="Q516" s="308"/>
      <c r="R516" s="308"/>
      <c r="S516" s="308"/>
      <c r="T516" s="308"/>
      <c r="U516" s="308"/>
      <c r="V516" s="308"/>
      <c r="W516" s="308"/>
      <c r="X516" s="308"/>
      <c r="Y516" s="773">
        <f>Y515</f>
        <v>1</v>
      </c>
      <c r="Z516" s="773">
        <f t="shared" ref="Z516:AE516" si="919">Z515</f>
        <v>0</v>
      </c>
      <c r="AA516" s="773">
        <f t="shared" si="919"/>
        <v>0</v>
      </c>
      <c r="AB516" s="773">
        <f t="shared" si="919"/>
        <v>0</v>
      </c>
      <c r="AC516" s="773">
        <f t="shared" si="919"/>
        <v>0</v>
      </c>
      <c r="AD516" s="773">
        <f t="shared" si="919"/>
        <v>0</v>
      </c>
      <c r="AE516" s="773">
        <f t="shared" si="919"/>
        <v>0</v>
      </c>
      <c r="AF516" s="423">
        <f t="shared" ref="AF516" si="920">AF515</f>
        <v>0</v>
      </c>
      <c r="AG516" s="423">
        <f t="shared" ref="AG516" si="921">AG515</f>
        <v>0</v>
      </c>
      <c r="AH516" s="423">
        <f t="shared" ref="AH516" si="922">AH515</f>
        <v>0</v>
      </c>
      <c r="AI516" s="423">
        <f t="shared" ref="AI516" si="923">AI515</f>
        <v>0</v>
      </c>
      <c r="AJ516" s="423">
        <f t="shared" ref="AJ516" si="924">AJ515</f>
        <v>0</v>
      </c>
      <c r="AK516" s="423">
        <f t="shared" ref="AK516" si="925">AK515</f>
        <v>0</v>
      </c>
      <c r="AL516" s="423">
        <f t="shared" ref="AL516" si="926">AL515</f>
        <v>0</v>
      </c>
      <c r="AM516" s="319"/>
    </row>
    <row r="517" spans="1:39" ht="15" outlineLevel="1">
      <c r="A517" s="539"/>
      <c r="B517" s="441"/>
      <c r="C517" s="304"/>
      <c r="D517" s="763"/>
      <c r="E517" s="763"/>
      <c r="F517" s="763"/>
      <c r="G517" s="763"/>
      <c r="H517" s="763"/>
      <c r="I517" s="763"/>
      <c r="J517" s="763"/>
      <c r="K517" s="763"/>
      <c r="L517" s="763"/>
      <c r="M517" s="763"/>
      <c r="N517" s="763"/>
      <c r="O517" s="763"/>
      <c r="P517" s="763"/>
      <c r="Q517" s="763"/>
      <c r="R517" s="763"/>
      <c r="S517" s="763"/>
      <c r="T517" s="763"/>
      <c r="U517" s="763"/>
      <c r="V517" s="763"/>
      <c r="W517" s="763"/>
      <c r="X517" s="763"/>
      <c r="Y517" s="774"/>
      <c r="Z517" s="793"/>
      <c r="AA517" s="793"/>
      <c r="AB517" s="793"/>
      <c r="AC517" s="793"/>
      <c r="AD517" s="793"/>
      <c r="AE517" s="793"/>
      <c r="AF517" s="435"/>
      <c r="AG517" s="435"/>
      <c r="AH517" s="435"/>
      <c r="AI517" s="435"/>
      <c r="AJ517" s="435"/>
      <c r="AK517" s="435"/>
      <c r="AL517" s="435"/>
      <c r="AM517" s="319"/>
    </row>
    <row r="518" spans="1:39" ht="15.6" outlineLevel="1">
      <c r="A518" s="539"/>
      <c r="B518" s="511" t="s">
        <v>501</v>
      </c>
      <c r="C518" s="304"/>
      <c r="D518" s="763"/>
      <c r="E518" s="763"/>
      <c r="F518" s="763"/>
      <c r="G518" s="763"/>
      <c r="H518" s="763"/>
      <c r="I518" s="763"/>
      <c r="J518" s="763"/>
      <c r="K518" s="763"/>
      <c r="L518" s="763"/>
      <c r="M518" s="763"/>
      <c r="N518" s="763"/>
      <c r="O518" s="763"/>
      <c r="P518" s="763"/>
      <c r="Q518" s="763"/>
      <c r="R518" s="763"/>
      <c r="S518" s="763"/>
      <c r="T518" s="763"/>
      <c r="U518" s="763"/>
      <c r="V518" s="763"/>
      <c r="W518" s="763"/>
      <c r="X518" s="763"/>
      <c r="Y518" s="774"/>
      <c r="Z518" s="793"/>
      <c r="AA518" s="793"/>
      <c r="AB518" s="793"/>
      <c r="AC518" s="793"/>
      <c r="AD518" s="793"/>
      <c r="AE518" s="793"/>
      <c r="AF518" s="435"/>
      <c r="AG518" s="435"/>
      <c r="AH518" s="435"/>
      <c r="AI518" s="435"/>
      <c r="AJ518" s="435"/>
      <c r="AK518" s="435"/>
      <c r="AL518" s="435"/>
      <c r="AM518" s="319"/>
    </row>
    <row r="519" spans="1:39" ht="15" outlineLevel="1">
      <c r="A519" s="539">
        <v>36</v>
      </c>
      <c r="B519" s="438" t="str">
        <f>'7.  Persistence Report'!D128</f>
        <v>Whole Home Pilot Program</v>
      </c>
      <c r="C519" s="304" t="s">
        <v>25</v>
      </c>
      <c r="D519" s="308">
        <f>'7.  Persistence Report'!AW128</f>
        <v>50819</v>
      </c>
      <c r="E519" s="308">
        <f>'7.  Persistence Report'!AX128</f>
        <v>50819</v>
      </c>
      <c r="F519" s="308">
        <f>'7.  Persistence Report'!AY128</f>
        <v>50819</v>
      </c>
      <c r="G519" s="308">
        <f>'7.  Persistence Report'!AZ128</f>
        <v>50819</v>
      </c>
      <c r="H519" s="308">
        <f>'7.  Persistence Report'!BA128</f>
        <v>50535</v>
      </c>
      <c r="I519" s="308">
        <f>'7.  Persistence Report'!BB128</f>
        <v>50200</v>
      </c>
      <c r="J519" s="308">
        <f>'7.  Persistence Report'!BC128</f>
        <v>50200</v>
      </c>
      <c r="K519" s="308">
        <f>'7.  Persistence Report'!BD128</f>
        <v>50200</v>
      </c>
      <c r="L519" s="308">
        <f>'7.  Persistence Report'!BE128</f>
        <v>50200</v>
      </c>
      <c r="M519" s="308">
        <f>'7.  Persistence Report'!BF128</f>
        <v>50200</v>
      </c>
      <c r="N519" s="308">
        <v>12</v>
      </c>
      <c r="O519" s="308">
        <f>'7.  Persistence Report'!R128</f>
        <v>10</v>
      </c>
      <c r="P519" s="308">
        <f>'7.  Persistence Report'!S128</f>
        <v>10</v>
      </c>
      <c r="Q519" s="308">
        <f>'7.  Persistence Report'!T128</f>
        <v>10</v>
      </c>
      <c r="R519" s="308">
        <f>'7.  Persistence Report'!U128</f>
        <v>10</v>
      </c>
      <c r="S519" s="308">
        <f>'7.  Persistence Report'!V128</f>
        <v>10</v>
      </c>
      <c r="T519" s="308">
        <f>'7.  Persistence Report'!W128</f>
        <v>10</v>
      </c>
      <c r="U519" s="308">
        <f>'7.  Persistence Report'!X128</f>
        <v>10</v>
      </c>
      <c r="V519" s="308">
        <f>'7.  Persistence Report'!Y128</f>
        <v>10</v>
      </c>
      <c r="W519" s="308">
        <f>'7.  Persistence Report'!Z128</f>
        <v>10</v>
      </c>
      <c r="X519" s="308">
        <f>'7.  Persistence Report'!AA128</f>
        <v>10</v>
      </c>
      <c r="Y519" s="789">
        <v>1</v>
      </c>
      <c r="Z519" s="772"/>
      <c r="AA519" s="772"/>
      <c r="AB519" s="772"/>
      <c r="AC519" s="772"/>
      <c r="AD519" s="772"/>
      <c r="AE519" s="772"/>
      <c r="AF519" s="427"/>
      <c r="AG519" s="427"/>
      <c r="AH519" s="427"/>
      <c r="AI519" s="427"/>
      <c r="AJ519" s="427"/>
      <c r="AK519" s="427"/>
      <c r="AL519" s="427"/>
      <c r="AM519" s="309">
        <f>SUM(Y519:AL519)</f>
        <v>1</v>
      </c>
    </row>
    <row r="520" spans="1:39" ht="15" outlineLevel="1">
      <c r="A520" s="539"/>
      <c r="B520" s="441" t="s">
        <v>308</v>
      </c>
      <c r="C520" s="304" t="s">
        <v>163</v>
      </c>
      <c r="D520" s="308"/>
      <c r="E520" s="308"/>
      <c r="F520" s="308"/>
      <c r="G520" s="308"/>
      <c r="H520" s="308"/>
      <c r="I520" s="308"/>
      <c r="J520" s="308"/>
      <c r="K520" s="308"/>
      <c r="L520" s="308"/>
      <c r="M520" s="308"/>
      <c r="N520" s="308">
        <f>N519</f>
        <v>12</v>
      </c>
      <c r="O520" s="308"/>
      <c r="P520" s="308"/>
      <c r="Q520" s="308"/>
      <c r="R520" s="308"/>
      <c r="S520" s="308"/>
      <c r="T520" s="308"/>
      <c r="U520" s="308"/>
      <c r="V520" s="308"/>
      <c r="W520" s="308"/>
      <c r="X520" s="308"/>
      <c r="Y520" s="773">
        <f>Y519</f>
        <v>1</v>
      </c>
      <c r="Z520" s="773">
        <f t="shared" ref="Z520:AE520" si="927">Z519</f>
        <v>0</v>
      </c>
      <c r="AA520" s="773">
        <f t="shared" si="927"/>
        <v>0</v>
      </c>
      <c r="AB520" s="773">
        <f t="shared" si="927"/>
        <v>0</v>
      </c>
      <c r="AC520" s="773">
        <f t="shared" si="927"/>
        <v>0</v>
      </c>
      <c r="AD520" s="773">
        <f t="shared" si="927"/>
        <v>0</v>
      </c>
      <c r="AE520" s="773">
        <f t="shared" si="927"/>
        <v>0</v>
      </c>
      <c r="AF520" s="423">
        <f t="shared" ref="AF520" si="928">AF519</f>
        <v>0</v>
      </c>
      <c r="AG520" s="423">
        <f t="shared" ref="AG520" si="929">AG519</f>
        <v>0</v>
      </c>
      <c r="AH520" s="423">
        <f t="shared" ref="AH520" si="930">AH519</f>
        <v>0</v>
      </c>
      <c r="AI520" s="423">
        <f t="shared" ref="AI520" si="931">AI519</f>
        <v>0</v>
      </c>
      <c r="AJ520" s="423">
        <f t="shared" ref="AJ520" si="932">AJ519</f>
        <v>0</v>
      </c>
      <c r="AK520" s="423">
        <f t="shared" ref="AK520" si="933">AK519</f>
        <v>0</v>
      </c>
      <c r="AL520" s="423">
        <f t="shared" ref="AL520" si="934">AL519</f>
        <v>0</v>
      </c>
      <c r="AM520" s="319"/>
    </row>
    <row r="521" spans="1:39" ht="15" outlineLevel="1">
      <c r="A521" s="539"/>
      <c r="B521" s="438"/>
      <c r="C521" s="304"/>
      <c r="D521" s="763"/>
      <c r="E521" s="763"/>
      <c r="F521" s="763"/>
      <c r="G521" s="763"/>
      <c r="H521" s="763"/>
      <c r="I521" s="763"/>
      <c r="J521" s="763"/>
      <c r="K521" s="763"/>
      <c r="L521" s="763"/>
      <c r="M521" s="763"/>
      <c r="N521" s="763"/>
      <c r="O521" s="763"/>
      <c r="P521" s="763"/>
      <c r="Q521" s="763"/>
      <c r="R521" s="763"/>
      <c r="S521" s="763"/>
      <c r="T521" s="763"/>
      <c r="U521" s="763"/>
      <c r="V521" s="763"/>
      <c r="W521" s="763"/>
      <c r="X521" s="763"/>
      <c r="Y521" s="774"/>
      <c r="Z521" s="793"/>
      <c r="AA521" s="793"/>
      <c r="AB521" s="793"/>
      <c r="AC521" s="793"/>
      <c r="AD521" s="793"/>
      <c r="AE521" s="793"/>
      <c r="AF521" s="435"/>
      <c r="AG521" s="435"/>
      <c r="AH521" s="435"/>
      <c r="AI521" s="435"/>
      <c r="AJ521" s="435"/>
      <c r="AK521" s="435"/>
      <c r="AL521" s="435"/>
      <c r="AM521" s="319"/>
    </row>
    <row r="522" spans="1:39" ht="30" outlineLevel="1">
      <c r="A522" s="539">
        <v>37</v>
      </c>
      <c r="B522" s="851" t="str">
        <f>'7.  Persistence Report'!D145</f>
        <v>Save on Energy Smart Thermostat Program</v>
      </c>
      <c r="C522" s="304" t="s">
        <v>25</v>
      </c>
      <c r="D522" s="308">
        <f>'7.  Persistence Report'!AW145</f>
        <v>11312.900000000005</v>
      </c>
      <c r="E522" s="308">
        <f>'7.  Persistence Report'!AX145</f>
        <v>11312.900000000005</v>
      </c>
      <c r="F522" s="308">
        <f>'7.  Persistence Report'!AY145</f>
        <v>11312.900000000005</v>
      </c>
      <c r="G522" s="308"/>
      <c r="H522" s="308"/>
      <c r="I522" s="308"/>
      <c r="J522" s="308"/>
      <c r="K522" s="308"/>
      <c r="L522" s="308"/>
      <c r="M522" s="308"/>
      <c r="N522" s="308">
        <v>12</v>
      </c>
      <c r="O522" s="308">
        <f>'7.  Persistence Report'!R145</f>
        <v>5.6988350859517691</v>
      </c>
      <c r="P522" s="308">
        <f>'7.  Persistence Report'!S145</f>
        <v>5.6988350859517691</v>
      </c>
      <c r="Q522" s="308">
        <f>'7.  Persistence Report'!T145</f>
        <v>5.6988350859517691</v>
      </c>
      <c r="R522" s="308"/>
      <c r="S522" s="308"/>
      <c r="T522" s="308"/>
      <c r="U522" s="308"/>
      <c r="V522" s="308"/>
      <c r="W522" s="308"/>
      <c r="X522" s="308"/>
      <c r="Y522" s="789">
        <v>1</v>
      </c>
      <c r="Z522" s="772"/>
      <c r="AA522" s="772"/>
      <c r="AB522" s="772"/>
      <c r="AC522" s="772"/>
      <c r="AD522" s="772"/>
      <c r="AE522" s="772"/>
      <c r="AF522" s="427"/>
      <c r="AG522" s="427"/>
      <c r="AH522" s="427"/>
      <c r="AI522" s="427"/>
      <c r="AJ522" s="427"/>
      <c r="AK522" s="427"/>
      <c r="AL522" s="427"/>
      <c r="AM522" s="309">
        <f>SUM(Y522:AL522)</f>
        <v>1</v>
      </c>
    </row>
    <row r="523" spans="1:39" ht="15" outlineLevel="1">
      <c r="A523" s="539"/>
      <c r="B523" s="441" t="s">
        <v>308</v>
      </c>
      <c r="C523" s="304" t="s">
        <v>163</v>
      </c>
      <c r="D523" s="308"/>
      <c r="E523" s="308"/>
      <c r="F523" s="308"/>
      <c r="G523" s="308"/>
      <c r="H523" s="308"/>
      <c r="I523" s="308"/>
      <c r="J523" s="308"/>
      <c r="K523" s="308"/>
      <c r="L523" s="308"/>
      <c r="M523" s="308"/>
      <c r="N523" s="308">
        <f>N522</f>
        <v>12</v>
      </c>
      <c r="O523" s="308"/>
      <c r="P523" s="308"/>
      <c r="Q523" s="308"/>
      <c r="R523" s="308"/>
      <c r="S523" s="308"/>
      <c r="T523" s="308"/>
      <c r="U523" s="308"/>
      <c r="V523" s="308"/>
      <c r="W523" s="308"/>
      <c r="X523" s="308"/>
      <c r="Y523" s="773">
        <f>Y522</f>
        <v>1</v>
      </c>
      <c r="Z523" s="773">
        <f t="shared" ref="Z523:AE523" si="935">Z522</f>
        <v>0</v>
      </c>
      <c r="AA523" s="773">
        <f t="shared" si="935"/>
        <v>0</v>
      </c>
      <c r="AB523" s="773">
        <f t="shared" si="935"/>
        <v>0</v>
      </c>
      <c r="AC523" s="773">
        <f t="shared" si="935"/>
        <v>0</v>
      </c>
      <c r="AD523" s="773">
        <f t="shared" si="935"/>
        <v>0</v>
      </c>
      <c r="AE523" s="773">
        <f t="shared" si="935"/>
        <v>0</v>
      </c>
      <c r="AF523" s="423">
        <f t="shared" ref="AF523" si="936">AF522</f>
        <v>0</v>
      </c>
      <c r="AG523" s="423">
        <f t="shared" ref="AG523" si="937">AG522</f>
        <v>0</v>
      </c>
      <c r="AH523" s="423">
        <f t="shared" ref="AH523" si="938">AH522</f>
        <v>0</v>
      </c>
      <c r="AI523" s="423">
        <f t="shared" ref="AI523" si="939">AI522</f>
        <v>0</v>
      </c>
      <c r="AJ523" s="423">
        <f t="shared" ref="AJ523" si="940">AJ522</f>
        <v>0</v>
      </c>
      <c r="AK523" s="423">
        <f t="shared" ref="AK523" si="941">AK522</f>
        <v>0</v>
      </c>
      <c r="AL523" s="423">
        <f t="shared" ref="AL523" si="942">AL522</f>
        <v>0</v>
      </c>
      <c r="AM523" s="319"/>
    </row>
    <row r="524" spans="1:39" ht="15" outlineLevel="1">
      <c r="A524" s="539"/>
      <c r="B524" s="438"/>
      <c r="C524" s="304"/>
      <c r="D524" s="763"/>
      <c r="E524" s="763"/>
      <c r="F524" s="763"/>
      <c r="G524" s="763"/>
      <c r="H524" s="763"/>
      <c r="I524" s="763"/>
      <c r="J524" s="763"/>
      <c r="K524" s="763"/>
      <c r="L524" s="763"/>
      <c r="M524" s="763"/>
      <c r="N524" s="763"/>
      <c r="O524" s="763"/>
      <c r="P524" s="763"/>
      <c r="Q524" s="763"/>
      <c r="R524" s="763"/>
      <c r="S524" s="763"/>
      <c r="T524" s="763"/>
      <c r="U524" s="763"/>
      <c r="V524" s="763"/>
      <c r="W524" s="763"/>
      <c r="X524" s="763"/>
      <c r="Y524" s="774"/>
      <c r="Z524" s="793"/>
      <c r="AA524" s="793"/>
      <c r="AB524" s="793"/>
      <c r="AC524" s="793"/>
      <c r="AD524" s="793"/>
      <c r="AE524" s="793"/>
      <c r="AF524" s="435"/>
      <c r="AG524" s="435"/>
      <c r="AH524" s="435"/>
      <c r="AI524" s="435"/>
      <c r="AJ524" s="435"/>
      <c r="AK524" s="435"/>
      <c r="AL524" s="435"/>
      <c r="AM524" s="319"/>
    </row>
    <row r="525" spans="1:39" ht="15" outlineLevel="1">
      <c r="A525" s="539">
        <v>38</v>
      </c>
      <c r="B525" s="851" t="str">
        <f>'7.  Persistence Report'!D147</f>
        <v>Swimming Pool Efficiency Program</v>
      </c>
      <c r="C525" s="304" t="s">
        <v>25</v>
      </c>
      <c r="D525" s="308">
        <f>'7.  Persistence Report'!AW147</f>
        <v>0.94096324615384619</v>
      </c>
      <c r="E525" s="308">
        <f>'7.  Persistence Report'!AX147</f>
        <v>0.94096324615384619</v>
      </c>
      <c r="F525" s="308">
        <f>'7.  Persistence Report'!AY147</f>
        <v>0.94096324615384619</v>
      </c>
      <c r="G525" s="308"/>
      <c r="H525" s="308"/>
      <c r="I525" s="308"/>
      <c r="J525" s="308"/>
      <c r="K525" s="308"/>
      <c r="L525" s="308"/>
      <c r="M525" s="308"/>
      <c r="N525" s="308">
        <v>12</v>
      </c>
      <c r="O525" s="308">
        <f>'7.  Persistence Report'!R147</f>
        <v>1.8178181070651933E-4</v>
      </c>
      <c r="P525" s="308"/>
      <c r="Q525" s="308"/>
      <c r="R525" s="308"/>
      <c r="S525" s="308"/>
      <c r="T525" s="308"/>
      <c r="U525" s="308"/>
      <c r="V525" s="308"/>
      <c r="W525" s="308"/>
      <c r="X525" s="308"/>
      <c r="Y525" s="789">
        <v>1</v>
      </c>
      <c r="Z525" s="772"/>
      <c r="AA525" s="772"/>
      <c r="AB525" s="772"/>
      <c r="AC525" s="772"/>
      <c r="AD525" s="772"/>
      <c r="AE525" s="772"/>
      <c r="AF525" s="427"/>
      <c r="AG525" s="427"/>
      <c r="AH525" s="427"/>
      <c r="AI525" s="427"/>
      <c r="AJ525" s="427"/>
      <c r="AK525" s="427"/>
      <c r="AL525" s="427"/>
      <c r="AM525" s="309">
        <f>SUM(Y525:AL525)</f>
        <v>1</v>
      </c>
    </row>
    <row r="526" spans="1:39" ht="15" outlineLevel="1">
      <c r="A526" s="539"/>
      <c r="B526" s="441" t="s">
        <v>308</v>
      </c>
      <c r="C526" s="304" t="s">
        <v>163</v>
      </c>
      <c r="D526" s="308"/>
      <c r="E526" s="308"/>
      <c r="F526" s="308"/>
      <c r="G526" s="308"/>
      <c r="H526" s="308"/>
      <c r="I526" s="308"/>
      <c r="J526" s="308"/>
      <c r="K526" s="308"/>
      <c r="L526" s="308"/>
      <c r="M526" s="308"/>
      <c r="N526" s="308">
        <f>N525</f>
        <v>12</v>
      </c>
      <c r="O526" s="308"/>
      <c r="P526" s="308"/>
      <c r="Q526" s="308"/>
      <c r="R526" s="308"/>
      <c r="S526" s="308"/>
      <c r="T526" s="308"/>
      <c r="U526" s="308"/>
      <c r="V526" s="308"/>
      <c r="W526" s="308"/>
      <c r="X526" s="308"/>
      <c r="Y526" s="773">
        <f>Y525</f>
        <v>1</v>
      </c>
      <c r="Z526" s="773">
        <f t="shared" ref="Z526:AE526" si="943">Z525</f>
        <v>0</v>
      </c>
      <c r="AA526" s="773">
        <f t="shared" si="943"/>
        <v>0</v>
      </c>
      <c r="AB526" s="773">
        <f t="shared" si="943"/>
        <v>0</v>
      </c>
      <c r="AC526" s="773">
        <f t="shared" si="943"/>
        <v>0</v>
      </c>
      <c r="AD526" s="773">
        <f t="shared" si="943"/>
        <v>0</v>
      </c>
      <c r="AE526" s="773">
        <f t="shared" si="943"/>
        <v>0</v>
      </c>
      <c r="AF526" s="423">
        <f t="shared" ref="AF526" si="944">AF525</f>
        <v>0</v>
      </c>
      <c r="AG526" s="423">
        <f t="shared" ref="AG526" si="945">AG525</f>
        <v>0</v>
      </c>
      <c r="AH526" s="423">
        <f t="shared" ref="AH526" si="946">AH525</f>
        <v>0</v>
      </c>
      <c r="AI526" s="423">
        <f t="shared" ref="AI526" si="947">AI525</f>
        <v>0</v>
      </c>
      <c r="AJ526" s="423">
        <f t="shared" ref="AJ526" si="948">AJ525</f>
        <v>0</v>
      </c>
      <c r="AK526" s="423">
        <f t="shared" ref="AK526" si="949">AK525</f>
        <v>0</v>
      </c>
      <c r="AL526" s="423">
        <f t="shared" ref="AL526" si="950">AL525</f>
        <v>0</v>
      </c>
      <c r="AM526" s="319"/>
    </row>
    <row r="527" spans="1:39" ht="15" outlineLevel="1">
      <c r="A527" s="539"/>
      <c r="B527" s="438"/>
      <c r="C527" s="304"/>
      <c r="D527" s="763"/>
      <c r="E527" s="763"/>
      <c r="F527" s="763"/>
      <c r="G527" s="763"/>
      <c r="H527" s="763"/>
      <c r="I527" s="763"/>
      <c r="J527" s="763"/>
      <c r="K527" s="763"/>
      <c r="L527" s="763"/>
      <c r="M527" s="763"/>
      <c r="N527" s="763"/>
      <c r="O527" s="763"/>
      <c r="P527" s="763"/>
      <c r="Q527" s="763"/>
      <c r="R527" s="763"/>
      <c r="S527" s="763"/>
      <c r="T527" s="763"/>
      <c r="U527" s="763"/>
      <c r="V527" s="763"/>
      <c r="W527" s="763"/>
      <c r="X527" s="763"/>
      <c r="Y527" s="774"/>
      <c r="Z527" s="793"/>
      <c r="AA527" s="793"/>
      <c r="AB527" s="793"/>
      <c r="AC527" s="793"/>
      <c r="AD527" s="793"/>
      <c r="AE527" s="793"/>
      <c r="AF527" s="435"/>
      <c r="AG527" s="435"/>
      <c r="AH527" s="435"/>
      <c r="AI527" s="435"/>
      <c r="AJ527" s="435"/>
      <c r="AK527" s="435"/>
      <c r="AL527" s="435"/>
      <c r="AM527" s="319"/>
    </row>
    <row r="528" spans="1:39" ht="30" outlineLevel="1">
      <c r="A528" s="539">
        <v>39</v>
      </c>
      <c r="B528" s="438" t="s">
        <v>131</v>
      </c>
      <c r="C528" s="304" t="s">
        <v>25</v>
      </c>
      <c r="D528" s="308"/>
      <c r="E528" s="308"/>
      <c r="F528" s="308"/>
      <c r="G528" s="308"/>
      <c r="H528" s="308"/>
      <c r="I528" s="308"/>
      <c r="J528" s="308"/>
      <c r="K528" s="308"/>
      <c r="L528" s="308"/>
      <c r="M528" s="308"/>
      <c r="N528" s="308">
        <v>12</v>
      </c>
      <c r="O528" s="308"/>
      <c r="P528" s="308"/>
      <c r="Q528" s="308"/>
      <c r="R528" s="308"/>
      <c r="S528" s="308"/>
      <c r="T528" s="308"/>
      <c r="U528" s="308"/>
      <c r="V528" s="308"/>
      <c r="W528" s="308"/>
      <c r="X528" s="308"/>
      <c r="Y528" s="789"/>
      <c r="Z528" s="772"/>
      <c r="AA528" s="772"/>
      <c r="AB528" s="772"/>
      <c r="AC528" s="772"/>
      <c r="AD528" s="772"/>
      <c r="AE528" s="772"/>
      <c r="AF528" s="427"/>
      <c r="AG528" s="427"/>
      <c r="AH528" s="427"/>
      <c r="AI528" s="427"/>
      <c r="AJ528" s="427"/>
      <c r="AK528" s="427"/>
      <c r="AL528" s="427"/>
      <c r="AM528" s="309">
        <f>SUM(Y528:AL528)</f>
        <v>0</v>
      </c>
    </row>
    <row r="529" spans="1:39" ht="15" outlineLevel="1">
      <c r="A529" s="539"/>
      <c r="B529" s="441" t="s">
        <v>308</v>
      </c>
      <c r="C529" s="304" t="s">
        <v>163</v>
      </c>
      <c r="D529" s="308"/>
      <c r="E529" s="308"/>
      <c r="F529" s="308"/>
      <c r="G529" s="308"/>
      <c r="H529" s="308"/>
      <c r="I529" s="308"/>
      <c r="J529" s="308"/>
      <c r="K529" s="308"/>
      <c r="L529" s="308"/>
      <c r="M529" s="308"/>
      <c r="N529" s="308">
        <f>N528</f>
        <v>12</v>
      </c>
      <c r="O529" s="308"/>
      <c r="P529" s="308"/>
      <c r="Q529" s="308"/>
      <c r="R529" s="308"/>
      <c r="S529" s="308"/>
      <c r="T529" s="308"/>
      <c r="U529" s="308"/>
      <c r="V529" s="308"/>
      <c r="W529" s="308"/>
      <c r="X529" s="308"/>
      <c r="Y529" s="773">
        <f>Y528</f>
        <v>0</v>
      </c>
      <c r="Z529" s="773">
        <f t="shared" ref="Z529:AE529" si="951">Z528</f>
        <v>0</v>
      </c>
      <c r="AA529" s="773">
        <f t="shared" si="951"/>
        <v>0</v>
      </c>
      <c r="AB529" s="773">
        <f t="shared" si="951"/>
        <v>0</v>
      </c>
      <c r="AC529" s="773">
        <f t="shared" si="951"/>
        <v>0</v>
      </c>
      <c r="AD529" s="773">
        <f t="shared" si="951"/>
        <v>0</v>
      </c>
      <c r="AE529" s="773">
        <f t="shared" si="951"/>
        <v>0</v>
      </c>
      <c r="AF529" s="423">
        <f t="shared" ref="AF529" si="952">AF528</f>
        <v>0</v>
      </c>
      <c r="AG529" s="423">
        <f t="shared" ref="AG529" si="953">AG528</f>
        <v>0</v>
      </c>
      <c r="AH529" s="423">
        <f t="shared" ref="AH529" si="954">AH528</f>
        <v>0</v>
      </c>
      <c r="AI529" s="423">
        <f t="shared" ref="AI529" si="955">AI528</f>
        <v>0</v>
      </c>
      <c r="AJ529" s="423">
        <f t="shared" ref="AJ529" si="956">AJ528</f>
        <v>0</v>
      </c>
      <c r="AK529" s="423">
        <f t="shared" ref="AK529" si="957">AK528</f>
        <v>0</v>
      </c>
      <c r="AL529" s="423">
        <f t="shared" ref="AL529" si="958">AL528</f>
        <v>0</v>
      </c>
      <c r="AM529" s="319"/>
    </row>
    <row r="530" spans="1:39" ht="15" outlineLevel="1">
      <c r="A530" s="539"/>
      <c r="B530" s="438"/>
      <c r="C530" s="304"/>
      <c r="D530" s="763"/>
      <c r="E530" s="763"/>
      <c r="F530" s="763"/>
      <c r="G530" s="763"/>
      <c r="H530" s="763"/>
      <c r="I530" s="763"/>
      <c r="J530" s="763"/>
      <c r="K530" s="763"/>
      <c r="L530" s="763"/>
      <c r="M530" s="763"/>
      <c r="N530" s="763"/>
      <c r="O530" s="763"/>
      <c r="P530" s="763"/>
      <c r="Q530" s="763"/>
      <c r="R530" s="763"/>
      <c r="S530" s="763"/>
      <c r="T530" s="763"/>
      <c r="U530" s="763"/>
      <c r="V530" s="763"/>
      <c r="W530" s="763"/>
      <c r="X530" s="763"/>
      <c r="Y530" s="774"/>
      <c r="Z530" s="793"/>
      <c r="AA530" s="793"/>
      <c r="AB530" s="793"/>
      <c r="AC530" s="793"/>
      <c r="AD530" s="793"/>
      <c r="AE530" s="793"/>
      <c r="AF530" s="435"/>
      <c r="AG530" s="435"/>
      <c r="AH530" s="435"/>
      <c r="AI530" s="435"/>
      <c r="AJ530" s="435"/>
      <c r="AK530" s="435"/>
      <c r="AL530" s="435"/>
      <c r="AM530" s="319"/>
    </row>
    <row r="531" spans="1:39" ht="30" outlineLevel="1">
      <c r="A531" s="539">
        <v>40</v>
      </c>
      <c r="B531" s="438" t="s">
        <v>132</v>
      </c>
      <c r="C531" s="304" t="s">
        <v>25</v>
      </c>
      <c r="D531" s="308"/>
      <c r="E531" s="308"/>
      <c r="F531" s="308"/>
      <c r="G531" s="308"/>
      <c r="H531" s="308"/>
      <c r="I531" s="308"/>
      <c r="J531" s="308"/>
      <c r="K531" s="308"/>
      <c r="L531" s="308"/>
      <c r="M531" s="308"/>
      <c r="N531" s="308">
        <v>12</v>
      </c>
      <c r="O531" s="308"/>
      <c r="P531" s="308"/>
      <c r="Q531" s="308"/>
      <c r="R531" s="308"/>
      <c r="S531" s="308"/>
      <c r="T531" s="308"/>
      <c r="U531" s="308"/>
      <c r="V531" s="308"/>
      <c r="W531" s="308"/>
      <c r="X531" s="308"/>
      <c r="Y531" s="789"/>
      <c r="Z531" s="772"/>
      <c r="AA531" s="772"/>
      <c r="AB531" s="772"/>
      <c r="AC531" s="772"/>
      <c r="AD531" s="772"/>
      <c r="AE531" s="772"/>
      <c r="AF531" s="427"/>
      <c r="AG531" s="427"/>
      <c r="AH531" s="427"/>
      <c r="AI531" s="427"/>
      <c r="AJ531" s="427"/>
      <c r="AK531" s="427"/>
      <c r="AL531" s="427"/>
      <c r="AM531" s="309">
        <f>SUM(Y531:AL531)</f>
        <v>0</v>
      </c>
    </row>
    <row r="532" spans="1:39" ht="15" outlineLevel="1">
      <c r="A532" s="539"/>
      <c r="B532" s="441" t="s">
        <v>308</v>
      </c>
      <c r="C532" s="304" t="s">
        <v>163</v>
      </c>
      <c r="D532" s="308"/>
      <c r="E532" s="308"/>
      <c r="F532" s="308"/>
      <c r="G532" s="308"/>
      <c r="H532" s="308"/>
      <c r="I532" s="308"/>
      <c r="J532" s="308"/>
      <c r="K532" s="308"/>
      <c r="L532" s="308"/>
      <c r="M532" s="308"/>
      <c r="N532" s="308">
        <f>N531</f>
        <v>12</v>
      </c>
      <c r="O532" s="308"/>
      <c r="P532" s="308"/>
      <c r="Q532" s="308"/>
      <c r="R532" s="308"/>
      <c r="S532" s="308"/>
      <c r="T532" s="308"/>
      <c r="U532" s="308"/>
      <c r="V532" s="308"/>
      <c r="W532" s="308"/>
      <c r="X532" s="308"/>
      <c r="Y532" s="773">
        <f>Y531</f>
        <v>0</v>
      </c>
      <c r="Z532" s="773">
        <f t="shared" ref="Z532:AE532" si="959">Z531</f>
        <v>0</v>
      </c>
      <c r="AA532" s="773">
        <f t="shared" si="959"/>
        <v>0</v>
      </c>
      <c r="AB532" s="773">
        <f t="shared" si="959"/>
        <v>0</v>
      </c>
      <c r="AC532" s="773">
        <f t="shared" si="959"/>
        <v>0</v>
      </c>
      <c r="AD532" s="773">
        <f t="shared" si="959"/>
        <v>0</v>
      </c>
      <c r="AE532" s="773">
        <f t="shared" si="959"/>
        <v>0</v>
      </c>
      <c r="AF532" s="423">
        <f t="shared" ref="AF532" si="960">AF531</f>
        <v>0</v>
      </c>
      <c r="AG532" s="423">
        <f t="shared" ref="AG532" si="961">AG531</f>
        <v>0</v>
      </c>
      <c r="AH532" s="423">
        <f t="shared" ref="AH532" si="962">AH531</f>
        <v>0</v>
      </c>
      <c r="AI532" s="423">
        <f t="shared" ref="AI532" si="963">AI531</f>
        <v>0</v>
      </c>
      <c r="AJ532" s="423">
        <f t="shared" ref="AJ532" si="964">AJ531</f>
        <v>0</v>
      </c>
      <c r="AK532" s="423">
        <f t="shared" ref="AK532" si="965">AK531</f>
        <v>0</v>
      </c>
      <c r="AL532" s="423">
        <f t="shared" ref="AL532" si="966">AL531</f>
        <v>0</v>
      </c>
      <c r="AM532" s="319"/>
    </row>
    <row r="533" spans="1:39" ht="15" outlineLevel="1">
      <c r="A533" s="539"/>
      <c r="B533" s="438"/>
      <c r="C533" s="304"/>
      <c r="D533" s="763"/>
      <c r="E533" s="763"/>
      <c r="F533" s="763"/>
      <c r="G533" s="763"/>
      <c r="H533" s="763"/>
      <c r="I533" s="763"/>
      <c r="J533" s="763"/>
      <c r="K533" s="763"/>
      <c r="L533" s="763"/>
      <c r="M533" s="763"/>
      <c r="N533" s="763"/>
      <c r="O533" s="763"/>
      <c r="P533" s="763"/>
      <c r="Q533" s="763"/>
      <c r="R533" s="763"/>
      <c r="S533" s="763"/>
      <c r="T533" s="763"/>
      <c r="U533" s="763"/>
      <c r="V533" s="763"/>
      <c r="W533" s="763"/>
      <c r="X533" s="763"/>
      <c r="Y533" s="774"/>
      <c r="Z533" s="793"/>
      <c r="AA533" s="793"/>
      <c r="AB533" s="793"/>
      <c r="AC533" s="793"/>
      <c r="AD533" s="793"/>
      <c r="AE533" s="793"/>
      <c r="AF533" s="435"/>
      <c r="AG533" s="435"/>
      <c r="AH533" s="435"/>
      <c r="AI533" s="435"/>
      <c r="AJ533" s="435"/>
      <c r="AK533" s="435"/>
      <c r="AL533" s="435"/>
      <c r="AM533" s="319"/>
    </row>
    <row r="534" spans="1:39" ht="45" outlineLevel="1">
      <c r="A534" s="539">
        <v>41</v>
      </c>
      <c r="B534" s="438" t="s">
        <v>133</v>
      </c>
      <c r="C534" s="304" t="s">
        <v>25</v>
      </c>
      <c r="D534" s="308"/>
      <c r="E534" s="308"/>
      <c r="F534" s="308"/>
      <c r="G534" s="308"/>
      <c r="H534" s="308"/>
      <c r="I534" s="308"/>
      <c r="J534" s="308"/>
      <c r="K534" s="308"/>
      <c r="L534" s="308"/>
      <c r="M534" s="308"/>
      <c r="N534" s="308">
        <v>12</v>
      </c>
      <c r="O534" s="308"/>
      <c r="P534" s="308"/>
      <c r="Q534" s="308"/>
      <c r="R534" s="308"/>
      <c r="S534" s="308"/>
      <c r="T534" s="308"/>
      <c r="U534" s="308"/>
      <c r="V534" s="308"/>
      <c r="W534" s="308"/>
      <c r="X534" s="308"/>
      <c r="Y534" s="789"/>
      <c r="Z534" s="772"/>
      <c r="AA534" s="772"/>
      <c r="AB534" s="772"/>
      <c r="AC534" s="772"/>
      <c r="AD534" s="772"/>
      <c r="AE534" s="772"/>
      <c r="AF534" s="427"/>
      <c r="AG534" s="427"/>
      <c r="AH534" s="427"/>
      <c r="AI534" s="427"/>
      <c r="AJ534" s="427"/>
      <c r="AK534" s="427"/>
      <c r="AL534" s="427"/>
      <c r="AM534" s="309">
        <f>SUM(Y534:AL534)</f>
        <v>0</v>
      </c>
    </row>
    <row r="535" spans="1:39" ht="15" outlineLevel="1">
      <c r="A535" s="539"/>
      <c r="B535" s="441" t="s">
        <v>308</v>
      </c>
      <c r="C535" s="304" t="s">
        <v>163</v>
      </c>
      <c r="D535" s="308"/>
      <c r="E535" s="308"/>
      <c r="F535" s="308"/>
      <c r="G535" s="308"/>
      <c r="H535" s="308"/>
      <c r="I535" s="308"/>
      <c r="J535" s="308"/>
      <c r="K535" s="308"/>
      <c r="L535" s="308"/>
      <c r="M535" s="308"/>
      <c r="N535" s="308">
        <f>N534</f>
        <v>12</v>
      </c>
      <c r="O535" s="308"/>
      <c r="P535" s="308"/>
      <c r="Q535" s="308"/>
      <c r="R535" s="308"/>
      <c r="S535" s="308"/>
      <c r="T535" s="308"/>
      <c r="U535" s="308"/>
      <c r="V535" s="308"/>
      <c r="W535" s="308"/>
      <c r="X535" s="308"/>
      <c r="Y535" s="773">
        <f>Y534</f>
        <v>0</v>
      </c>
      <c r="Z535" s="773">
        <f t="shared" ref="Z535:AE535" si="967">Z534</f>
        <v>0</v>
      </c>
      <c r="AA535" s="773">
        <f t="shared" si="967"/>
        <v>0</v>
      </c>
      <c r="AB535" s="773">
        <f t="shared" si="967"/>
        <v>0</v>
      </c>
      <c r="AC535" s="773">
        <f t="shared" si="967"/>
        <v>0</v>
      </c>
      <c r="AD535" s="773">
        <f t="shared" si="967"/>
        <v>0</v>
      </c>
      <c r="AE535" s="773">
        <f t="shared" si="967"/>
        <v>0</v>
      </c>
      <c r="AF535" s="423">
        <f t="shared" ref="AF535" si="968">AF534</f>
        <v>0</v>
      </c>
      <c r="AG535" s="423">
        <f t="shared" ref="AG535" si="969">AG534</f>
        <v>0</v>
      </c>
      <c r="AH535" s="423">
        <f t="shared" ref="AH535" si="970">AH534</f>
        <v>0</v>
      </c>
      <c r="AI535" s="423">
        <f t="shared" ref="AI535" si="971">AI534</f>
        <v>0</v>
      </c>
      <c r="AJ535" s="423">
        <f t="shared" ref="AJ535" si="972">AJ534</f>
        <v>0</v>
      </c>
      <c r="AK535" s="423">
        <f t="shared" ref="AK535" si="973">AK534</f>
        <v>0</v>
      </c>
      <c r="AL535" s="423">
        <f t="shared" ref="AL535" si="974">AL534</f>
        <v>0</v>
      </c>
      <c r="AM535" s="319"/>
    </row>
    <row r="536" spans="1:39" ht="15" outlineLevel="1">
      <c r="A536" s="539"/>
      <c r="B536" s="438"/>
      <c r="C536" s="304"/>
      <c r="D536" s="763"/>
      <c r="E536" s="763"/>
      <c r="F536" s="763"/>
      <c r="G536" s="763"/>
      <c r="H536" s="763"/>
      <c r="I536" s="763"/>
      <c r="J536" s="763"/>
      <c r="K536" s="763"/>
      <c r="L536" s="763"/>
      <c r="M536" s="763"/>
      <c r="N536" s="763"/>
      <c r="O536" s="763"/>
      <c r="P536" s="763"/>
      <c r="Q536" s="763"/>
      <c r="R536" s="763"/>
      <c r="S536" s="763"/>
      <c r="T536" s="763"/>
      <c r="U536" s="763"/>
      <c r="V536" s="763"/>
      <c r="W536" s="763"/>
      <c r="X536" s="763"/>
      <c r="Y536" s="774"/>
      <c r="Z536" s="793"/>
      <c r="AA536" s="793"/>
      <c r="AB536" s="793"/>
      <c r="AC536" s="793"/>
      <c r="AD536" s="793"/>
      <c r="AE536" s="793"/>
      <c r="AF536" s="435"/>
      <c r="AG536" s="435"/>
      <c r="AH536" s="435"/>
      <c r="AI536" s="435"/>
      <c r="AJ536" s="435"/>
      <c r="AK536" s="435"/>
      <c r="AL536" s="435"/>
      <c r="AM536" s="319"/>
    </row>
    <row r="537" spans="1:39" ht="30" outlineLevel="1">
      <c r="A537" s="539">
        <v>42</v>
      </c>
      <c r="B537" s="438" t="s">
        <v>134</v>
      </c>
      <c r="C537" s="304" t="s">
        <v>25</v>
      </c>
      <c r="D537" s="308"/>
      <c r="E537" s="308"/>
      <c r="F537" s="308"/>
      <c r="G537" s="308"/>
      <c r="H537" s="308"/>
      <c r="I537" s="308"/>
      <c r="J537" s="308"/>
      <c r="K537" s="308"/>
      <c r="L537" s="308"/>
      <c r="M537" s="308"/>
      <c r="N537" s="763"/>
      <c r="O537" s="308"/>
      <c r="P537" s="308"/>
      <c r="Q537" s="308"/>
      <c r="R537" s="308"/>
      <c r="S537" s="308"/>
      <c r="T537" s="308"/>
      <c r="U537" s="308"/>
      <c r="V537" s="308"/>
      <c r="W537" s="308"/>
      <c r="X537" s="308"/>
      <c r="Y537" s="789"/>
      <c r="Z537" s="772"/>
      <c r="AA537" s="772"/>
      <c r="AB537" s="772"/>
      <c r="AC537" s="772"/>
      <c r="AD537" s="772"/>
      <c r="AE537" s="772"/>
      <c r="AF537" s="427"/>
      <c r="AG537" s="427"/>
      <c r="AH537" s="427"/>
      <c r="AI537" s="427"/>
      <c r="AJ537" s="427"/>
      <c r="AK537" s="427"/>
      <c r="AL537" s="427"/>
      <c r="AM537" s="309">
        <f>SUM(Y537:AL537)</f>
        <v>0</v>
      </c>
    </row>
    <row r="538" spans="1:39" ht="15" outlineLevel="1">
      <c r="A538" s="539"/>
      <c r="B538" s="441" t="s">
        <v>308</v>
      </c>
      <c r="C538" s="304" t="s">
        <v>163</v>
      </c>
      <c r="D538" s="308"/>
      <c r="E538" s="308"/>
      <c r="F538" s="308"/>
      <c r="G538" s="308"/>
      <c r="H538" s="308"/>
      <c r="I538" s="308"/>
      <c r="J538" s="308"/>
      <c r="K538" s="308"/>
      <c r="L538" s="308"/>
      <c r="M538" s="308"/>
      <c r="N538" s="764"/>
      <c r="O538" s="308"/>
      <c r="P538" s="308"/>
      <c r="Q538" s="308"/>
      <c r="R538" s="308"/>
      <c r="S538" s="308"/>
      <c r="T538" s="308"/>
      <c r="U538" s="308"/>
      <c r="V538" s="308"/>
      <c r="W538" s="308"/>
      <c r="X538" s="308"/>
      <c r="Y538" s="773">
        <f>Y537</f>
        <v>0</v>
      </c>
      <c r="Z538" s="773">
        <f t="shared" ref="Z538:AE538" si="975">Z537</f>
        <v>0</v>
      </c>
      <c r="AA538" s="773">
        <f t="shared" si="975"/>
        <v>0</v>
      </c>
      <c r="AB538" s="773">
        <f t="shared" si="975"/>
        <v>0</v>
      </c>
      <c r="AC538" s="773">
        <f t="shared" si="975"/>
        <v>0</v>
      </c>
      <c r="AD538" s="773">
        <f t="shared" si="975"/>
        <v>0</v>
      </c>
      <c r="AE538" s="773">
        <f t="shared" si="975"/>
        <v>0</v>
      </c>
      <c r="AF538" s="423">
        <f t="shared" ref="AF538" si="976">AF537</f>
        <v>0</v>
      </c>
      <c r="AG538" s="423">
        <f t="shared" ref="AG538" si="977">AG537</f>
        <v>0</v>
      </c>
      <c r="AH538" s="423">
        <f t="shared" ref="AH538" si="978">AH537</f>
        <v>0</v>
      </c>
      <c r="AI538" s="423">
        <f t="shared" ref="AI538" si="979">AI537</f>
        <v>0</v>
      </c>
      <c r="AJ538" s="423">
        <f t="shared" ref="AJ538" si="980">AJ537</f>
        <v>0</v>
      </c>
      <c r="AK538" s="423">
        <f t="shared" ref="AK538" si="981">AK537</f>
        <v>0</v>
      </c>
      <c r="AL538" s="423">
        <f t="shared" ref="AL538" si="982">AL537</f>
        <v>0</v>
      </c>
      <c r="AM538" s="319"/>
    </row>
    <row r="539" spans="1:39" ht="15" outlineLevel="1">
      <c r="A539" s="539"/>
      <c r="B539" s="438"/>
      <c r="C539" s="304"/>
      <c r="D539" s="763"/>
      <c r="E539" s="763"/>
      <c r="F539" s="763"/>
      <c r="G539" s="763"/>
      <c r="H539" s="763"/>
      <c r="I539" s="763"/>
      <c r="J539" s="763"/>
      <c r="K539" s="763"/>
      <c r="L539" s="763"/>
      <c r="M539" s="763"/>
      <c r="N539" s="763"/>
      <c r="O539" s="763"/>
      <c r="P539" s="763"/>
      <c r="Q539" s="763"/>
      <c r="R539" s="763"/>
      <c r="S539" s="763"/>
      <c r="T539" s="763"/>
      <c r="U539" s="763"/>
      <c r="V539" s="763"/>
      <c r="W539" s="763"/>
      <c r="X539" s="763"/>
      <c r="Y539" s="774"/>
      <c r="Z539" s="793"/>
      <c r="AA539" s="793"/>
      <c r="AB539" s="793"/>
      <c r="AC539" s="793"/>
      <c r="AD539" s="793"/>
      <c r="AE539" s="793"/>
      <c r="AF539" s="435"/>
      <c r="AG539" s="435"/>
      <c r="AH539" s="435"/>
      <c r="AI539" s="435"/>
      <c r="AJ539" s="435"/>
      <c r="AK539" s="435"/>
      <c r="AL539" s="435"/>
      <c r="AM539" s="319"/>
    </row>
    <row r="540" spans="1:39" ht="15" outlineLevel="1">
      <c r="A540" s="539">
        <v>43</v>
      </c>
      <c r="B540" s="438" t="s">
        <v>135</v>
      </c>
      <c r="C540" s="304" t="s">
        <v>25</v>
      </c>
      <c r="D540" s="308"/>
      <c r="E540" s="308"/>
      <c r="F540" s="308"/>
      <c r="G540" s="308"/>
      <c r="H540" s="308"/>
      <c r="I540" s="308"/>
      <c r="J540" s="308"/>
      <c r="K540" s="308"/>
      <c r="L540" s="308"/>
      <c r="M540" s="308"/>
      <c r="N540" s="308">
        <v>12</v>
      </c>
      <c r="O540" s="308"/>
      <c r="P540" s="308"/>
      <c r="Q540" s="308"/>
      <c r="R540" s="308"/>
      <c r="S540" s="308"/>
      <c r="T540" s="308"/>
      <c r="U540" s="308"/>
      <c r="V540" s="308"/>
      <c r="W540" s="308"/>
      <c r="X540" s="308"/>
      <c r="Y540" s="789"/>
      <c r="Z540" s="772"/>
      <c r="AA540" s="772"/>
      <c r="AB540" s="772"/>
      <c r="AC540" s="772"/>
      <c r="AD540" s="772"/>
      <c r="AE540" s="772"/>
      <c r="AF540" s="427"/>
      <c r="AG540" s="427"/>
      <c r="AH540" s="427"/>
      <c r="AI540" s="427"/>
      <c r="AJ540" s="427"/>
      <c r="AK540" s="427"/>
      <c r="AL540" s="427"/>
      <c r="AM540" s="309">
        <f>SUM(Y540:AL540)</f>
        <v>0</v>
      </c>
    </row>
    <row r="541" spans="1:39" ht="15" outlineLevel="1">
      <c r="A541" s="539"/>
      <c r="B541" s="441" t="s">
        <v>308</v>
      </c>
      <c r="C541" s="304" t="s">
        <v>163</v>
      </c>
      <c r="D541" s="308"/>
      <c r="E541" s="308"/>
      <c r="F541" s="308"/>
      <c r="G541" s="308"/>
      <c r="H541" s="308"/>
      <c r="I541" s="308"/>
      <c r="J541" s="308"/>
      <c r="K541" s="308"/>
      <c r="L541" s="308"/>
      <c r="M541" s="308"/>
      <c r="N541" s="308">
        <f>N540</f>
        <v>12</v>
      </c>
      <c r="O541" s="308"/>
      <c r="P541" s="308"/>
      <c r="Q541" s="308"/>
      <c r="R541" s="308"/>
      <c r="S541" s="308"/>
      <c r="T541" s="308"/>
      <c r="U541" s="308"/>
      <c r="V541" s="308"/>
      <c r="W541" s="308"/>
      <c r="X541" s="308"/>
      <c r="Y541" s="773">
        <f>Y540</f>
        <v>0</v>
      </c>
      <c r="Z541" s="773">
        <f t="shared" ref="Z541:AE541" si="983">Z540</f>
        <v>0</v>
      </c>
      <c r="AA541" s="773">
        <f t="shared" si="983"/>
        <v>0</v>
      </c>
      <c r="AB541" s="773">
        <f t="shared" si="983"/>
        <v>0</v>
      </c>
      <c r="AC541" s="773">
        <f t="shared" si="983"/>
        <v>0</v>
      </c>
      <c r="AD541" s="773">
        <f t="shared" si="983"/>
        <v>0</v>
      </c>
      <c r="AE541" s="773">
        <f t="shared" si="983"/>
        <v>0</v>
      </c>
      <c r="AF541" s="423">
        <f t="shared" ref="AF541" si="984">AF540</f>
        <v>0</v>
      </c>
      <c r="AG541" s="423">
        <f t="shared" ref="AG541" si="985">AG540</f>
        <v>0</v>
      </c>
      <c r="AH541" s="423">
        <f t="shared" ref="AH541" si="986">AH540</f>
        <v>0</v>
      </c>
      <c r="AI541" s="423">
        <f t="shared" ref="AI541" si="987">AI540</f>
        <v>0</v>
      </c>
      <c r="AJ541" s="423">
        <f t="shared" ref="AJ541" si="988">AJ540</f>
        <v>0</v>
      </c>
      <c r="AK541" s="423">
        <f t="shared" ref="AK541" si="989">AK540</f>
        <v>0</v>
      </c>
      <c r="AL541" s="423">
        <f t="shared" ref="AL541" si="990">AL540</f>
        <v>0</v>
      </c>
      <c r="AM541" s="319"/>
    </row>
    <row r="542" spans="1:39" ht="15" outlineLevel="1">
      <c r="A542" s="539"/>
      <c r="B542" s="438"/>
      <c r="C542" s="304"/>
      <c r="D542" s="763"/>
      <c r="E542" s="763"/>
      <c r="F542" s="763"/>
      <c r="G542" s="763"/>
      <c r="H542" s="763"/>
      <c r="I542" s="763"/>
      <c r="J542" s="763"/>
      <c r="K542" s="763"/>
      <c r="L542" s="763"/>
      <c r="M542" s="763"/>
      <c r="N542" s="763"/>
      <c r="O542" s="763"/>
      <c r="P542" s="763"/>
      <c r="Q542" s="763"/>
      <c r="R542" s="763"/>
      <c r="S542" s="763"/>
      <c r="T542" s="763"/>
      <c r="U542" s="763"/>
      <c r="V542" s="763"/>
      <c r="W542" s="763"/>
      <c r="X542" s="763"/>
      <c r="Y542" s="774"/>
      <c r="Z542" s="793"/>
      <c r="AA542" s="793"/>
      <c r="AB542" s="793"/>
      <c r="AC542" s="793"/>
      <c r="AD542" s="793"/>
      <c r="AE542" s="793"/>
      <c r="AF542" s="435"/>
      <c r="AG542" s="435"/>
      <c r="AH542" s="435"/>
      <c r="AI542" s="435"/>
      <c r="AJ542" s="435"/>
      <c r="AK542" s="435"/>
      <c r="AL542" s="435"/>
      <c r="AM542" s="319"/>
    </row>
    <row r="543" spans="1:39" ht="45" outlineLevel="1">
      <c r="A543" s="539">
        <v>44</v>
      </c>
      <c r="B543" s="438" t="s">
        <v>136</v>
      </c>
      <c r="C543" s="304" t="s">
        <v>25</v>
      </c>
      <c r="D543" s="308"/>
      <c r="E543" s="308"/>
      <c r="F543" s="308"/>
      <c r="G543" s="308"/>
      <c r="H543" s="308"/>
      <c r="I543" s="308"/>
      <c r="J543" s="308"/>
      <c r="K543" s="308"/>
      <c r="L543" s="308"/>
      <c r="M543" s="308"/>
      <c r="N543" s="308">
        <v>12</v>
      </c>
      <c r="O543" s="308"/>
      <c r="P543" s="308"/>
      <c r="Q543" s="308"/>
      <c r="R543" s="308"/>
      <c r="S543" s="308"/>
      <c r="T543" s="308"/>
      <c r="U543" s="308"/>
      <c r="V543" s="308"/>
      <c r="W543" s="308"/>
      <c r="X543" s="308"/>
      <c r="Y543" s="789"/>
      <c r="Z543" s="772"/>
      <c r="AA543" s="772"/>
      <c r="AB543" s="772"/>
      <c r="AC543" s="772"/>
      <c r="AD543" s="772"/>
      <c r="AE543" s="772"/>
      <c r="AF543" s="427"/>
      <c r="AG543" s="427"/>
      <c r="AH543" s="427"/>
      <c r="AI543" s="427"/>
      <c r="AJ543" s="427"/>
      <c r="AK543" s="427"/>
      <c r="AL543" s="427"/>
      <c r="AM543" s="309">
        <f>SUM(Y543:AL543)</f>
        <v>0</v>
      </c>
    </row>
    <row r="544" spans="1:39" ht="15" outlineLevel="1">
      <c r="A544" s="539"/>
      <c r="B544" s="441" t="s">
        <v>308</v>
      </c>
      <c r="C544" s="304" t="s">
        <v>163</v>
      </c>
      <c r="D544" s="308"/>
      <c r="E544" s="308"/>
      <c r="F544" s="308"/>
      <c r="G544" s="308"/>
      <c r="H544" s="308"/>
      <c r="I544" s="308"/>
      <c r="J544" s="308"/>
      <c r="K544" s="308"/>
      <c r="L544" s="308"/>
      <c r="M544" s="308"/>
      <c r="N544" s="308">
        <f>N543</f>
        <v>12</v>
      </c>
      <c r="O544" s="308"/>
      <c r="P544" s="308"/>
      <c r="Q544" s="308"/>
      <c r="R544" s="308"/>
      <c r="S544" s="308"/>
      <c r="T544" s="308"/>
      <c r="U544" s="308"/>
      <c r="V544" s="308"/>
      <c r="W544" s="308"/>
      <c r="X544" s="308"/>
      <c r="Y544" s="773">
        <f>Y543</f>
        <v>0</v>
      </c>
      <c r="Z544" s="773">
        <f t="shared" ref="Z544:AE544" si="991">Z543</f>
        <v>0</v>
      </c>
      <c r="AA544" s="773">
        <f t="shared" si="991"/>
        <v>0</v>
      </c>
      <c r="AB544" s="773">
        <f t="shared" si="991"/>
        <v>0</v>
      </c>
      <c r="AC544" s="773">
        <f t="shared" si="991"/>
        <v>0</v>
      </c>
      <c r="AD544" s="773">
        <f t="shared" si="991"/>
        <v>0</v>
      </c>
      <c r="AE544" s="773">
        <f t="shared" si="991"/>
        <v>0</v>
      </c>
      <c r="AF544" s="423">
        <f t="shared" ref="AF544" si="992">AF543</f>
        <v>0</v>
      </c>
      <c r="AG544" s="423">
        <f t="shared" ref="AG544" si="993">AG543</f>
        <v>0</v>
      </c>
      <c r="AH544" s="423">
        <f t="shared" ref="AH544" si="994">AH543</f>
        <v>0</v>
      </c>
      <c r="AI544" s="423">
        <f t="shared" ref="AI544" si="995">AI543</f>
        <v>0</v>
      </c>
      <c r="AJ544" s="423">
        <f t="shared" ref="AJ544" si="996">AJ543</f>
        <v>0</v>
      </c>
      <c r="AK544" s="423">
        <f t="shared" ref="AK544" si="997">AK543</f>
        <v>0</v>
      </c>
      <c r="AL544" s="423">
        <f t="shared" ref="AL544" si="998">AL543</f>
        <v>0</v>
      </c>
      <c r="AM544" s="319"/>
    </row>
    <row r="545" spans="1:39" ht="15" outlineLevel="1">
      <c r="A545" s="539"/>
      <c r="B545" s="438"/>
      <c r="C545" s="304"/>
      <c r="D545" s="763"/>
      <c r="E545" s="763"/>
      <c r="F545" s="763"/>
      <c r="G545" s="763"/>
      <c r="H545" s="763"/>
      <c r="I545" s="763"/>
      <c r="J545" s="763"/>
      <c r="K545" s="763"/>
      <c r="L545" s="763"/>
      <c r="M545" s="763"/>
      <c r="N545" s="763"/>
      <c r="O545" s="763"/>
      <c r="P545" s="763"/>
      <c r="Q545" s="763"/>
      <c r="R545" s="763"/>
      <c r="S545" s="763"/>
      <c r="T545" s="763"/>
      <c r="U545" s="763"/>
      <c r="V545" s="763"/>
      <c r="W545" s="763"/>
      <c r="X545" s="763"/>
      <c r="Y545" s="774"/>
      <c r="Z545" s="793"/>
      <c r="AA545" s="793"/>
      <c r="AB545" s="793"/>
      <c r="AC545" s="793"/>
      <c r="AD545" s="793"/>
      <c r="AE545" s="793"/>
      <c r="AF545" s="435"/>
      <c r="AG545" s="435"/>
      <c r="AH545" s="435"/>
      <c r="AI545" s="435"/>
      <c r="AJ545" s="435"/>
      <c r="AK545" s="435"/>
      <c r="AL545" s="435"/>
      <c r="AM545" s="319"/>
    </row>
    <row r="546" spans="1:39" ht="30" outlineLevel="1">
      <c r="A546" s="539">
        <v>45</v>
      </c>
      <c r="B546" s="438" t="s">
        <v>137</v>
      </c>
      <c r="C546" s="304" t="s">
        <v>25</v>
      </c>
      <c r="D546" s="308"/>
      <c r="E546" s="308"/>
      <c r="F546" s="308"/>
      <c r="G546" s="308"/>
      <c r="H546" s="308"/>
      <c r="I546" s="308"/>
      <c r="J546" s="308"/>
      <c r="K546" s="308"/>
      <c r="L546" s="308"/>
      <c r="M546" s="308"/>
      <c r="N546" s="308">
        <v>12</v>
      </c>
      <c r="O546" s="308"/>
      <c r="P546" s="308"/>
      <c r="Q546" s="308"/>
      <c r="R546" s="308"/>
      <c r="S546" s="308"/>
      <c r="T546" s="308"/>
      <c r="U546" s="308"/>
      <c r="V546" s="308"/>
      <c r="W546" s="308"/>
      <c r="X546" s="308"/>
      <c r="Y546" s="789"/>
      <c r="Z546" s="772"/>
      <c r="AA546" s="772"/>
      <c r="AB546" s="772"/>
      <c r="AC546" s="772"/>
      <c r="AD546" s="772"/>
      <c r="AE546" s="772"/>
      <c r="AF546" s="427"/>
      <c r="AG546" s="427"/>
      <c r="AH546" s="427"/>
      <c r="AI546" s="427"/>
      <c r="AJ546" s="427"/>
      <c r="AK546" s="427"/>
      <c r="AL546" s="427"/>
      <c r="AM546" s="309">
        <f>SUM(Y546:AL546)</f>
        <v>0</v>
      </c>
    </row>
    <row r="547" spans="1:39" ht="15" outlineLevel="1">
      <c r="A547" s="539"/>
      <c r="B547" s="441" t="s">
        <v>308</v>
      </c>
      <c r="C547" s="304" t="s">
        <v>163</v>
      </c>
      <c r="D547" s="308"/>
      <c r="E547" s="308"/>
      <c r="F547" s="308"/>
      <c r="G547" s="308"/>
      <c r="H547" s="308"/>
      <c r="I547" s="308"/>
      <c r="J547" s="308"/>
      <c r="K547" s="308"/>
      <c r="L547" s="308"/>
      <c r="M547" s="308"/>
      <c r="N547" s="308">
        <f>N546</f>
        <v>12</v>
      </c>
      <c r="O547" s="308"/>
      <c r="P547" s="308"/>
      <c r="Q547" s="308"/>
      <c r="R547" s="308"/>
      <c r="S547" s="308"/>
      <c r="T547" s="308"/>
      <c r="U547" s="308"/>
      <c r="V547" s="308"/>
      <c r="W547" s="308"/>
      <c r="X547" s="308"/>
      <c r="Y547" s="773">
        <f>Y546</f>
        <v>0</v>
      </c>
      <c r="Z547" s="773">
        <f t="shared" ref="Z547:AE547" si="999">Z546</f>
        <v>0</v>
      </c>
      <c r="AA547" s="773">
        <f t="shared" si="999"/>
        <v>0</v>
      </c>
      <c r="AB547" s="773">
        <f t="shared" si="999"/>
        <v>0</v>
      </c>
      <c r="AC547" s="773">
        <f t="shared" si="999"/>
        <v>0</v>
      </c>
      <c r="AD547" s="773">
        <f t="shared" si="999"/>
        <v>0</v>
      </c>
      <c r="AE547" s="773">
        <f t="shared" si="999"/>
        <v>0</v>
      </c>
      <c r="AF547" s="423">
        <f t="shared" ref="AF547" si="1000">AF546</f>
        <v>0</v>
      </c>
      <c r="AG547" s="423">
        <f t="shared" ref="AG547" si="1001">AG546</f>
        <v>0</v>
      </c>
      <c r="AH547" s="423">
        <f t="shared" ref="AH547" si="1002">AH546</f>
        <v>0</v>
      </c>
      <c r="AI547" s="423">
        <f t="shared" ref="AI547" si="1003">AI546</f>
        <v>0</v>
      </c>
      <c r="AJ547" s="423">
        <f t="shared" ref="AJ547" si="1004">AJ546</f>
        <v>0</v>
      </c>
      <c r="AK547" s="423">
        <f t="shared" ref="AK547" si="1005">AK546</f>
        <v>0</v>
      </c>
      <c r="AL547" s="423">
        <f t="shared" ref="AL547" si="1006">AL546</f>
        <v>0</v>
      </c>
      <c r="AM547" s="319"/>
    </row>
    <row r="548" spans="1:39" ht="15" outlineLevel="1">
      <c r="A548" s="539"/>
      <c r="B548" s="438"/>
      <c r="C548" s="304"/>
      <c r="D548" s="763"/>
      <c r="E548" s="763"/>
      <c r="F548" s="763"/>
      <c r="G548" s="763"/>
      <c r="H548" s="763"/>
      <c r="I548" s="763"/>
      <c r="J548" s="763"/>
      <c r="K548" s="763"/>
      <c r="L548" s="763"/>
      <c r="M548" s="763"/>
      <c r="N548" s="763"/>
      <c r="O548" s="763"/>
      <c r="P548" s="763"/>
      <c r="Q548" s="763"/>
      <c r="R548" s="763"/>
      <c r="S548" s="763"/>
      <c r="T548" s="763"/>
      <c r="U548" s="763"/>
      <c r="V548" s="763"/>
      <c r="W548" s="763"/>
      <c r="X548" s="763"/>
      <c r="Y548" s="774"/>
      <c r="Z548" s="793"/>
      <c r="AA548" s="793"/>
      <c r="AB548" s="793"/>
      <c r="AC548" s="793"/>
      <c r="AD548" s="793"/>
      <c r="AE548" s="793"/>
      <c r="AF548" s="435"/>
      <c r="AG548" s="435"/>
      <c r="AH548" s="435"/>
      <c r="AI548" s="435"/>
      <c r="AJ548" s="435"/>
      <c r="AK548" s="435"/>
      <c r="AL548" s="435"/>
      <c r="AM548" s="319"/>
    </row>
    <row r="549" spans="1:39" ht="30" outlineLevel="1">
      <c r="A549" s="539">
        <v>46</v>
      </c>
      <c r="B549" s="438" t="s">
        <v>138</v>
      </c>
      <c r="C549" s="304" t="s">
        <v>25</v>
      </c>
      <c r="D549" s="308"/>
      <c r="E549" s="308"/>
      <c r="F549" s="308"/>
      <c r="G549" s="308"/>
      <c r="H549" s="308"/>
      <c r="I549" s="308"/>
      <c r="J549" s="308"/>
      <c r="K549" s="308"/>
      <c r="L549" s="308"/>
      <c r="M549" s="308"/>
      <c r="N549" s="308">
        <v>12</v>
      </c>
      <c r="O549" s="308"/>
      <c r="P549" s="308"/>
      <c r="Q549" s="308"/>
      <c r="R549" s="308"/>
      <c r="S549" s="308"/>
      <c r="T549" s="308"/>
      <c r="U549" s="308"/>
      <c r="V549" s="308"/>
      <c r="W549" s="308"/>
      <c r="X549" s="308"/>
      <c r="Y549" s="789"/>
      <c r="Z549" s="772"/>
      <c r="AA549" s="772"/>
      <c r="AB549" s="772"/>
      <c r="AC549" s="772"/>
      <c r="AD549" s="772"/>
      <c r="AE549" s="772"/>
      <c r="AF549" s="427"/>
      <c r="AG549" s="427"/>
      <c r="AH549" s="427"/>
      <c r="AI549" s="427"/>
      <c r="AJ549" s="427"/>
      <c r="AK549" s="427"/>
      <c r="AL549" s="427"/>
      <c r="AM549" s="309">
        <f>SUM(Y549:AL549)</f>
        <v>0</v>
      </c>
    </row>
    <row r="550" spans="1:39" ht="15" outlineLevel="1">
      <c r="A550" s="539"/>
      <c r="B550" s="441" t="s">
        <v>308</v>
      </c>
      <c r="C550" s="304" t="s">
        <v>163</v>
      </c>
      <c r="D550" s="308"/>
      <c r="E550" s="308"/>
      <c r="F550" s="308"/>
      <c r="G550" s="308"/>
      <c r="H550" s="308"/>
      <c r="I550" s="308"/>
      <c r="J550" s="308"/>
      <c r="K550" s="308"/>
      <c r="L550" s="308"/>
      <c r="M550" s="308"/>
      <c r="N550" s="308">
        <f>N549</f>
        <v>12</v>
      </c>
      <c r="O550" s="308"/>
      <c r="P550" s="308"/>
      <c r="Q550" s="308"/>
      <c r="R550" s="308"/>
      <c r="S550" s="308"/>
      <c r="T550" s="308"/>
      <c r="U550" s="308"/>
      <c r="V550" s="308"/>
      <c r="W550" s="308"/>
      <c r="X550" s="308"/>
      <c r="Y550" s="773">
        <f>Y549</f>
        <v>0</v>
      </c>
      <c r="Z550" s="773">
        <f t="shared" ref="Z550:AE550" si="1007">Z549</f>
        <v>0</v>
      </c>
      <c r="AA550" s="773">
        <f t="shared" si="1007"/>
        <v>0</v>
      </c>
      <c r="AB550" s="773">
        <f t="shared" si="1007"/>
        <v>0</v>
      </c>
      <c r="AC550" s="773">
        <f t="shared" si="1007"/>
        <v>0</v>
      </c>
      <c r="AD550" s="773">
        <f t="shared" si="1007"/>
        <v>0</v>
      </c>
      <c r="AE550" s="773">
        <f t="shared" si="1007"/>
        <v>0</v>
      </c>
      <c r="AF550" s="423">
        <f t="shared" ref="AF550" si="1008">AF549</f>
        <v>0</v>
      </c>
      <c r="AG550" s="423">
        <f t="shared" ref="AG550" si="1009">AG549</f>
        <v>0</v>
      </c>
      <c r="AH550" s="423">
        <f t="shared" ref="AH550" si="1010">AH549</f>
        <v>0</v>
      </c>
      <c r="AI550" s="423">
        <f t="shared" ref="AI550" si="1011">AI549</f>
        <v>0</v>
      </c>
      <c r="AJ550" s="423">
        <f t="shared" ref="AJ550" si="1012">AJ549</f>
        <v>0</v>
      </c>
      <c r="AK550" s="423">
        <f t="shared" ref="AK550" si="1013">AK549</f>
        <v>0</v>
      </c>
      <c r="AL550" s="423">
        <f t="shared" ref="AL550" si="1014">AL549</f>
        <v>0</v>
      </c>
      <c r="AM550" s="319"/>
    </row>
    <row r="551" spans="1:39" ht="15" outlineLevel="1">
      <c r="A551" s="539"/>
      <c r="B551" s="438"/>
      <c r="C551" s="304"/>
      <c r="D551" s="763"/>
      <c r="E551" s="763"/>
      <c r="F551" s="763"/>
      <c r="G551" s="763"/>
      <c r="H551" s="763"/>
      <c r="I551" s="763"/>
      <c r="J551" s="763"/>
      <c r="K551" s="763"/>
      <c r="L551" s="763"/>
      <c r="M551" s="763"/>
      <c r="N551" s="763"/>
      <c r="O551" s="763"/>
      <c r="P551" s="763"/>
      <c r="Q551" s="763"/>
      <c r="R551" s="763"/>
      <c r="S551" s="763"/>
      <c r="T551" s="763"/>
      <c r="U551" s="763"/>
      <c r="V551" s="763"/>
      <c r="W551" s="763"/>
      <c r="X551" s="763"/>
      <c r="Y551" s="774"/>
      <c r="Z551" s="793"/>
      <c r="AA551" s="793"/>
      <c r="AB551" s="793"/>
      <c r="AC551" s="793"/>
      <c r="AD551" s="793"/>
      <c r="AE551" s="793"/>
      <c r="AF551" s="435"/>
      <c r="AG551" s="435"/>
      <c r="AH551" s="435"/>
      <c r="AI551" s="435"/>
      <c r="AJ551" s="435"/>
      <c r="AK551" s="435"/>
      <c r="AL551" s="435"/>
      <c r="AM551" s="319"/>
    </row>
    <row r="552" spans="1:39" ht="30" outlineLevel="1">
      <c r="A552" s="539">
        <v>47</v>
      </c>
      <c r="B552" s="438" t="s">
        <v>139</v>
      </c>
      <c r="C552" s="304" t="s">
        <v>25</v>
      </c>
      <c r="D552" s="308"/>
      <c r="E552" s="308"/>
      <c r="F552" s="308"/>
      <c r="G552" s="308"/>
      <c r="H552" s="308"/>
      <c r="I552" s="308"/>
      <c r="J552" s="308"/>
      <c r="K552" s="308"/>
      <c r="L552" s="308"/>
      <c r="M552" s="308"/>
      <c r="N552" s="308">
        <v>12</v>
      </c>
      <c r="O552" s="308"/>
      <c r="P552" s="308"/>
      <c r="Q552" s="308"/>
      <c r="R552" s="308"/>
      <c r="S552" s="308"/>
      <c r="T552" s="308"/>
      <c r="U552" s="308"/>
      <c r="V552" s="308"/>
      <c r="W552" s="308"/>
      <c r="X552" s="308"/>
      <c r="Y552" s="789"/>
      <c r="Z552" s="772"/>
      <c r="AA552" s="772"/>
      <c r="AB552" s="772"/>
      <c r="AC552" s="772"/>
      <c r="AD552" s="772"/>
      <c r="AE552" s="772"/>
      <c r="AF552" s="427"/>
      <c r="AG552" s="427"/>
      <c r="AH552" s="427"/>
      <c r="AI552" s="427"/>
      <c r="AJ552" s="427"/>
      <c r="AK552" s="427"/>
      <c r="AL552" s="427"/>
      <c r="AM552" s="309">
        <f>SUM(Y552:AL552)</f>
        <v>0</v>
      </c>
    </row>
    <row r="553" spans="1:39" ht="15" outlineLevel="1">
      <c r="A553" s="539"/>
      <c r="B553" s="441" t="s">
        <v>308</v>
      </c>
      <c r="C553" s="304" t="s">
        <v>163</v>
      </c>
      <c r="D553" s="308"/>
      <c r="E553" s="308"/>
      <c r="F553" s="308"/>
      <c r="G553" s="308"/>
      <c r="H553" s="308"/>
      <c r="I553" s="308"/>
      <c r="J553" s="308"/>
      <c r="K553" s="308"/>
      <c r="L553" s="308"/>
      <c r="M553" s="308"/>
      <c r="N553" s="308">
        <f>N552</f>
        <v>12</v>
      </c>
      <c r="O553" s="308"/>
      <c r="P553" s="308"/>
      <c r="Q553" s="308"/>
      <c r="R553" s="308"/>
      <c r="S553" s="308"/>
      <c r="T553" s="308"/>
      <c r="U553" s="308"/>
      <c r="V553" s="308"/>
      <c r="W553" s="308"/>
      <c r="X553" s="308"/>
      <c r="Y553" s="773">
        <f>Y552</f>
        <v>0</v>
      </c>
      <c r="Z553" s="773">
        <f t="shared" ref="Z553:AE553" si="1015">Z552</f>
        <v>0</v>
      </c>
      <c r="AA553" s="773">
        <f t="shared" si="1015"/>
        <v>0</v>
      </c>
      <c r="AB553" s="773">
        <f t="shared" si="1015"/>
        <v>0</v>
      </c>
      <c r="AC553" s="773">
        <f t="shared" si="1015"/>
        <v>0</v>
      </c>
      <c r="AD553" s="773">
        <f t="shared" si="1015"/>
        <v>0</v>
      </c>
      <c r="AE553" s="773">
        <f t="shared" si="1015"/>
        <v>0</v>
      </c>
      <c r="AF553" s="423">
        <f t="shared" ref="AF553" si="1016">AF552</f>
        <v>0</v>
      </c>
      <c r="AG553" s="423">
        <f t="shared" ref="AG553" si="1017">AG552</f>
        <v>0</v>
      </c>
      <c r="AH553" s="423">
        <f t="shared" ref="AH553" si="1018">AH552</f>
        <v>0</v>
      </c>
      <c r="AI553" s="423">
        <f t="shared" ref="AI553" si="1019">AI552</f>
        <v>0</v>
      </c>
      <c r="AJ553" s="423">
        <f t="shared" ref="AJ553" si="1020">AJ552</f>
        <v>0</v>
      </c>
      <c r="AK553" s="423">
        <f t="shared" ref="AK553" si="1021">AK552</f>
        <v>0</v>
      </c>
      <c r="AL553" s="423">
        <f t="shared" ref="AL553" si="1022">AL552</f>
        <v>0</v>
      </c>
      <c r="AM553" s="319"/>
    </row>
    <row r="554" spans="1:39" ht="15" outlineLevel="1">
      <c r="A554" s="539"/>
      <c r="B554" s="438"/>
      <c r="C554" s="304"/>
      <c r="D554" s="763"/>
      <c r="E554" s="763"/>
      <c r="F554" s="763"/>
      <c r="G554" s="763"/>
      <c r="H554" s="763"/>
      <c r="I554" s="763"/>
      <c r="J554" s="763"/>
      <c r="K554" s="763"/>
      <c r="L554" s="763"/>
      <c r="M554" s="763"/>
      <c r="N554" s="763"/>
      <c r="O554" s="763"/>
      <c r="P554" s="763"/>
      <c r="Q554" s="763"/>
      <c r="R554" s="763"/>
      <c r="S554" s="763"/>
      <c r="T554" s="763"/>
      <c r="U554" s="763"/>
      <c r="V554" s="763"/>
      <c r="W554" s="763"/>
      <c r="X554" s="763"/>
      <c r="Y554" s="774"/>
      <c r="Z554" s="793"/>
      <c r="AA554" s="793"/>
      <c r="AB554" s="793"/>
      <c r="AC554" s="793"/>
      <c r="AD554" s="793"/>
      <c r="AE554" s="793"/>
      <c r="AF554" s="435"/>
      <c r="AG554" s="435"/>
      <c r="AH554" s="435"/>
      <c r="AI554" s="435"/>
      <c r="AJ554" s="435"/>
      <c r="AK554" s="435"/>
      <c r="AL554" s="435"/>
      <c r="AM554" s="319"/>
    </row>
    <row r="555" spans="1:39" ht="30" outlineLevel="1">
      <c r="A555" s="539">
        <v>48</v>
      </c>
      <c r="B555" s="438" t="s">
        <v>140</v>
      </c>
      <c r="C555" s="304" t="s">
        <v>25</v>
      </c>
      <c r="D555" s="308"/>
      <c r="E555" s="308"/>
      <c r="F555" s="308"/>
      <c r="G555" s="308"/>
      <c r="H555" s="308"/>
      <c r="I555" s="308"/>
      <c r="J555" s="308"/>
      <c r="K555" s="308"/>
      <c r="L555" s="308"/>
      <c r="M555" s="308"/>
      <c r="N555" s="308">
        <v>12</v>
      </c>
      <c r="O555" s="308"/>
      <c r="P555" s="308"/>
      <c r="Q555" s="308"/>
      <c r="R555" s="308"/>
      <c r="S555" s="308"/>
      <c r="T555" s="308"/>
      <c r="U555" s="308"/>
      <c r="V555" s="308"/>
      <c r="W555" s="308"/>
      <c r="X555" s="308"/>
      <c r="Y555" s="789"/>
      <c r="Z555" s="772"/>
      <c r="AA555" s="772"/>
      <c r="AB555" s="772"/>
      <c r="AC555" s="772"/>
      <c r="AD555" s="772"/>
      <c r="AE555" s="772"/>
      <c r="AF555" s="427"/>
      <c r="AG555" s="427"/>
      <c r="AH555" s="427"/>
      <c r="AI555" s="427"/>
      <c r="AJ555" s="427"/>
      <c r="AK555" s="427"/>
      <c r="AL555" s="427"/>
      <c r="AM555" s="309">
        <f>SUM(Y555:AL555)</f>
        <v>0</v>
      </c>
    </row>
    <row r="556" spans="1:39" ht="15" outlineLevel="1">
      <c r="A556" s="539"/>
      <c r="B556" s="441" t="s">
        <v>308</v>
      </c>
      <c r="C556" s="304" t="s">
        <v>163</v>
      </c>
      <c r="D556" s="308"/>
      <c r="E556" s="308"/>
      <c r="F556" s="308"/>
      <c r="G556" s="308"/>
      <c r="H556" s="308"/>
      <c r="I556" s="308"/>
      <c r="J556" s="308"/>
      <c r="K556" s="308"/>
      <c r="L556" s="308"/>
      <c r="M556" s="308"/>
      <c r="N556" s="308">
        <f>N555</f>
        <v>12</v>
      </c>
      <c r="O556" s="308"/>
      <c r="P556" s="308"/>
      <c r="Q556" s="308"/>
      <c r="R556" s="308"/>
      <c r="S556" s="308"/>
      <c r="T556" s="308"/>
      <c r="U556" s="308"/>
      <c r="V556" s="308"/>
      <c r="W556" s="308"/>
      <c r="X556" s="308"/>
      <c r="Y556" s="773">
        <f>Y555</f>
        <v>0</v>
      </c>
      <c r="Z556" s="773">
        <f t="shared" ref="Z556:AE556" si="1023">Z555</f>
        <v>0</v>
      </c>
      <c r="AA556" s="773">
        <f t="shared" si="1023"/>
        <v>0</v>
      </c>
      <c r="AB556" s="773">
        <f t="shared" si="1023"/>
        <v>0</v>
      </c>
      <c r="AC556" s="773">
        <f t="shared" si="1023"/>
        <v>0</v>
      </c>
      <c r="AD556" s="773">
        <f t="shared" si="1023"/>
        <v>0</v>
      </c>
      <c r="AE556" s="773">
        <f t="shared" si="1023"/>
        <v>0</v>
      </c>
      <c r="AF556" s="423">
        <f t="shared" ref="AF556" si="1024">AF555</f>
        <v>0</v>
      </c>
      <c r="AG556" s="423">
        <f t="shared" ref="AG556" si="1025">AG555</f>
        <v>0</v>
      </c>
      <c r="AH556" s="423">
        <f t="shared" ref="AH556" si="1026">AH555</f>
        <v>0</v>
      </c>
      <c r="AI556" s="423">
        <f t="shared" ref="AI556" si="1027">AI555</f>
        <v>0</v>
      </c>
      <c r="AJ556" s="423">
        <f t="shared" ref="AJ556" si="1028">AJ555</f>
        <v>0</v>
      </c>
      <c r="AK556" s="423">
        <f t="shared" ref="AK556" si="1029">AK555</f>
        <v>0</v>
      </c>
      <c r="AL556" s="423">
        <f t="shared" ref="AL556" si="1030">AL555</f>
        <v>0</v>
      </c>
      <c r="AM556" s="319"/>
    </row>
    <row r="557" spans="1:39" ht="15" outlineLevel="1">
      <c r="A557" s="539"/>
      <c r="B557" s="438"/>
      <c r="C557" s="304"/>
      <c r="D557" s="763"/>
      <c r="E557" s="763"/>
      <c r="F557" s="763"/>
      <c r="G557" s="763"/>
      <c r="H557" s="763"/>
      <c r="I557" s="763"/>
      <c r="J557" s="763"/>
      <c r="K557" s="763"/>
      <c r="L557" s="763"/>
      <c r="M557" s="763"/>
      <c r="N557" s="763"/>
      <c r="O557" s="763"/>
      <c r="P557" s="763"/>
      <c r="Q557" s="763"/>
      <c r="R557" s="763"/>
      <c r="S557" s="763"/>
      <c r="T557" s="763"/>
      <c r="U557" s="763"/>
      <c r="V557" s="763"/>
      <c r="W557" s="763"/>
      <c r="X557" s="763"/>
      <c r="Y557" s="774"/>
      <c r="Z557" s="793"/>
      <c r="AA557" s="793"/>
      <c r="AB557" s="793"/>
      <c r="AC557" s="793"/>
      <c r="AD557" s="793"/>
      <c r="AE557" s="793"/>
      <c r="AF557" s="435"/>
      <c r="AG557" s="435"/>
      <c r="AH557" s="435"/>
      <c r="AI557" s="435"/>
      <c r="AJ557" s="435"/>
      <c r="AK557" s="435"/>
      <c r="AL557" s="435"/>
      <c r="AM557" s="319"/>
    </row>
    <row r="558" spans="1:39" ht="30" outlineLevel="1">
      <c r="A558" s="539">
        <v>49</v>
      </c>
      <c r="B558" s="438" t="s">
        <v>141</v>
      </c>
      <c r="C558" s="304" t="s">
        <v>25</v>
      </c>
      <c r="D558" s="308"/>
      <c r="E558" s="308"/>
      <c r="F558" s="308"/>
      <c r="G558" s="308"/>
      <c r="H558" s="308"/>
      <c r="I558" s="308"/>
      <c r="J558" s="308"/>
      <c r="K558" s="308"/>
      <c r="L558" s="308"/>
      <c r="M558" s="308"/>
      <c r="N558" s="308">
        <v>12</v>
      </c>
      <c r="O558" s="308"/>
      <c r="P558" s="308"/>
      <c r="Q558" s="308"/>
      <c r="R558" s="308"/>
      <c r="S558" s="308"/>
      <c r="T558" s="308"/>
      <c r="U558" s="308"/>
      <c r="V558" s="308"/>
      <c r="W558" s="308"/>
      <c r="X558" s="308"/>
      <c r="Y558" s="789"/>
      <c r="Z558" s="772"/>
      <c r="AA558" s="772"/>
      <c r="AB558" s="772"/>
      <c r="AC558" s="772"/>
      <c r="AD558" s="772"/>
      <c r="AE558" s="772"/>
      <c r="AF558" s="427"/>
      <c r="AG558" s="427"/>
      <c r="AH558" s="427"/>
      <c r="AI558" s="427"/>
      <c r="AJ558" s="427"/>
      <c r="AK558" s="427"/>
      <c r="AL558" s="427"/>
      <c r="AM558" s="309">
        <f>SUM(Y558:AL558)</f>
        <v>0</v>
      </c>
    </row>
    <row r="559" spans="1:39" ht="15" outlineLevel="1">
      <c r="A559" s="539"/>
      <c r="B559" s="441" t="s">
        <v>308</v>
      </c>
      <c r="C559" s="304" t="s">
        <v>163</v>
      </c>
      <c r="D559" s="308"/>
      <c r="E559" s="308"/>
      <c r="F559" s="308"/>
      <c r="G559" s="308"/>
      <c r="H559" s="308"/>
      <c r="I559" s="308"/>
      <c r="J559" s="308"/>
      <c r="K559" s="308"/>
      <c r="L559" s="308"/>
      <c r="M559" s="308"/>
      <c r="N559" s="308">
        <f>N558</f>
        <v>12</v>
      </c>
      <c r="O559" s="308"/>
      <c r="P559" s="308"/>
      <c r="Q559" s="308"/>
      <c r="R559" s="308"/>
      <c r="S559" s="308"/>
      <c r="T559" s="308"/>
      <c r="U559" s="308"/>
      <c r="V559" s="308"/>
      <c r="W559" s="308"/>
      <c r="X559" s="308"/>
      <c r="Y559" s="773">
        <f>Y558</f>
        <v>0</v>
      </c>
      <c r="Z559" s="773">
        <f t="shared" ref="Z559:AE559" si="1031">Z558</f>
        <v>0</v>
      </c>
      <c r="AA559" s="773">
        <f t="shared" si="1031"/>
        <v>0</v>
      </c>
      <c r="AB559" s="773">
        <f t="shared" si="1031"/>
        <v>0</v>
      </c>
      <c r="AC559" s="773">
        <f t="shared" si="1031"/>
        <v>0</v>
      </c>
      <c r="AD559" s="773">
        <f t="shared" si="1031"/>
        <v>0</v>
      </c>
      <c r="AE559" s="773">
        <f t="shared" si="1031"/>
        <v>0</v>
      </c>
      <c r="AF559" s="423">
        <f t="shared" ref="AF559" si="1032">AF558</f>
        <v>0</v>
      </c>
      <c r="AG559" s="423">
        <f t="shared" ref="AG559" si="1033">AG558</f>
        <v>0</v>
      </c>
      <c r="AH559" s="423">
        <f t="shared" ref="AH559" si="1034">AH558</f>
        <v>0</v>
      </c>
      <c r="AI559" s="423">
        <f t="shared" ref="AI559" si="1035">AI558</f>
        <v>0</v>
      </c>
      <c r="AJ559" s="423">
        <f t="shared" ref="AJ559" si="1036">AJ558</f>
        <v>0</v>
      </c>
      <c r="AK559" s="423">
        <f t="shared" ref="AK559" si="1037">AK558</f>
        <v>0</v>
      </c>
      <c r="AL559" s="423">
        <f t="shared" ref="AL559" si="1038">AL558</f>
        <v>0</v>
      </c>
      <c r="AM559" s="319"/>
    </row>
    <row r="560" spans="1:39" ht="15" outlineLevel="1">
      <c r="A560" s="539"/>
      <c r="B560" s="441"/>
      <c r="C560" s="318"/>
      <c r="D560" s="304"/>
      <c r="E560" s="304"/>
      <c r="F560" s="304"/>
      <c r="G560" s="304"/>
      <c r="H560" s="304"/>
      <c r="I560" s="304"/>
      <c r="J560" s="304"/>
      <c r="K560" s="304"/>
      <c r="L560" s="304"/>
      <c r="M560" s="304"/>
      <c r="N560" s="304"/>
      <c r="O560" s="304"/>
      <c r="P560" s="304"/>
      <c r="Q560" s="304"/>
      <c r="R560" s="304"/>
      <c r="S560" s="304"/>
      <c r="T560" s="304"/>
      <c r="U560" s="304"/>
      <c r="V560" s="304"/>
      <c r="W560" s="304"/>
      <c r="X560" s="304"/>
      <c r="Y560" s="314"/>
      <c r="Z560" s="314"/>
      <c r="AA560" s="314"/>
      <c r="AB560" s="314"/>
      <c r="AC560" s="314"/>
      <c r="AD560" s="314"/>
      <c r="AE560" s="314"/>
      <c r="AF560" s="314"/>
      <c r="AG560" s="314"/>
      <c r="AH560" s="314"/>
      <c r="AI560" s="314"/>
      <c r="AJ560" s="314"/>
      <c r="AK560" s="314"/>
      <c r="AL560" s="314"/>
      <c r="AM560" s="319"/>
    </row>
    <row r="561" spans="2:39" ht="15.6">
      <c r="B561" s="339" t="s">
        <v>292</v>
      </c>
      <c r="C561" s="341"/>
      <c r="D561" s="341">
        <f>SUM(D404:D559)</f>
        <v>9347930.4060834572</v>
      </c>
      <c r="E561" s="341"/>
      <c r="F561" s="341"/>
      <c r="G561" s="341"/>
      <c r="H561" s="341"/>
      <c r="I561" s="341"/>
      <c r="J561" s="341"/>
      <c r="K561" s="341"/>
      <c r="L561" s="341"/>
      <c r="M561" s="341"/>
      <c r="N561" s="341"/>
      <c r="O561" s="341">
        <f>SUM(O404:O559)</f>
        <v>1195.0555157278961</v>
      </c>
      <c r="P561" s="341"/>
      <c r="Q561" s="341"/>
      <c r="R561" s="341"/>
      <c r="S561" s="341"/>
      <c r="T561" s="341"/>
      <c r="U561" s="341"/>
      <c r="V561" s="341"/>
      <c r="W561" s="341"/>
      <c r="X561" s="341"/>
      <c r="Y561" s="341">
        <f>IF(Y402="kWh",SUMPRODUCT(D404:D559,Y404:Y559))</f>
        <v>6045036.6096975747</v>
      </c>
      <c r="Z561" s="341">
        <f>IF(Z402="kWh",SUMPRODUCT(D404:D559,Z404:Z559))</f>
        <v>1248824.1444135024</v>
      </c>
      <c r="AA561" s="341">
        <f>IF(AA402="kw",SUMPRODUCT(N404:N559,O404:O559,AA404:AA559),SUMPRODUCT(D404:D559,AA404:AA559))</f>
        <v>2844.4332418646181</v>
      </c>
      <c r="AB561" s="341">
        <f>IF(AB402="kw",SUMPRODUCT(N404:N559,O404:O559,AB404:AB559),SUMPRODUCT(D404:D559,AB404:AB559))</f>
        <v>2053.5689453173804</v>
      </c>
      <c r="AC561" s="341">
        <f>IF(AC402="kw",SUMPRODUCT(N404:N559,O404:O559,AC404:AC559),SUMPRODUCT(D404:D559,AC404:AC559))</f>
        <v>0</v>
      </c>
      <c r="AD561" s="341">
        <f>IF(AD402="kw",SUMPRODUCT(N404:N559,O404:O559,AD404:AD559),SUMPRODUCT(D404:D559,AD404:AD559))</f>
        <v>0</v>
      </c>
      <c r="AE561" s="341">
        <f>-'8.  Streetlighting'!G86</f>
        <v>135.48589200000023</v>
      </c>
      <c r="AF561" s="341">
        <f>IF(AF402="kw",SUMPRODUCT(N404:N559,O404:O559,AF404:AF559),SUMPRODUCT(D404:D559,AF404:AF559))</f>
        <v>0</v>
      </c>
      <c r="AG561" s="341">
        <f>IF(AG402="kw",SUMPRODUCT(N404:N559,O404:O559,AG404:AG559),SUMPRODUCT(D404:D559,AG404:AG559))</f>
        <v>0</v>
      </c>
      <c r="AH561" s="341">
        <f>IF(AH402="kw",SUMPRODUCT(N404:N559,O404:O559,AH404:AH559),SUMPRODUCT(D404:D559,AH404:AH559))</f>
        <v>0</v>
      </c>
      <c r="AI561" s="341">
        <f>IF(AI402="kw",SUMPRODUCT(N404:N559,O404:O559,AI404:AI559),SUMPRODUCT(D404:D559,AI404:AI559))</f>
        <v>0</v>
      </c>
      <c r="AJ561" s="341">
        <f>IF(AJ402="kw",SUMPRODUCT(N404:N559,O404:O559,AJ404:AJ559),SUMPRODUCT(D404:D559,AJ404:AJ559))</f>
        <v>0</v>
      </c>
      <c r="AK561" s="341">
        <f>IF(AK402="kw",SUMPRODUCT(N404:N559,O404:O559,AK404:AK559),SUMPRODUCT(D404:D559,AK404:AK559))</f>
        <v>0</v>
      </c>
      <c r="AL561" s="341">
        <f>IF(AL402="kw",SUMPRODUCT(N404:N559,O404:O559,AL404:AL559),SUMPRODUCT(D404:D559,AL404:AL559))</f>
        <v>0</v>
      </c>
      <c r="AM561" s="342"/>
    </row>
    <row r="562" spans="2:39" ht="15.6">
      <c r="B562" s="403" t="s">
        <v>293</v>
      </c>
      <c r="C562" s="404"/>
      <c r="D562" s="404"/>
      <c r="E562" s="404"/>
      <c r="F562" s="404"/>
      <c r="G562" s="404"/>
      <c r="H562" s="404"/>
      <c r="I562" s="404"/>
      <c r="J562" s="404"/>
      <c r="K562" s="404"/>
      <c r="L562" s="404"/>
      <c r="M562" s="404"/>
      <c r="N562" s="404"/>
      <c r="O562" s="404"/>
      <c r="P562" s="404"/>
      <c r="Q562" s="404"/>
      <c r="R562" s="404"/>
      <c r="S562" s="404"/>
      <c r="T562" s="404"/>
      <c r="U562" s="404"/>
      <c r="V562" s="404"/>
      <c r="W562" s="404"/>
      <c r="X562" s="404"/>
      <c r="Y562" s="404">
        <f>HLOOKUP(Y218,'2. LRAMVA Threshold'!$B$42:$Q$53,9,FALSE)</f>
        <v>691161</v>
      </c>
      <c r="Z562" s="404">
        <f>HLOOKUP(Z218,'2. LRAMVA Threshold'!$B$42:$Q$53,9,FALSE)</f>
        <v>74889</v>
      </c>
      <c r="AA562" s="404">
        <f>HLOOKUP(AA218,'2. LRAMVA Threshold'!$B$42:$Q$53,9,FALSE)</f>
        <v>3272</v>
      </c>
      <c r="AB562" s="404">
        <f>HLOOKUP(AB218,'2. LRAMVA Threshold'!$B$42:$Q$53,9,FALSE)</f>
        <v>2873</v>
      </c>
      <c r="AC562" s="404">
        <f>HLOOKUP(AC218,'2. LRAMVA Threshold'!$B$42:$Q$53,9,FALSE)</f>
        <v>0</v>
      </c>
      <c r="AD562" s="404">
        <f>HLOOKUP(AD218,'2. LRAMVA Threshold'!$B$42:$Q$53,9,FALSE)</f>
        <v>0</v>
      </c>
      <c r="AE562" s="404">
        <f>HLOOKUP(AE218,'2. LRAMVA Threshold'!$B$42:$Q$53,9,FALSE)</f>
        <v>3777</v>
      </c>
      <c r="AF562" s="404">
        <f>HLOOKUP(AF218,'2. LRAMVA Threshold'!$B$42:$Q$53,9,FALSE)</f>
        <v>0</v>
      </c>
      <c r="AG562" s="404">
        <f>HLOOKUP(AG218,'2. LRAMVA Threshold'!$B$42:$Q$53,9,FALSE)</f>
        <v>0</v>
      </c>
      <c r="AH562" s="404">
        <f>HLOOKUP(AH218,'2. LRAMVA Threshold'!$B$42:$Q$53,9,FALSE)</f>
        <v>0</v>
      </c>
      <c r="AI562" s="404">
        <f>HLOOKUP(AI218,'2. LRAMVA Threshold'!$B$42:$Q$53,9,FALSE)</f>
        <v>0</v>
      </c>
      <c r="AJ562" s="404">
        <f>HLOOKUP(AJ218,'2. LRAMVA Threshold'!$B$42:$Q$53,9,FALSE)</f>
        <v>0</v>
      </c>
      <c r="AK562" s="404">
        <f>HLOOKUP(AK218,'2. LRAMVA Threshold'!$B$42:$Q$53,9,FALSE)</f>
        <v>0</v>
      </c>
      <c r="AL562" s="404">
        <f>HLOOKUP(AL218,'2. LRAMVA Threshold'!$B$42:$Q$53,9,FALSE)</f>
        <v>0</v>
      </c>
      <c r="AM562" s="405"/>
    </row>
    <row r="563" spans="2:39" ht="15">
      <c r="B563" s="406"/>
      <c r="C563" s="442"/>
      <c r="D563" s="443"/>
      <c r="E563" s="443"/>
      <c r="F563" s="443"/>
      <c r="G563" s="443"/>
      <c r="H563" s="443"/>
      <c r="I563" s="443"/>
      <c r="J563" s="443"/>
      <c r="K563" s="443"/>
      <c r="L563" s="443"/>
      <c r="M563" s="443"/>
      <c r="N563" s="443"/>
      <c r="O563" s="444"/>
      <c r="P563" s="443"/>
      <c r="Q563" s="443"/>
      <c r="R563" s="443"/>
      <c r="S563" s="445"/>
      <c r="T563" s="445"/>
      <c r="U563" s="445"/>
      <c r="V563" s="445"/>
      <c r="W563" s="443"/>
      <c r="X563" s="443"/>
      <c r="Y563" s="446"/>
      <c r="Z563" s="446"/>
      <c r="AA563" s="446"/>
      <c r="AB563" s="446"/>
      <c r="AC563" s="446"/>
      <c r="AD563" s="446"/>
      <c r="AE563" s="446"/>
      <c r="AF563" s="411"/>
      <c r="AG563" s="411"/>
      <c r="AH563" s="411"/>
      <c r="AI563" s="411"/>
      <c r="AJ563" s="411"/>
      <c r="AK563" s="411"/>
      <c r="AL563" s="411"/>
      <c r="AM563" s="412"/>
    </row>
    <row r="564" spans="2:39" ht="15">
      <c r="B564" s="336" t="s">
        <v>294</v>
      </c>
      <c r="C564" s="350"/>
      <c r="D564" s="350"/>
      <c r="E564" s="388"/>
      <c r="F564" s="388"/>
      <c r="G564" s="388"/>
      <c r="H564" s="388"/>
      <c r="I564" s="388"/>
      <c r="J564" s="388"/>
      <c r="K564" s="388"/>
      <c r="L564" s="388"/>
      <c r="M564" s="388"/>
      <c r="N564" s="388"/>
      <c r="O564" s="304"/>
      <c r="P564" s="352"/>
      <c r="Q564" s="352"/>
      <c r="R564" s="352"/>
      <c r="S564" s="351"/>
      <c r="T564" s="351"/>
      <c r="U564" s="351"/>
      <c r="V564" s="351"/>
      <c r="W564" s="352"/>
      <c r="X564" s="352"/>
      <c r="Y564" s="353">
        <f>HLOOKUP(Y$35,'3.  Distribution Rates'!$C$122:$P$133,9,FALSE)</f>
        <v>7.9000000000000008E-3</v>
      </c>
      <c r="Z564" s="353">
        <f>HLOOKUP(Z$35,'3.  Distribution Rates'!$C$122:$P$133,9,FALSE)</f>
        <v>0.01</v>
      </c>
      <c r="AA564" s="353">
        <f>HLOOKUP(AA$35,'3.  Distribution Rates'!$C$122:$P$133,9,FALSE)</f>
        <v>3.7886000000000002</v>
      </c>
      <c r="AB564" s="353">
        <f>HLOOKUP(AB$35,'3.  Distribution Rates'!$C$122:$P$133,9,FALSE)</f>
        <v>3.4079999999999999</v>
      </c>
      <c r="AC564" s="353">
        <f>HLOOKUP(AC$35,'3.  Distribution Rates'!$C$122:$P$133,9,FALSE)</f>
        <v>5.3E-3</v>
      </c>
      <c r="AD564" s="353">
        <f>HLOOKUP(AD$35,'3.  Distribution Rates'!$C$122:$P$133,9,FALSE)</f>
        <v>35.258699999999997</v>
      </c>
      <c r="AE564" s="353">
        <f>HLOOKUP(AE$35,'3.  Distribution Rates'!$C$122:$P$133,9,FALSE)</f>
        <v>1.5244</v>
      </c>
      <c r="AF564" s="353">
        <f>HLOOKUP(AF$35,'3.  Distribution Rates'!$C$122:$P$133,9,FALSE)</f>
        <v>0</v>
      </c>
      <c r="AG564" s="353">
        <f>HLOOKUP(AG$35,'3.  Distribution Rates'!$C$122:$P$133,9,FALSE)</f>
        <v>0</v>
      </c>
      <c r="AH564" s="353">
        <f>HLOOKUP(AH$35,'3.  Distribution Rates'!$C$122:$P$133,9,FALSE)</f>
        <v>0</v>
      </c>
      <c r="AI564" s="353">
        <f>HLOOKUP(AI$35,'3.  Distribution Rates'!$C$122:$P$133,9,FALSE)</f>
        <v>0</v>
      </c>
      <c r="AJ564" s="353">
        <f>HLOOKUP(AJ$35,'3.  Distribution Rates'!$C$122:$P$133,9,FALSE)</f>
        <v>0</v>
      </c>
      <c r="AK564" s="353">
        <f>HLOOKUP(AK$35,'3.  Distribution Rates'!$C$122:$P$133,9,FALSE)</f>
        <v>0</v>
      </c>
      <c r="AL564" s="353">
        <f>HLOOKUP(AL$35,'3.  Distribution Rates'!$C$122:$P$133,9,FALSE)</f>
        <v>0</v>
      </c>
      <c r="AM564" s="451"/>
    </row>
    <row r="565" spans="2:39" ht="15">
      <c r="B565" s="336" t="s">
        <v>295</v>
      </c>
      <c r="C565" s="357"/>
      <c r="D565" s="322"/>
      <c r="E565" s="292"/>
      <c r="F565" s="292"/>
      <c r="G565" s="292"/>
      <c r="H565" s="292"/>
      <c r="I565" s="292"/>
      <c r="J565" s="292"/>
      <c r="K565" s="292"/>
      <c r="L565" s="292"/>
      <c r="M565" s="292"/>
      <c r="N565" s="292"/>
      <c r="O565" s="304"/>
      <c r="P565" s="292"/>
      <c r="Q565" s="292"/>
      <c r="R565" s="292"/>
      <c r="S565" s="322"/>
      <c r="T565" s="322"/>
      <c r="U565" s="322"/>
      <c r="V565" s="322"/>
      <c r="W565" s="292"/>
      <c r="X565" s="292"/>
      <c r="Y565" s="390">
        <f>'4.  2011-2014 LRAM'!Y140*Y564</f>
        <v>0</v>
      </c>
      <c r="Z565" s="390">
        <f>'4.  2011-2014 LRAM'!Z140*Z564</f>
        <v>0</v>
      </c>
      <c r="AA565" s="390">
        <f>'4.  2011-2014 LRAM'!AA140*AA564</f>
        <v>0</v>
      </c>
      <c r="AB565" s="390">
        <f>'4.  2011-2014 LRAM'!AB140*AB564</f>
        <v>0</v>
      </c>
      <c r="AC565" s="390">
        <f>'4.  2011-2014 LRAM'!AC140*AC564</f>
        <v>0</v>
      </c>
      <c r="AD565" s="390">
        <f>'4.  2011-2014 LRAM'!AD140*AD564</f>
        <v>0</v>
      </c>
      <c r="AE565" s="390">
        <f>'4.  2011-2014 LRAM'!AE140*AE564</f>
        <v>0</v>
      </c>
      <c r="AF565" s="390">
        <f>'4.  2011-2014 LRAM'!AF140*AF564</f>
        <v>0</v>
      </c>
      <c r="AG565" s="390">
        <f>'4.  2011-2014 LRAM'!AG140*AG564</f>
        <v>0</v>
      </c>
      <c r="AH565" s="390">
        <f>'4.  2011-2014 LRAM'!AH140*AH564</f>
        <v>0</v>
      </c>
      <c r="AI565" s="390">
        <f>'4.  2011-2014 LRAM'!AI140*AI564</f>
        <v>0</v>
      </c>
      <c r="AJ565" s="390">
        <f>'4.  2011-2014 LRAM'!AJ140*AJ564</f>
        <v>0</v>
      </c>
      <c r="AK565" s="390">
        <f>'4.  2011-2014 LRAM'!AK140*AK564</f>
        <v>0</v>
      </c>
      <c r="AL565" s="390">
        <f>'4.  2011-2014 LRAM'!AL140*AL564</f>
        <v>0</v>
      </c>
      <c r="AM565" s="635">
        <f t="shared" ref="AM565:AM571" si="1039">SUM(Y565:AL565)</f>
        <v>0</v>
      </c>
    </row>
    <row r="566" spans="2:39" ht="15">
      <c r="B566" s="336" t="s">
        <v>296</v>
      </c>
      <c r="C566" s="357"/>
      <c r="D566" s="322"/>
      <c r="E566" s="292"/>
      <c r="F566" s="292"/>
      <c r="G566" s="292"/>
      <c r="H566" s="292"/>
      <c r="I566" s="292"/>
      <c r="J566" s="292"/>
      <c r="K566" s="292"/>
      <c r="L566" s="292"/>
      <c r="M566" s="292"/>
      <c r="N566" s="292"/>
      <c r="O566" s="304"/>
      <c r="P566" s="292"/>
      <c r="Q566" s="292"/>
      <c r="R566" s="292"/>
      <c r="S566" s="322"/>
      <c r="T566" s="322"/>
      <c r="U566" s="322"/>
      <c r="V566" s="322"/>
      <c r="W566" s="292"/>
      <c r="X566" s="292"/>
      <c r="Y566" s="390">
        <f>'4.  2011-2014 LRAM'!Y269*Y564</f>
        <v>0</v>
      </c>
      <c r="Z566" s="390">
        <f>'4.  2011-2014 LRAM'!Z269*Z564</f>
        <v>0</v>
      </c>
      <c r="AA566" s="390">
        <f>'4.  2011-2014 LRAM'!AA269*AA564</f>
        <v>0</v>
      </c>
      <c r="AB566" s="390">
        <f>'4.  2011-2014 LRAM'!AB269*AB564</f>
        <v>0</v>
      </c>
      <c r="AC566" s="390">
        <f>'4.  2011-2014 LRAM'!AC269*AC564</f>
        <v>0</v>
      </c>
      <c r="AD566" s="390">
        <f>'4.  2011-2014 LRAM'!AD269*AD564</f>
        <v>0</v>
      </c>
      <c r="AE566" s="390">
        <f>'4.  2011-2014 LRAM'!AE269*AE564</f>
        <v>0</v>
      </c>
      <c r="AF566" s="390">
        <f>'4.  2011-2014 LRAM'!AF269*AF564</f>
        <v>0</v>
      </c>
      <c r="AG566" s="390">
        <f>'4.  2011-2014 LRAM'!AG269*AG564</f>
        <v>0</v>
      </c>
      <c r="AH566" s="390">
        <f>'4.  2011-2014 LRAM'!AH269*AH564</f>
        <v>0</v>
      </c>
      <c r="AI566" s="390">
        <f>'4.  2011-2014 LRAM'!AI269*AI564</f>
        <v>0</v>
      </c>
      <c r="AJ566" s="390">
        <f>'4.  2011-2014 LRAM'!AJ269*AJ564</f>
        <v>0</v>
      </c>
      <c r="AK566" s="390">
        <f>'4.  2011-2014 LRAM'!AK269*AK564</f>
        <v>0</v>
      </c>
      <c r="AL566" s="390">
        <f>'4.  2011-2014 LRAM'!AL269*AL564</f>
        <v>0</v>
      </c>
      <c r="AM566" s="635">
        <f t="shared" si="1039"/>
        <v>0</v>
      </c>
    </row>
    <row r="567" spans="2:39" ht="15">
      <c r="B567" s="336" t="s">
        <v>297</v>
      </c>
      <c r="C567" s="357"/>
      <c r="D567" s="322"/>
      <c r="E567" s="292"/>
      <c r="F567" s="292"/>
      <c r="G567" s="292"/>
      <c r="H567" s="292"/>
      <c r="I567" s="292"/>
      <c r="J567" s="292"/>
      <c r="K567" s="292"/>
      <c r="L567" s="292"/>
      <c r="M567" s="292"/>
      <c r="N567" s="292"/>
      <c r="O567" s="304"/>
      <c r="P567" s="292"/>
      <c r="Q567" s="292"/>
      <c r="R567" s="292"/>
      <c r="S567" s="322"/>
      <c r="T567" s="322"/>
      <c r="U567" s="322"/>
      <c r="V567" s="322"/>
      <c r="W567" s="292"/>
      <c r="X567" s="292"/>
      <c r="Y567" s="390">
        <f>'4.  2011-2014 LRAM'!Y398*Y564</f>
        <v>0</v>
      </c>
      <c r="Z567" s="390">
        <f>'4.  2011-2014 LRAM'!Z398*Z564</f>
        <v>0</v>
      </c>
      <c r="AA567" s="390">
        <f>'4.  2011-2014 LRAM'!AA398*AA564</f>
        <v>0</v>
      </c>
      <c r="AB567" s="390">
        <f>'4.  2011-2014 LRAM'!AB398*AB564</f>
        <v>0</v>
      </c>
      <c r="AC567" s="390">
        <f>'4.  2011-2014 LRAM'!AC398*AC564</f>
        <v>0</v>
      </c>
      <c r="AD567" s="390">
        <f>'4.  2011-2014 LRAM'!AD398*AD564</f>
        <v>0</v>
      </c>
      <c r="AE567" s="390">
        <f>'4.  2011-2014 LRAM'!AE398*AE564</f>
        <v>0</v>
      </c>
      <c r="AF567" s="390">
        <f>'4.  2011-2014 LRAM'!AF398*AF564</f>
        <v>0</v>
      </c>
      <c r="AG567" s="390">
        <f>'4.  2011-2014 LRAM'!AG398*AG564</f>
        <v>0</v>
      </c>
      <c r="AH567" s="390">
        <f>'4.  2011-2014 LRAM'!AH398*AH564</f>
        <v>0</v>
      </c>
      <c r="AI567" s="390">
        <f>'4.  2011-2014 LRAM'!AI398*AI564</f>
        <v>0</v>
      </c>
      <c r="AJ567" s="390">
        <f>'4.  2011-2014 LRAM'!AJ398*AJ564</f>
        <v>0</v>
      </c>
      <c r="AK567" s="390">
        <f>'4.  2011-2014 LRAM'!AK398*AK564</f>
        <v>0</v>
      </c>
      <c r="AL567" s="390">
        <f>'4.  2011-2014 LRAM'!AL398*AL564</f>
        <v>0</v>
      </c>
      <c r="AM567" s="635">
        <f t="shared" si="1039"/>
        <v>0</v>
      </c>
    </row>
    <row r="568" spans="2:39" ht="15">
      <c r="B568" s="336" t="s">
        <v>298</v>
      </c>
      <c r="C568" s="357"/>
      <c r="D568" s="322"/>
      <c r="E568" s="292"/>
      <c r="F568" s="292"/>
      <c r="G568" s="292"/>
      <c r="H568" s="292"/>
      <c r="I568" s="292"/>
      <c r="J568" s="292"/>
      <c r="K568" s="292"/>
      <c r="L568" s="292"/>
      <c r="M568" s="292"/>
      <c r="N568" s="292"/>
      <c r="O568" s="304"/>
      <c r="P568" s="292"/>
      <c r="Q568" s="292"/>
      <c r="R568" s="292"/>
      <c r="S568" s="322"/>
      <c r="T568" s="322"/>
      <c r="U568" s="322"/>
      <c r="V568" s="322"/>
      <c r="W568" s="292"/>
      <c r="X568" s="292"/>
      <c r="Y568" s="390">
        <f>'4.  2011-2014 LRAM'!Y528*Y564</f>
        <v>0</v>
      </c>
      <c r="Z568" s="390">
        <f>'4.  2011-2014 LRAM'!Z528*Z564</f>
        <v>0</v>
      </c>
      <c r="AA568" s="390">
        <f>'4.  2011-2014 LRAM'!AA528*AA564</f>
        <v>0</v>
      </c>
      <c r="AB568" s="390">
        <f>'4.  2011-2014 LRAM'!AB528*AB564</f>
        <v>0</v>
      </c>
      <c r="AC568" s="390">
        <f>'4.  2011-2014 LRAM'!AC528*AC564</f>
        <v>0</v>
      </c>
      <c r="AD568" s="390">
        <f>'4.  2011-2014 LRAM'!AD528*AD564</f>
        <v>0</v>
      </c>
      <c r="AE568" s="390">
        <f>'4.  2011-2014 LRAM'!AE528*AE564</f>
        <v>0</v>
      </c>
      <c r="AF568" s="390">
        <f>'4.  2011-2014 LRAM'!AF528*AF564</f>
        <v>0</v>
      </c>
      <c r="AG568" s="390">
        <f>'4.  2011-2014 LRAM'!AG528*AG564</f>
        <v>0</v>
      </c>
      <c r="AH568" s="390">
        <f>'4.  2011-2014 LRAM'!AH528*AH564</f>
        <v>0</v>
      </c>
      <c r="AI568" s="390">
        <f>'4.  2011-2014 LRAM'!AI528*AI564</f>
        <v>0</v>
      </c>
      <c r="AJ568" s="390">
        <f>'4.  2011-2014 LRAM'!AJ528*AJ564</f>
        <v>0</v>
      </c>
      <c r="AK568" s="390">
        <f>'4.  2011-2014 LRAM'!AK528*AK564</f>
        <v>0</v>
      </c>
      <c r="AL568" s="390">
        <f>'4.  2011-2014 LRAM'!AL528*AL564</f>
        <v>0</v>
      </c>
      <c r="AM568" s="635">
        <f t="shared" si="1039"/>
        <v>0</v>
      </c>
    </row>
    <row r="569" spans="2:39" ht="15">
      <c r="B569" s="336" t="s">
        <v>299</v>
      </c>
      <c r="C569" s="357"/>
      <c r="D569" s="322"/>
      <c r="E569" s="292"/>
      <c r="F569" s="292"/>
      <c r="G569" s="292"/>
      <c r="H569" s="292"/>
      <c r="I569" s="292"/>
      <c r="J569" s="292"/>
      <c r="K569" s="292"/>
      <c r="L569" s="292"/>
      <c r="M569" s="292"/>
      <c r="N569" s="292"/>
      <c r="O569" s="304"/>
      <c r="P569" s="292"/>
      <c r="Q569" s="292"/>
      <c r="R569" s="292"/>
      <c r="S569" s="322"/>
      <c r="T569" s="322"/>
      <c r="U569" s="322"/>
      <c r="V569" s="322"/>
      <c r="W569" s="292"/>
      <c r="X569" s="292"/>
      <c r="Y569" s="390">
        <f t="shared" ref="Y569:AL569" si="1040">Y209*Y564</f>
        <v>9613.2651000000005</v>
      </c>
      <c r="Z569" s="390">
        <f t="shared" si="1040"/>
        <v>15566.084550560558</v>
      </c>
      <c r="AA569" s="390">
        <f t="shared" si="1040"/>
        <v>8219.5815397536935</v>
      </c>
      <c r="AB569" s="390">
        <f>AB209*AB564</f>
        <v>7617.9043684029748</v>
      </c>
      <c r="AC569" s="390">
        <f t="shared" si="1040"/>
        <v>0</v>
      </c>
      <c r="AD569" s="390">
        <f t="shared" si="1040"/>
        <v>0</v>
      </c>
      <c r="AE569" s="390">
        <f t="shared" si="1040"/>
        <v>578.89094878080039</v>
      </c>
      <c r="AF569" s="390">
        <f t="shared" si="1040"/>
        <v>0</v>
      </c>
      <c r="AG569" s="390">
        <f t="shared" si="1040"/>
        <v>0</v>
      </c>
      <c r="AH569" s="390">
        <f t="shared" si="1040"/>
        <v>0</v>
      </c>
      <c r="AI569" s="390">
        <f t="shared" si="1040"/>
        <v>0</v>
      </c>
      <c r="AJ569" s="390">
        <f t="shared" si="1040"/>
        <v>0</v>
      </c>
      <c r="AK569" s="390">
        <f t="shared" si="1040"/>
        <v>0</v>
      </c>
      <c r="AL569" s="390">
        <f t="shared" si="1040"/>
        <v>0</v>
      </c>
      <c r="AM569" s="635">
        <f t="shared" si="1039"/>
        <v>41595.726507498024</v>
      </c>
    </row>
    <row r="570" spans="2:39" ht="15">
      <c r="B570" s="336" t="s">
        <v>300</v>
      </c>
      <c r="C570" s="357"/>
      <c r="D570" s="322"/>
      <c r="E570" s="292"/>
      <c r="F570" s="292"/>
      <c r="G570" s="292"/>
      <c r="H570" s="292"/>
      <c r="I570" s="292"/>
      <c r="J570" s="292"/>
      <c r="K570" s="292"/>
      <c r="L570" s="292"/>
      <c r="M570" s="292"/>
      <c r="N570" s="292"/>
      <c r="O570" s="304"/>
      <c r="P570" s="292"/>
      <c r="Q570" s="292"/>
      <c r="R570" s="292"/>
      <c r="S570" s="322"/>
      <c r="T570" s="322"/>
      <c r="U570" s="322"/>
      <c r="V570" s="322"/>
      <c r="W570" s="292"/>
      <c r="X570" s="292"/>
      <c r="Y570" s="390">
        <f>Y392*Y564</f>
        <v>20507.768000000004</v>
      </c>
      <c r="Z570" s="390">
        <f>Z392*Z564</f>
        <v>3073.111427748051</v>
      </c>
      <c r="AA570" s="390">
        <f t="shared" ref="AA570:AL570" si="1041">AA392*AA564</f>
        <v>206.20341928669373</v>
      </c>
      <c r="AB570" s="390">
        <f>AB392*AB564</f>
        <v>931.60430088484077</v>
      </c>
      <c r="AC570" s="390">
        <f t="shared" si="1041"/>
        <v>0</v>
      </c>
      <c r="AD570" s="390">
        <f t="shared" si="1041"/>
        <v>0</v>
      </c>
      <c r="AE570" s="390">
        <f t="shared" si="1041"/>
        <v>5448.0865260671999</v>
      </c>
      <c r="AF570" s="390">
        <f t="shared" si="1041"/>
        <v>0</v>
      </c>
      <c r="AG570" s="390">
        <f t="shared" si="1041"/>
        <v>0</v>
      </c>
      <c r="AH570" s="390">
        <f t="shared" si="1041"/>
        <v>0</v>
      </c>
      <c r="AI570" s="390">
        <f t="shared" si="1041"/>
        <v>0</v>
      </c>
      <c r="AJ570" s="390">
        <f t="shared" si="1041"/>
        <v>0</v>
      </c>
      <c r="AK570" s="390">
        <f t="shared" si="1041"/>
        <v>0</v>
      </c>
      <c r="AL570" s="390">
        <f t="shared" si="1041"/>
        <v>0</v>
      </c>
      <c r="AM570" s="635">
        <f t="shared" si="1039"/>
        <v>30166.773673986787</v>
      </c>
    </row>
    <row r="571" spans="2:39" ht="15">
      <c r="B571" s="336" t="s">
        <v>301</v>
      </c>
      <c r="C571" s="357"/>
      <c r="D571" s="322"/>
      <c r="E571" s="292"/>
      <c r="F571" s="292"/>
      <c r="G571" s="292"/>
      <c r="H571" s="292"/>
      <c r="I571" s="292"/>
      <c r="J571" s="292"/>
      <c r="K571" s="292"/>
      <c r="L571" s="292"/>
      <c r="M571" s="292"/>
      <c r="N571" s="292"/>
      <c r="O571" s="304"/>
      <c r="P571" s="292"/>
      <c r="Q571" s="292"/>
      <c r="R571" s="292"/>
      <c r="S571" s="322"/>
      <c r="T571" s="322"/>
      <c r="U571" s="322"/>
      <c r="V571" s="322"/>
      <c r="W571" s="292"/>
      <c r="X571" s="292"/>
      <c r="Y571" s="390">
        <f>Y561*Y564</f>
        <v>47755.789216610843</v>
      </c>
      <c r="Z571" s="390">
        <f t="shared" ref="Z571:AL571" si="1042">Z561*Z564</f>
        <v>12488.241444135025</v>
      </c>
      <c r="AA571" s="390">
        <f t="shared" si="1042"/>
        <v>10776.419780128293</v>
      </c>
      <c r="AB571" s="390">
        <f t="shared" si="1042"/>
        <v>6998.5629656416322</v>
      </c>
      <c r="AC571" s="390">
        <f t="shared" si="1042"/>
        <v>0</v>
      </c>
      <c r="AD571" s="390">
        <f t="shared" si="1042"/>
        <v>0</v>
      </c>
      <c r="AE571" s="390">
        <f t="shared" si="1042"/>
        <v>206.53469376480035</v>
      </c>
      <c r="AF571" s="390">
        <f t="shared" si="1042"/>
        <v>0</v>
      </c>
      <c r="AG571" s="390">
        <f t="shared" si="1042"/>
        <v>0</v>
      </c>
      <c r="AH571" s="390">
        <f t="shared" si="1042"/>
        <v>0</v>
      </c>
      <c r="AI571" s="390">
        <f t="shared" si="1042"/>
        <v>0</v>
      </c>
      <c r="AJ571" s="390">
        <f t="shared" si="1042"/>
        <v>0</v>
      </c>
      <c r="AK571" s="390">
        <f t="shared" si="1042"/>
        <v>0</v>
      </c>
      <c r="AL571" s="390">
        <f t="shared" si="1042"/>
        <v>0</v>
      </c>
      <c r="AM571" s="635">
        <f t="shared" si="1039"/>
        <v>78225.54810028059</v>
      </c>
    </row>
    <row r="572" spans="2:39" ht="15.6">
      <c r="B572" s="361" t="s">
        <v>302</v>
      </c>
      <c r="C572" s="357"/>
      <c r="D572" s="348"/>
      <c r="E572" s="346"/>
      <c r="F572" s="346"/>
      <c r="G572" s="346"/>
      <c r="H572" s="346"/>
      <c r="I572" s="346"/>
      <c r="J572" s="346"/>
      <c r="K572" s="346"/>
      <c r="L572" s="346"/>
      <c r="M572" s="346"/>
      <c r="N572" s="346"/>
      <c r="O572" s="313"/>
      <c r="P572" s="346"/>
      <c r="Q572" s="346"/>
      <c r="R572" s="346"/>
      <c r="S572" s="348"/>
      <c r="T572" s="348"/>
      <c r="U572" s="348"/>
      <c r="V572" s="348"/>
      <c r="W572" s="346"/>
      <c r="X572" s="346"/>
      <c r="Y572" s="358">
        <f>SUM(Y565:Y571)</f>
        <v>77876.822316610851</v>
      </c>
      <c r="Z572" s="358">
        <f>SUM(Z565:Z571)</f>
        <v>31127.437422443632</v>
      </c>
      <c r="AA572" s="358">
        <f t="shared" ref="AA572:AE572" si="1043">SUM(AA565:AA571)</f>
        <v>19202.204739168679</v>
      </c>
      <c r="AB572" s="358">
        <f t="shared" si="1043"/>
        <v>15548.071634929449</v>
      </c>
      <c r="AC572" s="358">
        <f t="shared" si="1043"/>
        <v>0</v>
      </c>
      <c r="AD572" s="358">
        <f>SUM(AD565:AD571)</f>
        <v>0</v>
      </c>
      <c r="AE572" s="358">
        <f t="shared" si="1043"/>
        <v>6233.5121686128005</v>
      </c>
      <c r="AF572" s="358">
        <f>SUM(AF565:AF571)</f>
        <v>0</v>
      </c>
      <c r="AG572" s="358">
        <f>SUM(AG565:AG571)</f>
        <v>0</v>
      </c>
      <c r="AH572" s="358">
        <f t="shared" ref="AH572:AL572" si="1044">SUM(AH565:AH571)</f>
        <v>0</v>
      </c>
      <c r="AI572" s="358">
        <f t="shared" si="1044"/>
        <v>0</v>
      </c>
      <c r="AJ572" s="358">
        <f>SUM(AJ565:AJ571)</f>
        <v>0</v>
      </c>
      <c r="AK572" s="358">
        <f t="shared" si="1044"/>
        <v>0</v>
      </c>
      <c r="AL572" s="358">
        <f t="shared" si="1044"/>
        <v>0</v>
      </c>
      <c r="AM572" s="419">
        <f>SUM(AM565:AM571)</f>
        <v>149988.0482817654</v>
      </c>
    </row>
    <row r="573" spans="2:39" ht="15.6">
      <c r="B573" s="361" t="s">
        <v>303</v>
      </c>
      <c r="C573" s="357"/>
      <c r="D573" s="362"/>
      <c r="E573" s="346"/>
      <c r="F573" s="346"/>
      <c r="G573" s="346"/>
      <c r="H573" s="346"/>
      <c r="I573" s="346"/>
      <c r="J573" s="346"/>
      <c r="K573" s="346"/>
      <c r="L573" s="346"/>
      <c r="M573" s="346"/>
      <c r="N573" s="346"/>
      <c r="O573" s="313"/>
      <c r="P573" s="346"/>
      <c r="Q573" s="346"/>
      <c r="R573" s="346"/>
      <c r="S573" s="348"/>
      <c r="T573" s="348"/>
      <c r="U573" s="348"/>
      <c r="V573" s="348"/>
      <c r="W573" s="346"/>
      <c r="X573" s="346"/>
      <c r="Y573" s="359">
        <f>Y562*Y564</f>
        <v>5460.1719000000003</v>
      </c>
      <c r="Z573" s="359">
        <f t="shared" ref="Z573:AE573" si="1045">Z562*Z564</f>
        <v>748.89</v>
      </c>
      <c r="AA573" s="359">
        <f t="shared" si="1045"/>
        <v>12396.299200000001</v>
      </c>
      <c r="AB573" s="359">
        <f t="shared" si="1045"/>
        <v>9791.1839999999993</v>
      </c>
      <c r="AC573" s="359">
        <f t="shared" si="1045"/>
        <v>0</v>
      </c>
      <c r="AD573" s="359">
        <f>AD562*AD564</f>
        <v>0</v>
      </c>
      <c r="AE573" s="359">
        <f t="shared" si="1045"/>
        <v>5757.6588000000002</v>
      </c>
      <c r="AF573" s="359">
        <f>AF562*AF564</f>
        <v>0</v>
      </c>
      <c r="AG573" s="359">
        <f t="shared" ref="AG573:AL573" si="1046">AG562*AG564</f>
        <v>0</v>
      </c>
      <c r="AH573" s="359">
        <f t="shared" si="1046"/>
        <v>0</v>
      </c>
      <c r="AI573" s="359">
        <f t="shared" si="1046"/>
        <v>0</v>
      </c>
      <c r="AJ573" s="359">
        <f>AJ562*AJ564</f>
        <v>0</v>
      </c>
      <c r="AK573" s="359">
        <f>AK562*AK564</f>
        <v>0</v>
      </c>
      <c r="AL573" s="359">
        <f t="shared" si="1046"/>
        <v>0</v>
      </c>
      <c r="AM573" s="419">
        <f>SUM(Y573:AL573)</f>
        <v>34154.2039</v>
      </c>
    </row>
    <row r="574" spans="2:39" ht="15.6">
      <c r="B574" s="361" t="s">
        <v>304</v>
      </c>
      <c r="C574" s="357"/>
      <c r="D574" s="362"/>
      <c r="E574" s="346"/>
      <c r="F574" s="346"/>
      <c r="G574" s="346"/>
      <c r="H574" s="346"/>
      <c r="I574" s="346"/>
      <c r="J574" s="346"/>
      <c r="K574" s="346"/>
      <c r="L574" s="346"/>
      <c r="M574" s="346"/>
      <c r="N574" s="346"/>
      <c r="O574" s="313"/>
      <c r="P574" s="346"/>
      <c r="Q574" s="346"/>
      <c r="R574" s="346"/>
      <c r="S574" s="362"/>
      <c r="T574" s="362"/>
      <c r="U574" s="362"/>
      <c r="V574" s="362"/>
      <c r="W574" s="346"/>
      <c r="X574" s="346"/>
      <c r="Y574" s="363"/>
      <c r="Z574" s="363"/>
      <c r="AA574" s="363"/>
      <c r="AB574" s="363"/>
      <c r="AC574" s="363"/>
      <c r="AD574" s="363"/>
      <c r="AE574" s="363"/>
      <c r="AF574" s="363"/>
      <c r="AG574" s="363"/>
      <c r="AH574" s="363"/>
      <c r="AI574" s="363"/>
      <c r="AJ574" s="363"/>
      <c r="AK574" s="363"/>
      <c r="AL574" s="363"/>
      <c r="AM574" s="419">
        <f>AM572-AM573</f>
        <v>115833.8443817654</v>
      </c>
    </row>
    <row r="575" spans="2:39" ht="15">
      <c r="B575" s="336"/>
      <c r="C575" s="362"/>
      <c r="D575" s="362"/>
      <c r="E575" s="346"/>
      <c r="F575" s="346"/>
      <c r="G575" s="346"/>
      <c r="H575" s="346"/>
      <c r="I575" s="346"/>
      <c r="J575" s="346"/>
      <c r="K575" s="346"/>
      <c r="L575" s="346"/>
      <c r="M575" s="346"/>
      <c r="N575" s="346"/>
      <c r="O575" s="313"/>
      <c r="P575" s="346"/>
      <c r="Q575" s="346"/>
      <c r="R575" s="346"/>
      <c r="S575" s="362"/>
      <c r="T575" s="357"/>
      <c r="U575" s="362"/>
      <c r="V575" s="362"/>
      <c r="W575" s="346"/>
      <c r="X575" s="346"/>
      <c r="Y575" s="364"/>
      <c r="Z575" s="364"/>
      <c r="AA575" s="364"/>
      <c r="AB575" s="364"/>
      <c r="AC575" s="364"/>
      <c r="AD575" s="364"/>
      <c r="AE575" s="364"/>
      <c r="AF575" s="364"/>
      <c r="AG575" s="364"/>
      <c r="AH575" s="364"/>
      <c r="AI575" s="364"/>
      <c r="AJ575" s="364"/>
      <c r="AK575" s="364"/>
      <c r="AL575" s="364"/>
      <c r="AM575" s="360"/>
    </row>
    <row r="576" spans="2:39" ht="15">
      <c r="B576" s="449" t="s">
        <v>305</v>
      </c>
      <c r="C576" s="317"/>
      <c r="D576" s="292"/>
      <c r="E576" s="292"/>
      <c r="F576" s="292"/>
      <c r="G576" s="292"/>
      <c r="H576" s="292"/>
      <c r="I576" s="292"/>
      <c r="J576" s="292"/>
      <c r="K576" s="292"/>
      <c r="L576" s="292"/>
      <c r="M576" s="292"/>
      <c r="N576" s="292"/>
      <c r="O576" s="369"/>
      <c r="P576" s="292"/>
      <c r="Q576" s="292"/>
      <c r="R576" s="292"/>
      <c r="S576" s="317"/>
      <c r="T576" s="322"/>
      <c r="U576" s="322"/>
      <c r="V576" s="292"/>
      <c r="W576" s="292"/>
      <c r="X576" s="322"/>
      <c r="Y576" s="304">
        <f>SUMPRODUCT(E404:E559,Y404:Y559)</f>
        <v>4783977.975729893</v>
      </c>
      <c r="Z576" s="304">
        <f>SUMPRODUCT(E404:E559,Z404:Z559)</f>
        <v>1234642.0655519241</v>
      </c>
      <c r="AA576" s="304">
        <f>IF(AA402="kw",SUMPRODUCT($N$404:$N$559,$P$404:$P$559,AA404:AA559),SUMPRODUCT($E$404:$E$559,AA404:AA559))</f>
        <v>2826.5766870070547</v>
      </c>
      <c r="AB576" s="304">
        <f>IF(AB402="kw",SUMPRODUCT($N$404:$N$559,$P$404:$P$559,AB404:AB559),SUMPRODUCT($E$404:$E$559,AB404:AB559))</f>
        <v>2040.6772149065057</v>
      </c>
      <c r="AC576" s="304">
        <f>IF(AC402="kw",SUMPRODUCT($N$404:$N$559,$P$404:$P$559,AC404:AC559),SUMPRODUCT($E$404:$E$559,AC404:AC559))</f>
        <v>0</v>
      </c>
      <c r="AD576" s="304">
        <f t="shared" ref="AD576:AL576" si="1047">IF(AD402="kw",SUMPRODUCT($N$404:$N$559,$P$404:$P$559,AD404:AD559),SUMPRODUCT($E$404:$E$559,AD404:AD559))</f>
        <v>0</v>
      </c>
      <c r="AE576" s="304">
        <f>'8.  Streetlighting'!G87</f>
        <v>228.27124800000027</v>
      </c>
      <c r="AF576" s="304">
        <f t="shared" si="1047"/>
        <v>0</v>
      </c>
      <c r="AG576" s="304">
        <f t="shared" si="1047"/>
        <v>0</v>
      </c>
      <c r="AH576" s="304">
        <f t="shared" si="1047"/>
        <v>0</v>
      </c>
      <c r="AI576" s="304">
        <f t="shared" si="1047"/>
        <v>0</v>
      </c>
      <c r="AJ576" s="304">
        <f t="shared" si="1047"/>
        <v>0</v>
      </c>
      <c r="AK576" s="304">
        <f t="shared" si="1047"/>
        <v>0</v>
      </c>
      <c r="AL576" s="304">
        <f t="shared" si="1047"/>
        <v>0</v>
      </c>
      <c r="AM576" s="349"/>
    </row>
    <row r="577" spans="1:39" ht="15">
      <c r="B577" s="449" t="s">
        <v>306</v>
      </c>
      <c r="C577" s="317"/>
      <c r="D577" s="292"/>
      <c r="E577" s="292"/>
      <c r="F577" s="292"/>
      <c r="G577" s="292"/>
      <c r="H577" s="292"/>
      <c r="I577" s="292"/>
      <c r="J577" s="292"/>
      <c r="K577" s="292"/>
      <c r="L577" s="292"/>
      <c r="M577" s="292"/>
      <c r="N577" s="292"/>
      <c r="O577" s="369"/>
      <c r="P577" s="292"/>
      <c r="Q577" s="292"/>
      <c r="R577" s="292"/>
      <c r="S577" s="317"/>
      <c r="T577" s="322"/>
      <c r="U577" s="322"/>
      <c r="V577" s="292"/>
      <c r="W577" s="292"/>
      <c r="X577" s="322"/>
      <c r="Y577" s="304">
        <f>SUMPRODUCT(F404:F559,Y404:Y559)</f>
        <v>4783965.3417622102</v>
      </c>
      <c r="Z577" s="304">
        <f>SUMPRODUCT(F404:F559,Z404:Z559)</f>
        <v>1234114.5400969819</v>
      </c>
      <c r="AA577" s="304">
        <f t="shared" ref="AA577:AL577" si="1048">IF(AA402="kw",SUMPRODUCT($N$404:$N$559,$Q$404:$Q$559,AA404:AA559),SUMPRODUCT($F$404:$F$559,AA404:AA559))</f>
        <v>2825.8183420421246</v>
      </c>
      <c r="AB577" s="304">
        <f t="shared" si="1048"/>
        <v>2040.1297196632011</v>
      </c>
      <c r="AC577" s="304">
        <f>IF(AC402="kw",SUMPRODUCT($N$404:$N$559,$Q$404:$Q$559,AC404:AC559),SUMPRODUCT($F$404:$F$559,AC404:AC559))</f>
        <v>0</v>
      </c>
      <c r="AD577" s="304">
        <f t="shared" si="1048"/>
        <v>0</v>
      </c>
      <c r="AE577" s="304">
        <f>'8.  Streetlighting'!G88</f>
        <v>228.27124800000027</v>
      </c>
      <c r="AF577" s="304">
        <f t="shared" si="1048"/>
        <v>0</v>
      </c>
      <c r="AG577" s="304">
        <f t="shared" si="1048"/>
        <v>0</v>
      </c>
      <c r="AH577" s="304">
        <f t="shared" si="1048"/>
        <v>0</v>
      </c>
      <c r="AI577" s="304">
        <f t="shared" si="1048"/>
        <v>0</v>
      </c>
      <c r="AJ577" s="304">
        <f t="shared" si="1048"/>
        <v>0</v>
      </c>
      <c r="AK577" s="304">
        <f t="shared" si="1048"/>
        <v>0</v>
      </c>
      <c r="AL577" s="304">
        <f t="shared" si="1048"/>
        <v>0</v>
      </c>
      <c r="AM577" s="349"/>
    </row>
    <row r="578" spans="1:39" ht="15">
      <c r="B578" s="450" t="s">
        <v>307</v>
      </c>
      <c r="C578" s="376"/>
      <c r="D578" s="396"/>
      <c r="E578" s="396"/>
      <c r="F578" s="396"/>
      <c r="G578" s="396"/>
      <c r="H578" s="396"/>
      <c r="I578" s="396"/>
      <c r="J578" s="396"/>
      <c r="K578" s="396"/>
      <c r="L578" s="396"/>
      <c r="M578" s="396"/>
      <c r="N578" s="396"/>
      <c r="O578" s="395"/>
      <c r="P578" s="396"/>
      <c r="Q578" s="396"/>
      <c r="R578" s="396"/>
      <c r="S578" s="376"/>
      <c r="T578" s="397"/>
      <c r="U578" s="397"/>
      <c r="V578" s="396"/>
      <c r="W578" s="396"/>
      <c r="X578" s="397"/>
      <c r="Y578" s="338">
        <f>SUMPRODUCT(G404:G559,Y404:Y559)</f>
        <v>4728412</v>
      </c>
      <c r="Z578" s="338">
        <f>SUMPRODUCT(G404:G559,Z404:Z559)</f>
        <v>1233587.0146420398</v>
      </c>
      <c r="AA578" s="338">
        <f t="shared" ref="AA578:AL578" si="1049">IF(AA402="kw",SUMPRODUCT($N$404:$N$559,$R$404:$R$559,AA404:AA559),SUMPRODUCT($G$404:$G$559,AA404:AA559))</f>
        <v>2565.2543999999998</v>
      </c>
      <c r="AB578" s="338">
        <f t="shared" si="1049"/>
        <v>1852.0128</v>
      </c>
      <c r="AC578" s="338">
        <f>IF(AC402="kw",SUMPRODUCT($N$404:$N$559,$R$404:$R$559,AC404:AC559),SUMPRODUCT($G$404:$G$559,AC404:AC559))</f>
        <v>0</v>
      </c>
      <c r="AD578" s="338">
        <f t="shared" si="1049"/>
        <v>0</v>
      </c>
      <c r="AE578" s="338">
        <f>'8.  Streetlighting'!G89</f>
        <v>228.27124800000027</v>
      </c>
      <c r="AF578" s="338">
        <f t="shared" si="1049"/>
        <v>0</v>
      </c>
      <c r="AG578" s="338">
        <f t="shared" si="1049"/>
        <v>0</v>
      </c>
      <c r="AH578" s="338">
        <f t="shared" si="1049"/>
        <v>0</v>
      </c>
      <c r="AI578" s="338">
        <f t="shared" si="1049"/>
        <v>0</v>
      </c>
      <c r="AJ578" s="338">
        <f t="shared" si="1049"/>
        <v>0</v>
      </c>
      <c r="AK578" s="338">
        <f t="shared" si="1049"/>
        <v>0</v>
      </c>
      <c r="AL578" s="338">
        <f t="shared" si="1049"/>
        <v>0</v>
      </c>
      <c r="AM578" s="398"/>
    </row>
    <row r="579" spans="1:39" ht="22.5" customHeight="1">
      <c r="B579" s="380" t="s">
        <v>586</v>
      </c>
      <c r="C579" s="399"/>
      <c r="D579" s="400"/>
      <c r="E579" s="400"/>
      <c r="F579" s="400"/>
      <c r="G579" s="400"/>
      <c r="H579" s="400"/>
      <c r="I579" s="400"/>
      <c r="J579" s="400"/>
      <c r="K579" s="400"/>
      <c r="L579" s="400"/>
      <c r="M579" s="400"/>
      <c r="N579" s="400"/>
      <c r="O579" s="400"/>
      <c r="P579" s="400"/>
      <c r="Q579" s="400"/>
      <c r="R579" s="400"/>
      <c r="S579" s="383"/>
      <c r="T579" s="384"/>
      <c r="U579" s="400"/>
      <c r="V579" s="400"/>
      <c r="W579" s="400"/>
      <c r="X579" s="400"/>
      <c r="Y579" s="421"/>
      <c r="Z579" s="421"/>
      <c r="AA579" s="421"/>
      <c r="AB579" s="421"/>
      <c r="AC579" s="421"/>
      <c r="AD579" s="421"/>
      <c r="AE579" s="421"/>
      <c r="AF579" s="421"/>
      <c r="AG579" s="421"/>
      <c r="AH579" s="421"/>
      <c r="AI579" s="421"/>
      <c r="AJ579" s="421"/>
      <c r="AK579" s="421"/>
      <c r="AL579" s="421"/>
      <c r="AM579" s="401"/>
    </row>
    <row r="582" spans="1:39" ht="15.6">
      <c r="B582" s="293" t="s">
        <v>309</v>
      </c>
      <c r="C582" s="294"/>
      <c r="D582" s="596" t="s">
        <v>525</v>
      </c>
      <c r="E582" s="266"/>
      <c r="F582" s="596"/>
      <c r="G582" s="266"/>
      <c r="H582" s="266"/>
      <c r="I582" s="266"/>
      <c r="J582" s="266"/>
      <c r="K582" s="266"/>
      <c r="L582" s="266"/>
      <c r="M582" s="266"/>
      <c r="N582" s="266"/>
      <c r="O582" s="294"/>
      <c r="P582" s="266"/>
      <c r="Q582" s="266"/>
      <c r="R582" s="266"/>
      <c r="S582" s="266"/>
      <c r="T582" s="266"/>
      <c r="U582" s="266"/>
      <c r="V582" s="266"/>
      <c r="W582" s="266"/>
      <c r="X582" s="266"/>
      <c r="Y582" s="283"/>
      <c r="Z582" s="280"/>
      <c r="AA582" s="280"/>
      <c r="AB582" s="280"/>
      <c r="AC582" s="280"/>
      <c r="AD582" s="280"/>
      <c r="AE582" s="280"/>
      <c r="AF582" s="280"/>
      <c r="AG582" s="280"/>
      <c r="AH582" s="280"/>
      <c r="AI582" s="280"/>
      <c r="AJ582" s="280"/>
      <c r="AK582" s="280"/>
      <c r="AL582" s="280"/>
    </row>
    <row r="583" spans="1:39" ht="33.75" customHeight="1">
      <c r="B583" s="901" t="s">
        <v>211</v>
      </c>
      <c r="C583" s="903" t="s">
        <v>33</v>
      </c>
      <c r="D583" s="297" t="s">
        <v>421</v>
      </c>
      <c r="E583" s="905" t="s">
        <v>209</v>
      </c>
      <c r="F583" s="906"/>
      <c r="G583" s="906"/>
      <c r="H583" s="906"/>
      <c r="I583" s="906"/>
      <c r="J583" s="906"/>
      <c r="K583" s="906"/>
      <c r="L583" s="906"/>
      <c r="M583" s="907"/>
      <c r="N583" s="911" t="s">
        <v>213</v>
      </c>
      <c r="O583" s="297" t="s">
        <v>422</v>
      </c>
      <c r="P583" s="905" t="s">
        <v>212</v>
      </c>
      <c r="Q583" s="906"/>
      <c r="R583" s="906"/>
      <c r="S583" s="906"/>
      <c r="T583" s="906"/>
      <c r="U583" s="906"/>
      <c r="V583" s="906"/>
      <c r="W583" s="906"/>
      <c r="X583" s="907"/>
      <c r="Y583" s="908" t="s">
        <v>243</v>
      </c>
      <c r="Z583" s="909"/>
      <c r="AA583" s="909"/>
      <c r="AB583" s="909"/>
      <c r="AC583" s="909"/>
      <c r="AD583" s="909"/>
      <c r="AE583" s="909"/>
      <c r="AF583" s="909"/>
      <c r="AG583" s="909"/>
      <c r="AH583" s="909"/>
      <c r="AI583" s="909"/>
      <c r="AJ583" s="909"/>
      <c r="AK583" s="909"/>
      <c r="AL583" s="909"/>
      <c r="AM583" s="910"/>
    </row>
    <row r="584" spans="1:39" ht="68.25" customHeight="1">
      <c r="B584" s="902"/>
      <c r="C584" s="904"/>
      <c r="D584" s="298">
        <v>2018</v>
      </c>
      <c r="E584" s="298">
        <v>2019</v>
      </c>
      <c r="F584" s="298">
        <v>2020</v>
      </c>
      <c r="G584" s="298">
        <v>2021</v>
      </c>
      <c r="H584" s="298">
        <v>2022</v>
      </c>
      <c r="I584" s="298">
        <v>2023</v>
      </c>
      <c r="J584" s="298">
        <v>2024</v>
      </c>
      <c r="K584" s="298">
        <v>2025</v>
      </c>
      <c r="L584" s="298">
        <v>2026</v>
      </c>
      <c r="M584" s="298">
        <v>2027</v>
      </c>
      <c r="N584" s="912"/>
      <c r="O584" s="298">
        <v>2018</v>
      </c>
      <c r="P584" s="298">
        <v>2019</v>
      </c>
      <c r="Q584" s="298">
        <v>2020</v>
      </c>
      <c r="R584" s="298">
        <v>2021</v>
      </c>
      <c r="S584" s="298">
        <v>2022</v>
      </c>
      <c r="T584" s="298">
        <v>2023</v>
      </c>
      <c r="U584" s="298">
        <v>2024</v>
      </c>
      <c r="V584" s="298">
        <v>2025</v>
      </c>
      <c r="W584" s="298">
        <v>2026</v>
      </c>
      <c r="X584" s="298">
        <v>2027</v>
      </c>
      <c r="Y584" s="298" t="str">
        <f>'1.  LRAMVA Summary'!D52</f>
        <v>Residential</v>
      </c>
      <c r="Z584" s="298" t="str">
        <f>'1.  LRAMVA Summary'!E52</f>
        <v>GS&lt;50 kW</v>
      </c>
      <c r="AA584" s="298" t="str">
        <f>'1.  LRAMVA Summary'!F52</f>
        <v>GS 50 - 999 kW</v>
      </c>
      <c r="AB584" s="298" t="str">
        <f>'1.  LRAMVA Summary'!G52</f>
        <v>GS 1,000 - 4,999 kW</v>
      </c>
      <c r="AC584" s="298" t="str">
        <f>'1.  LRAMVA Summary'!H52</f>
        <v>USL</v>
      </c>
      <c r="AD584" s="298" t="str">
        <f>'1.  LRAMVA Summary'!I52</f>
        <v>Sentinel Lighting</v>
      </c>
      <c r="AE584" s="298" t="str">
        <f>'1.  LRAMVA Summary'!J52</f>
        <v>Street Lighting</v>
      </c>
      <c r="AF584" s="298" t="str">
        <f>'1.  LRAMVA Summary'!K52</f>
        <v/>
      </c>
      <c r="AG584" s="298" t="str">
        <f>'1.  LRAMVA Summary'!L52</f>
        <v/>
      </c>
      <c r="AH584" s="298" t="str">
        <f>'1.  LRAMVA Summary'!M52</f>
        <v/>
      </c>
      <c r="AI584" s="298" t="str">
        <f>'1.  LRAMVA Summary'!N52</f>
        <v/>
      </c>
      <c r="AJ584" s="298" t="str">
        <f>'1.  LRAMVA Summary'!O52</f>
        <v/>
      </c>
      <c r="AK584" s="298" t="str">
        <f>'1.  LRAMVA Summary'!P52</f>
        <v/>
      </c>
      <c r="AL584" s="298" t="str">
        <f>'1.  LRAMVA Summary'!Q52</f>
        <v/>
      </c>
      <c r="AM584" s="300" t="str">
        <f>'1.  LRAMVA Summary'!R52</f>
        <v>Total</v>
      </c>
    </row>
    <row r="585" spans="1:39" ht="15.75" customHeight="1">
      <c r="A585" s="539"/>
      <c r="B585" s="525" t="s">
        <v>503</v>
      </c>
      <c r="C585" s="302"/>
      <c r="D585" s="302"/>
      <c r="E585" s="302"/>
      <c r="F585" s="302"/>
      <c r="G585" s="302"/>
      <c r="H585" s="302"/>
      <c r="I585" s="302"/>
      <c r="J585" s="302"/>
      <c r="K585" s="302"/>
      <c r="L585" s="302"/>
      <c r="M585" s="302"/>
      <c r="N585" s="303"/>
      <c r="O585" s="302"/>
      <c r="P585" s="302"/>
      <c r="Q585" s="302"/>
      <c r="R585" s="302"/>
      <c r="S585" s="302"/>
      <c r="T585" s="302"/>
      <c r="U585" s="302"/>
      <c r="V585" s="302"/>
      <c r="W585" s="302"/>
      <c r="X585" s="302"/>
      <c r="Y585" s="304" t="str">
        <f>'1.  LRAMVA Summary'!D53</f>
        <v>kWh</v>
      </c>
      <c r="Z585" s="304" t="str">
        <f>'1.  LRAMVA Summary'!E53</f>
        <v>kWh</v>
      </c>
      <c r="AA585" s="304" t="str">
        <f>'1.  LRAMVA Summary'!F53</f>
        <v>kW</v>
      </c>
      <c r="AB585" s="304" t="str">
        <f>'1.  LRAMVA Summary'!G53</f>
        <v>kW</v>
      </c>
      <c r="AC585" s="304" t="str">
        <f>'1.  LRAMVA Summary'!H53</f>
        <v>kWh</v>
      </c>
      <c r="AD585" s="304" t="str">
        <f>'1.  LRAMVA Summary'!I53</f>
        <v>kW</v>
      </c>
      <c r="AE585" s="304" t="str">
        <f>'1.  LRAMVA Summary'!J53</f>
        <v>kW</v>
      </c>
      <c r="AF585" s="304">
        <f>'1.  LRAMVA Summary'!K53</f>
        <v>0</v>
      </c>
      <c r="AG585" s="304">
        <f>'1.  LRAMVA Summary'!L53</f>
        <v>0</v>
      </c>
      <c r="AH585" s="304">
        <f>'1.  LRAMVA Summary'!M53</f>
        <v>0</v>
      </c>
      <c r="AI585" s="304">
        <f>'1.  LRAMVA Summary'!N53</f>
        <v>0</v>
      </c>
      <c r="AJ585" s="304">
        <f>'1.  LRAMVA Summary'!O53</f>
        <v>0</v>
      </c>
      <c r="AK585" s="304">
        <f>'1.  LRAMVA Summary'!P53</f>
        <v>0</v>
      </c>
      <c r="AL585" s="304">
        <f>'1.  LRAMVA Summary'!Q53</f>
        <v>0</v>
      </c>
      <c r="AM585" s="305"/>
    </row>
    <row r="586" spans="1:39" ht="15.6" outlineLevel="1">
      <c r="A586" s="539"/>
      <c r="B586" s="511" t="s">
        <v>496</v>
      </c>
      <c r="C586" s="302"/>
      <c r="D586" s="302"/>
      <c r="E586" s="302"/>
      <c r="F586" s="302"/>
      <c r="G586" s="302"/>
      <c r="H586" s="302"/>
      <c r="I586" s="302"/>
      <c r="J586" s="302"/>
      <c r="K586" s="302"/>
      <c r="L586" s="302"/>
      <c r="M586" s="302"/>
      <c r="N586" s="303"/>
      <c r="O586" s="302"/>
      <c r="P586" s="302"/>
      <c r="Q586" s="302"/>
      <c r="R586" s="302"/>
      <c r="S586" s="302"/>
      <c r="T586" s="302"/>
      <c r="U586" s="302"/>
      <c r="V586" s="302"/>
      <c r="W586" s="302"/>
      <c r="X586" s="302"/>
      <c r="Y586" s="304"/>
      <c r="Z586" s="304"/>
      <c r="AA586" s="304"/>
      <c r="AB586" s="304"/>
      <c r="AC586" s="304"/>
      <c r="AD586" s="304"/>
      <c r="AE586" s="304"/>
      <c r="AF586" s="304"/>
      <c r="AG586" s="304"/>
      <c r="AH586" s="304"/>
      <c r="AI586" s="304"/>
      <c r="AJ586" s="304"/>
      <c r="AK586" s="304"/>
      <c r="AL586" s="304"/>
      <c r="AM586" s="305"/>
    </row>
    <row r="587" spans="1:39" ht="15" outlineLevel="1">
      <c r="A587" s="539">
        <v>1</v>
      </c>
      <c r="B587" s="438" t="s">
        <v>95</v>
      </c>
      <c r="C587" s="304" t="s">
        <v>25</v>
      </c>
      <c r="D587" s="308"/>
      <c r="E587" s="308"/>
      <c r="F587" s="308"/>
      <c r="G587" s="308"/>
      <c r="H587" s="308"/>
      <c r="I587" s="308"/>
      <c r="J587" s="308"/>
      <c r="K587" s="308"/>
      <c r="L587" s="308"/>
      <c r="M587" s="308"/>
      <c r="N587" s="763"/>
      <c r="O587" s="308"/>
      <c r="P587" s="308"/>
      <c r="Q587" s="308"/>
      <c r="R587" s="308"/>
      <c r="S587" s="308"/>
      <c r="T587" s="308"/>
      <c r="U587" s="308"/>
      <c r="V587" s="308"/>
      <c r="W587" s="308"/>
      <c r="X587" s="308"/>
      <c r="Y587" s="772"/>
      <c r="Z587" s="772"/>
      <c r="AA587" s="772"/>
      <c r="AB587" s="772"/>
      <c r="AC587" s="772"/>
      <c r="AD587" s="772"/>
      <c r="AE587" s="772"/>
      <c r="AF587" s="422"/>
      <c r="AG587" s="422"/>
      <c r="AH587" s="422"/>
      <c r="AI587" s="422"/>
      <c r="AJ587" s="422"/>
      <c r="AK587" s="422"/>
      <c r="AL587" s="422"/>
      <c r="AM587" s="309">
        <f>SUM(Y587:AL587)</f>
        <v>0</v>
      </c>
    </row>
    <row r="588" spans="1:39" ht="15" outlineLevel="1">
      <c r="A588" s="539"/>
      <c r="B588" s="307" t="s">
        <v>310</v>
      </c>
      <c r="C588" s="304" t="s">
        <v>163</v>
      </c>
      <c r="D588" s="308"/>
      <c r="E588" s="308"/>
      <c r="F588" s="308"/>
      <c r="G588" s="308"/>
      <c r="H588" s="308"/>
      <c r="I588" s="308"/>
      <c r="J588" s="308"/>
      <c r="K588" s="308"/>
      <c r="L588" s="308"/>
      <c r="M588" s="308"/>
      <c r="N588" s="764"/>
      <c r="O588" s="308"/>
      <c r="P588" s="308"/>
      <c r="Q588" s="308"/>
      <c r="R588" s="308"/>
      <c r="S588" s="308"/>
      <c r="T588" s="308"/>
      <c r="U588" s="308"/>
      <c r="V588" s="308"/>
      <c r="W588" s="308"/>
      <c r="X588" s="308"/>
      <c r="Y588" s="773">
        <f>Y587</f>
        <v>0</v>
      </c>
      <c r="Z588" s="773">
        <f t="shared" ref="Z588:AE588" si="1050">Z587</f>
        <v>0</v>
      </c>
      <c r="AA588" s="773">
        <f t="shared" si="1050"/>
        <v>0</v>
      </c>
      <c r="AB588" s="773">
        <f t="shared" si="1050"/>
        <v>0</v>
      </c>
      <c r="AC588" s="773">
        <f t="shared" si="1050"/>
        <v>0</v>
      </c>
      <c r="AD588" s="773">
        <f t="shared" si="1050"/>
        <v>0</v>
      </c>
      <c r="AE588" s="773">
        <f t="shared" si="1050"/>
        <v>0</v>
      </c>
      <c r="AF588" s="423">
        <f t="shared" ref="AF588" si="1051">AF587</f>
        <v>0</v>
      </c>
      <c r="AG588" s="423">
        <f t="shared" ref="AG588" si="1052">AG587</f>
        <v>0</v>
      </c>
      <c r="AH588" s="423">
        <f t="shared" ref="AH588" si="1053">AH587</f>
        <v>0</v>
      </c>
      <c r="AI588" s="423">
        <f t="shared" ref="AI588" si="1054">AI587</f>
        <v>0</v>
      </c>
      <c r="AJ588" s="423">
        <f t="shared" ref="AJ588" si="1055">AJ587</f>
        <v>0</v>
      </c>
      <c r="AK588" s="423">
        <f t="shared" ref="AK588" si="1056">AK587</f>
        <v>0</v>
      </c>
      <c r="AL588" s="423">
        <f t="shared" ref="AL588" si="1057">AL587</f>
        <v>0</v>
      </c>
      <c r="AM588" s="310"/>
    </row>
    <row r="589" spans="1:39" ht="15.6" outlineLevel="1">
      <c r="A589" s="539"/>
      <c r="B589" s="311"/>
      <c r="C589" s="312"/>
      <c r="D589" s="765"/>
      <c r="E589" s="765"/>
      <c r="F589" s="765"/>
      <c r="G589" s="765"/>
      <c r="H589" s="765"/>
      <c r="I589" s="765"/>
      <c r="J589" s="765"/>
      <c r="K589" s="765"/>
      <c r="L589" s="765"/>
      <c r="M589" s="765"/>
      <c r="N589" s="771"/>
      <c r="O589" s="765"/>
      <c r="P589" s="765"/>
      <c r="Q589" s="765"/>
      <c r="R589" s="765"/>
      <c r="S589" s="765"/>
      <c r="T589" s="765"/>
      <c r="U589" s="765"/>
      <c r="V589" s="765"/>
      <c r="W589" s="765"/>
      <c r="X589" s="765"/>
      <c r="Y589" s="774"/>
      <c r="Z589" s="775"/>
      <c r="AA589" s="775"/>
      <c r="AB589" s="775"/>
      <c r="AC589" s="775"/>
      <c r="AD589" s="775"/>
      <c r="AE589" s="775"/>
      <c r="AF589" s="425"/>
      <c r="AG589" s="425"/>
      <c r="AH589" s="425"/>
      <c r="AI589" s="425"/>
      <c r="AJ589" s="425"/>
      <c r="AK589" s="425"/>
      <c r="AL589" s="425"/>
      <c r="AM589" s="315"/>
    </row>
    <row r="590" spans="1:39" ht="15" outlineLevel="1">
      <c r="A590" s="539">
        <v>2</v>
      </c>
      <c r="B590" s="438" t="s">
        <v>96</v>
      </c>
      <c r="C590" s="304" t="s">
        <v>25</v>
      </c>
      <c r="D590" s="308"/>
      <c r="E590" s="308"/>
      <c r="F590" s="308"/>
      <c r="G590" s="308"/>
      <c r="H590" s="308"/>
      <c r="I590" s="308"/>
      <c r="J590" s="308"/>
      <c r="K590" s="308"/>
      <c r="L590" s="308"/>
      <c r="M590" s="308"/>
      <c r="N590" s="763"/>
      <c r="O590" s="308"/>
      <c r="P590" s="308"/>
      <c r="Q590" s="308"/>
      <c r="R590" s="308"/>
      <c r="S590" s="308"/>
      <c r="T590" s="308"/>
      <c r="U590" s="308"/>
      <c r="V590" s="308"/>
      <c r="W590" s="308"/>
      <c r="X590" s="308"/>
      <c r="Y590" s="772"/>
      <c r="Z590" s="772"/>
      <c r="AA590" s="772"/>
      <c r="AB590" s="772"/>
      <c r="AC590" s="772"/>
      <c r="AD590" s="772"/>
      <c r="AE590" s="772"/>
      <c r="AF590" s="422"/>
      <c r="AG590" s="422"/>
      <c r="AH590" s="422"/>
      <c r="AI590" s="422"/>
      <c r="AJ590" s="422"/>
      <c r="AK590" s="422"/>
      <c r="AL590" s="422"/>
      <c r="AM590" s="309">
        <f>SUM(Y590:AL590)</f>
        <v>0</v>
      </c>
    </row>
    <row r="591" spans="1:39" ht="15" outlineLevel="1">
      <c r="A591" s="539"/>
      <c r="B591" s="307" t="s">
        <v>310</v>
      </c>
      <c r="C591" s="304" t="s">
        <v>163</v>
      </c>
      <c r="D591" s="308"/>
      <c r="E591" s="308"/>
      <c r="F591" s="308"/>
      <c r="G591" s="308"/>
      <c r="H591" s="308"/>
      <c r="I591" s="308"/>
      <c r="J591" s="308"/>
      <c r="K591" s="308"/>
      <c r="L591" s="308"/>
      <c r="M591" s="308"/>
      <c r="N591" s="764"/>
      <c r="O591" s="308"/>
      <c r="P591" s="308"/>
      <c r="Q591" s="308"/>
      <c r="R591" s="308"/>
      <c r="S591" s="308"/>
      <c r="T591" s="308"/>
      <c r="U591" s="308"/>
      <c r="V591" s="308"/>
      <c r="W591" s="308"/>
      <c r="X591" s="308"/>
      <c r="Y591" s="773">
        <f>Y590</f>
        <v>0</v>
      </c>
      <c r="Z591" s="773">
        <f t="shared" ref="Z591:AE591" si="1058">Z590</f>
        <v>0</v>
      </c>
      <c r="AA591" s="773">
        <f t="shared" si="1058"/>
        <v>0</v>
      </c>
      <c r="AB591" s="773">
        <f t="shared" si="1058"/>
        <v>0</v>
      </c>
      <c r="AC591" s="773">
        <f t="shared" si="1058"/>
        <v>0</v>
      </c>
      <c r="AD591" s="773">
        <f t="shared" si="1058"/>
        <v>0</v>
      </c>
      <c r="AE591" s="773">
        <f t="shared" si="1058"/>
        <v>0</v>
      </c>
      <c r="AF591" s="423">
        <f t="shared" ref="AF591" si="1059">AF590</f>
        <v>0</v>
      </c>
      <c r="AG591" s="423">
        <f t="shared" ref="AG591" si="1060">AG590</f>
        <v>0</v>
      </c>
      <c r="AH591" s="423">
        <f t="shared" ref="AH591" si="1061">AH590</f>
        <v>0</v>
      </c>
      <c r="AI591" s="423">
        <f t="shared" ref="AI591" si="1062">AI590</f>
        <v>0</v>
      </c>
      <c r="AJ591" s="423">
        <f t="shared" ref="AJ591" si="1063">AJ590</f>
        <v>0</v>
      </c>
      <c r="AK591" s="423">
        <f t="shared" ref="AK591" si="1064">AK590</f>
        <v>0</v>
      </c>
      <c r="AL591" s="423">
        <f t="shared" ref="AL591" si="1065">AL590</f>
        <v>0</v>
      </c>
      <c r="AM591" s="310"/>
    </row>
    <row r="592" spans="1:39" ht="15.6" outlineLevel="1">
      <c r="A592" s="539"/>
      <c r="B592" s="311"/>
      <c r="C592" s="312"/>
      <c r="D592" s="766"/>
      <c r="E592" s="766"/>
      <c r="F592" s="766"/>
      <c r="G592" s="766"/>
      <c r="H592" s="766"/>
      <c r="I592" s="766"/>
      <c r="J592" s="766"/>
      <c r="K592" s="766"/>
      <c r="L592" s="766"/>
      <c r="M592" s="766"/>
      <c r="N592" s="771"/>
      <c r="O592" s="766"/>
      <c r="P592" s="766"/>
      <c r="Q592" s="766"/>
      <c r="R592" s="766"/>
      <c r="S592" s="766"/>
      <c r="T592" s="766"/>
      <c r="U592" s="766"/>
      <c r="V592" s="766"/>
      <c r="W592" s="766"/>
      <c r="X592" s="766"/>
      <c r="Y592" s="774"/>
      <c r="Z592" s="775"/>
      <c r="AA592" s="775"/>
      <c r="AB592" s="775"/>
      <c r="AC592" s="775"/>
      <c r="AD592" s="775"/>
      <c r="AE592" s="775"/>
      <c r="AF592" s="425"/>
      <c r="AG592" s="425"/>
      <c r="AH592" s="425"/>
      <c r="AI592" s="425"/>
      <c r="AJ592" s="425"/>
      <c r="AK592" s="425"/>
      <c r="AL592" s="425"/>
      <c r="AM592" s="315"/>
    </row>
    <row r="593" spans="1:39" ht="15" outlineLevel="1">
      <c r="A593" s="539">
        <v>3</v>
      </c>
      <c r="B593" s="438" t="s">
        <v>97</v>
      </c>
      <c r="C593" s="304" t="s">
        <v>25</v>
      </c>
      <c r="D593" s="308"/>
      <c r="E593" s="308"/>
      <c r="F593" s="308"/>
      <c r="G593" s="308"/>
      <c r="H593" s="308"/>
      <c r="I593" s="308"/>
      <c r="J593" s="308"/>
      <c r="K593" s="308"/>
      <c r="L593" s="308"/>
      <c r="M593" s="308"/>
      <c r="N593" s="763"/>
      <c r="O593" s="308"/>
      <c r="P593" s="308"/>
      <c r="Q593" s="308"/>
      <c r="R593" s="308"/>
      <c r="S593" s="308"/>
      <c r="T593" s="308"/>
      <c r="U593" s="308"/>
      <c r="V593" s="308"/>
      <c r="W593" s="308"/>
      <c r="X593" s="308"/>
      <c r="Y593" s="772"/>
      <c r="Z593" s="772"/>
      <c r="AA593" s="772"/>
      <c r="AB593" s="772"/>
      <c r="AC593" s="772"/>
      <c r="AD593" s="772"/>
      <c r="AE593" s="772"/>
      <c r="AF593" s="422"/>
      <c r="AG593" s="422"/>
      <c r="AH593" s="422"/>
      <c r="AI593" s="422"/>
      <c r="AJ593" s="422"/>
      <c r="AK593" s="422"/>
      <c r="AL593" s="422"/>
      <c r="AM593" s="309">
        <f>SUM(Y593:AL593)</f>
        <v>0</v>
      </c>
    </row>
    <row r="594" spans="1:39" ht="15" outlineLevel="1">
      <c r="A594" s="539"/>
      <c r="B594" s="307" t="s">
        <v>310</v>
      </c>
      <c r="C594" s="304" t="s">
        <v>163</v>
      </c>
      <c r="D594" s="308"/>
      <c r="E594" s="308"/>
      <c r="F594" s="308"/>
      <c r="G594" s="308"/>
      <c r="H594" s="308"/>
      <c r="I594" s="308"/>
      <c r="J594" s="308"/>
      <c r="K594" s="308"/>
      <c r="L594" s="308"/>
      <c r="M594" s="308"/>
      <c r="N594" s="764"/>
      <c r="O594" s="308"/>
      <c r="P594" s="308"/>
      <c r="Q594" s="308"/>
      <c r="R594" s="308"/>
      <c r="S594" s="308"/>
      <c r="T594" s="308"/>
      <c r="U594" s="308"/>
      <c r="V594" s="308"/>
      <c r="W594" s="308"/>
      <c r="X594" s="308"/>
      <c r="Y594" s="773">
        <f>Y593</f>
        <v>0</v>
      </c>
      <c r="Z594" s="773">
        <f t="shared" ref="Z594:AE594" si="1066">Z593</f>
        <v>0</v>
      </c>
      <c r="AA594" s="773">
        <f t="shared" si="1066"/>
        <v>0</v>
      </c>
      <c r="AB594" s="773">
        <f t="shared" si="1066"/>
        <v>0</v>
      </c>
      <c r="AC594" s="773">
        <f t="shared" si="1066"/>
        <v>0</v>
      </c>
      <c r="AD594" s="773">
        <f t="shared" si="1066"/>
        <v>0</v>
      </c>
      <c r="AE594" s="773">
        <f t="shared" si="1066"/>
        <v>0</v>
      </c>
      <c r="AF594" s="423">
        <f t="shared" ref="AF594" si="1067">AF593</f>
        <v>0</v>
      </c>
      <c r="AG594" s="423">
        <f t="shared" ref="AG594" si="1068">AG593</f>
        <v>0</v>
      </c>
      <c r="AH594" s="423">
        <f t="shared" ref="AH594" si="1069">AH593</f>
        <v>0</v>
      </c>
      <c r="AI594" s="423">
        <f t="shared" ref="AI594" si="1070">AI593</f>
        <v>0</v>
      </c>
      <c r="AJ594" s="423">
        <f t="shared" ref="AJ594" si="1071">AJ593</f>
        <v>0</v>
      </c>
      <c r="AK594" s="423">
        <f t="shared" ref="AK594" si="1072">AK593</f>
        <v>0</v>
      </c>
      <c r="AL594" s="423">
        <f t="shared" ref="AL594" si="1073">AL593</f>
        <v>0</v>
      </c>
      <c r="AM594" s="310"/>
    </row>
    <row r="595" spans="1:39" ht="15" outlineLevel="1">
      <c r="A595" s="539"/>
      <c r="B595" s="307"/>
      <c r="C595" s="318"/>
      <c r="D595" s="763"/>
      <c r="E595" s="763"/>
      <c r="F595" s="763"/>
      <c r="G595" s="763"/>
      <c r="H595" s="763"/>
      <c r="I595" s="763"/>
      <c r="J595" s="763"/>
      <c r="K595" s="763"/>
      <c r="L595" s="763"/>
      <c r="M595" s="763"/>
      <c r="N595" s="763"/>
      <c r="O595" s="763"/>
      <c r="P595" s="763"/>
      <c r="Q595" s="763"/>
      <c r="R595" s="763"/>
      <c r="S595" s="763"/>
      <c r="T595" s="763"/>
      <c r="U595" s="763"/>
      <c r="V595" s="763"/>
      <c r="W595" s="763"/>
      <c r="X595" s="763"/>
      <c r="Y595" s="774"/>
      <c r="Z595" s="774"/>
      <c r="AA595" s="774"/>
      <c r="AB595" s="774"/>
      <c r="AC595" s="774"/>
      <c r="AD595" s="774"/>
      <c r="AE595" s="774"/>
      <c r="AF595" s="424"/>
      <c r="AG595" s="424"/>
      <c r="AH595" s="424"/>
      <c r="AI595" s="424"/>
      <c r="AJ595" s="424"/>
      <c r="AK595" s="424"/>
      <c r="AL595" s="424"/>
      <c r="AM595" s="319"/>
    </row>
    <row r="596" spans="1:39" ht="15" outlineLevel="1">
      <c r="A596" s="539">
        <v>4</v>
      </c>
      <c r="B596" s="527" t="s">
        <v>676</v>
      </c>
      <c r="C596" s="304" t="s">
        <v>25</v>
      </c>
      <c r="D596" s="308"/>
      <c r="E596" s="308"/>
      <c r="F596" s="308"/>
      <c r="G596" s="308"/>
      <c r="H596" s="308"/>
      <c r="I596" s="308"/>
      <c r="J596" s="308"/>
      <c r="K596" s="308"/>
      <c r="L596" s="308"/>
      <c r="M596" s="308"/>
      <c r="N596" s="763"/>
      <c r="O596" s="308"/>
      <c r="P596" s="308"/>
      <c r="Q596" s="308"/>
      <c r="R596" s="308"/>
      <c r="S596" s="308"/>
      <c r="T596" s="308"/>
      <c r="U596" s="308"/>
      <c r="V596" s="308"/>
      <c r="W596" s="308"/>
      <c r="X596" s="308"/>
      <c r="Y596" s="772"/>
      <c r="Z596" s="772"/>
      <c r="AA596" s="772"/>
      <c r="AB596" s="772"/>
      <c r="AC596" s="772"/>
      <c r="AD596" s="772"/>
      <c r="AE596" s="772"/>
      <c r="AF596" s="422"/>
      <c r="AG596" s="422"/>
      <c r="AH596" s="422"/>
      <c r="AI596" s="422"/>
      <c r="AJ596" s="422"/>
      <c r="AK596" s="422"/>
      <c r="AL596" s="422"/>
      <c r="AM596" s="309">
        <f>SUM(Y596:AL596)</f>
        <v>0</v>
      </c>
    </row>
    <row r="597" spans="1:39" ht="15" outlineLevel="1">
      <c r="A597" s="539"/>
      <c r="B597" s="307" t="s">
        <v>310</v>
      </c>
      <c r="C597" s="304" t="s">
        <v>163</v>
      </c>
      <c r="D597" s="308"/>
      <c r="E597" s="308"/>
      <c r="F597" s="308"/>
      <c r="G597" s="308"/>
      <c r="H597" s="308"/>
      <c r="I597" s="308"/>
      <c r="J597" s="308"/>
      <c r="K597" s="308"/>
      <c r="L597" s="308"/>
      <c r="M597" s="308"/>
      <c r="N597" s="764"/>
      <c r="O597" s="308"/>
      <c r="P597" s="308"/>
      <c r="Q597" s="308"/>
      <c r="R597" s="308"/>
      <c r="S597" s="308"/>
      <c r="T597" s="308"/>
      <c r="U597" s="308"/>
      <c r="V597" s="308"/>
      <c r="W597" s="308"/>
      <c r="X597" s="308"/>
      <c r="Y597" s="773">
        <f>Y596</f>
        <v>0</v>
      </c>
      <c r="Z597" s="773">
        <f t="shared" ref="Z597:AE597" si="1074">Z596</f>
        <v>0</v>
      </c>
      <c r="AA597" s="773">
        <f t="shared" si="1074"/>
        <v>0</v>
      </c>
      <c r="AB597" s="773">
        <f t="shared" si="1074"/>
        <v>0</v>
      </c>
      <c r="AC597" s="773">
        <f t="shared" si="1074"/>
        <v>0</v>
      </c>
      <c r="AD597" s="773">
        <f t="shared" si="1074"/>
        <v>0</v>
      </c>
      <c r="AE597" s="773">
        <f t="shared" si="1074"/>
        <v>0</v>
      </c>
      <c r="AF597" s="423">
        <f t="shared" ref="AF597" si="1075">AF596</f>
        <v>0</v>
      </c>
      <c r="AG597" s="423">
        <f t="shared" ref="AG597" si="1076">AG596</f>
        <v>0</v>
      </c>
      <c r="AH597" s="423">
        <f t="shared" ref="AH597" si="1077">AH596</f>
        <v>0</v>
      </c>
      <c r="AI597" s="423">
        <f t="shared" ref="AI597" si="1078">AI596</f>
        <v>0</v>
      </c>
      <c r="AJ597" s="423">
        <f t="shared" ref="AJ597" si="1079">AJ596</f>
        <v>0</v>
      </c>
      <c r="AK597" s="423">
        <f t="shared" ref="AK597" si="1080">AK596</f>
        <v>0</v>
      </c>
      <c r="AL597" s="423">
        <f t="shared" ref="AL597" si="1081">AL596</f>
        <v>0</v>
      </c>
      <c r="AM597" s="310"/>
    </row>
    <row r="598" spans="1:39" ht="15" outlineLevel="1">
      <c r="A598" s="539"/>
      <c r="B598" s="307"/>
      <c r="C598" s="318"/>
      <c r="D598" s="766"/>
      <c r="E598" s="766"/>
      <c r="F598" s="766"/>
      <c r="G598" s="766"/>
      <c r="H598" s="766"/>
      <c r="I598" s="766"/>
      <c r="J598" s="766"/>
      <c r="K598" s="766"/>
      <c r="L598" s="766"/>
      <c r="M598" s="766"/>
      <c r="N598" s="763"/>
      <c r="O598" s="766"/>
      <c r="P598" s="766"/>
      <c r="Q598" s="766"/>
      <c r="R598" s="766"/>
      <c r="S598" s="766"/>
      <c r="T598" s="766"/>
      <c r="U598" s="766"/>
      <c r="V598" s="766"/>
      <c r="W598" s="766"/>
      <c r="X598" s="766"/>
      <c r="Y598" s="774"/>
      <c r="Z598" s="774"/>
      <c r="AA598" s="774"/>
      <c r="AB598" s="774"/>
      <c r="AC598" s="774"/>
      <c r="AD598" s="774"/>
      <c r="AE598" s="774"/>
      <c r="AF598" s="424"/>
      <c r="AG598" s="424"/>
      <c r="AH598" s="424"/>
      <c r="AI598" s="424"/>
      <c r="AJ598" s="424"/>
      <c r="AK598" s="424"/>
      <c r="AL598" s="424"/>
      <c r="AM598" s="319"/>
    </row>
    <row r="599" spans="1:39" ht="15.75" customHeight="1" outlineLevel="1">
      <c r="A599" s="539">
        <v>5</v>
      </c>
      <c r="B599" s="438" t="s">
        <v>98</v>
      </c>
      <c r="C599" s="304" t="s">
        <v>25</v>
      </c>
      <c r="D599" s="308"/>
      <c r="E599" s="308"/>
      <c r="F599" s="308"/>
      <c r="G599" s="308"/>
      <c r="H599" s="308"/>
      <c r="I599" s="308"/>
      <c r="J599" s="308"/>
      <c r="K599" s="308"/>
      <c r="L599" s="308"/>
      <c r="M599" s="308"/>
      <c r="N599" s="763"/>
      <c r="O599" s="308"/>
      <c r="P599" s="308"/>
      <c r="Q599" s="308"/>
      <c r="R599" s="308"/>
      <c r="S599" s="308"/>
      <c r="T599" s="308"/>
      <c r="U599" s="308"/>
      <c r="V599" s="308"/>
      <c r="W599" s="308"/>
      <c r="X599" s="308"/>
      <c r="Y599" s="772"/>
      <c r="Z599" s="772"/>
      <c r="AA599" s="772"/>
      <c r="AB599" s="772"/>
      <c r="AC599" s="772"/>
      <c r="AD599" s="772"/>
      <c r="AE599" s="772"/>
      <c r="AF599" s="422"/>
      <c r="AG599" s="422"/>
      <c r="AH599" s="422"/>
      <c r="AI599" s="422"/>
      <c r="AJ599" s="422"/>
      <c r="AK599" s="422"/>
      <c r="AL599" s="422"/>
      <c r="AM599" s="309">
        <f>SUM(Y599:AL599)</f>
        <v>0</v>
      </c>
    </row>
    <row r="600" spans="1:39" ht="15" outlineLevel="1">
      <c r="A600" s="539"/>
      <c r="B600" s="307" t="s">
        <v>310</v>
      </c>
      <c r="C600" s="304" t="s">
        <v>163</v>
      </c>
      <c r="D600" s="308"/>
      <c r="E600" s="308"/>
      <c r="F600" s="308"/>
      <c r="G600" s="308"/>
      <c r="H600" s="308"/>
      <c r="I600" s="308"/>
      <c r="J600" s="308"/>
      <c r="K600" s="308"/>
      <c r="L600" s="308"/>
      <c r="M600" s="308"/>
      <c r="N600" s="764"/>
      <c r="O600" s="308"/>
      <c r="P600" s="308"/>
      <c r="Q600" s="308"/>
      <c r="R600" s="308"/>
      <c r="S600" s="308"/>
      <c r="T600" s="308"/>
      <c r="U600" s="308"/>
      <c r="V600" s="308"/>
      <c r="W600" s="308"/>
      <c r="X600" s="308"/>
      <c r="Y600" s="773">
        <f>Y599</f>
        <v>0</v>
      </c>
      <c r="Z600" s="773">
        <f t="shared" ref="Z600:AE600" si="1082">Z599</f>
        <v>0</v>
      </c>
      <c r="AA600" s="773">
        <f t="shared" si="1082"/>
        <v>0</v>
      </c>
      <c r="AB600" s="773">
        <f t="shared" si="1082"/>
        <v>0</v>
      </c>
      <c r="AC600" s="773">
        <f t="shared" si="1082"/>
        <v>0</v>
      </c>
      <c r="AD600" s="773">
        <f t="shared" si="1082"/>
        <v>0</v>
      </c>
      <c r="AE600" s="773">
        <f t="shared" si="1082"/>
        <v>0</v>
      </c>
      <c r="AF600" s="423">
        <f t="shared" ref="AF600" si="1083">AF599</f>
        <v>0</v>
      </c>
      <c r="AG600" s="423">
        <f t="shared" ref="AG600" si="1084">AG599</f>
        <v>0</v>
      </c>
      <c r="AH600" s="423">
        <f t="shared" ref="AH600" si="1085">AH599</f>
        <v>0</v>
      </c>
      <c r="AI600" s="423">
        <f t="shared" ref="AI600" si="1086">AI599</f>
        <v>0</v>
      </c>
      <c r="AJ600" s="423">
        <f t="shared" ref="AJ600" si="1087">AJ599</f>
        <v>0</v>
      </c>
      <c r="AK600" s="423">
        <f t="shared" ref="AK600" si="1088">AK599</f>
        <v>0</v>
      </c>
      <c r="AL600" s="423">
        <f t="shared" ref="AL600" si="1089">AL599</f>
        <v>0</v>
      </c>
      <c r="AM600" s="310"/>
    </row>
    <row r="601" spans="1:39" ht="15" outlineLevel="1">
      <c r="A601" s="539"/>
      <c r="B601" s="307"/>
      <c r="C601" s="304"/>
      <c r="D601" s="763"/>
      <c r="E601" s="763"/>
      <c r="F601" s="763"/>
      <c r="G601" s="763"/>
      <c r="H601" s="763"/>
      <c r="I601" s="763"/>
      <c r="J601" s="763"/>
      <c r="K601" s="763"/>
      <c r="L601" s="763"/>
      <c r="M601" s="763"/>
      <c r="N601" s="763"/>
      <c r="O601" s="763"/>
      <c r="P601" s="763"/>
      <c r="Q601" s="763"/>
      <c r="R601" s="763"/>
      <c r="S601" s="763"/>
      <c r="T601" s="763"/>
      <c r="U601" s="763"/>
      <c r="V601" s="763"/>
      <c r="W601" s="763"/>
      <c r="X601" s="763"/>
      <c r="Y601" s="784"/>
      <c r="Z601" s="785"/>
      <c r="AA601" s="785"/>
      <c r="AB601" s="785"/>
      <c r="AC601" s="785"/>
      <c r="AD601" s="785"/>
      <c r="AE601" s="785"/>
      <c r="AF601" s="433"/>
      <c r="AG601" s="433"/>
      <c r="AH601" s="433"/>
      <c r="AI601" s="433"/>
      <c r="AJ601" s="433"/>
      <c r="AK601" s="433"/>
      <c r="AL601" s="433"/>
      <c r="AM601" s="310"/>
    </row>
    <row r="602" spans="1:39" ht="15.6" outlineLevel="1">
      <c r="A602" s="539"/>
      <c r="B602" s="331" t="s">
        <v>497</v>
      </c>
      <c r="C602" s="302"/>
      <c r="D602" s="767"/>
      <c r="E602" s="767"/>
      <c r="F602" s="767"/>
      <c r="G602" s="767"/>
      <c r="H602" s="767"/>
      <c r="I602" s="767"/>
      <c r="J602" s="767"/>
      <c r="K602" s="767"/>
      <c r="L602" s="767"/>
      <c r="M602" s="767"/>
      <c r="N602" s="769"/>
      <c r="O602" s="767"/>
      <c r="P602" s="767"/>
      <c r="Q602" s="767"/>
      <c r="R602" s="767"/>
      <c r="S602" s="767"/>
      <c r="T602" s="767"/>
      <c r="U602" s="767"/>
      <c r="V602" s="767"/>
      <c r="W602" s="767"/>
      <c r="X602" s="767"/>
      <c r="Y602" s="776"/>
      <c r="Z602" s="776"/>
      <c r="AA602" s="776"/>
      <c r="AB602" s="776"/>
      <c r="AC602" s="776"/>
      <c r="AD602" s="776"/>
      <c r="AE602" s="776"/>
      <c r="AF602" s="426"/>
      <c r="AG602" s="426"/>
      <c r="AH602" s="426"/>
      <c r="AI602" s="426"/>
      <c r="AJ602" s="426"/>
      <c r="AK602" s="426"/>
      <c r="AL602" s="426"/>
      <c r="AM602" s="305"/>
    </row>
    <row r="603" spans="1:39" ht="15" outlineLevel="1">
      <c r="A603" s="539">
        <v>6</v>
      </c>
      <c r="B603" s="438" t="s">
        <v>99</v>
      </c>
      <c r="C603" s="304" t="s">
        <v>25</v>
      </c>
      <c r="D603" s="308"/>
      <c r="E603" s="308"/>
      <c r="F603" s="308"/>
      <c r="G603" s="308"/>
      <c r="H603" s="308"/>
      <c r="I603" s="308"/>
      <c r="J603" s="308"/>
      <c r="K603" s="308"/>
      <c r="L603" s="308"/>
      <c r="M603" s="308"/>
      <c r="N603" s="308">
        <v>12</v>
      </c>
      <c r="O603" s="308"/>
      <c r="P603" s="308"/>
      <c r="Q603" s="308"/>
      <c r="R603" s="308"/>
      <c r="S603" s="308"/>
      <c r="T603" s="308"/>
      <c r="U603" s="308"/>
      <c r="V603" s="308"/>
      <c r="W603" s="308"/>
      <c r="X603" s="308"/>
      <c r="Y603" s="777"/>
      <c r="Z603" s="772"/>
      <c r="AA603" s="772"/>
      <c r="AB603" s="772"/>
      <c r="AC603" s="772"/>
      <c r="AD603" s="772"/>
      <c r="AE603" s="772"/>
      <c r="AF603" s="427"/>
      <c r="AG603" s="427"/>
      <c r="AH603" s="427"/>
      <c r="AI603" s="427"/>
      <c r="AJ603" s="427"/>
      <c r="AK603" s="427"/>
      <c r="AL603" s="427"/>
      <c r="AM603" s="309">
        <f>SUM(Y603:AL603)</f>
        <v>0</v>
      </c>
    </row>
    <row r="604" spans="1:39" ht="15" outlineLevel="1">
      <c r="A604" s="539"/>
      <c r="B604" s="307" t="s">
        <v>310</v>
      </c>
      <c r="C604" s="304" t="s">
        <v>163</v>
      </c>
      <c r="D604" s="308"/>
      <c r="E604" s="308"/>
      <c r="F604" s="308"/>
      <c r="G604" s="308"/>
      <c r="H604" s="308"/>
      <c r="I604" s="308"/>
      <c r="J604" s="308"/>
      <c r="K604" s="308"/>
      <c r="L604" s="308"/>
      <c r="M604" s="308"/>
      <c r="N604" s="308">
        <f>N603</f>
        <v>12</v>
      </c>
      <c r="O604" s="308"/>
      <c r="P604" s="308"/>
      <c r="Q604" s="308"/>
      <c r="R604" s="308"/>
      <c r="S604" s="308"/>
      <c r="T604" s="308"/>
      <c r="U604" s="308"/>
      <c r="V604" s="308"/>
      <c r="W604" s="308"/>
      <c r="X604" s="308"/>
      <c r="Y604" s="773">
        <f>Y603</f>
        <v>0</v>
      </c>
      <c r="Z604" s="773">
        <f t="shared" ref="Z604:AE604" si="1090">Z603</f>
        <v>0</v>
      </c>
      <c r="AA604" s="773">
        <f t="shared" si="1090"/>
        <v>0</v>
      </c>
      <c r="AB604" s="773">
        <f t="shared" si="1090"/>
        <v>0</v>
      </c>
      <c r="AC604" s="773">
        <f t="shared" si="1090"/>
        <v>0</v>
      </c>
      <c r="AD604" s="773">
        <f t="shared" si="1090"/>
        <v>0</v>
      </c>
      <c r="AE604" s="773">
        <f t="shared" si="1090"/>
        <v>0</v>
      </c>
      <c r="AF604" s="423">
        <f t="shared" ref="AF604" si="1091">AF603</f>
        <v>0</v>
      </c>
      <c r="AG604" s="423">
        <f t="shared" ref="AG604" si="1092">AG603</f>
        <v>0</v>
      </c>
      <c r="AH604" s="423">
        <f t="shared" ref="AH604" si="1093">AH603</f>
        <v>0</v>
      </c>
      <c r="AI604" s="423">
        <f t="shared" ref="AI604" si="1094">AI603</f>
        <v>0</v>
      </c>
      <c r="AJ604" s="423">
        <f t="shared" ref="AJ604" si="1095">AJ603</f>
        <v>0</v>
      </c>
      <c r="AK604" s="423">
        <f t="shared" ref="AK604" si="1096">AK603</f>
        <v>0</v>
      </c>
      <c r="AL604" s="423">
        <f t="shared" ref="AL604" si="1097">AL603</f>
        <v>0</v>
      </c>
      <c r="AM604" s="324"/>
    </row>
    <row r="605" spans="1:39" ht="15" outlineLevel="1">
      <c r="A605" s="539"/>
      <c r="B605" s="323"/>
      <c r="C605" s="325"/>
      <c r="D605" s="763"/>
      <c r="E605" s="763"/>
      <c r="F605" s="763"/>
      <c r="G605" s="763"/>
      <c r="H605" s="763"/>
      <c r="I605" s="763"/>
      <c r="J605" s="763"/>
      <c r="K605" s="763"/>
      <c r="L605" s="763"/>
      <c r="M605" s="763"/>
      <c r="N605" s="763"/>
      <c r="O605" s="763"/>
      <c r="P605" s="763"/>
      <c r="Q605" s="763"/>
      <c r="R605" s="763"/>
      <c r="S605" s="763"/>
      <c r="T605" s="763"/>
      <c r="U605" s="763"/>
      <c r="V605" s="763"/>
      <c r="W605" s="763"/>
      <c r="X605" s="763"/>
      <c r="Y605" s="778"/>
      <c r="Z605" s="778"/>
      <c r="AA605" s="778"/>
      <c r="AB605" s="778"/>
      <c r="AC605" s="778"/>
      <c r="AD605" s="778"/>
      <c r="AE605" s="778"/>
      <c r="AF605" s="428"/>
      <c r="AG605" s="428"/>
      <c r="AH605" s="428"/>
      <c r="AI605" s="428"/>
      <c r="AJ605" s="428"/>
      <c r="AK605" s="428"/>
      <c r="AL605" s="428"/>
      <c r="AM605" s="326"/>
    </row>
    <row r="606" spans="1:39" ht="30" outlineLevel="1">
      <c r="A606" s="539">
        <v>7</v>
      </c>
      <c r="B606" s="438" t="s">
        <v>100</v>
      </c>
      <c r="C606" s="304" t="s">
        <v>25</v>
      </c>
      <c r="D606" s="308"/>
      <c r="E606" s="308"/>
      <c r="F606" s="308"/>
      <c r="G606" s="308"/>
      <c r="H606" s="308"/>
      <c r="I606" s="308"/>
      <c r="J606" s="308"/>
      <c r="K606" s="308"/>
      <c r="L606" s="308"/>
      <c r="M606" s="308"/>
      <c r="N606" s="308">
        <v>12</v>
      </c>
      <c r="O606" s="308"/>
      <c r="P606" s="308"/>
      <c r="Q606" s="308"/>
      <c r="R606" s="308"/>
      <c r="S606" s="308"/>
      <c r="T606" s="308"/>
      <c r="U606" s="308"/>
      <c r="V606" s="308"/>
      <c r="W606" s="308"/>
      <c r="X606" s="308"/>
      <c r="Y606" s="777"/>
      <c r="Z606" s="772"/>
      <c r="AA606" s="772"/>
      <c r="AB606" s="772"/>
      <c r="AC606" s="772"/>
      <c r="AD606" s="772"/>
      <c r="AE606" s="772"/>
      <c r="AF606" s="427"/>
      <c r="AG606" s="427"/>
      <c r="AH606" s="427"/>
      <c r="AI606" s="427"/>
      <c r="AJ606" s="427"/>
      <c r="AK606" s="427"/>
      <c r="AL606" s="427"/>
      <c r="AM606" s="309">
        <f>SUM(Y606:AL606)</f>
        <v>0</v>
      </c>
    </row>
    <row r="607" spans="1:39" ht="15" outlineLevel="1">
      <c r="A607" s="539"/>
      <c r="B607" s="307" t="s">
        <v>310</v>
      </c>
      <c r="C607" s="304" t="s">
        <v>163</v>
      </c>
      <c r="D607" s="308"/>
      <c r="E607" s="308"/>
      <c r="F607" s="308"/>
      <c r="G607" s="308"/>
      <c r="H607" s="308"/>
      <c r="I607" s="308"/>
      <c r="J607" s="308"/>
      <c r="K607" s="308"/>
      <c r="L607" s="308"/>
      <c r="M607" s="308"/>
      <c r="N607" s="308">
        <f>N606</f>
        <v>12</v>
      </c>
      <c r="O607" s="308"/>
      <c r="P607" s="308"/>
      <c r="Q607" s="308"/>
      <c r="R607" s="308"/>
      <c r="S607" s="308"/>
      <c r="T607" s="308"/>
      <c r="U607" s="308"/>
      <c r="V607" s="308"/>
      <c r="W607" s="308"/>
      <c r="X607" s="308"/>
      <c r="Y607" s="773">
        <f>Y606</f>
        <v>0</v>
      </c>
      <c r="Z607" s="773">
        <f t="shared" ref="Z607:AE607" si="1098">Z606</f>
        <v>0</v>
      </c>
      <c r="AA607" s="773">
        <f t="shared" si="1098"/>
        <v>0</v>
      </c>
      <c r="AB607" s="773">
        <f t="shared" si="1098"/>
        <v>0</v>
      </c>
      <c r="AC607" s="773">
        <f t="shared" si="1098"/>
        <v>0</v>
      </c>
      <c r="AD607" s="773">
        <f t="shared" si="1098"/>
        <v>0</v>
      </c>
      <c r="AE607" s="773">
        <f t="shared" si="1098"/>
        <v>0</v>
      </c>
      <c r="AF607" s="423">
        <f t="shared" ref="AF607" si="1099">AF606</f>
        <v>0</v>
      </c>
      <c r="AG607" s="423">
        <f t="shared" ref="AG607" si="1100">AG606</f>
        <v>0</v>
      </c>
      <c r="AH607" s="423">
        <f t="shared" ref="AH607" si="1101">AH606</f>
        <v>0</v>
      </c>
      <c r="AI607" s="423">
        <f t="shared" ref="AI607" si="1102">AI606</f>
        <v>0</v>
      </c>
      <c r="AJ607" s="423">
        <f t="shared" ref="AJ607" si="1103">AJ606</f>
        <v>0</v>
      </c>
      <c r="AK607" s="423">
        <f t="shared" ref="AK607" si="1104">AK606</f>
        <v>0</v>
      </c>
      <c r="AL607" s="423">
        <f t="shared" ref="AL607" si="1105">AL606</f>
        <v>0</v>
      </c>
      <c r="AM607" s="324"/>
    </row>
    <row r="608" spans="1:39" ht="15" outlineLevel="1">
      <c r="A608" s="539"/>
      <c r="B608" s="327"/>
      <c r="C608" s="325"/>
      <c r="D608" s="763"/>
      <c r="E608" s="763"/>
      <c r="F608" s="763"/>
      <c r="G608" s="763"/>
      <c r="H608" s="763"/>
      <c r="I608" s="763"/>
      <c r="J608" s="763"/>
      <c r="K608" s="763"/>
      <c r="L608" s="763"/>
      <c r="M608" s="763"/>
      <c r="N608" s="763"/>
      <c r="O608" s="763"/>
      <c r="P608" s="763"/>
      <c r="Q608" s="763"/>
      <c r="R608" s="763"/>
      <c r="S608" s="763"/>
      <c r="T608" s="763"/>
      <c r="U608" s="763"/>
      <c r="V608" s="763"/>
      <c r="W608" s="763"/>
      <c r="X608" s="763"/>
      <c r="Y608" s="778"/>
      <c r="Z608" s="779"/>
      <c r="AA608" s="778"/>
      <c r="AB608" s="778"/>
      <c r="AC608" s="778"/>
      <c r="AD608" s="778"/>
      <c r="AE608" s="778"/>
      <c r="AF608" s="428"/>
      <c r="AG608" s="428"/>
      <c r="AH608" s="428"/>
      <c r="AI608" s="428"/>
      <c r="AJ608" s="428"/>
      <c r="AK608" s="428"/>
      <c r="AL608" s="428"/>
      <c r="AM608" s="326"/>
    </row>
    <row r="609" spans="1:39" ht="30" outlineLevel="1">
      <c r="A609" s="539">
        <v>8</v>
      </c>
      <c r="B609" s="438" t="s">
        <v>101</v>
      </c>
      <c r="C609" s="304" t="s">
        <v>25</v>
      </c>
      <c r="D609" s="308"/>
      <c r="E609" s="308"/>
      <c r="F609" s="308"/>
      <c r="G609" s="308"/>
      <c r="H609" s="308"/>
      <c r="I609" s="308"/>
      <c r="J609" s="308"/>
      <c r="K609" s="308"/>
      <c r="L609" s="308"/>
      <c r="M609" s="308"/>
      <c r="N609" s="308">
        <v>12</v>
      </c>
      <c r="O609" s="308"/>
      <c r="P609" s="308"/>
      <c r="Q609" s="308"/>
      <c r="R609" s="308"/>
      <c r="S609" s="308"/>
      <c r="T609" s="308"/>
      <c r="U609" s="308"/>
      <c r="V609" s="308"/>
      <c r="W609" s="308"/>
      <c r="X609" s="308"/>
      <c r="Y609" s="777"/>
      <c r="Z609" s="772"/>
      <c r="AA609" s="772"/>
      <c r="AB609" s="772"/>
      <c r="AC609" s="772"/>
      <c r="AD609" s="772"/>
      <c r="AE609" s="772"/>
      <c r="AF609" s="427"/>
      <c r="AG609" s="427"/>
      <c r="AH609" s="427"/>
      <c r="AI609" s="427"/>
      <c r="AJ609" s="427"/>
      <c r="AK609" s="427"/>
      <c r="AL609" s="427"/>
      <c r="AM609" s="309">
        <f>SUM(Y609:AL609)</f>
        <v>0</v>
      </c>
    </row>
    <row r="610" spans="1:39" ht="15" outlineLevel="1">
      <c r="A610" s="539"/>
      <c r="B610" s="307" t="s">
        <v>310</v>
      </c>
      <c r="C610" s="304" t="s">
        <v>163</v>
      </c>
      <c r="D610" s="308"/>
      <c r="E610" s="308"/>
      <c r="F610" s="308"/>
      <c r="G610" s="308"/>
      <c r="H610" s="308"/>
      <c r="I610" s="308"/>
      <c r="J610" s="308"/>
      <c r="K610" s="308"/>
      <c r="L610" s="308"/>
      <c r="M610" s="308"/>
      <c r="N610" s="308">
        <f>N609</f>
        <v>12</v>
      </c>
      <c r="O610" s="308"/>
      <c r="P610" s="308"/>
      <c r="Q610" s="308"/>
      <c r="R610" s="308"/>
      <c r="S610" s="308"/>
      <c r="T610" s="308"/>
      <c r="U610" s="308"/>
      <c r="V610" s="308"/>
      <c r="W610" s="308"/>
      <c r="X610" s="308"/>
      <c r="Y610" s="773">
        <f>Y609</f>
        <v>0</v>
      </c>
      <c r="Z610" s="773">
        <f t="shared" ref="Z610:AE610" si="1106">Z609</f>
        <v>0</v>
      </c>
      <c r="AA610" s="773">
        <f t="shared" si="1106"/>
        <v>0</v>
      </c>
      <c r="AB610" s="773">
        <f t="shared" si="1106"/>
        <v>0</v>
      </c>
      <c r="AC610" s="773">
        <f t="shared" si="1106"/>
        <v>0</v>
      </c>
      <c r="AD610" s="773">
        <f t="shared" si="1106"/>
        <v>0</v>
      </c>
      <c r="AE610" s="773">
        <f t="shared" si="1106"/>
        <v>0</v>
      </c>
      <c r="AF610" s="423">
        <f t="shared" ref="AF610" si="1107">AF609</f>
        <v>0</v>
      </c>
      <c r="AG610" s="423">
        <f t="shared" ref="AG610" si="1108">AG609</f>
        <v>0</v>
      </c>
      <c r="AH610" s="423">
        <f t="shared" ref="AH610" si="1109">AH609</f>
        <v>0</v>
      </c>
      <c r="AI610" s="423">
        <f t="shared" ref="AI610" si="1110">AI609</f>
        <v>0</v>
      </c>
      <c r="AJ610" s="423">
        <f t="shared" ref="AJ610" si="1111">AJ609</f>
        <v>0</v>
      </c>
      <c r="AK610" s="423">
        <f t="shared" ref="AK610" si="1112">AK609</f>
        <v>0</v>
      </c>
      <c r="AL610" s="423">
        <f t="shared" ref="AL610" si="1113">AL609</f>
        <v>0</v>
      </c>
      <c r="AM610" s="324"/>
    </row>
    <row r="611" spans="1:39" ht="15" outlineLevel="1">
      <c r="A611" s="539"/>
      <c r="B611" s="327"/>
      <c r="C611" s="325"/>
      <c r="D611" s="768"/>
      <c r="E611" s="768"/>
      <c r="F611" s="768"/>
      <c r="G611" s="768"/>
      <c r="H611" s="768"/>
      <c r="I611" s="768"/>
      <c r="J611" s="768"/>
      <c r="K611" s="768"/>
      <c r="L611" s="768"/>
      <c r="M611" s="768"/>
      <c r="N611" s="763"/>
      <c r="O611" s="768"/>
      <c r="P611" s="768"/>
      <c r="Q611" s="768"/>
      <c r="R611" s="768"/>
      <c r="S611" s="768"/>
      <c r="T611" s="768"/>
      <c r="U611" s="768"/>
      <c r="V611" s="768"/>
      <c r="W611" s="768"/>
      <c r="X611" s="768"/>
      <c r="Y611" s="778"/>
      <c r="Z611" s="779"/>
      <c r="AA611" s="778"/>
      <c r="AB611" s="778"/>
      <c r="AC611" s="778"/>
      <c r="AD611" s="778"/>
      <c r="AE611" s="778"/>
      <c r="AF611" s="428"/>
      <c r="AG611" s="428"/>
      <c r="AH611" s="428"/>
      <c r="AI611" s="428"/>
      <c r="AJ611" s="428"/>
      <c r="AK611" s="428"/>
      <c r="AL611" s="428"/>
      <c r="AM611" s="326"/>
    </row>
    <row r="612" spans="1:39" ht="30" outlineLevel="1">
      <c r="A612" s="539">
        <v>9</v>
      </c>
      <c r="B612" s="438" t="s">
        <v>102</v>
      </c>
      <c r="C612" s="304" t="s">
        <v>25</v>
      </c>
      <c r="D612" s="308"/>
      <c r="E612" s="308"/>
      <c r="F612" s="308"/>
      <c r="G612" s="308"/>
      <c r="H612" s="308"/>
      <c r="I612" s="308"/>
      <c r="J612" s="308"/>
      <c r="K612" s="308"/>
      <c r="L612" s="308"/>
      <c r="M612" s="308"/>
      <c r="N612" s="308">
        <v>12</v>
      </c>
      <c r="O612" s="308"/>
      <c r="P612" s="308"/>
      <c r="Q612" s="308"/>
      <c r="R612" s="308"/>
      <c r="S612" s="308"/>
      <c r="T612" s="308"/>
      <c r="U612" s="308"/>
      <c r="V612" s="308"/>
      <c r="W612" s="308"/>
      <c r="X612" s="308"/>
      <c r="Y612" s="777"/>
      <c r="Z612" s="772"/>
      <c r="AA612" s="772"/>
      <c r="AB612" s="772"/>
      <c r="AC612" s="772"/>
      <c r="AD612" s="772"/>
      <c r="AE612" s="772"/>
      <c r="AF612" s="427"/>
      <c r="AG612" s="427"/>
      <c r="AH612" s="427"/>
      <c r="AI612" s="427"/>
      <c r="AJ612" s="427"/>
      <c r="AK612" s="427"/>
      <c r="AL612" s="427"/>
      <c r="AM612" s="309">
        <f>SUM(Y612:AL612)</f>
        <v>0</v>
      </c>
    </row>
    <row r="613" spans="1:39" ht="15" outlineLevel="1">
      <c r="A613" s="539"/>
      <c r="B613" s="307" t="s">
        <v>310</v>
      </c>
      <c r="C613" s="304" t="s">
        <v>163</v>
      </c>
      <c r="D613" s="308"/>
      <c r="E613" s="308"/>
      <c r="F613" s="308"/>
      <c r="G613" s="308"/>
      <c r="H613" s="308"/>
      <c r="I613" s="308"/>
      <c r="J613" s="308"/>
      <c r="K613" s="308"/>
      <c r="L613" s="308"/>
      <c r="M613" s="308"/>
      <c r="N613" s="308">
        <f>N612</f>
        <v>12</v>
      </c>
      <c r="O613" s="308"/>
      <c r="P613" s="308"/>
      <c r="Q613" s="308"/>
      <c r="R613" s="308"/>
      <c r="S613" s="308"/>
      <c r="T613" s="308"/>
      <c r="U613" s="308"/>
      <c r="V613" s="308"/>
      <c r="W613" s="308"/>
      <c r="X613" s="308"/>
      <c r="Y613" s="773">
        <f>Y612</f>
        <v>0</v>
      </c>
      <c r="Z613" s="773">
        <f t="shared" ref="Z613:AE613" si="1114">Z612</f>
        <v>0</v>
      </c>
      <c r="AA613" s="773">
        <f t="shared" si="1114"/>
        <v>0</v>
      </c>
      <c r="AB613" s="773">
        <f t="shared" si="1114"/>
        <v>0</v>
      </c>
      <c r="AC613" s="773">
        <f t="shared" si="1114"/>
        <v>0</v>
      </c>
      <c r="AD613" s="773">
        <f t="shared" si="1114"/>
        <v>0</v>
      </c>
      <c r="AE613" s="773">
        <f t="shared" si="1114"/>
        <v>0</v>
      </c>
      <c r="AF613" s="423">
        <f t="shared" ref="AF613" si="1115">AF612</f>
        <v>0</v>
      </c>
      <c r="AG613" s="423">
        <f t="shared" ref="AG613" si="1116">AG612</f>
        <v>0</v>
      </c>
      <c r="AH613" s="423">
        <f t="shared" ref="AH613" si="1117">AH612</f>
        <v>0</v>
      </c>
      <c r="AI613" s="423">
        <f t="shared" ref="AI613" si="1118">AI612</f>
        <v>0</v>
      </c>
      <c r="AJ613" s="423">
        <f t="shared" ref="AJ613" si="1119">AJ612</f>
        <v>0</v>
      </c>
      <c r="AK613" s="423">
        <f t="shared" ref="AK613" si="1120">AK612</f>
        <v>0</v>
      </c>
      <c r="AL613" s="423">
        <f t="shared" ref="AL613" si="1121">AL612</f>
        <v>0</v>
      </c>
      <c r="AM613" s="324"/>
    </row>
    <row r="614" spans="1:39" ht="15" outlineLevel="1">
      <c r="A614" s="539"/>
      <c r="B614" s="327"/>
      <c r="C614" s="325"/>
      <c r="D614" s="768"/>
      <c r="E614" s="768"/>
      <c r="F614" s="768"/>
      <c r="G614" s="768"/>
      <c r="H614" s="768"/>
      <c r="I614" s="768"/>
      <c r="J614" s="768"/>
      <c r="K614" s="768"/>
      <c r="L614" s="768"/>
      <c r="M614" s="768"/>
      <c r="N614" s="763"/>
      <c r="O614" s="768"/>
      <c r="P614" s="768"/>
      <c r="Q614" s="768"/>
      <c r="R614" s="768"/>
      <c r="S614" s="768"/>
      <c r="T614" s="768"/>
      <c r="U614" s="768"/>
      <c r="V614" s="768"/>
      <c r="W614" s="768"/>
      <c r="X614" s="768"/>
      <c r="Y614" s="778"/>
      <c r="Z614" s="778"/>
      <c r="AA614" s="778"/>
      <c r="AB614" s="778"/>
      <c r="AC614" s="778"/>
      <c r="AD614" s="778"/>
      <c r="AE614" s="778"/>
      <c r="AF614" s="428"/>
      <c r="AG614" s="428"/>
      <c r="AH614" s="428"/>
      <c r="AI614" s="428"/>
      <c r="AJ614" s="428"/>
      <c r="AK614" s="428"/>
      <c r="AL614" s="428"/>
      <c r="AM614" s="326"/>
    </row>
    <row r="615" spans="1:39" ht="30" outlineLevel="1">
      <c r="A615" s="539">
        <v>10</v>
      </c>
      <c r="B615" s="438" t="s">
        <v>103</v>
      </c>
      <c r="C615" s="304" t="s">
        <v>25</v>
      </c>
      <c r="D615" s="308"/>
      <c r="E615" s="308"/>
      <c r="F615" s="308"/>
      <c r="G615" s="308"/>
      <c r="H615" s="308"/>
      <c r="I615" s="308"/>
      <c r="J615" s="308"/>
      <c r="K615" s="308"/>
      <c r="L615" s="308"/>
      <c r="M615" s="308"/>
      <c r="N615" s="308">
        <v>3</v>
      </c>
      <c r="O615" s="308"/>
      <c r="P615" s="308"/>
      <c r="Q615" s="308"/>
      <c r="R615" s="308"/>
      <c r="S615" s="308"/>
      <c r="T615" s="308"/>
      <c r="U615" s="308"/>
      <c r="V615" s="308"/>
      <c r="W615" s="308"/>
      <c r="X615" s="308"/>
      <c r="Y615" s="777"/>
      <c r="Z615" s="772"/>
      <c r="AA615" s="772"/>
      <c r="AB615" s="772"/>
      <c r="AC615" s="772"/>
      <c r="AD615" s="772"/>
      <c r="AE615" s="772"/>
      <c r="AF615" s="427"/>
      <c r="AG615" s="427"/>
      <c r="AH615" s="427"/>
      <c r="AI615" s="427"/>
      <c r="AJ615" s="427"/>
      <c r="AK615" s="427"/>
      <c r="AL615" s="427"/>
      <c r="AM615" s="309">
        <f>SUM(Y615:AL615)</f>
        <v>0</v>
      </c>
    </row>
    <row r="616" spans="1:39" ht="15" outlineLevel="1">
      <c r="A616" s="539"/>
      <c r="B616" s="307" t="s">
        <v>310</v>
      </c>
      <c r="C616" s="304" t="s">
        <v>163</v>
      </c>
      <c r="D616" s="308"/>
      <c r="E616" s="308"/>
      <c r="F616" s="308"/>
      <c r="G616" s="308"/>
      <c r="H616" s="308"/>
      <c r="I616" s="308"/>
      <c r="J616" s="308"/>
      <c r="K616" s="308"/>
      <c r="L616" s="308"/>
      <c r="M616" s="308"/>
      <c r="N616" s="308">
        <f>N615</f>
        <v>3</v>
      </c>
      <c r="O616" s="308"/>
      <c r="P616" s="308"/>
      <c r="Q616" s="308"/>
      <c r="R616" s="308"/>
      <c r="S616" s="308"/>
      <c r="T616" s="308"/>
      <c r="U616" s="308"/>
      <c r="V616" s="308"/>
      <c r="W616" s="308"/>
      <c r="X616" s="308"/>
      <c r="Y616" s="773">
        <f>Y615</f>
        <v>0</v>
      </c>
      <c r="Z616" s="773">
        <f t="shared" ref="Z616:AE616" si="1122">Z615</f>
        <v>0</v>
      </c>
      <c r="AA616" s="773">
        <f t="shared" si="1122"/>
        <v>0</v>
      </c>
      <c r="AB616" s="773">
        <f t="shared" si="1122"/>
        <v>0</v>
      </c>
      <c r="AC616" s="773">
        <f t="shared" si="1122"/>
        <v>0</v>
      </c>
      <c r="AD616" s="773">
        <f t="shared" si="1122"/>
        <v>0</v>
      </c>
      <c r="AE616" s="773">
        <f t="shared" si="1122"/>
        <v>0</v>
      </c>
      <c r="AF616" s="423">
        <f t="shared" ref="AF616" si="1123">AF615</f>
        <v>0</v>
      </c>
      <c r="AG616" s="423">
        <f t="shared" ref="AG616" si="1124">AG615</f>
        <v>0</v>
      </c>
      <c r="AH616" s="423">
        <f t="shared" ref="AH616" si="1125">AH615</f>
        <v>0</v>
      </c>
      <c r="AI616" s="423">
        <f t="shared" ref="AI616" si="1126">AI615</f>
        <v>0</v>
      </c>
      <c r="AJ616" s="423">
        <f t="shared" ref="AJ616" si="1127">AJ615</f>
        <v>0</v>
      </c>
      <c r="AK616" s="423">
        <f t="shared" ref="AK616" si="1128">AK615</f>
        <v>0</v>
      </c>
      <c r="AL616" s="423">
        <f t="shared" ref="AL616" si="1129">AL615</f>
        <v>0</v>
      </c>
      <c r="AM616" s="324"/>
    </row>
    <row r="617" spans="1:39" ht="15" outlineLevel="1">
      <c r="A617" s="539"/>
      <c r="B617" s="327"/>
      <c r="C617" s="325"/>
      <c r="D617" s="768"/>
      <c r="E617" s="768"/>
      <c r="F617" s="768"/>
      <c r="G617" s="768"/>
      <c r="H617" s="768"/>
      <c r="I617" s="768"/>
      <c r="J617" s="768"/>
      <c r="K617" s="768"/>
      <c r="L617" s="768"/>
      <c r="M617" s="768"/>
      <c r="N617" s="763"/>
      <c r="O617" s="768"/>
      <c r="P617" s="768"/>
      <c r="Q617" s="768"/>
      <c r="R617" s="768"/>
      <c r="S617" s="768"/>
      <c r="T617" s="768"/>
      <c r="U617" s="768"/>
      <c r="V617" s="768"/>
      <c r="W617" s="768"/>
      <c r="X617" s="768"/>
      <c r="Y617" s="778"/>
      <c r="Z617" s="779"/>
      <c r="AA617" s="778"/>
      <c r="AB617" s="778"/>
      <c r="AC617" s="778"/>
      <c r="AD617" s="778"/>
      <c r="AE617" s="778"/>
      <c r="AF617" s="428"/>
      <c r="AG617" s="428"/>
      <c r="AH617" s="428"/>
      <c r="AI617" s="428"/>
      <c r="AJ617" s="428"/>
      <c r="AK617" s="428"/>
      <c r="AL617" s="428"/>
      <c r="AM617" s="326"/>
    </row>
    <row r="618" spans="1:39" ht="15.6" outlineLevel="1">
      <c r="A618" s="539"/>
      <c r="B618" s="301" t="s">
        <v>10</v>
      </c>
      <c r="C618" s="302"/>
      <c r="D618" s="767"/>
      <c r="E618" s="767"/>
      <c r="F618" s="767"/>
      <c r="G618" s="767"/>
      <c r="H618" s="767"/>
      <c r="I618" s="767"/>
      <c r="J618" s="767"/>
      <c r="K618" s="767"/>
      <c r="L618" s="767"/>
      <c r="M618" s="767"/>
      <c r="N618" s="769"/>
      <c r="O618" s="767"/>
      <c r="P618" s="767"/>
      <c r="Q618" s="767"/>
      <c r="R618" s="767"/>
      <c r="S618" s="767"/>
      <c r="T618" s="767"/>
      <c r="U618" s="767"/>
      <c r="V618" s="767"/>
      <c r="W618" s="767"/>
      <c r="X618" s="767"/>
      <c r="Y618" s="776"/>
      <c r="Z618" s="776"/>
      <c r="AA618" s="776"/>
      <c r="AB618" s="776"/>
      <c r="AC618" s="776"/>
      <c r="AD618" s="776"/>
      <c r="AE618" s="776"/>
      <c r="AF618" s="426"/>
      <c r="AG618" s="426"/>
      <c r="AH618" s="426"/>
      <c r="AI618" s="426"/>
      <c r="AJ618" s="426"/>
      <c r="AK618" s="426"/>
      <c r="AL618" s="426"/>
      <c r="AM618" s="305"/>
    </row>
    <row r="619" spans="1:39" ht="30" outlineLevel="1">
      <c r="A619" s="539">
        <v>11</v>
      </c>
      <c r="B619" s="438" t="s">
        <v>104</v>
      </c>
      <c r="C619" s="304" t="s">
        <v>25</v>
      </c>
      <c r="D619" s="308"/>
      <c r="E619" s="308"/>
      <c r="F619" s="308"/>
      <c r="G619" s="308"/>
      <c r="H619" s="308"/>
      <c r="I619" s="308"/>
      <c r="J619" s="308"/>
      <c r="K619" s="308"/>
      <c r="L619" s="308"/>
      <c r="M619" s="308"/>
      <c r="N619" s="308">
        <v>12</v>
      </c>
      <c r="O619" s="308"/>
      <c r="P619" s="308"/>
      <c r="Q619" s="308"/>
      <c r="R619" s="308"/>
      <c r="S619" s="308"/>
      <c r="T619" s="308"/>
      <c r="U619" s="308"/>
      <c r="V619" s="308"/>
      <c r="W619" s="308"/>
      <c r="X619" s="308"/>
      <c r="Y619" s="789"/>
      <c r="Z619" s="772"/>
      <c r="AA619" s="772"/>
      <c r="AB619" s="772"/>
      <c r="AC619" s="772"/>
      <c r="AD619" s="772"/>
      <c r="AE619" s="772"/>
      <c r="AF619" s="427"/>
      <c r="AG619" s="427"/>
      <c r="AH619" s="427"/>
      <c r="AI619" s="427"/>
      <c r="AJ619" s="427"/>
      <c r="AK619" s="427"/>
      <c r="AL619" s="427"/>
      <c r="AM619" s="309">
        <f>SUM(Y619:AL619)</f>
        <v>0</v>
      </c>
    </row>
    <row r="620" spans="1:39" ht="15" outlineLevel="1">
      <c r="A620" s="539"/>
      <c r="B620" s="307" t="s">
        <v>310</v>
      </c>
      <c r="C620" s="304" t="s">
        <v>163</v>
      </c>
      <c r="D620" s="308"/>
      <c r="E620" s="308"/>
      <c r="F620" s="308"/>
      <c r="G620" s="308"/>
      <c r="H620" s="308"/>
      <c r="I620" s="308"/>
      <c r="J620" s="308"/>
      <c r="K620" s="308"/>
      <c r="L620" s="308"/>
      <c r="M620" s="308"/>
      <c r="N620" s="308">
        <f>N619</f>
        <v>12</v>
      </c>
      <c r="O620" s="308"/>
      <c r="P620" s="308"/>
      <c r="Q620" s="308"/>
      <c r="R620" s="308"/>
      <c r="S620" s="308"/>
      <c r="T620" s="308"/>
      <c r="U620" s="308"/>
      <c r="V620" s="308"/>
      <c r="W620" s="308"/>
      <c r="X620" s="308"/>
      <c r="Y620" s="773">
        <f>Y619</f>
        <v>0</v>
      </c>
      <c r="Z620" s="773">
        <f t="shared" ref="Z620:AE620" si="1130">Z619</f>
        <v>0</v>
      </c>
      <c r="AA620" s="773">
        <f t="shared" si="1130"/>
        <v>0</v>
      </c>
      <c r="AB620" s="773">
        <f t="shared" si="1130"/>
        <v>0</v>
      </c>
      <c r="AC620" s="773">
        <f t="shared" si="1130"/>
        <v>0</v>
      </c>
      <c r="AD620" s="773">
        <f t="shared" si="1130"/>
        <v>0</v>
      </c>
      <c r="AE620" s="773">
        <f t="shared" si="1130"/>
        <v>0</v>
      </c>
      <c r="AF620" s="423">
        <f t="shared" ref="AF620" si="1131">AF619</f>
        <v>0</v>
      </c>
      <c r="AG620" s="423">
        <f t="shared" ref="AG620" si="1132">AG619</f>
        <v>0</v>
      </c>
      <c r="AH620" s="423">
        <f t="shared" ref="AH620" si="1133">AH619</f>
        <v>0</v>
      </c>
      <c r="AI620" s="423">
        <f t="shared" ref="AI620" si="1134">AI619</f>
        <v>0</v>
      </c>
      <c r="AJ620" s="423">
        <f t="shared" ref="AJ620" si="1135">AJ619</f>
        <v>0</v>
      </c>
      <c r="AK620" s="423">
        <f t="shared" ref="AK620" si="1136">AK619</f>
        <v>0</v>
      </c>
      <c r="AL620" s="423">
        <f t="shared" ref="AL620" si="1137">AL619</f>
        <v>0</v>
      </c>
      <c r="AM620" s="310"/>
    </row>
    <row r="621" spans="1:39" ht="15" outlineLevel="1">
      <c r="A621" s="539"/>
      <c r="B621" s="328"/>
      <c r="C621" s="318"/>
      <c r="D621" s="763"/>
      <c r="E621" s="763"/>
      <c r="F621" s="763"/>
      <c r="G621" s="763"/>
      <c r="H621" s="763"/>
      <c r="I621" s="763"/>
      <c r="J621" s="763"/>
      <c r="K621" s="763"/>
      <c r="L621" s="763"/>
      <c r="M621" s="763"/>
      <c r="N621" s="763"/>
      <c r="O621" s="763"/>
      <c r="P621" s="763"/>
      <c r="Q621" s="763"/>
      <c r="R621" s="763"/>
      <c r="S621" s="763"/>
      <c r="T621" s="763"/>
      <c r="U621" s="763"/>
      <c r="V621" s="763"/>
      <c r="W621" s="763"/>
      <c r="X621" s="763"/>
      <c r="Y621" s="774"/>
      <c r="Z621" s="783"/>
      <c r="AA621" s="783"/>
      <c r="AB621" s="783"/>
      <c r="AC621" s="783"/>
      <c r="AD621" s="783"/>
      <c r="AE621" s="783"/>
      <c r="AF621" s="431"/>
      <c r="AG621" s="431"/>
      <c r="AH621" s="431"/>
      <c r="AI621" s="431"/>
      <c r="AJ621" s="431"/>
      <c r="AK621" s="431"/>
      <c r="AL621" s="431"/>
      <c r="AM621" s="319"/>
    </row>
    <row r="622" spans="1:39" ht="30" outlineLevel="1">
      <c r="A622" s="539">
        <v>12</v>
      </c>
      <c r="B622" s="438" t="s">
        <v>105</v>
      </c>
      <c r="C622" s="304" t="s">
        <v>25</v>
      </c>
      <c r="D622" s="308"/>
      <c r="E622" s="308"/>
      <c r="F622" s="308"/>
      <c r="G622" s="308"/>
      <c r="H622" s="308"/>
      <c r="I622" s="308"/>
      <c r="J622" s="308"/>
      <c r="K622" s="308"/>
      <c r="L622" s="308"/>
      <c r="M622" s="308"/>
      <c r="N622" s="308">
        <v>12</v>
      </c>
      <c r="O622" s="308"/>
      <c r="P622" s="308"/>
      <c r="Q622" s="308"/>
      <c r="R622" s="308"/>
      <c r="S622" s="308"/>
      <c r="T622" s="308"/>
      <c r="U622" s="308"/>
      <c r="V622" s="308"/>
      <c r="W622" s="308"/>
      <c r="X622" s="308"/>
      <c r="Y622" s="772"/>
      <c r="Z622" s="772"/>
      <c r="AA622" s="772"/>
      <c r="AB622" s="772"/>
      <c r="AC622" s="772"/>
      <c r="AD622" s="772"/>
      <c r="AE622" s="772"/>
      <c r="AF622" s="427"/>
      <c r="AG622" s="427"/>
      <c r="AH622" s="427"/>
      <c r="AI622" s="427"/>
      <c r="AJ622" s="427"/>
      <c r="AK622" s="427"/>
      <c r="AL622" s="427"/>
      <c r="AM622" s="309">
        <f>SUM(Y622:AL622)</f>
        <v>0</v>
      </c>
    </row>
    <row r="623" spans="1:39" ht="15" outlineLevel="1">
      <c r="A623" s="539"/>
      <c r="B623" s="307" t="s">
        <v>310</v>
      </c>
      <c r="C623" s="304" t="s">
        <v>163</v>
      </c>
      <c r="D623" s="308"/>
      <c r="E623" s="308"/>
      <c r="F623" s="308"/>
      <c r="G623" s="308"/>
      <c r="H623" s="308"/>
      <c r="I623" s="308"/>
      <c r="J623" s="308"/>
      <c r="K623" s="308"/>
      <c r="L623" s="308"/>
      <c r="M623" s="308"/>
      <c r="N623" s="308">
        <f>N622</f>
        <v>12</v>
      </c>
      <c r="O623" s="308"/>
      <c r="P623" s="308"/>
      <c r="Q623" s="308"/>
      <c r="R623" s="308"/>
      <c r="S623" s="308"/>
      <c r="T623" s="308"/>
      <c r="U623" s="308"/>
      <c r="V623" s="308"/>
      <c r="W623" s="308"/>
      <c r="X623" s="308"/>
      <c r="Y623" s="773">
        <f>Y622</f>
        <v>0</v>
      </c>
      <c r="Z623" s="773">
        <f t="shared" ref="Z623:AE623" si="1138">Z622</f>
        <v>0</v>
      </c>
      <c r="AA623" s="773">
        <f t="shared" si="1138"/>
        <v>0</v>
      </c>
      <c r="AB623" s="773">
        <f t="shared" si="1138"/>
        <v>0</v>
      </c>
      <c r="AC623" s="773">
        <f t="shared" si="1138"/>
        <v>0</v>
      </c>
      <c r="AD623" s="773">
        <f t="shared" si="1138"/>
        <v>0</v>
      </c>
      <c r="AE623" s="773">
        <f t="shared" si="1138"/>
        <v>0</v>
      </c>
      <c r="AF623" s="423">
        <f t="shared" ref="AF623" si="1139">AF622</f>
        <v>0</v>
      </c>
      <c r="AG623" s="423">
        <f t="shared" ref="AG623" si="1140">AG622</f>
        <v>0</v>
      </c>
      <c r="AH623" s="423">
        <f t="shared" ref="AH623" si="1141">AH622</f>
        <v>0</v>
      </c>
      <c r="AI623" s="423">
        <f t="shared" ref="AI623" si="1142">AI622</f>
        <v>0</v>
      </c>
      <c r="AJ623" s="423">
        <f t="shared" ref="AJ623" si="1143">AJ622</f>
        <v>0</v>
      </c>
      <c r="AK623" s="423">
        <f t="shared" ref="AK623" si="1144">AK622</f>
        <v>0</v>
      </c>
      <c r="AL623" s="423">
        <f t="shared" ref="AL623" si="1145">AL622</f>
        <v>0</v>
      </c>
      <c r="AM623" s="310"/>
    </row>
    <row r="624" spans="1:39" ht="15" outlineLevel="1">
      <c r="A624" s="539"/>
      <c r="B624" s="328"/>
      <c r="C624" s="318"/>
      <c r="D624" s="763"/>
      <c r="E624" s="763"/>
      <c r="F624" s="763"/>
      <c r="G624" s="763"/>
      <c r="H624" s="763"/>
      <c r="I624" s="763"/>
      <c r="J624" s="763"/>
      <c r="K624" s="763"/>
      <c r="L624" s="763"/>
      <c r="M624" s="763"/>
      <c r="N624" s="763"/>
      <c r="O624" s="763"/>
      <c r="P624" s="763"/>
      <c r="Q624" s="763"/>
      <c r="R624" s="763"/>
      <c r="S624" s="763"/>
      <c r="T624" s="763"/>
      <c r="U624" s="763"/>
      <c r="V624" s="763"/>
      <c r="W624" s="763"/>
      <c r="X624" s="763"/>
      <c r="Y624" s="784"/>
      <c r="Z624" s="784"/>
      <c r="AA624" s="774"/>
      <c r="AB624" s="774"/>
      <c r="AC624" s="774"/>
      <c r="AD624" s="774"/>
      <c r="AE624" s="774"/>
      <c r="AF624" s="424"/>
      <c r="AG624" s="424"/>
      <c r="AH624" s="424"/>
      <c r="AI624" s="424"/>
      <c r="AJ624" s="424"/>
      <c r="AK624" s="424"/>
      <c r="AL624" s="424"/>
      <c r="AM624" s="319"/>
    </row>
    <row r="625" spans="1:40" ht="30" outlineLevel="1">
      <c r="A625" s="539">
        <v>13</v>
      </c>
      <c r="B625" s="438" t="s">
        <v>106</v>
      </c>
      <c r="C625" s="304" t="s">
        <v>25</v>
      </c>
      <c r="D625" s="308"/>
      <c r="E625" s="308"/>
      <c r="F625" s="308"/>
      <c r="G625" s="308"/>
      <c r="H625" s="308"/>
      <c r="I625" s="308"/>
      <c r="J625" s="308"/>
      <c r="K625" s="308"/>
      <c r="L625" s="308"/>
      <c r="M625" s="308"/>
      <c r="N625" s="308">
        <v>12</v>
      </c>
      <c r="O625" s="308"/>
      <c r="P625" s="308"/>
      <c r="Q625" s="308"/>
      <c r="R625" s="308"/>
      <c r="S625" s="308"/>
      <c r="T625" s="308"/>
      <c r="U625" s="308"/>
      <c r="V625" s="308"/>
      <c r="W625" s="308"/>
      <c r="X625" s="308"/>
      <c r="Y625" s="772"/>
      <c r="Z625" s="772"/>
      <c r="AA625" s="772"/>
      <c r="AB625" s="772"/>
      <c r="AC625" s="772"/>
      <c r="AD625" s="772"/>
      <c r="AE625" s="772"/>
      <c r="AF625" s="427"/>
      <c r="AG625" s="427"/>
      <c r="AH625" s="427"/>
      <c r="AI625" s="427"/>
      <c r="AJ625" s="427"/>
      <c r="AK625" s="427"/>
      <c r="AL625" s="427"/>
      <c r="AM625" s="309">
        <f>SUM(Y625:AL625)</f>
        <v>0</v>
      </c>
    </row>
    <row r="626" spans="1:40" ht="15" outlineLevel="1">
      <c r="A626" s="539"/>
      <c r="B626" s="307" t="s">
        <v>310</v>
      </c>
      <c r="C626" s="304" t="s">
        <v>163</v>
      </c>
      <c r="D626" s="308"/>
      <c r="E626" s="308"/>
      <c r="F626" s="308"/>
      <c r="G626" s="308"/>
      <c r="H626" s="308"/>
      <c r="I626" s="308"/>
      <c r="J626" s="308"/>
      <c r="K626" s="308"/>
      <c r="L626" s="308"/>
      <c r="M626" s="308"/>
      <c r="N626" s="308">
        <f>N625</f>
        <v>12</v>
      </c>
      <c r="O626" s="308"/>
      <c r="P626" s="308"/>
      <c r="Q626" s="308"/>
      <c r="R626" s="308"/>
      <c r="S626" s="308"/>
      <c r="T626" s="308"/>
      <c r="U626" s="308"/>
      <c r="V626" s="308"/>
      <c r="W626" s="308"/>
      <c r="X626" s="308"/>
      <c r="Y626" s="773">
        <f>Y625</f>
        <v>0</v>
      </c>
      <c r="Z626" s="773">
        <f t="shared" ref="Z626:AE626" si="1146">Z625</f>
        <v>0</v>
      </c>
      <c r="AA626" s="773">
        <f t="shared" si="1146"/>
        <v>0</v>
      </c>
      <c r="AB626" s="773">
        <f t="shared" si="1146"/>
        <v>0</v>
      </c>
      <c r="AC626" s="773">
        <f t="shared" si="1146"/>
        <v>0</v>
      </c>
      <c r="AD626" s="773">
        <f t="shared" si="1146"/>
        <v>0</v>
      </c>
      <c r="AE626" s="773">
        <f t="shared" si="1146"/>
        <v>0</v>
      </c>
      <c r="AF626" s="423">
        <f t="shared" ref="AF626" si="1147">AF625</f>
        <v>0</v>
      </c>
      <c r="AG626" s="423">
        <f t="shared" ref="AG626" si="1148">AG625</f>
        <v>0</v>
      </c>
      <c r="AH626" s="423">
        <f t="shared" ref="AH626" si="1149">AH625</f>
        <v>0</v>
      </c>
      <c r="AI626" s="423">
        <f t="shared" ref="AI626" si="1150">AI625</f>
        <v>0</v>
      </c>
      <c r="AJ626" s="423">
        <f t="shared" ref="AJ626" si="1151">AJ625</f>
        <v>0</v>
      </c>
      <c r="AK626" s="423">
        <f t="shared" ref="AK626" si="1152">AK625</f>
        <v>0</v>
      </c>
      <c r="AL626" s="423">
        <f t="shared" ref="AL626" si="1153">AL625</f>
        <v>0</v>
      </c>
      <c r="AM626" s="319"/>
    </row>
    <row r="627" spans="1:40" ht="15" outlineLevel="1">
      <c r="A627" s="539"/>
      <c r="B627" s="328"/>
      <c r="C627" s="318"/>
      <c r="D627" s="763"/>
      <c r="E627" s="763"/>
      <c r="F627" s="763"/>
      <c r="G627" s="763"/>
      <c r="H627" s="763"/>
      <c r="I627" s="763"/>
      <c r="J627" s="763"/>
      <c r="K627" s="763"/>
      <c r="L627" s="763"/>
      <c r="M627" s="763"/>
      <c r="N627" s="763"/>
      <c r="O627" s="763"/>
      <c r="P627" s="763"/>
      <c r="Q627" s="763"/>
      <c r="R627" s="763"/>
      <c r="S627" s="763"/>
      <c r="T627" s="763"/>
      <c r="U627" s="763"/>
      <c r="V627" s="763"/>
      <c r="W627" s="763"/>
      <c r="X627" s="763"/>
      <c r="Y627" s="774"/>
      <c r="Z627" s="774"/>
      <c r="AA627" s="774"/>
      <c r="AB627" s="774"/>
      <c r="AC627" s="774"/>
      <c r="AD627" s="774"/>
      <c r="AE627" s="774"/>
      <c r="AF627" s="424"/>
      <c r="AG627" s="424"/>
      <c r="AH627" s="424"/>
      <c r="AI627" s="424"/>
      <c r="AJ627" s="424"/>
      <c r="AK627" s="424"/>
      <c r="AL627" s="424"/>
      <c r="AM627" s="319"/>
    </row>
    <row r="628" spans="1:40" ht="15.6" outlineLevel="1">
      <c r="A628" s="539"/>
      <c r="B628" s="301" t="s">
        <v>107</v>
      </c>
      <c r="C628" s="302"/>
      <c r="D628" s="769"/>
      <c r="E628" s="769"/>
      <c r="F628" s="769"/>
      <c r="G628" s="769"/>
      <c r="H628" s="769"/>
      <c r="I628" s="769"/>
      <c r="J628" s="769"/>
      <c r="K628" s="769"/>
      <c r="L628" s="769"/>
      <c r="M628" s="769"/>
      <c r="N628" s="769"/>
      <c r="O628" s="769"/>
      <c r="P628" s="767"/>
      <c r="Q628" s="767"/>
      <c r="R628" s="767"/>
      <c r="S628" s="767"/>
      <c r="T628" s="767"/>
      <c r="U628" s="767"/>
      <c r="V628" s="767"/>
      <c r="W628" s="767"/>
      <c r="X628" s="767"/>
      <c r="Y628" s="776"/>
      <c r="Z628" s="776"/>
      <c r="AA628" s="776"/>
      <c r="AB628" s="776"/>
      <c r="AC628" s="776"/>
      <c r="AD628" s="776"/>
      <c r="AE628" s="776"/>
      <c r="AF628" s="426"/>
      <c r="AG628" s="426"/>
      <c r="AH628" s="426"/>
      <c r="AI628" s="426"/>
      <c r="AJ628" s="426"/>
      <c r="AK628" s="426"/>
      <c r="AL628" s="426"/>
      <c r="AM628" s="305"/>
    </row>
    <row r="629" spans="1:40" ht="15" outlineLevel="1">
      <c r="A629" s="539">
        <v>14</v>
      </c>
      <c r="B629" s="328" t="s">
        <v>108</v>
      </c>
      <c r="C629" s="304" t="s">
        <v>25</v>
      </c>
      <c r="D629" s="308"/>
      <c r="E629" s="308"/>
      <c r="F629" s="308"/>
      <c r="G629" s="308"/>
      <c r="H629" s="308"/>
      <c r="I629" s="308"/>
      <c r="J629" s="308"/>
      <c r="K629" s="308"/>
      <c r="L629" s="308"/>
      <c r="M629" s="308"/>
      <c r="N629" s="308">
        <v>12</v>
      </c>
      <c r="O629" s="308"/>
      <c r="P629" s="308"/>
      <c r="Q629" s="308"/>
      <c r="R629" s="308"/>
      <c r="S629" s="308"/>
      <c r="T629" s="308"/>
      <c r="U629" s="308"/>
      <c r="V629" s="308"/>
      <c r="W629" s="308"/>
      <c r="X629" s="308"/>
      <c r="Y629" s="772"/>
      <c r="Z629" s="772"/>
      <c r="AA629" s="772"/>
      <c r="AB629" s="772"/>
      <c r="AC629" s="772"/>
      <c r="AD629" s="772"/>
      <c r="AE629" s="772"/>
      <c r="AF629" s="422"/>
      <c r="AG629" s="422"/>
      <c r="AH629" s="422"/>
      <c r="AI629" s="422"/>
      <c r="AJ629" s="422"/>
      <c r="AK629" s="422"/>
      <c r="AL629" s="422"/>
      <c r="AM629" s="309">
        <f>SUM(Y629:AL629)</f>
        <v>0</v>
      </c>
    </row>
    <row r="630" spans="1:40" ht="15" outlineLevel="1">
      <c r="A630" s="539"/>
      <c r="B630" s="307" t="s">
        <v>310</v>
      </c>
      <c r="C630" s="304" t="s">
        <v>163</v>
      </c>
      <c r="D630" s="308"/>
      <c r="E630" s="308"/>
      <c r="F630" s="308"/>
      <c r="G630" s="308"/>
      <c r="H630" s="308"/>
      <c r="I630" s="308"/>
      <c r="J630" s="308"/>
      <c r="K630" s="308"/>
      <c r="L630" s="308"/>
      <c r="M630" s="308"/>
      <c r="N630" s="308">
        <f>N629</f>
        <v>12</v>
      </c>
      <c r="O630" s="308"/>
      <c r="P630" s="308"/>
      <c r="Q630" s="308"/>
      <c r="R630" s="308"/>
      <c r="S630" s="308"/>
      <c r="T630" s="308"/>
      <c r="U630" s="308"/>
      <c r="V630" s="308"/>
      <c r="W630" s="308"/>
      <c r="X630" s="308"/>
      <c r="Y630" s="773">
        <f>Y629</f>
        <v>0</v>
      </c>
      <c r="Z630" s="773">
        <f t="shared" ref="Z630:AE630" si="1154">Z629</f>
        <v>0</v>
      </c>
      <c r="AA630" s="773">
        <f t="shared" si="1154"/>
        <v>0</v>
      </c>
      <c r="AB630" s="773">
        <f t="shared" si="1154"/>
        <v>0</v>
      </c>
      <c r="AC630" s="773">
        <f t="shared" si="1154"/>
        <v>0</v>
      </c>
      <c r="AD630" s="773">
        <f t="shared" si="1154"/>
        <v>0</v>
      </c>
      <c r="AE630" s="773">
        <f t="shared" si="1154"/>
        <v>0</v>
      </c>
      <c r="AF630" s="423">
        <f t="shared" ref="AF630" si="1155">AF629</f>
        <v>0</v>
      </c>
      <c r="AG630" s="423">
        <f t="shared" ref="AG630" si="1156">AG629</f>
        <v>0</v>
      </c>
      <c r="AH630" s="423">
        <f t="shared" ref="AH630" si="1157">AH629</f>
        <v>0</v>
      </c>
      <c r="AI630" s="423">
        <f t="shared" ref="AI630" si="1158">AI629</f>
        <v>0</v>
      </c>
      <c r="AJ630" s="423">
        <f t="shared" ref="AJ630" si="1159">AJ629</f>
        <v>0</v>
      </c>
      <c r="AK630" s="423">
        <f t="shared" ref="AK630" si="1160">AK629</f>
        <v>0</v>
      </c>
      <c r="AL630" s="423">
        <f t="shared" ref="AL630" si="1161">AL629</f>
        <v>0</v>
      </c>
      <c r="AM630" s="523"/>
      <c r="AN630" s="636"/>
    </row>
    <row r="631" spans="1:40" ht="15" outlineLevel="1">
      <c r="A631" s="539"/>
      <c r="B631" s="328"/>
      <c r="C631" s="318"/>
      <c r="D631" s="763"/>
      <c r="E631" s="763"/>
      <c r="F631" s="763"/>
      <c r="G631" s="763"/>
      <c r="H631" s="763"/>
      <c r="I631" s="763"/>
      <c r="J631" s="763"/>
      <c r="K631" s="763"/>
      <c r="L631" s="763"/>
      <c r="M631" s="763"/>
      <c r="N631" s="764"/>
      <c r="O631" s="763"/>
      <c r="P631" s="763"/>
      <c r="Q631" s="763"/>
      <c r="R631" s="763"/>
      <c r="S631" s="763"/>
      <c r="T631" s="763"/>
      <c r="U631" s="763"/>
      <c r="V631" s="763"/>
      <c r="W631" s="763"/>
      <c r="X631" s="763"/>
      <c r="Y631" s="774"/>
      <c r="Z631" s="774"/>
      <c r="AA631" s="774"/>
      <c r="AB631" s="774"/>
      <c r="AC631" s="774"/>
      <c r="AD631" s="774"/>
      <c r="AE631" s="774"/>
      <c r="AF631" s="424"/>
      <c r="AG631" s="424"/>
      <c r="AH631" s="424"/>
      <c r="AI631" s="424"/>
      <c r="AJ631" s="424"/>
      <c r="AK631" s="424"/>
      <c r="AL631" s="424"/>
      <c r="AM631" s="314"/>
      <c r="AN631" s="636"/>
    </row>
    <row r="632" spans="1:40" s="322" customFormat="1" ht="15.6" outlineLevel="1">
      <c r="A632" s="539"/>
      <c r="B632" s="301" t="s">
        <v>489</v>
      </c>
      <c r="C632" s="304"/>
      <c r="D632" s="763"/>
      <c r="E632" s="763"/>
      <c r="F632" s="763"/>
      <c r="G632" s="763"/>
      <c r="H632" s="763"/>
      <c r="I632" s="763"/>
      <c r="J632" s="763"/>
      <c r="K632" s="763"/>
      <c r="L632" s="763"/>
      <c r="M632" s="763"/>
      <c r="N632" s="763"/>
      <c r="O632" s="763"/>
      <c r="P632" s="763"/>
      <c r="Q632" s="763"/>
      <c r="R632" s="763"/>
      <c r="S632" s="763"/>
      <c r="T632" s="763"/>
      <c r="U632" s="763"/>
      <c r="V632" s="763"/>
      <c r="W632" s="763"/>
      <c r="X632" s="763"/>
      <c r="Y632" s="774"/>
      <c r="Z632" s="774"/>
      <c r="AA632" s="774"/>
      <c r="AB632" s="774"/>
      <c r="AC632" s="774"/>
      <c r="AD632" s="774"/>
      <c r="AE632" s="778"/>
      <c r="AF632" s="428"/>
      <c r="AG632" s="428"/>
      <c r="AH632" s="428"/>
      <c r="AI632" s="428"/>
      <c r="AJ632" s="428"/>
      <c r="AK632" s="428"/>
      <c r="AL632" s="428"/>
      <c r="AM632" s="524"/>
      <c r="AN632" s="637"/>
    </row>
    <row r="633" spans="1:40" ht="15" outlineLevel="1">
      <c r="A633" s="539">
        <v>15</v>
      </c>
      <c r="B633" s="307" t="s">
        <v>494</v>
      </c>
      <c r="C633" s="304" t="s">
        <v>25</v>
      </c>
      <c r="D633" s="308"/>
      <c r="E633" s="308"/>
      <c r="F633" s="308"/>
      <c r="G633" s="308"/>
      <c r="H633" s="308"/>
      <c r="I633" s="308"/>
      <c r="J633" s="308"/>
      <c r="K633" s="308"/>
      <c r="L633" s="308"/>
      <c r="M633" s="308"/>
      <c r="N633" s="308">
        <v>0</v>
      </c>
      <c r="O633" s="308"/>
      <c r="P633" s="308"/>
      <c r="Q633" s="308"/>
      <c r="R633" s="308"/>
      <c r="S633" s="308"/>
      <c r="T633" s="308"/>
      <c r="U633" s="308"/>
      <c r="V633" s="308"/>
      <c r="W633" s="308"/>
      <c r="X633" s="308"/>
      <c r="Y633" s="772"/>
      <c r="Z633" s="772"/>
      <c r="AA633" s="772"/>
      <c r="AB633" s="772"/>
      <c r="AC633" s="772"/>
      <c r="AD633" s="772"/>
      <c r="AE633" s="772"/>
      <c r="AF633" s="422"/>
      <c r="AG633" s="422"/>
      <c r="AH633" s="422"/>
      <c r="AI633" s="422"/>
      <c r="AJ633" s="422"/>
      <c r="AK633" s="422"/>
      <c r="AL633" s="422"/>
      <c r="AM633" s="309">
        <f>SUM(Y633:AL633)</f>
        <v>0</v>
      </c>
    </row>
    <row r="634" spans="1:40" ht="15" outlineLevel="1">
      <c r="A634" s="539"/>
      <c r="B634" s="307" t="s">
        <v>310</v>
      </c>
      <c r="C634" s="304" t="s">
        <v>163</v>
      </c>
      <c r="D634" s="308"/>
      <c r="E634" s="308"/>
      <c r="F634" s="308"/>
      <c r="G634" s="308"/>
      <c r="H634" s="308"/>
      <c r="I634" s="308"/>
      <c r="J634" s="308"/>
      <c r="K634" s="308"/>
      <c r="L634" s="308"/>
      <c r="M634" s="308"/>
      <c r="N634" s="308">
        <f>N633</f>
        <v>0</v>
      </c>
      <c r="O634" s="308"/>
      <c r="P634" s="308"/>
      <c r="Q634" s="308"/>
      <c r="R634" s="308"/>
      <c r="S634" s="308"/>
      <c r="T634" s="308"/>
      <c r="U634" s="308"/>
      <c r="V634" s="308"/>
      <c r="W634" s="308"/>
      <c r="X634" s="308"/>
      <c r="Y634" s="773">
        <f>Y633</f>
        <v>0</v>
      </c>
      <c r="Z634" s="773">
        <f t="shared" ref="Z634:AE634" si="1162">Z633</f>
        <v>0</v>
      </c>
      <c r="AA634" s="773">
        <f t="shared" si="1162"/>
        <v>0</v>
      </c>
      <c r="AB634" s="773">
        <f t="shared" si="1162"/>
        <v>0</v>
      </c>
      <c r="AC634" s="773">
        <f t="shared" si="1162"/>
        <v>0</v>
      </c>
      <c r="AD634" s="773">
        <f t="shared" si="1162"/>
        <v>0</v>
      </c>
      <c r="AE634" s="773">
        <f t="shared" si="1162"/>
        <v>0</v>
      </c>
      <c r="AF634" s="423">
        <f t="shared" ref="AF634:AL634" si="1163">AF633</f>
        <v>0</v>
      </c>
      <c r="AG634" s="423">
        <f t="shared" si="1163"/>
        <v>0</v>
      </c>
      <c r="AH634" s="423">
        <f t="shared" si="1163"/>
        <v>0</v>
      </c>
      <c r="AI634" s="423">
        <f t="shared" si="1163"/>
        <v>0</v>
      </c>
      <c r="AJ634" s="423">
        <f t="shared" si="1163"/>
        <v>0</v>
      </c>
      <c r="AK634" s="423">
        <f t="shared" si="1163"/>
        <v>0</v>
      </c>
      <c r="AL634" s="423">
        <f t="shared" si="1163"/>
        <v>0</v>
      </c>
      <c r="AM634" s="310"/>
    </row>
    <row r="635" spans="1:40" ht="15" outlineLevel="1">
      <c r="A635" s="539"/>
      <c r="B635" s="328"/>
      <c r="C635" s="318"/>
      <c r="D635" s="763"/>
      <c r="E635" s="763"/>
      <c r="F635" s="763"/>
      <c r="G635" s="763"/>
      <c r="H635" s="763"/>
      <c r="I635" s="763"/>
      <c r="J635" s="763"/>
      <c r="K635" s="763"/>
      <c r="L635" s="763"/>
      <c r="M635" s="763"/>
      <c r="N635" s="763"/>
      <c r="O635" s="763"/>
      <c r="P635" s="763"/>
      <c r="Q635" s="763"/>
      <c r="R635" s="763"/>
      <c r="S635" s="763"/>
      <c r="T635" s="763"/>
      <c r="U635" s="763"/>
      <c r="V635" s="763"/>
      <c r="W635" s="763"/>
      <c r="X635" s="763"/>
      <c r="Y635" s="774"/>
      <c r="Z635" s="774"/>
      <c r="AA635" s="774"/>
      <c r="AB635" s="774"/>
      <c r="AC635" s="774"/>
      <c r="AD635" s="774"/>
      <c r="AE635" s="774"/>
      <c r="AF635" s="424"/>
      <c r="AG635" s="424"/>
      <c r="AH635" s="424"/>
      <c r="AI635" s="424"/>
      <c r="AJ635" s="424"/>
      <c r="AK635" s="424"/>
      <c r="AL635" s="424"/>
      <c r="AM635" s="319"/>
    </row>
    <row r="636" spans="1:40" s="296" customFormat="1" ht="15" outlineLevel="1">
      <c r="A636" s="539">
        <v>16</v>
      </c>
      <c r="B636" s="336" t="s">
        <v>490</v>
      </c>
      <c r="C636" s="304" t="s">
        <v>25</v>
      </c>
      <c r="D636" s="308"/>
      <c r="E636" s="308"/>
      <c r="F636" s="308"/>
      <c r="G636" s="308"/>
      <c r="H636" s="308"/>
      <c r="I636" s="308"/>
      <c r="J636" s="308"/>
      <c r="K636" s="308"/>
      <c r="L636" s="308"/>
      <c r="M636" s="308"/>
      <c r="N636" s="308">
        <v>0</v>
      </c>
      <c r="O636" s="308"/>
      <c r="P636" s="308"/>
      <c r="Q636" s="308"/>
      <c r="R636" s="308"/>
      <c r="S636" s="308"/>
      <c r="T636" s="308"/>
      <c r="U636" s="308"/>
      <c r="V636" s="308"/>
      <c r="W636" s="308"/>
      <c r="X636" s="308"/>
      <c r="Y636" s="772"/>
      <c r="Z636" s="772"/>
      <c r="AA636" s="772"/>
      <c r="AB636" s="772"/>
      <c r="AC636" s="772"/>
      <c r="AD636" s="772"/>
      <c r="AE636" s="772"/>
      <c r="AF636" s="422"/>
      <c r="AG636" s="422"/>
      <c r="AH636" s="422"/>
      <c r="AI636" s="422"/>
      <c r="AJ636" s="422"/>
      <c r="AK636" s="422"/>
      <c r="AL636" s="422"/>
      <c r="AM636" s="309">
        <f>SUM(Y636:AL636)</f>
        <v>0</v>
      </c>
    </row>
    <row r="637" spans="1:40" s="296" customFormat="1" ht="15" outlineLevel="1">
      <c r="A637" s="539"/>
      <c r="B637" s="307" t="s">
        <v>310</v>
      </c>
      <c r="C637" s="304" t="s">
        <v>163</v>
      </c>
      <c r="D637" s="308"/>
      <c r="E637" s="308"/>
      <c r="F637" s="308"/>
      <c r="G637" s="308"/>
      <c r="H637" s="308"/>
      <c r="I637" s="308"/>
      <c r="J637" s="308"/>
      <c r="K637" s="308"/>
      <c r="L637" s="308"/>
      <c r="M637" s="308"/>
      <c r="N637" s="308">
        <f>N636</f>
        <v>0</v>
      </c>
      <c r="O637" s="308"/>
      <c r="P637" s="308"/>
      <c r="Q637" s="308"/>
      <c r="R637" s="308"/>
      <c r="S637" s="308"/>
      <c r="T637" s="308"/>
      <c r="U637" s="308"/>
      <c r="V637" s="308"/>
      <c r="W637" s="308"/>
      <c r="X637" s="308"/>
      <c r="Y637" s="773">
        <f>Y636</f>
        <v>0</v>
      </c>
      <c r="Z637" s="773">
        <f t="shared" ref="Z637:AE637" si="1164">Z636</f>
        <v>0</v>
      </c>
      <c r="AA637" s="773">
        <f t="shared" si="1164"/>
        <v>0</v>
      </c>
      <c r="AB637" s="773">
        <f t="shared" si="1164"/>
        <v>0</v>
      </c>
      <c r="AC637" s="773">
        <f t="shared" si="1164"/>
        <v>0</v>
      </c>
      <c r="AD637" s="773">
        <f t="shared" si="1164"/>
        <v>0</v>
      </c>
      <c r="AE637" s="773">
        <f t="shared" si="1164"/>
        <v>0</v>
      </c>
      <c r="AF637" s="423">
        <f t="shared" ref="AF637:AL637" si="1165">AF636</f>
        <v>0</v>
      </c>
      <c r="AG637" s="423">
        <f t="shared" si="1165"/>
        <v>0</v>
      </c>
      <c r="AH637" s="423">
        <f t="shared" si="1165"/>
        <v>0</v>
      </c>
      <c r="AI637" s="423">
        <f t="shared" si="1165"/>
        <v>0</v>
      </c>
      <c r="AJ637" s="423">
        <f t="shared" si="1165"/>
        <v>0</v>
      </c>
      <c r="AK637" s="423">
        <f t="shared" si="1165"/>
        <v>0</v>
      </c>
      <c r="AL637" s="423">
        <f t="shared" si="1165"/>
        <v>0</v>
      </c>
      <c r="AM637" s="310"/>
    </row>
    <row r="638" spans="1:40" s="296" customFormat="1" ht="15" outlineLevel="1">
      <c r="A638" s="539"/>
      <c r="B638" s="336"/>
      <c r="C638" s="304"/>
      <c r="D638" s="763"/>
      <c r="E638" s="763"/>
      <c r="F638" s="763"/>
      <c r="G638" s="763"/>
      <c r="H638" s="763"/>
      <c r="I638" s="763"/>
      <c r="J638" s="763"/>
      <c r="K638" s="763"/>
      <c r="L638" s="763"/>
      <c r="M638" s="763"/>
      <c r="N638" s="763"/>
      <c r="O638" s="763"/>
      <c r="P638" s="763"/>
      <c r="Q638" s="763"/>
      <c r="R638" s="763"/>
      <c r="S638" s="763"/>
      <c r="T638" s="763"/>
      <c r="U638" s="763"/>
      <c r="V638" s="763"/>
      <c r="W638" s="763"/>
      <c r="X638" s="763"/>
      <c r="Y638" s="774"/>
      <c r="Z638" s="774"/>
      <c r="AA638" s="774"/>
      <c r="AB638" s="774"/>
      <c r="AC638" s="774"/>
      <c r="AD638" s="774"/>
      <c r="AE638" s="778"/>
      <c r="AF638" s="428"/>
      <c r="AG638" s="428"/>
      <c r="AH638" s="428"/>
      <c r="AI638" s="428"/>
      <c r="AJ638" s="428"/>
      <c r="AK638" s="428"/>
      <c r="AL638" s="428"/>
      <c r="AM638" s="326"/>
    </row>
    <row r="639" spans="1:40" ht="15.6" outlineLevel="1">
      <c r="A639" s="539"/>
      <c r="B639" s="526" t="s">
        <v>495</v>
      </c>
      <c r="C639" s="332"/>
      <c r="D639" s="769"/>
      <c r="E639" s="767"/>
      <c r="F639" s="767"/>
      <c r="G639" s="767"/>
      <c r="H639" s="767"/>
      <c r="I639" s="767"/>
      <c r="J639" s="767"/>
      <c r="K639" s="767"/>
      <c r="L639" s="767"/>
      <c r="M639" s="767"/>
      <c r="N639" s="769"/>
      <c r="O639" s="767"/>
      <c r="P639" s="767"/>
      <c r="Q639" s="767"/>
      <c r="R639" s="767"/>
      <c r="S639" s="767"/>
      <c r="T639" s="767"/>
      <c r="U639" s="767"/>
      <c r="V639" s="767"/>
      <c r="W639" s="767"/>
      <c r="X639" s="767"/>
      <c r="Y639" s="776"/>
      <c r="Z639" s="776"/>
      <c r="AA639" s="776"/>
      <c r="AB639" s="776"/>
      <c r="AC639" s="776"/>
      <c r="AD639" s="776"/>
      <c r="AE639" s="776"/>
      <c r="AF639" s="426"/>
      <c r="AG639" s="426"/>
      <c r="AH639" s="426"/>
      <c r="AI639" s="426"/>
      <c r="AJ639" s="426"/>
      <c r="AK639" s="426"/>
      <c r="AL639" s="426"/>
      <c r="AM639" s="305"/>
    </row>
    <row r="640" spans="1:40" ht="15" outlineLevel="1">
      <c r="A640" s="539">
        <v>17</v>
      </c>
      <c r="B640" s="438" t="s">
        <v>112</v>
      </c>
      <c r="C640" s="304" t="s">
        <v>25</v>
      </c>
      <c r="D640" s="308"/>
      <c r="E640" s="308"/>
      <c r="F640" s="308"/>
      <c r="G640" s="308"/>
      <c r="H640" s="308"/>
      <c r="I640" s="308"/>
      <c r="J640" s="308"/>
      <c r="K640" s="308"/>
      <c r="L640" s="308"/>
      <c r="M640" s="308"/>
      <c r="N640" s="308">
        <v>12</v>
      </c>
      <c r="O640" s="308"/>
      <c r="P640" s="308"/>
      <c r="Q640" s="308"/>
      <c r="R640" s="308"/>
      <c r="S640" s="308"/>
      <c r="T640" s="308"/>
      <c r="U640" s="308"/>
      <c r="V640" s="308"/>
      <c r="W640" s="308"/>
      <c r="X640" s="308"/>
      <c r="Y640" s="789"/>
      <c r="Z640" s="772"/>
      <c r="AA640" s="772"/>
      <c r="AB640" s="772"/>
      <c r="AC640" s="772"/>
      <c r="AD640" s="772"/>
      <c r="AE640" s="772"/>
      <c r="AF640" s="427"/>
      <c r="AG640" s="427"/>
      <c r="AH640" s="427"/>
      <c r="AI640" s="427"/>
      <c r="AJ640" s="427"/>
      <c r="AK640" s="427"/>
      <c r="AL640" s="427"/>
      <c r="AM640" s="309">
        <f>SUM(Y640:AL640)</f>
        <v>0</v>
      </c>
    </row>
    <row r="641" spans="1:39" ht="15" outlineLevel="1">
      <c r="A641" s="539"/>
      <c r="B641" s="307" t="s">
        <v>310</v>
      </c>
      <c r="C641" s="304" t="s">
        <v>163</v>
      </c>
      <c r="D641" s="308"/>
      <c r="E641" s="308"/>
      <c r="F641" s="308"/>
      <c r="G641" s="308"/>
      <c r="H641" s="308"/>
      <c r="I641" s="308"/>
      <c r="J641" s="308"/>
      <c r="K641" s="308"/>
      <c r="L641" s="308"/>
      <c r="M641" s="308"/>
      <c r="N641" s="308">
        <f>N640</f>
        <v>12</v>
      </c>
      <c r="O641" s="308"/>
      <c r="P641" s="308"/>
      <c r="Q641" s="308"/>
      <c r="R641" s="308"/>
      <c r="S641" s="308"/>
      <c r="T641" s="308"/>
      <c r="U641" s="308"/>
      <c r="V641" s="308"/>
      <c r="W641" s="308"/>
      <c r="X641" s="308"/>
      <c r="Y641" s="773">
        <f>Y640</f>
        <v>0</v>
      </c>
      <c r="Z641" s="773">
        <f t="shared" ref="Z641:AE641" si="1166">Z640</f>
        <v>0</v>
      </c>
      <c r="AA641" s="773">
        <f t="shared" si="1166"/>
        <v>0</v>
      </c>
      <c r="AB641" s="773">
        <f t="shared" si="1166"/>
        <v>0</v>
      </c>
      <c r="AC641" s="773">
        <f t="shared" si="1166"/>
        <v>0</v>
      </c>
      <c r="AD641" s="773">
        <f t="shared" si="1166"/>
        <v>0</v>
      </c>
      <c r="AE641" s="773">
        <f t="shared" si="1166"/>
        <v>0</v>
      </c>
      <c r="AF641" s="423">
        <f t="shared" ref="AF641:AL641" si="1167">AF640</f>
        <v>0</v>
      </c>
      <c r="AG641" s="423">
        <f t="shared" si="1167"/>
        <v>0</v>
      </c>
      <c r="AH641" s="423">
        <f t="shared" si="1167"/>
        <v>0</v>
      </c>
      <c r="AI641" s="423">
        <f t="shared" si="1167"/>
        <v>0</v>
      </c>
      <c r="AJ641" s="423">
        <f t="shared" si="1167"/>
        <v>0</v>
      </c>
      <c r="AK641" s="423">
        <f t="shared" si="1167"/>
        <v>0</v>
      </c>
      <c r="AL641" s="423">
        <f t="shared" si="1167"/>
        <v>0</v>
      </c>
      <c r="AM641" s="319"/>
    </row>
    <row r="642" spans="1:39" ht="15" outlineLevel="1">
      <c r="A642" s="539"/>
      <c r="B642" s="307"/>
      <c r="C642" s="304"/>
      <c r="D642" s="763"/>
      <c r="E642" s="763"/>
      <c r="F642" s="763"/>
      <c r="G642" s="763"/>
      <c r="H642" s="763"/>
      <c r="I642" s="763"/>
      <c r="J642" s="763"/>
      <c r="K642" s="763"/>
      <c r="L642" s="763"/>
      <c r="M642" s="763"/>
      <c r="N642" s="763"/>
      <c r="O642" s="763"/>
      <c r="P642" s="763"/>
      <c r="Q642" s="763"/>
      <c r="R642" s="763"/>
      <c r="S642" s="763"/>
      <c r="T642" s="763"/>
      <c r="U642" s="763"/>
      <c r="V642" s="763"/>
      <c r="W642" s="763"/>
      <c r="X642" s="763"/>
      <c r="Y642" s="784"/>
      <c r="Z642" s="793"/>
      <c r="AA642" s="793"/>
      <c r="AB642" s="793"/>
      <c r="AC642" s="793"/>
      <c r="AD642" s="793"/>
      <c r="AE642" s="793"/>
      <c r="AF642" s="435"/>
      <c r="AG642" s="435"/>
      <c r="AH642" s="435"/>
      <c r="AI642" s="435"/>
      <c r="AJ642" s="435"/>
      <c r="AK642" s="435"/>
      <c r="AL642" s="435"/>
      <c r="AM642" s="319"/>
    </row>
    <row r="643" spans="1:39" ht="15" outlineLevel="1">
      <c r="A643" s="539">
        <v>18</v>
      </c>
      <c r="B643" s="438" t="s">
        <v>109</v>
      </c>
      <c r="C643" s="304" t="s">
        <v>25</v>
      </c>
      <c r="D643" s="308"/>
      <c r="E643" s="308"/>
      <c r="F643" s="308"/>
      <c r="G643" s="308"/>
      <c r="H643" s="308"/>
      <c r="I643" s="308"/>
      <c r="J643" s="308"/>
      <c r="K643" s="308"/>
      <c r="L643" s="308"/>
      <c r="M643" s="308"/>
      <c r="N643" s="308">
        <v>12</v>
      </c>
      <c r="O643" s="308"/>
      <c r="P643" s="308"/>
      <c r="Q643" s="308"/>
      <c r="R643" s="308"/>
      <c r="S643" s="308"/>
      <c r="T643" s="308"/>
      <c r="U643" s="308"/>
      <c r="V643" s="308"/>
      <c r="W643" s="308"/>
      <c r="X643" s="308"/>
      <c r="Y643" s="789"/>
      <c r="Z643" s="772"/>
      <c r="AA643" s="772"/>
      <c r="AB643" s="772"/>
      <c r="AC643" s="772"/>
      <c r="AD643" s="772"/>
      <c r="AE643" s="772"/>
      <c r="AF643" s="427"/>
      <c r="AG643" s="427"/>
      <c r="AH643" s="427"/>
      <c r="AI643" s="427"/>
      <c r="AJ643" s="427"/>
      <c r="AK643" s="427"/>
      <c r="AL643" s="427"/>
      <c r="AM643" s="309">
        <f>SUM(Y643:AL643)</f>
        <v>0</v>
      </c>
    </row>
    <row r="644" spans="1:39" ht="15" outlineLevel="1">
      <c r="A644" s="539"/>
      <c r="B644" s="307" t="s">
        <v>310</v>
      </c>
      <c r="C644" s="304" t="s">
        <v>163</v>
      </c>
      <c r="D644" s="308"/>
      <c r="E644" s="308"/>
      <c r="F644" s="308"/>
      <c r="G644" s="308"/>
      <c r="H644" s="308"/>
      <c r="I644" s="308"/>
      <c r="J644" s="308"/>
      <c r="K644" s="308"/>
      <c r="L644" s="308"/>
      <c r="M644" s="308"/>
      <c r="N644" s="308">
        <f>N643</f>
        <v>12</v>
      </c>
      <c r="O644" s="308"/>
      <c r="P644" s="308"/>
      <c r="Q644" s="308"/>
      <c r="R644" s="308"/>
      <c r="S644" s="308"/>
      <c r="T644" s="308"/>
      <c r="U644" s="308"/>
      <c r="V644" s="308"/>
      <c r="W644" s="308"/>
      <c r="X644" s="308"/>
      <c r="Y644" s="773">
        <f>Y643</f>
        <v>0</v>
      </c>
      <c r="Z644" s="773">
        <f t="shared" ref="Z644:AE644" si="1168">Z643</f>
        <v>0</v>
      </c>
      <c r="AA644" s="773">
        <f t="shared" si="1168"/>
        <v>0</v>
      </c>
      <c r="AB644" s="773">
        <f t="shared" si="1168"/>
        <v>0</v>
      </c>
      <c r="AC644" s="773">
        <f t="shared" si="1168"/>
        <v>0</v>
      </c>
      <c r="AD644" s="773">
        <f t="shared" si="1168"/>
        <v>0</v>
      </c>
      <c r="AE644" s="773">
        <f t="shared" si="1168"/>
        <v>0</v>
      </c>
      <c r="AF644" s="423">
        <f t="shared" ref="AF644:AL644" si="1169">AF643</f>
        <v>0</v>
      </c>
      <c r="AG644" s="423">
        <f t="shared" si="1169"/>
        <v>0</v>
      </c>
      <c r="AH644" s="423">
        <f t="shared" si="1169"/>
        <v>0</v>
      </c>
      <c r="AI644" s="423">
        <f t="shared" si="1169"/>
        <v>0</v>
      </c>
      <c r="AJ644" s="423">
        <f t="shared" si="1169"/>
        <v>0</v>
      </c>
      <c r="AK644" s="423">
        <f t="shared" si="1169"/>
        <v>0</v>
      </c>
      <c r="AL644" s="423">
        <f t="shared" si="1169"/>
        <v>0</v>
      </c>
      <c r="AM644" s="319"/>
    </row>
    <row r="645" spans="1:39" ht="15" outlineLevel="1">
      <c r="A645" s="539"/>
      <c r="B645" s="334"/>
      <c r="C645" s="304"/>
      <c r="D645" s="763"/>
      <c r="E645" s="763"/>
      <c r="F645" s="763"/>
      <c r="G645" s="763"/>
      <c r="H645" s="763"/>
      <c r="I645" s="763"/>
      <c r="J645" s="763"/>
      <c r="K645" s="763"/>
      <c r="L645" s="763"/>
      <c r="M645" s="763"/>
      <c r="N645" s="763"/>
      <c r="O645" s="763"/>
      <c r="P645" s="763"/>
      <c r="Q645" s="763"/>
      <c r="R645" s="763"/>
      <c r="S645" s="763"/>
      <c r="T645" s="763"/>
      <c r="U645" s="763"/>
      <c r="V645" s="763"/>
      <c r="W645" s="763"/>
      <c r="X645" s="763"/>
      <c r="Y645" s="785"/>
      <c r="Z645" s="786"/>
      <c r="AA645" s="786"/>
      <c r="AB645" s="786"/>
      <c r="AC645" s="786"/>
      <c r="AD645" s="786"/>
      <c r="AE645" s="786"/>
      <c r="AF645" s="434"/>
      <c r="AG645" s="434"/>
      <c r="AH645" s="434"/>
      <c r="AI645" s="434"/>
      <c r="AJ645" s="434"/>
      <c r="AK645" s="434"/>
      <c r="AL645" s="434"/>
      <c r="AM645" s="310"/>
    </row>
    <row r="646" spans="1:39" ht="15" outlineLevel="1">
      <c r="A646" s="539">
        <v>19</v>
      </c>
      <c r="B646" s="438" t="s">
        <v>111</v>
      </c>
      <c r="C646" s="304" t="s">
        <v>25</v>
      </c>
      <c r="D646" s="308"/>
      <c r="E646" s="308"/>
      <c r="F646" s="308"/>
      <c r="G646" s="308"/>
      <c r="H646" s="308"/>
      <c r="I646" s="308"/>
      <c r="J646" s="308"/>
      <c r="K646" s="308"/>
      <c r="L646" s="308"/>
      <c r="M646" s="308"/>
      <c r="N646" s="308">
        <v>12</v>
      </c>
      <c r="O646" s="308"/>
      <c r="P646" s="308"/>
      <c r="Q646" s="308"/>
      <c r="R646" s="308"/>
      <c r="S646" s="308"/>
      <c r="T646" s="308"/>
      <c r="U646" s="308"/>
      <c r="V646" s="308"/>
      <c r="W646" s="308"/>
      <c r="X646" s="308"/>
      <c r="Y646" s="789"/>
      <c r="Z646" s="772"/>
      <c r="AA646" s="772"/>
      <c r="AB646" s="772"/>
      <c r="AC646" s="772"/>
      <c r="AD646" s="772"/>
      <c r="AE646" s="772"/>
      <c r="AF646" s="427"/>
      <c r="AG646" s="427"/>
      <c r="AH646" s="427"/>
      <c r="AI646" s="427"/>
      <c r="AJ646" s="427"/>
      <c r="AK646" s="427"/>
      <c r="AL646" s="427"/>
      <c r="AM646" s="309">
        <f>SUM(Y646:AL646)</f>
        <v>0</v>
      </c>
    </row>
    <row r="647" spans="1:39" ht="15" outlineLevel="1">
      <c r="A647" s="539"/>
      <c r="B647" s="307" t="s">
        <v>310</v>
      </c>
      <c r="C647" s="304" t="s">
        <v>163</v>
      </c>
      <c r="D647" s="308"/>
      <c r="E647" s="308"/>
      <c r="F647" s="308"/>
      <c r="G647" s="308"/>
      <c r="H647" s="308"/>
      <c r="I647" s="308"/>
      <c r="J647" s="308"/>
      <c r="K647" s="308"/>
      <c r="L647" s="308"/>
      <c r="M647" s="308"/>
      <c r="N647" s="308">
        <f>N646</f>
        <v>12</v>
      </c>
      <c r="O647" s="308"/>
      <c r="P647" s="308"/>
      <c r="Q647" s="308"/>
      <c r="R647" s="308"/>
      <c r="S647" s="308"/>
      <c r="T647" s="308"/>
      <c r="U647" s="308"/>
      <c r="V647" s="308"/>
      <c r="W647" s="308"/>
      <c r="X647" s="308"/>
      <c r="Y647" s="773">
        <f>Y646</f>
        <v>0</v>
      </c>
      <c r="Z647" s="773">
        <f t="shared" ref="Z647:AE647" si="1170">Z646</f>
        <v>0</v>
      </c>
      <c r="AA647" s="773">
        <f t="shared" si="1170"/>
        <v>0</v>
      </c>
      <c r="AB647" s="773">
        <f t="shared" si="1170"/>
        <v>0</v>
      </c>
      <c r="AC647" s="773">
        <f t="shared" si="1170"/>
        <v>0</v>
      </c>
      <c r="AD647" s="773">
        <f t="shared" si="1170"/>
        <v>0</v>
      </c>
      <c r="AE647" s="773">
        <f t="shared" si="1170"/>
        <v>0</v>
      </c>
      <c r="AF647" s="423">
        <f t="shared" ref="AF647:AL647" si="1171">AF646</f>
        <v>0</v>
      </c>
      <c r="AG647" s="423">
        <f t="shared" si="1171"/>
        <v>0</v>
      </c>
      <c r="AH647" s="423">
        <f t="shared" si="1171"/>
        <v>0</v>
      </c>
      <c r="AI647" s="423">
        <f t="shared" si="1171"/>
        <v>0</v>
      </c>
      <c r="AJ647" s="423">
        <f t="shared" si="1171"/>
        <v>0</v>
      </c>
      <c r="AK647" s="423">
        <f t="shared" si="1171"/>
        <v>0</v>
      </c>
      <c r="AL647" s="423">
        <f t="shared" si="1171"/>
        <v>0</v>
      </c>
      <c r="AM647" s="310"/>
    </row>
    <row r="648" spans="1:39" ht="15" outlineLevel="1">
      <c r="A648" s="539"/>
      <c r="B648" s="334"/>
      <c r="C648" s="304"/>
      <c r="D648" s="763"/>
      <c r="E648" s="763"/>
      <c r="F648" s="763"/>
      <c r="G648" s="763"/>
      <c r="H648" s="763"/>
      <c r="I648" s="763"/>
      <c r="J648" s="763"/>
      <c r="K648" s="763"/>
      <c r="L648" s="763"/>
      <c r="M648" s="763"/>
      <c r="N648" s="763"/>
      <c r="O648" s="763"/>
      <c r="P648" s="763"/>
      <c r="Q648" s="763"/>
      <c r="R648" s="763"/>
      <c r="S648" s="763"/>
      <c r="T648" s="763"/>
      <c r="U648" s="763"/>
      <c r="V648" s="763"/>
      <c r="W648" s="763"/>
      <c r="X648" s="763"/>
      <c r="Y648" s="774"/>
      <c r="Z648" s="774"/>
      <c r="AA648" s="774"/>
      <c r="AB648" s="774"/>
      <c r="AC648" s="774"/>
      <c r="AD648" s="774"/>
      <c r="AE648" s="774"/>
      <c r="AF648" s="424"/>
      <c r="AG648" s="424"/>
      <c r="AH648" s="424"/>
      <c r="AI648" s="424"/>
      <c r="AJ648" s="424"/>
      <c r="AK648" s="424"/>
      <c r="AL648" s="424"/>
      <c r="AM648" s="319"/>
    </row>
    <row r="649" spans="1:39" ht="15" outlineLevel="1">
      <c r="A649" s="539">
        <v>20</v>
      </c>
      <c r="B649" s="438" t="s">
        <v>110</v>
      </c>
      <c r="C649" s="304" t="s">
        <v>25</v>
      </c>
      <c r="D649" s="308"/>
      <c r="E649" s="308"/>
      <c r="F649" s="308"/>
      <c r="G649" s="308"/>
      <c r="H649" s="308"/>
      <c r="I649" s="308"/>
      <c r="J649" s="308"/>
      <c r="K649" s="308"/>
      <c r="L649" s="308"/>
      <c r="M649" s="308"/>
      <c r="N649" s="308">
        <v>12</v>
      </c>
      <c r="O649" s="308"/>
      <c r="P649" s="308"/>
      <c r="Q649" s="308"/>
      <c r="R649" s="308"/>
      <c r="S649" s="308"/>
      <c r="T649" s="308"/>
      <c r="U649" s="308"/>
      <c r="V649" s="308"/>
      <c r="W649" s="308"/>
      <c r="X649" s="308"/>
      <c r="Y649" s="789"/>
      <c r="Z649" s="772"/>
      <c r="AA649" s="772"/>
      <c r="AB649" s="772"/>
      <c r="AC649" s="772"/>
      <c r="AD649" s="772"/>
      <c r="AE649" s="772"/>
      <c r="AF649" s="427"/>
      <c r="AG649" s="427"/>
      <c r="AH649" s="427"/>
      <c r="AI649" s="427"/>
      <c r="AJ649" s="427"/>
      <c r="AK649" s="427"/>
      <c r="AL649" s="427"/>
      <c r="AM649" s="309">
        <f>SUM(Y649:AL649)</f>
        <v>0</v>
      </c>
    </row>
    <row r="650" spans="1:39" ht="15" outlineLevel="1">
      <c r="A650" s="539"/>
      <c r="B650" s="307" t="s">
        <v>310</v>
      </c>
      <c r="C650" s="304" t="s">
        <v>163</v>
      </c>
      <c r="D650" s="308"/>
      <c r="E650" s="308"/>
      <c r="F650" s="308"/>
      <c r="G650" s="308"/>
      <c r="H650" s="308"/>
      <c r="I650" s="308"/>
      <c r="J650" s="308"/>
      <c r="K650" s="308"/>
      <c r="L650" s="308"/>
      <c r="M650" s="308"/>
      <c r="N650" s="308">
        <f>N649</f>
        <v>12</v>
      </c>
      <c r="O650" s="308"/>
      <c r="P650" s="308"/>
      <c r="Q650" s="308"/>
      <c r="R650" s="308"/>
      <c r="S650" s="308"/>
      <c r="T650" s="308"/>
      <c r="U650" s="308"/>
      <c r="V650" s="308"/>
      <c r="W650" s="308"/>
      <c r="X650" s="308"/>
      <c r="Y650" s="773">
        <f>Y649</f>
        <v>0</v>
      </c>
      <c r="Z650" s="773">
        <f t="shared" ref="Z650:AE650" si="1172">Z649</f>
        <v>0</v>
      </c>
      <c r="AA650" s="773">
        <f t="shared" si="1172"/>
        <v>0</v>
      </c>
      <c r="AB650" s="773">
        <f t="shared" si="1172"/>
        <v>0</v>
      </c>
      <c r="AC650" s="773">
        <f t="shared" si="1172"/>
        <v>0</v>
      </c>
      <c r="AD650" s="773">
        <f t="shared" si="1172"/>
        <v>0</v>
      </c>
      <c r="AE650" s="773">
        <f t="shared" si="1172"/>
        <v>0</v>
      </c>
      <c r="AF650" s="423">
        <f t="shared" ref="AF650:AL650" si="1173">AF649</f>
        <v>0</v>
      </c>
      <c r="AG650" s="423">
        <f t="shared" si="1173"/>
        <v>0</v>
      </c>
      <c r="AH650" s="423">
        <f t="shared" si="1173"/>
        <v>0</v>
      </c>
      <c r="AI650" s="423">
        <f t="shared" si="1173"/>
        <v>0</v>
      </c>
      <c r="AJ650" s="423">
        <f t="shared" si="1173"/>
        <v>0</v>
      </c>
      <c r="AK650" s="423">
        <f t="shared" si="1173"/>
        <v>0</v>
      </c>
      <c r="AL650" s="423">
        <f t="shared" si="1173"/>
        <v>0</v>
      </c>
      <c r="AM650" s="319"/>
    </row>
    <row r="651" spans="1:39" ht="15.6" outlineLevel="1">
      <c r="A651" s="539"/>
      <c r="B651" s="335"/>
      <c r="C651" s="313"/>
      <c r="D651" s="763"/>
      <c r="E651" s="763"/>
      <c r="F651" s="763"/>
      <c r="G651" s="763"/>
      <c r="H651" s="763"/>
      <c r="I651" s="763"/>
      <c r="J651" s="763"/>
      <c r="K651" s="763"/>
      <c r="L651" s="763"/>
      <c r="M651" s="763"/>
      <c r="N651" s="771"/>
      <c r="O651" s="763"/>
      <c r="P651" s="763"/>
      <c r="Q651" s="763"/>
      <c r="R651" s="763"/>
      <c r="S651" s="763"/>
      <c r="T651" s="763"/>
      <c r="U651" s="763"/>
      <c r="V651" s="763"/>
      <c r="W651" s="763"/>
      <c r="X651" s="763"/>
      <c r="Y651" s="774"/>
      <c r="Z651" s="774"/>
      <c r="AA651" s="774"/>
      <c r="AB651" s="774"/>
      <c r="AC651" s="774"/>
      <c r="AD651" s="774"/>
      <c r="AE651" s="774"/>
      <c r="AF651" s="424"/>
      <c r="AG651" s="424"/>
      <c r="AH651" s="424"/>
      <c r="AI651" s="424"/>
      <c r="AJ651" s="424"/>
      <c r="AK651" s="424"/>
      <c r="AL651" s="424"/>
      <c r="AM651" s="319"/>
    </row>
    <row r="652" spans="1:39" ht="15.6" outlineLevel="1">
      <c r="A652" s="539"/>
      <c r="B652" s="525" t="s">
        <v>502</v>
      </c>
      <c r="C652" s="304"/>
      <c r="D652" s="763"/>
      <c r="E652" s="763"/>
      <c r="F652" s="763"/>
      <c r="G652" s="763"/>
      <c r="H652" s="763"/>
      <c r="I652" s="763"/>
      <c r="J652" s="763"/>
      <c r="K652" s="763"/>
      <c r="L652" s="763"/>
      <c r="M652" s="763"/>
      <c r="N652" s="763"/>
      <c r="O652" s="763"/>
      <c r="P652" s="763"/>
      <c r="Q652" s="763"/>
      <c r="R652" s="763"/>
      <c r="S652" s="763"/>
      <c r="T652" s="763"/>
      <c r="U652" s="763"/>
      <c r="V652" s="763"/>
      <c r="W652" s="763"/>
      <c r="X652" s="763"/>
      <c r="Y652" s="784"/>
      <c r="Z652" s="793"/>
      <c r="AA652" s="793"/>
      <c r="AB652" s="793"/>
      <c r="AC652" s="793"/>
      <c r="AD652" s="793"/>
      <c r="AE652" s="793"/>
      <c r="AF652" s="435"/>
      <c r="AG652" s="435"/>
      <c r="AH652" s="435"/>
      <c r="AI652" s="435"/>
      <c r="AJ652" s="435"/>
      <c r="AK652" s="435"/>
      <c r="AL652" s="435"/>
      <c r="AM652" s="319"/>
    </row>
    <row r="653" spans="1:39" ht="15.6" outlineLevel="1">
      <c r="A653" s="539"/>
      <c r="B653" s="511" t="s">
        <v>498</v>
      </c>
      <c r="C653" s="304"/>
      <c r="D653" s="763"/>
      <c r="E653" s="763"/>
      <c r="F653" s="763"/>
      <c r="G653" s="763"/>
      <c r="H653" s="763"/>
      <c r="I653" s="763"/>
      <c r="J653" s="763"/>
      <c r="K653" s="763"/>
      <c r="L653" s="763"/>
      <c r="M653" s="763"/>
      <c r="N653" s="763"/>
      <c r="O653" s="763"/>
      <c r="P653" s="763"/>
      <c r="Q653" s="763"/>
      <c r="R653" s="763"/>
      <c r="S653" s="763"/>
      <c r="T653" s="763"/>
      <c r="U653" s="763"/>
      <c r="V653" s="763"/>
      <c r="W653" s="763"/>
      <c r="X653" s="763"/>
      <c r="Y653" s="784"/>
      <c r="Z653" s="793"/>
      <c r="AA653" s="793"/>
      <c r="AB653" s="793"/>
      <c r="AC653" s="793"/>
      <c r="AD653" s="793"/>
      <c r="AE653" s="793"/>
      <c r="AF653" s="435"/>
      <c r="AG653" s="435"/>
      <c r="AH653" s="435"/>
      <c r="AI653" s="435"/>
      <c r="AJ653" s="435"/>
      <c r="AK653" s="435"/>
      <c r="AL653" s="435"/>
      <c r="AM653" s="319"/>
    </row>
    <row r="654" spans="1:39" ht="15" outlineLevel="1">
      <c r="A654" s="539">
        <v>21</v>
      </c>
      <c r="B654" s="438" t="s">
        <v>113</v>
      </c>
      <c r="C654" s="304" t="s">
        <v>25</v>
      </c>
      <c r="D654" s="308"/>
      <c r="E654" s="308"/>
      <c r="F654" s="308"/>
      <c r="G654" s="308"/>
      <c r="H654" s="308"/>
      <c r="I654" s="308"/>
      <c r="J654" s="308"/>
      <c r="K654" s="308"/>
      <c r="L654" s="308"/>
      <c r="M654" s="308"/>
      <c r="N654" s="763"/>
      <c r="O654" s="308"/>
      <c r="P654" s="308"/>
      <c r="Q654" s="308"/>
      <c r="R654" s="308"/>
      <c r="S654" s="308"/>
      <c r="T654" s="308"/>
      <c r="U654" s="308"/>
      <c r="V654" s="308"/>
      <c r="W654" s="308"/>
      <c r="X654" s="308"/>
      <c r="Y654" s="772"/>
      <c r="Z654" s="772"/>
      <c r="AA654" s="772"/>
      <c r="AB654" s="772"/>
      <c r="AC654" s="772"/>
      <c r="AD654" s="772"/>
      <c r="AE654" s="772"/>
      <c r="AF654" s="422"/>
      <c r="AG654" s="422"/>
      <c r="AH654" s="422"/>
      <c r="AI654" s="422"/>
      <c r="AJ654" s="422"/>
      <c r="AK654" s="422"/>
      <c r="AL654" s="422"/>
      <c r="AM654" s="309">
        <f>SUM(Y654:AL654)</f>
        <v>0</v>
      </c>
    </row>
    <row r="655" spans="1:39" ht="15" outlineLevel="1">
      <c r="A655" s="539"/>
      <c r="B655" s="307" t="s">
        <v>310</v>
      </c>
      <c r="C655" s="304" t="s">
        <v>163</v>
      </c>
      <c r="D655" s="308"/>
      <c r="E655" s="308"/>
      <c r="F655" s="308"/>
      <c r="G655" s="308"/>
      <c r="H655" s="308"/>
      <c r="I655" s="308"/>
      <c r="J655" s="308"/>
      <c r="K655" s="308"/>
      <c r="L655" s="308"/>
      <c r="M655" s="308"/>
      <c r="N655" s="763"/>
      <c r="O655" s="308"/>
      <c r="P655" s="308"/>
      <c r="Q655" s="308"/>
      <c r="R655" s="308"/>
      <c r="S655" s="308"/>
      <c r="T655" s="308"/>
      <c r="U655" s="308"/>
      <c r="V655" s="308"/>
      <c r="W655" s="308"/>
      <c r="X655" s="308"/>
      <c r="Y655" s="773">
        <f>Y654</f>
        <v>0</v>
      </c>
      <c r="Z655" s="773">
        <f t="shared" ref="Z655:AE655" si="1174">Z654</f>
        <v>0</v>
      </c>
      <c r="AA655" s="773">
        <f t="shared" si="1174"/>
        <v>0</v>
      </c>
      <c r="AB655" s="773">
        <f t="shared" si="1174"/>
        <v>0</v>
      </c>
      <c r="AC655" s="773">
        <f t="shared" si="1174"/>
        <v>0</v>
      </c>
      <c r="AD655" s="773">
        <f t="shared" si="1174"/>
        <v>0</v>
      </c>
      <c r="AE655" s="773">
        <f t="shared" si="1174"/>
        <v>0</v>
      </c>
      <c r="AF655" s="423">
        <f t="shared" ref="AF655" si="1175">AF654</f>
        <v>0</v>
      </c>
      <c r="AG655" s="423">
        <f t="shared" ref="AG655" si="1176">AG654</f>
        <v>0</v>
      </c>
      <c r="AH655" s="423">
        <f t="shared" ref="AH655" si="1177">AH654</f>
        <v>0</v>
      </c>
      <c r="AI655" s="423">
        <f t="shared" ref="AI655" si="1178">AI654</f>
        <v>0</v>
      </c>
      <c r="AJ655" s="423">
        <f t="shared" ref="AJ655" si="1179">AJ654</f>
        <v>0</v>
      </c>
      <c r="AK655" s="423">
        <f t="shared" ref="AK655" si="1180">AK654</f>
        <v>0</v>
      </c>
      <c r="AL655" s="423">
        <f t="shared" ref="AL655" si="1181">AL654</f>
        <v>0</v>
      </c>
      <c r="AM655" s="319"/>
    </row>
    <row r="656" spans="1:39" ht="15" outlineLevel="1">
      <c r="A656" s="539"/>
      <c r="B656" s="307"/>
      <c r="C656" s="304"/>
      <c r="D656" s="763"/>
      <c r="E656" s="763"/>
      <c r="F656" s="763"/>
      <c r="G656" s="763"/>
      <c r="H656" s="763"/>
      <c r="I656" s="763"/>
      <c r="J656" s="763"/>
      <c r="K656" s="763"/>
      <c r="L656" s="763"/>
      <c r="M656" s="763"/>
      <c r="N656" s="763"/>
      <c r="O656" s="763"/>
      <c r="P656" s="763"/>
      <c r="Q656" s="763"/>
      <c r="R656" s="763"/>
      <c r="S656" s="763"/>
      <c r="T656" s="763"/>
      <c r="U656" s="763"/>
      <c r="V656" s="763"/>
      <c r="W656" s="763"/>
      <c r="X656" s="763"/>
      <c r="Y656" s="784"/>
      <c r="Z656" s="793"/>
      <c r="AA656" s="793"/>
      <c r="AB656" s="793"/>
      <c r="AC656" s="793"/>
      <c r="AD656" s="793"/>
      <c r="AE656" s="793"/>
      <c r="AF656" s="435"/>
      <c r="AG656" s="435"/>
      <c r="AH656" s="435"/>
      <c r="AI656" s="435"/>
      <c r="AJ656" s="435"/>
      <c r="AK656" s="435"/>
      <c r="AL656" s="435"/>
      <c r="AM656" s="319"/>
    </row>
    <row r="657" spans="1:39" ht="30" outlineLevel="1">
      <c r="A657" s="539">
        <v>22</v>
      </c>
      <c r="B657" s="438" t="s">
        <v>114</v>
      </c>
      <c r="C657" s="304" t="s">
        <v>25</v>
      </c>
      <c r="D657" s="308">
        <f>'7.  Persistence Report'!AX129</f>
        <v>193098.0665325</v>
      </c>
      <c r="E657" s="308">
        <f>'7.  Persistence Report'!AY129</f>
        <v>193098.0665325</v>
      </c>
      <c r="F657" s="308">
        <f>'7.  Persistence Report'!AZ129</f>
        <v>193098.0665325</v>
      </c>
      <c r="G657" s="308"/>
      <c r="H657" s="308"/>
      <c r="I657" s="308"/>
      <c r="J657" s="308"/>
      <c r="K657" s="308"/>
      <c r="L657" s="308"/>
      <c r="M657" s="308"/>
      <c r="N657" s="763"/>
      <c r="O657" s="308">
        <f>'7.  Persistence Report'!S129</f>
        <v>55.919802072760184</v>
      </c>
      <c r="P657" s="308">
        <f>'7.  Persistence Report'!T129</f>
        <v>55.919802072760184</v>
      </c>
      <c r="Q657" s="308">
        <f>'7.  Persistence Report'!U129</f>
        <v>55.919802072760184</v>
      </c>
      <c r="R657" s="308"/>
      <c r="S657" s="308"/>
      <c r="T657" s="308"/>
      <c r="U657" s="308"/>
      <c r="V657" s="308"/>
      <c r="W657" s="308"/>
      <c r="X657" s="308"/>
      <c r="Y657" s="772">
        <v>1</v>
      </c>
      <c r="Z657" s="772"/>
      <c r="AA657" s="772"/>
      <c r="AB657" s="772"/>
      <c r="AC657" s="772"/>
      <c r="AD657" s="772"/>
      <c r="AE657" s="772"/>
      <c r="AF657" s="422"/>
      <c r="AG657" s="422"/>
      <c r="AH657" s="422"/>
      <c r="AI657" s="422"/>
      <c r="AJ657" s="422"/>
      <c r="AK657" s="422"/>
      <c r="AL657" s="422"/>
      <c r="AM657" s="309">
        <f>SUM(Y657:AL657)</f>
        <v>1</v>
      </c>
    </row>
    <row r="658" spans="1:39" ht="15" outlineLevel="1">
      <c r="A658" s="539"/>
      <c r="B658" s="307" t="s">
        <v>310</v>
      </c>
      <c r="C658" s="304" t="s">
        <v>163</v>
      </c>
      <c r="D658" s="308"/>
      <c r="E658" s="308"/>
      <c r="F658" s="308"/>
      <c r="G658" s="308"/>
      <c r="H658" s="308"/>
      <c r="I658" s="308"/>
      <c r="J658" s="308"/>
      <c r="K658" s="308"/>
      <c r="L658" s="308"/>
      <c r="M658" s="308"/>
      <c r="N658" s="763"/>
      <c r="O658" s="308"/>
      <c r="P658" s="308"/>
      <c r="Q658" s="308"/>
      <c r="R658" s="308"/>
      <c r="S658" s="308"/>
      <c r="T658" s="308"/>
      <c r="U658" s="308"/>
      <c r="V658" s="308"/>
      <c r="W658" s="308"/>
      <c r="X658" s="308"/>
      <c r="Y658" s="773">
        <f>Y657</f>
        <v>1</v>
      </c>
      <c r="Z658" s="773">
        <f t="shared" ref="Z658:AE658" si="1182">Z657</f>
        <v>0</v>
      </c>
      <c r="AA658" s="773">
        <f t="shared" si="1182"/>
        <v>0</v>
      </c>
      <c r="AB658" s="773">
        <f t="shared" si="1182"/>
        <v>0</v>
      </c>
      <c r="AC658" s="773">
        <f t="shared" si="1182"/>
        <v>0</v>
      </c>
      <c r="AD658" s="773">
        <f t="shared" si="1182"/>
        <v>0</v>
      </c>
      <c r="AE658" s="773">
        <f t="shared" si="1182"/>
        <v>0</v>
      </c>
      <c r="AF658" s="423">
        <f t="shared" ref="AF658" si="1183">AF657</f>
        <v>0</v>
      </c>
      <c r="AG658" s="423">
        <f t="shared" ref="AG658" si="1184">AG657</f>
        <v>0</v>
      </c>
      <c r="AH658" s="423">
        <f t="shared" ref="AH658" si="1185">AH657</f>
        <v>0</v>
      </c>
      <c r="AI658" s="423">
        <f t="shared" ref="AI658" si="1186">AI657</f>
        <v>0</v>
      </c>
      <c r="AJ658" s="423">
        <f t="shared" ref="AJ658" si="1187">AJ657</f>
        <v>0</v>
      </c>
      <c r="AK658" s="423">
        <f t="shared" ref="AK658" si="1188">AK657</f>
        <v>0</v>
      </c>
      <c r="AL658" s="423">
        <f t="shared" ref="AL658" si="1189">AL657</f>
        <v>0</v>
      </c>
      <c r="AM658" s="319"/>
    </row>
    <row r="659" spans="1:39" ht="15" outlineLevel="1">
      <c r="A659" s="539"/>
      <c r="B659" s="307"/>
      <c r="C659" s="304"/>
      <c r="D659" s="763"/>
      <c r="E659" s="763"/>
      <c r="F659" s="763"/>
      <c r="G659" s="763"/>
      <c r="H659" s="763"/>
      <c r="I659" s="763"/>
      <c r="J659" s="763"/>
      <c r="K659" s="763"/>
      <c r="L659" s="763"/>
      <c r="M659" s="763"/>
      <c r="N659" s="763"/>
      <c r="O659" s="763"/>
      <c r="P659" s="763"/>
      <c r="Q659" s="763"/>
      <c r="R659" s="763"/>
      <c r="S659" s="763"/>
      <c r="T659" s="763"/>
      <c r="U659" s="763"/>
      <c r="V659" s="763"/>
      <c r="W659" s="763"/>
      <c r="X659" s="763"/>
      <c r="Y659" s="784"/>
      <c r="Z659" s="793"/>
      <c r="AA659" s="793"/>
      <c r="AB659" s="793"/>
      <c r="AC659" s="793"/>
      <c r="AD659" s="793"/>
      <c r="AE659" s="793"/>
      <c r="AF659" s="435"/>
      <c r="AG659" s="435"/>
      <c r="AH659" s="435"/>
      <c r="AI659" s="435"/>
      <c r="AJ659" s="435"/>
      <c r="AK659" s="435"/>
      <c r="AL659" s="435"/>
      <c r="AM659" s="319"/>
    </row>
    <row r="660" spans="1:39" ht="30" outlineLevel="1">
      <c r="A660" s="539">
        <v>23</v>
      </c>
      <c r="B660" s="438" t="s">
        <v>115</v>
      </c>
      <c r="C660" s="304" t="s">
        <v>25</v>
      </c>
      <c r="D660" s="308">
        <f>'7.  Persistence Report'!AX130</f>
        <v>1119233.1099898899</v>
      </c>
      <c r="E660" s="308">
        <f>'7.  Persistence Report'!AY130</f>
        <v>1114632.7036373597</v>
      </c>
      <c r="F660" s="308">
        <f>'7.  Persistence Report'!AZ130</f>
        <v>1110032.2972848297</v>
      </c>
      <c r="G660" s="308"/>
      <c r="H660" s="308"/>
      <c r="I660" s="308"/>
      <c r="J660" s="308"/>
      <c r="K660" s="308"/>
      <c r="L660" s="308"/>
      <c r="M660" s="308"/>
      <c r="N660" s="763"/>
      <c r="O660" s="308">
        <f>'7.  Persistence Report'!S130</f>
        <v>76.722509362588497</v>
      </c>
      <c r="P660" s="308">
        <f>'7.  Persistence Report'!T130</f>
        <v>77.214836107454829</v>
      </c>
      <c r="Q660" s="308">
        <f>'7.  Persistence Report'!U130</f>
        <v>76.896148506257475</v>
      </c>
      <c r="R660" s="308"/>
      <c r="S660" s="308"/>
      <c r="T660" s="308"/>
      <c r="U660" s="308"/>
      <c r="V660" s="308"/>
      <c r="W660" s="308"/>
      <c r="X660" s="308"/>
      <c r="Y660" s="772">
        <v>1</v>
      </c>
      <c r="Z660" s="772"/>
      <c r="AA660" s="772"/>
      <c r="AB660" s="772"/>
      <c r="AC660" s="772"/>
      <c r="AD660" s="772"/>
      <c r="AE660" s="772"/>
      <c r="AF660" s="422"/>
      <c r="AG660" s="422"/>
      <c r="AH660" s="422"/>
      <c r="AI660" s="422"/>
      <c r="AJ660" s="422"/>
      <c r="AK660" s="422"/>
      <c r="AL660" s="422"/>
      <c r="AM660" s="309">
        <f>SUM(Y660:AL660)</f>
        <v>1</v>
      </c>
    </row>
    <row r="661" spans="1:39" ht="15" outlineLevel="1">
      <c r="A661" s="539"/>
      <c r="B661" s="307" t="s">
        <v>310</v>
      </c>
      <c r="C661" s="304" t="s">
        <v>163</v>
      </c>
      <c r="D661" s="308"/>
      <c r="E661" s="308"/>
      <c r="F661" s="308"/>
      <c r="G661" s="308"/>
      <c r="H661" s="308"/>
      <c r="I661" s="308"/>
      <c r="J661" s="308"/>
      <c r="K661" s="308"/>
      <c r="L661" s="308"/>
      <c r="M661" s="308"/>
      <c r="N661" s="763"/>
      <c r="O661" s="308"/>
      <c r="P661" s="308"/>
      <c r="Q661" s="308"/>
      <c r="R661" s="308"/>
      <c r="S661" s="308"/>
      <c r="T661" s="308"/>
      <c r="U661" s="308"/>
      <c r="V661" s="308"/>
      <c r="W661" s="308"/>
      <c r="X661" s="308"/>
      <c r="Y661" s="773">
        <f>Y660</f>
        <v>1</v>
      </c>
      <c r="Z661" s="773">
        <f t="shared" ref="Z661:AE661" si="1190">Z660</f>
        <v>0</v>
      </c>
      <c r="AA661" s="773">
        <f t="shared" si="1190"/>
        <v>0</v>
      </c>
      <c r="AB661" s="773">
        <f t="shared" si="1190"/>
        <v>0</v>
      </c>
      <c r="AC661" s="773">
        <f t="shared" si="1190"/>
        <v>0</v>
      </c>
      <c r="AD661" s="773">
        <f t="shared" si="1190"/>
        <v>0</v>
      </c>
      <c r="AE661" s="773">
        <f t="shared" si="1190"/>
        <v>0</v>
      </c>
      <c r="AF661" s="423">
        <f t="shared" ref="AF661" si="1191">AF660</f>
        <v>0</v>
      </c>
      <c r="AG661" s="423">
        <f t="shared" ref="AG661" si="1192">AG660</f>
        <v>0</v>
      </c>
      <c r="AH661" s="423">
        <f t="shared" ref="AH661" si="1193">AH660</f>
        <v>0</v>
      </c>
      <c r="AI661" s="423">
        <f t="shared" ref="AI661" si="1194">AI660</f>
        <v>0</v>
      </c>
      <c r="AJ661" s="423">
        <f t="shared" ref="AJ661" si="1195">AJ660</f>
        <v>0</v>
      </c>
      <c r="AK661" s="423">
        <f t="shared" ref="AK661" si="1196">AK660</f>
        <v>0</v>
      </c>
      <c r="AL661" s="423">
        <f t="shared" ref="AL661" si="1197">AL660</f>
        <v>0</v>
      </c>
      <c r="AM661" s="319"/>
    </row>
    <row r="662" spans="1:39" ht="15" outlineLevel="1">
      <c r="A662" s="539"/>
      <c r="B662" s="440"/>
      <c r="C662" s="304"/>
      <c r="D662" s="763"/>
      <c r="E662" s="763"/>
      <c r="F662" s="763"/>
      <c r="G662" s="763"/>
      <c r="H662" s="763"/>
      <c r="I662" s="763"/>
      <c r="J662" s="763"/>
      <c r="K662" s="763"/>
      <c r="L662" s="763"/>
      <c r="M662" s="763"/>
      <c r="N662" s="763"/>
      <c r="O662" s="763"/>
      <c r="P662" s="763"/>
      <c r="Q662" s="763"/>
      <c r="R662" s="763"/>
      <c r="S662" s="763"/>
      <c r="T662" s="763"/>
      <c r="U662" s="763"/>
      <c r="V662" s="763"/>
      <c r="W662" s="763"/>
      <c r="X662" s="763"/>
      <c r="Y662" s="784"/>
      <c r="Z662" s="793"/>
      <c r="AA662" s="793"/>
      <c r="AB662" s="793"/>
      <c r="AC662" s="793"/>
      <c r="AD662" s="793"/>
      <c r="AE662" s="793"/>
      <c r="AF662" s="435"/>
      <c r="AG662" s="435"/>
      <c r="AH662" s="435"/>
      <c r="AI662" s="435"/>
      <c r="AJ662" s="435"/>
      <c r="AK662" s="435"/>
      <c r="AL662" s="435"/>
      <c r="AM662" s="319"/>
    </row>
    <row r="663" spans="1:39" ht="15" outlineLevel="1">
      <c r="A663" s="539">
        <v>24</v>
      </c>
      <c r="B663" s="438" t="s">
        <v>116</v>
      </c>
      <c r="C663" s="304" t="s">
        <v>25</v>
      </c>
      <c r="D663" s="308">
        <f>'7.  Persistence Report'!AX131</f>
        <v>57735</v>
      </c>
      <c r="E663" s="308">
        <f>'7.  Persistence Report'!AY131</f>
        <v>57735</v>
      </c>
      <c r="F663" s="308">
        <f>'7.  Persistence Report'!AZ131</f>
        <v>57735</v>
      </c>
      <c r="G663" s="308"/>
      <c r="H663" s="308"/>
      <c r="I663" s="308"/>
      <c r="J663" s="308"/>
      <c r="K663" s="308"/>
      <c r="L663" s="308"/>
      <c r="M663" s="308"/>
      <c r="N663" s="763"/>
      <c r="O663" s="308">
        <f>'7.  Persistence Report'!S131</f>
        <v>29.083810843145898</v>
      </c>
      <c r="P663" s="308">
        <f>'7.  Persistence Report'!T131</f>
        <v>29.083810843145898</v>
      </c>
      <c r="Q663" s="308">
        <f>'7.  Persistence Report'!U131</f>
        <v>29.083810843145898</v>
      </c>
      <c r="R663" s="308"/>
      <c r="S663" s="308"/>
      <c r="T663" s="308"/>
      <c r="U663" s="308"/>
      <c r="V663" s="308"/>
      <c r="W663" s="308"/>
      <c r="X663" s="308"/>
      <c r="Y663" s="772">
        <v>1</v>
      </c>
      <c r="Z663" s="772"/>
      <c r="AA663" s="772"/>
      <c r="AB663" s="772"/>
      <c r="AC663" s="772"/>
      <c r="AD663" s="772"/>
      <c r="AE663" s="772"/>
      <c r="AF663" s="422"/>
      <c r="AG663" s="422"/>
      <c r="AH663" s="422"/>
      <c r="AI663" s="422"/>
      <c r="AJ663" s="422"/>
      <c r="AK663" s="422"/>
      <c r="AL663" s="422"/>
      <c r="AM663" s="309">
        <f>SUM(Y663:AL663)</f>
        <v>1</v>
      </c>
    </row>
    <row r="664" spans="1:39" ht="15" outlineLevel="1">
      <c r="A664" s="539"/>
      <c r="B664" s="307" t="s">
        <v>310</v>
      </c>
      <c r="C664" s="304" t="s">
        <v>163</v>
      </c>
      <c r="D664" s="308"/>
      <c r="E664" s="308"/>
      <c r="F664" s="308"/>
      <c r="G664" s="308"/>
      <c r="H664" s="308"/>
      <c r="I664" s="308"/>
      <c r="J664" s="308"/>
      <c r="K664" s="308"/>
      <c r="L664" s="308"/>
      <c r="M664" s="308"/>
      <c r="N664" s="763"/>
      <c r="O664" s="308"/>
      <c r="P664" s="308"/>
      <c r="Q664" s="308"/>
      <c r="R664" s="308"/>
      <c r="S664" s="308"/>
      <c r="T664" s="308"/>
      <c r="U664" s="308"/>
      <c r="V664" s="308"/>
      <c r="W664" s="308"/>
      <c r="X664" s="308"/>
      <c r="Y664" s="773">
        <f>Y663</f>
        <v>1</v>
      </c>
      <c r="Z664" s="773">
        <f t="shared" ref="Z664:AE664" si="1198">Z663</f>
        <v>0</v>
      </c>
      <c r="AA664" s="773">
        <f t="shared" si="1198"/>
        <v>0</v>
      </c>
      <c r="AB664" s="773">
        <f t="shared" si="1198"/>
        <v>0</v>
      </c>
      <c r="AC664" s="773">
        <f t="shared" si="1198"/>
        <v>0</v>
      </c>
      <c r="AD664" s="773">
        <f t="shared" si="1198"/>
        <v>0</v>
      </c>
      <c r="AE664" s="773">
        <f t="shared" si="1198"/>
        <v>0</v>
      </c>
      <c r="AF664" s="423">
        <f t="shared" ref="AF664" si="1199">AF663</f>
        <v>0</v>
      </c>
      <c r="AG664" s="423">
        <f t="shared" ref="AG664" si="1200">AG663</f>
        <v>0</v>
      </c>
      <c r="AH664" s="423">
        <f t="shared" ref="AH664" si="1201">AH663</f>
        <v>0</v>
      </c>
      <c r="AI664" s="423">
        <f t="shared" ref="AI664" si="1202">AI663</f>
        <v>0</v>
      </c>
      <c r="AJ664" s="423">
        <f t="shared" ref="AJ664" si="1203">AJ663</f>
        <v>0</v>
      </c>
      <c r="AK664" s="423">
        <f t="shared" ref="AK664" si="1204">AK663</f>
        <v>0</v>
      </c>
      <c r="AL664" s="423">
        <f t="shared" ref="AL664" si="1205">AL663</f>
        <v>0</v>
      </c>
      <c r="AM664" s="319"/>
    </row>
    <row r="665" spans="1:39" ht="15" outlineLevel="1">
      <c r="A665" s="539"/>
      <c r="B665" s="307"/>
      <c r="C665" s="304"/>
      <c r="D665" s="763"/>
      <c r="E665" s="763"/>
      <c r="F665" s="763"/>
      <c r="G665" s="763"/>
      <c r="H665" s="763"/>
      <c r="I665" s="763"/>
      <c r="J665" s="763"/>
      <c r="K665" s="763"/>
      <c r="L665" s="763"/>
      <c r="M665" s="763"/>
      <c r="N665" s="763"/>
      <c r="O665" s="763"/>
      <c r="P665" s="763"/>
      <c r="Q665" s="763"/>
      <c r="R665" s="763"/>
      <c r="S665" s="763"/>
      <c r="T665" s="763"/>
      <c r="U665" s="763"/>
      <c r="V665" s="763"/>
      <c r="W665" s="763"/>
      <c r="X665" s="763"/>
      <c r="Y665" s="774"/>
      <c r="Z665" s="793"/>
      <c r="AA665" s="793"/>
      <c r="AB665" s="793"/>
      <c r="AC665" s="793"/>
      <c r="AD665" s="793"/>
      <c r="AE665" s="793"/>
      <c r="AF665" s="435"/>
      <c r="AG665" s="435"/>
      <c r="AH665" s="435"/>
      <c r="AI665" s="435"/>
      <c r="AJ665" s="435"/>
      <c r="AK665" s="435"/>
      <c r="AL665" s="435"/>
      <c r="AM665" s="319"/>
    </row>
    <row r="666" spans="1:39" ht="15.6" outlineLevel="1">
      <c r="A666" s="539"/>
      <c r="B666" s="301" t="s">
        <v>499</v>
      </c>
      <c r="C666" s="304"/>
      <c r="D666" s="763"/>
      <c r="E666" s="763"/>
      <c r="F666" s="763"/>
      <c r="G666" s="763"/>
      <c r="H666" s="763"/>
      <c r="I666" s="763"/>
      <c r="J666" s="763"/>
      <c r="K666" s="763"/>
      <c r="L666" s="763"/>
      <c r="M666" s="763"/>
      <c r="N666" s="763"/>
      <c r="O666" s="763"/>
      <c r="P666" s="763"/>
      <c r="Q666" s="763"/>
      <c r="R666" s="763"/>
      <c r="S666" s="763"/>
      <c r="T666" s="763"/>
      <c r="U666" s="763"/>
      <c r="V666" s="763"/>
      <c r="W666" s="763"/>
      <c r="X666" s="763"/>
      <c r="Y666" s="774"/>
      <c r="Z666" s="793"/>
      <c r="AA666" s="793"/>
      <c r="AB666" s="793"/>
      <c r="AC666" s="793"/>
      <c r="AD666" s="793"/>
      <c r="AE666" s="793"/>
      <c r="AF666" s="435"/>
      <c r="AG666" s="435"/>
      <c r="AH666" s="435"/>
      <c r="AI666" s="435"/>
      <c r="AJ666" s="435"/>
      <c r="AK666" s="435"/>
      <c r="AL666" s="435"/>
      <c r="AM666" s="319"/>
    </row>
    <row r="667" spans="1:39" ht="15" outlineLevel="1">
      <c r="A667" s="539">
        <v>25</v>
      </c>
      <c r="B667" s="438" t="s">
        <v>117</v>
      </c>
      <c r="C667" s="304" t="s">
        <v>25</v>
      </c>
      <c r="D667" s="308"/>
      <c r="E667" s="308"/>
      <c r="F667" s="308"/>
      <c r="G667" s="308"/>
      <c r="H667" s="308"/>
      <c r="I667" s="308"/>
      <c r="J667" s="308"/>
      <c r="K667" s="308"/>
      <c r="L667" s="308"/>
      <c r="M667" s="308"/>
      <c r="N667" s="308">
        <v>12</v>
      </c>
      <c r="O667" s="308"/>
      <c r="P667" s="308"/>
      <c r="Q667" s="308"/>
      <c r="R667" s="308"/>
      <c r="S667" s="308"/>
      <c r="T667" s="308"/>
      <c r="U667" s="308"/>
      <c r="V667" s="308"/>
      <c r="W667" s="308"/>
      <c r="X667" s="308"/>
      <c r="Y667" s="789"/>
      <c r="Z667" s="772"/>
      <c r="AA667" s="772"/>
      <c r="AB667" s="772"/>
      <c r="AC667" s="772"/>
      <c r="AD667" s="772"/>
      <c r="AE667" s="772"/>
      <c r="AF667" s="427"/>
      <c r="AG667" s="427"/>
      <c r="AH667" s="427"/>
      <c r="AI667" s="427"/>
      <c r="AJ667" s="427"/>
      <c r="AK667" s="427"/>
      <c r="AL667" s="427"/>
      <c r="AM667" s="309">
        <f>SUM(Y667:AL667)</f>
        <v>0</v>
      </c>
    </row>
    <row r="668" spans="1:39" ht="15" outlineLevel="1">
      <c r="A668" s="539"/>
      <c r="B668" s="307" t="s">
        <v>310</v>
      </c>
      <c r="C668" s="304" t="s">
        <v>163</v>
      </c>
      <c r="D668" s="308"/>
      <c r="E668" s="308"/>
      <c r="F668" s="308"/>
      <c r="G668" s="308"/>
      <c r="H668" s="308"/>
      <c r="I668" s="308"/>
      <c r="J668" s="308"/>
      <c r="K668" s="308"/>
      <c r="L668" s="308"/>
      <c r="M668" s="308"/>
      <c r="N668" s="308">
        <f>N667</f>
        <v>12</v>
      </c>
      <c r="O668" s="308"/>
      <c r="P668" s="308"/>
      <c r="Q668" s="308"/>
      <c r="R668" s="308"/>
      <c r="S668" s="308"/>
      <c r="T668" s="308"/>
      <c r="U668" s="308"/>
      <c r="V668" s="308"/>
      <c r="W668" s="308"/>
      <c r="X668" s="308"/>
      <c r="Y668" s="773">
        <f>Y667</f>
        <v>0</v>
      </c>
      <c r="Z668" s="773">
        <f t="shared" ref="Z668:AE668" si="1206">Z667</f>
        <v>0</v>
      </c>
      <c r="AA668" s="773">
        <f t="shared" si="1206"/>
        <v>0</v>
      </c>
      <c r="AB668" s="773">
        <f t="shared" si="1206"/>
        <v>0</v>
      </c>
      <c r="AC668" s="773">
        <f t="shared" si="1206"/>
        <v>0</v>
      </c>
      <c r="AD668" s="773">
        <f t="shared" si="1206"/>
        <v>0</v>
      </c>
      <c r="AE668" s="773">
        <f t="shared" si="1206"/>
        <v>0</v>
      </c>
      <c r="AF668" s="423">
        <f t="shared" ref="AF668" si="1207">AF667</f>
        <v>0</v>
      </c>
      <c r="AG668" s="423">
        <f t="shared" ref="AG668" si="1208">AG667</f>
        <v>0</v>
      </c>
      <c r="AH668" s="423">
        <f t="shared" ref="AH668" si="1209">AH667</f>
        <v>0</v>
      </c>
      <c r="AI668" s="423">
        <f t="shared" ref="AI668" si="1210">AI667</f>
        <v>0</v>
      </c>
      <c r="AJ668" s="423">
        <f t="shared" ref="AJ668" si="1211">AJ667</f>
        <v>0</v>
      </c>
      <c r="AK668" s="423">
        <f t="shared" ref="AK668" si="1212">AK667</f>
        <v>0</v>
      </c>
      <c r="AL668" s="423">
        <f t="shared" ref="AL668" si="1213">AL667</f>
        <v>0</v>
      </c>
      <c r="AM668" s="319"/>
    </row>
    <row r="669" spans="1:39" ht="15" outlineLevel="1">
      <c r="A669" s="539"/>
      <c r="B669" s="307"/>
      <c r="C669" s="304"/>
      <c r="D669" s="763"/>
      <c r="E669" s="763"/>
      <c r="F669" s="763"/>
      <c r="G669" s="763"/>
      <c r="H669" s="763"/>
      <c r="I669" s="763"/>
      <c r="J669" s="763"/>
      <c r="K669" s="763"/>
      <c r="L669" s="763"/>
      <c r="M669" s="763"/>
      <c r="N669" s="763"/>
      <c r="O669" s="763"/>
      <c r="P669" s="763"/>
      <c r="Q669" s="763"/>
      <c r="R669" s="763"/>
      <c r="S669" s="763"/>
      <c r="T669" s="763"/>
      <c r="U669" s="763"/>
      <c r="V669" s="763"/>
      <c r="W669" s="763"/>
      <c r="X669" s="763"/>
      <c r="Y669" s="774"/>
      <c r="Z669" s="793"/>
      <c r="AA669" s="793"/>
      <c r="AB669" s="793"/>
      <c r="AC669" s="793"/>
      <c r="AD669" s="793"/>
      <c r="AE669" s="793"/>
      <c r="AF669" s="435"/>
      <c r="AG669" s="435"/>
      <c r="AH669" s="435"/>
      <c r="AI669" s="435"/>
      <c r="AJ669" s="435"/>
      <c r="AK669" s="435"/>
      <c r="AL669" s="435"/>
      <c r="AM669" s="319"/>
    </row>
    <row r="670" spans="1:39" ht="15" outlineLevel="1">
      <c r="A670" s="539">
        <v>26</v>
      </c>
      <c r="B670" s="438" t="s">
        <v>118</v>
      </c>
      <c r="C670" s="304" t="s">
        <v>25</v>
      </c>
      <c r="D670" s="308">
        <f>'7.  Persistence Report'!AX132</f>
        <v>1733977.6452778243</v>
      </c>
      <c r="E670" s="308">
        <f>'7.  Persistence Report'!AY132</f>
        <v>1729690.2952632695</v>
      </c>
      <c r="F670" s="308">
        <f>'7.  Persistence Report'!AZ132</f>
        <v>1725402.9452487149</v>
      </c>
      <c r="G670" s="308"/>
      <c r="H670" s="308"/>
      <c r="I670" s="308"/>
      <c r="J670" s="308"/>
      <c r="K670" s="308"/>
      <c r="L670" s="308"/>
      <c r="M670" s="308"/>
      <c r="N670" s="308">
        <v>12</v>
      </c>
      <c r="O670" s="308">
        <f>'7.  Persistence Report'!S132</f>
        <v>216.96507811967999</v>
      </c>
      <c r="P670" s="308">
        <f>'7.  Persistence Report'!T132</f>
        <v>216.9649989089082</v>
      </c>
      <c r="Q670" s="308">
        <f>'7.  Persistence Report'!U132</f>
        <v>216.42721194567133</v>
      </c>
      <c r="R670" s="308"/>
      <c r="S670" s="308"/>
      <c r="T670" s="308"/>
      <c r="U670" s="308"/>
      <c r="V670" s="308"/>
      <c r="W670" s="308"/>
      <c r="X670" s="308"/>
      <c r="Y670" s="789"/>
      <c r="Z670" s="772">
        <v>0.18110000000000001</v>
      </c>
      <c r="AA670" s="772">
        <v>0.4486</v>
      </c>
      <c r="AB670" s="772">
        <v>0.3528</v>
      </c>
      <c r="AC670" s="772"/>
      <c r="AD670" s="772"/>
      <c r="AE670" s="772">
        <v>1.7399999999999999E-2</v>
      </c>
      <c r="AF670" s="427"/>
      <c r="AG670" s="427"/>
      <c r="AH670" s="427"/>
      <c r="AI670" s="427"/>
      <c r="AJ670" s="427"/>
      <c r="AK670" s="427"/>
      <c r="AL670" s="427"/>
      <c r="AM670" s="309">
        <f>SUM(Y670:AL670)</f>
        <v>0.99990000000000001</v>
      </c>
    </row>
    <row r="671" spans="1:39" ht="15" outlineLevel="1">
      <c r="A671" s="539"/>
      <c r="B671" s="307" t="s">
        <v>310</v>
      </c>
      <c r="C671" s="304" t="s">
        <v>163</v>
      </c>
      <c r="D671" s="308"/>
      <c r="E671" s="308"/>
      <c r="F671" s="308"/>
      <c r="G671" s="308"/>
      <c r="H671" s="308"/>
      <c r="I671" s="308"/>
      <c r="J671" s="308"/>
      <c r="K671" s="308"/>
      <c r="L671" s="308"/>
      <c r="M671" s="308"/>
      <c r="N671" s="308">
        <f>N670</f>
        <v>12</v>
      </c>
      <c r="O671" s="308"/>
      <c r="P671" s="308"/>
      <c r="Q671" s="308"/>
      <c r="R671" s="308"/>
      <c r="S671" s="308"/>
      <c r="T671" s="308"/>
      <c r="U671" s="308"/>
      <c r="V671" s="308"/>
      <c r="W671" s="308"/>
      <c r="X671" s="308"/>
      <c r="Y671" s="773">
        <f>Y670</f>
        <v>0</v>
      </c>
      <c r="Z671" s="773">
        <f t="shared" ref="Z671:AE671" si="1214">Z670</f>
        <v>0.18110000000000001</v>
      </c>
      <c r="AA671" s="773">
        <f t="shared" si="1214"/>
        <v>0.4486</v>
      </c>
      <c r="AB671" s="773">
        <f t="shared" si="1214"/>
        <v>0.3528</v>
      </c>
      <c r="AC671" s="773">
        <f t="shared" si="1214"/>
        <v>0</v>
      </c>
      <c r="AD671" s="773">
        <f t="shared" si="1214"/>
        <v>0</v>
      </c>
      <c r="AE671" s="773">
        <f t="shared" si="1214"/>
        <v>1.7399999999999999E-2</v>
      </c>
      <c r="AF671" s="423">
        <f t="shared" ref="AF671" si="1215">AF670</f>
        <v>0</v>
      </c>
      <c r="AG671" s="423">
        <f t="shared" ref="AG671" si="1216">AG670</f>
        <v>0</v>
      </c>
      <c r="AH671" s="423">
        <f t="shared" ref="AH671" si="1217">AH670</f>
        <v>0</v>
      </c>
      <c r="AI671" s="423">
        <f t="shared" ref="AI671" si="1218">AI670</f>
        <v>0</v>
      </c>
      <c r="AJ671" s="423">
        <f t="shared" ref="AJ671" si="1219">AJ670</f>
        <v>0</v>
      </c>
      <c r="AK671" s="423">
        <f t="shared" ref="AK671" si="1220">AK670</f>
        <v>0</v>
      </c>
      <c r="AL671" s="423">
        <f t="shared" ref="AL671" si="1221">AL670</f>
        <v>0</v>
      </c>
      <c r="AM671" s="319"/>
    </row>
    <row r="672" spans="1:39" ht="15" outlineLevel="1">
      <c r="A672" s="539"/>
      <c r="B672" s="307"/>
      <c r="C672" s="304"/>
      <c r="D672" s="763"/>
      <c r="E672" s="763"/>
      <c r="F672" s="763"/>
      <c r="G672" s="763"/>
      <c r="H672" s="763"/>
      <c r="I672" s="763"/>
      <c r="J672" s="763"/>
      <c r="K672" s="763"/>
      <c r="L672" s="763"/>
      <c r="M672" s="763"/>
      <c r="N672" s="763"/>
      <c r="O672" s="763"/>
      <c r="P672" s="763"/>
      <c r="Q672" s="763"/>
      <c r="R672" s="763"/>
      <c r="S672" s="763"/>
      <c r="T672" s="763"/>
      <c r="U672" s="763"/>
      <c r="V672" s="763"/>
      <c r="W672" s="763"/>
      <c r="X672" s="763"/>
      <c r="Y672" s="774"/>
      <c r="Z672" s="793"/>
      <c r="AA672" s="793"/>
      <c r="AB672" s="793"/>
      <c r="AC672" s="793"/>
      <c r="AD672" s="793"/>
      <c r="AE672" s="793"/>
      <c r="AF672" s="435"/>
      <c r="AG672" s="435"/>
      <c r="AH672" s="435"/>
      <c r="AI672" s="435"/>
      <c r="AJ672" s="435"/>
      <c r="AK672" s="435"/>
      <c r="AL672" s="435"/>
      <c r="AM672" s="319"/>
    </row>
    <row r="673" spans="1:39" ht="30" outlineLevel="1">
      <c r="A673" s="539">
        <v>27</v>
      </c>
      <c r="B673" s="438" t="s">
        <v>119</v>
      </c>
      <c r="C673" s="304" t="s">
        <v>25</v>
      </c>
      <c r="D673" s="308">
        <f>'7.  Persistence Report'!AX135</f>
        <v>39331.281025960474</v>
      </c>
      <c r="E673" s="308">
        <f>'7.  Persistence Report'!AY135</f>
        <v>32310.41980808655</v>
      </c>
      <c r="F673" s="308">
        <f>'7.  Persistence Report'!AZ135</f>
        <v>25289.558590212626</v>
      </c>
      <c r="G673" s="308"/>
      <c r="H673" s="308"/>
      <c r="I673" s="308"/>
      <c r="J673" s="308"/>
      <c r="K673" s="308"/>
      <c r="L673" s="308"/>
      <c r="M673" s="308"/>
      <c r="N673" s="308">
        <v>12</v>
      </c>
      <c r="O673" s="308">
        <f>'7.  Persistence Report'!S135</f>
        <v>10.081837822221967</v>
      </c>
      <c r="P673" s="308">
        <f>'7.  Persistence Report'!T135</f>
        <v>8.2821714415563452</v>
      </c>
      <c r="Q673" s="308">
        <f>'7.  Persistence Report'!U135</f>
        <v>6.4825050608907242</v>
      </c>
      <c r="R673" s="308"/>
      <c r="S673" s="308"/>
      <c r="T673" s="308"/>
      <c r="U673" s="308"/>
      <c r="V673" s="308"/>
      <c r="W673" s="308"/>
      <c r="X673" s="308"/>
      <c r="Y673" s="789"/>
      <c r="Z673" s="795">
        <f>Z670/SUM($Z$670:$AB$670)</f>
        <v>0.18432569974554708</v>
      </c>
      <c r="AA673" s="795">
        <f t="shared" ref="AA673" si="1222">AA670/SUM($Z$670:$AB$670)</f>
        <v>0.45659033078880407</v>
      </c>
      <c r="AB673" s="795">
        <f>AB670/SUM($Z$670:$AB$670)</f>
        <v>0.35908396946564886</v>
      </c>
      <c r="AC673" s="772"/>
      <c r="AD673" s="772"/>
      <c r="AE673" s="772"/>
      <c r="AF673" s="427"/>
      <c r="AG673" s="427"/>
      <c r="AH673" s="427"/>
      <c r="AI673" s="427"/>
      <c r="AJ673" s="427"/>
      <c r="AK673" s="427"/>
      <c r="AL673" s="427"/>
      <c r="AM673" s="309">
        <f>SUM(Y673:AL673)</f>
        <v>1</v>
      </c>
    </row>
    <row r="674" spans="1:39" ht="15" outlineLevel="1">
      <c r="A674" s="539"/>
      <c r="B674" s="307" t="s">
        <v>310</v>
      </c>
      <c r="C674" s="304" t="s">
        <v>163</v>
      </c>
      <c r="D674" s="308"/>
      <c r="E674" s="308"/>
      <c r="F674" s="308"/>
      <c r="G674" s="308"/>
      <c r="H674" s="308"/>
      <c r="I674" s="308"/>
      <c r="J674" s="308"/>
      <c r="K674" s="308"/>
      <c r="L674" s="308"/>
      <c r="M674" s="308"/>
      <c r="N674" s="308">
        <f>N673</f>
        <v>12</v>
      </c>
      <c r="O674" s="308"/>
      <c r="P674" s="308"/>
      <c r="Q674" s="308"/>
      <c r="R674" s="308"/>
      <c r="S674" s="308"/>
      <c r="T674" s="308"/>
      <c r="U674" s="308"/>
      <c r="V674" s="308"/>
      <c r="W674" s="308"/>
      <c r="X674" s="308"/>
      <c r="Y674" s="773">
        <f>Y673</f>
        <v>0</v>
      </c>
      <c r="Z674" s="773">
        <f t="shared" ref="Z674:AE674" si="1223">Z673</f>
        <v>0.18432569974554708</v>
      </c>
      <c r="AA674" s="773">
        <f t="shared" si="1223"/>
        <v>0.45659033078880407</v>
      </c>
      <c r="AB674" s="773">
        <f t="shared" si="1223"/>
        <v>0.35908396946564886</v>
      </c>
      <c r="AC674" s="773">
        <f t="shared" si="1223"/>
        <v>0</v>
      </c>
      <c r="AD674" s="773">
        <f t="shared" si="1223"/>
        <v>0</v>
      </c>
      <c r="AE674" s="773">
        <f t="shared" si="1223"/>
        <v>0</v>
      </c>
      <c r="AF674" s="423">
        <f t="shared" ref="AF674" si="1224">AF673</f>
        <v>0</v>
      </c>
      <c r="AG674" s="423">
        <f t="shared" ref="AG674" si="1225">AG673</f>
        <v>0</v>
      </c>
      <c r="AH674" s="423">
        <f t="shared" ref="AH674" si="1226">AH673</f>
        <v>0</v>
      </c>
      <c r="AI674" s="423">
        <f t="shared" ref="AI674" si="1227">AI673</f>
        <v>0</v>
      </c>
      <c r="AJ674" s="423">
        <f t="shared" ref="AJ674" si="1228">AJ673</f>
        <v>0</v>
      </c>
      <c r="AK674" s="423">
        <f t="shared" ref="AK674" si="1229">AK673</f>
        <v>0</v>
      </c>
      <c r="AL674" s="423">
        <f t="shared" ref="AL674" si="1230">AL673</f>
        <v>0</v>
      </c>
      <c r="AM674" s="319"/>
    </row>
    <row r="675" spans="1:39" ht="15" outlineLevel="1">
      <c r="A675" s="539"/>
      <c r="B675" s="307"/>
      <c r="C675" s="304"/>
      <c r="D675" s="763"/>
      <c r="E675" s="763"/>
      <c r="F675" s="763"/>
      <c r="G675" s="763"/>
      <c r="H675" s="763"/>
      <c r="I675" s="763"/>
      <c r="J675" s="763"/>
      <c r="K675" s="763"/>
      <c r="L675" s="763"/>
      <c r="M675" s="763"/>
      <c r="N675" s="763"/>
      <c r="O675" s="763"/>
      <c r="P675" s="763"/>
      <c r="Q675" s="763"/>
      <c r="R675" s="763"/>
      <c r="S675" s="763"/>
      <c r="T675" s="763"/>
      <c r="U675" s="763"/>
      <c r="V675" s="763"/>
      <c r="W675" s="763"/>
      <c r="X675" s="763"/>
      <c r="Y675" s="774"/>
      <c r="Z675" s="793"/>
      <c r="AA675" s="793"/>
      <c r="AB675" s="793"/>
      <c r="AC675" s="793"/>
      <c r="AD675" s="793"/>
      <c r="AE675" s="793"/>
      <c r="AF675" s="435"/>
      <c r="AG675" s="435"/>
      <c r="AH675" s="435"/>
      <c r="AI675" s="435"/>
      <c r="AJ675" s="435"/>
      <c r="AK675" s="435"/>
      <c r="AL675" s="435"/>
      <c r="AM675" s="319"/>
    </row>
    <row r="676" spans="1:39" ht="30" outlineLevel="1">
      <c r="A676" s="539">
        <v>28</v>
      </c>
      <c r="B676" s="438" t="s">
        <v>120</v>
      </c>
      <c r="C676" s="304" t="s">
        <v>25</v>
      </c>
      <c r="D676" s="308">
        <f>'7.  Persistence Report'!AX133</f>
        <v>31041.669251232775</v>
      </c>
      <c r="E676" s="308">
        <f>'7.  Persistence Report'!AY133</f>
        <v>30887.64462627492</v>
      </c>
      <c r="F676" s="308">
        <f>'7.  Persistence Report'!AZ133</f>
        <v>30733.620001317064</v>
      </c>
      <c r="G676" s="308"/>
      <c r="H676" s="308"/>
      <c r="I676" s="308"/>
      <c r="J676" s="308"/>
      <c r="K676" s="308"/>
      <c r="L676" s="308"/>
      <c r="M676" s="308"/>
      <c r="N676" s="308">
        <v>12</v>
      </c>
      <c r="O676" s="308">
        <f>'7.  Persistence Report'!S133</f>
        <v>5.9875177733378306</v>
      </c>
      <c r="P676" s="308">
        <f>'7.  Persistence Report'!T133</f>
        <v>5.9578085082850105</v>
      </c>
      <c r="Q676" s="308">
        <f>'7.  Persistence Report'!U133</f>
        <v>5.9280992432321904</v>
      </c>
      <c r="R676" s="308"/>
      <c r="S676" s="308"/>
      <c r="T676" s="308"/>
      <c r="U676" s="308"/>
      <c r="V676" s="308"/>
      <c r="W676" s="308"/>
      <c r="X676" s="308"/>
      <c r="Y676" s="789"/>
      <c r="Z676" s="772"/>
      <c r="AA676" s="772"/>
      <c r="AB676" s="772">
        <v>1</v>
      </c>
      <c r="AC676" s="772"/>
      <c r="AD676" s="772"/>
      <c r="AE676" s="772"/>
      <c r="AF676" s="427"/>
      <c r="AG676" s="427"/>
      <c r="AH676" s="427"/>
      <c r="AI676" s="427"/>
      <c r="AJ676" s="427"/>
      <c r="AK676" s="427"/>
      <c r="AL676" s="427"/>
      <c r="AM676" s="309">
        <f>SUM(Y676:AL676)</f>
        <v>1</v>
      </c>
    </row>
    <row r="677" spans="1:39" ht="15" outlineLevel="1">
      <c r="A677" s="539"/>
      <c r="B677" s="307" t="s">
        <v>310</v>
      </c>
      <c r="C677" s="304" t="s">
        <v>163</v>
      </c>
      <c r="D677" s="308"/>
      <c r="E677" s="308"/>
      <c r="F677" s="308"/>
      <c r="G677" s="308"/>
      <c r="H677" s="308"/>
      <c r="I677" s="308"/>
      <c r="J677" s="308"/>
      <c r="K677" s="308"/>
      <c r="L677" s="308"/>
      <c r="M677" s="308"/>
      <c r="N677" s="308">
        <f>N676</f>
        <v>12</v>
      </c>
      <c r="O677" s="308"/>
      <c r="P677" s="308"/>
      <c r="Q677" s="308"/>
      <c r="R677" s="308"/>
      <c r="S677" s="308"/>
      <c r="T677" s="308"/>
      <c r="U677" s="308"/>
      <c r="V677" s="308"/>
      <c r="W677" s="308"/>
      <c r="X677" s="308"/>
      <c r="Y677" s="773">
        <f>Y676</f>
        <v>0</v>
      </c>
      <c r="Z677" s="773">
        <f t="shared" ref="Z677:AE677" si="1231">Z676</f>
        <v>0</v>
      </c>
      <c r="AA677" s="773">
        <f t="shared" si="1231"/>
        <v>0</v>
      </c>
      <c r="AB677" s="773">
        <f t="shared" si="1231"/>
        <v>1</v>
      </c>
      <c r="AC677" s="773">
        <f t="shared" si="1231"/>
        <v>0</v>
      </c>
      <c r="AD677" s="773">
        <f t="shared" si="1231"/>
        <v>0</v>
      </c>
      <c r="AE677" s="773">
        <f t="shared" si="1231"/>
        <v>0</v>
      </c>
      <c r="AF677" s="423">
        <f t="shared" ref="AF677" si="1232">AF676</f>
        <v>0</v>
      </c>
      <c r="AG677" s="423">
        <f t="shared" ref="AG677" si="1233">AG676</f>
        <v>0</v>
      </c>
      <c r="AH677" s="423">
        <f t="shared" ref="AH677" si="1234">AH676</f>
        <v>0</v>
      </c>
      <c r="AI677" s="423">
        <f t="shared" ref="AI677" si="1235">AI676</f>
        <v>0</v>
      </c>
      <c r="AJ677" s="423">
        <f t="shared" ref="AJ677" si="1236">AJ676</f>
        <v>0</v>
      </c>
      <c r="AK677" s="423">
        <f t="shared" ref="AK677" si="1237">AK676</f>
        <v>0</v>
      </c>
      <c r="AL677" s="423">
        <f t="shared" ref="AL677" si="1238">AL676</f>
        <v>0</v>
      </c>
      <c r="AM677" s="319"/>
    </row>
    <row r="678" spans="1:39" ht="15" outlineLevel="1">
      <c r="A678" s="539"/>
      <c r="B678" s="307"/>
      <c r="C678" s="304"/>
      <c r="D678" s="763"/>
      <c r="E678" s="763"/>
      <c r="F678" s="763"/>
      <c r="G678" s="763"/>
      <c r="H678" s="763"/>
      <c r="I678" s="763"/>
      <c r="J678" s="763"/>
      <c r="K678" s="763"/>
      <c r="L678" s="763"/>
      <c r="M678" s="763"/>
      <c r="N678" s="763"/>
      <c r="O678" s="763"/>
      <c r="P678" s="763"/>
      <c r="Q678" s="763"/>
      <c r="R678" s="763"/>
      <c r="S678" s="763"/>
      <c r="T678" s="763"/>
      <c r="U678" s="763"/>
      <c r="V678" s="763"/>
      <c r="W678" s="763"/>
      <c r="X678" s="763"/>
      <c r="Y678" s="774"/>
      <c r="Z678" s="793"/>
      <c r="AA678" s="793"/>
      <c r="AB678" s="793"/>
      <c r="AC678" s="793"/>
      <c r="AD678" s="793"/>
      <c r="AE678" s="793"/>
      <c r="AF678" s="435"/>
      <c r="AG678" s="435"/>
      <c r="AH678" s="435"/>
      <c r="AI678" s="435"/>
      <c r="AJ678" s="435"/>
      <c r="AK678" s="435"/>
      <c r="AL678" s="435"/>
      <c r="AM678" s="319"/>
    </row>
    <row r="679" spans="1:39" ht="30" outlineLevel="1">
      <c r="A679" s="539">
        <v>29</v>
      </c>
      <c r="B679" s="438" t="s">
        <v>121</v>
      </c>
      <c r="C679" s="304" t="s">
        <v>25</v>
      </c>
      <c r="D679" s="308"/>
      <c r="E679" s="308"/>
      <c r="F679" s="308"/>
      <c r="G679" s="308"/>
      <c r="H679" s="308"/>
      <c r="I679" s="308"/>
      <c r="J679" s="308"/>
      <c r="K679" s="308"/>
      <c r="L679" s="308"/>
      <c r="M679" s="308"/>
      <c r="N679" s="308">
        <v>3</v>
      </c>
      <c r="O679" s="308"/>
      <c r="P679" s="308"/>
      <c r="Q679" s="308"/>
      <c r="R679" s="308"/>
      <c r="S679" s="308"/>
      <c r="T679" s="308"/>
      <c r="U679" s="308"/>
      <c r="V679" s="308"/>
      <c r="W679" s="308"/>
      <c r="X679" s="308"/>
      <c r="Y679" s="789"/>
      <c r="Z679" s="772"/>
      <c r="AA679" s="772"/>
      <c r="AB679" s="772"/>
      <c r="AC679" s="772"/>
      <c r="AD679" s="772"/>
      <c r="AE679" s="772"/>
      <c r="AF679" s="427"/>
      <c r="AG679" s="427"/>
      <c r="AH679" s="427"/>
      <c r="AI679" s="427"/>
      <c r="AJ679" s="427"/>
      <c r="AK679" s="427"/>
      <c r="AL679" s="427"/>
      <c r="AM679" s="309">
        <f>SUM(Y679:AL679)</f>
        <v>0</v>
      </c>
    </row>
    <row r="680" spans="1:39" ht="15" outlineLevel="1">
      <c r="A680" s="539"/>
      <c r="B680" s="307" t="s">
        <v>310</v>
      </c>
      <c r="C680" s="304" t="s">
        <v>163</v>
      </c>
      <c r="D680" s="308"/>
      <c r="E680" s="308"/>
      <c r="F680" s="308"/>
      <c r="G680" s="308"/>
      <c r="H680" s="308"/>
      <c r="I680" s="308"/>
      <c r="J680" s="308"/>
      <c r="K680" s="308"/>
      <c r="L680" s="308"/>
      <c r="M680" s="308"/>
      <c r="N680" s="308">
        <f>N679</f>
        <v>3</v>
      </c>
      <c r="O680" s="308"/>
      <c r="P680" s="308"/>
      <c r="Q680" s="308"/>
      <c r="R680" s="308"/>
      <c r="S680" s="308"/>
      <c r="T680" s="308"/>
      <c r="U680" s="308"/>
      <c r="V680" s="308"/>
      <c r="W680" s="308"/>
      <c r="X680" s="308"/>
      <c r="Y680" s="773">
        <f>Y679</f>
        <v>0</v>
      </c>
      <c r="Z680" s="773">
        <f t="shared" ref="Z680:AE680" si="1239">Z679</f>
        <v>0</v>
      </c>
      <c r="AA680" s="773">
        <f t="shared" si="1239"/>
        <v>0</v>
      </c>
      <c r="AB680" s="773">
        <f t="shared" si="1239"/>
        <v>0</v>
      </c>
      <c r="AC680" s="773">
        <f t="shared" si="1239"/>
        <v>0</v>
      </c>
      <c r="AD680" s="773">
        <f t="shared" si="1239"/>
        <v>0</v>
      </c>
      <c r="AE680" s="773">
        <f t="shared" si="1239"/>
        <v>0</v>
      </c>
      <c r="AF680" s="423">
        <f t="shared" ref="AF680" si="1240">AF679</f>
        <v>0</v>
      </c>
      <c r="AG680" s="423">
        <f t="shared" ref="AG680" si="1241">AG679</f>
        <v>0</v>
      </c>
      <c r="AH680" s="423">
        <f t="shared" ref="AH680" si="1242">AH679</f>
        <v>0</v>
      </c>
      <c r="AI680" s="423">
        <f t="shared" ref="AI680" si="1243">AI679</f>
        <v>0</v>
      </c>
      <c r="AJ680" s="423">
        <f t="shared" ref="AJ680" si="1244">AJ679</f>
        <v>0</v>
      </c>
      <c r="AK680" s="423">
        <f t="shared" ref="AK680" si="1245">AK679</f>
        <v>0</v>
      </c>
      <c r="AL680" s="423">
        <f t="shared" ref="AL680" si="1246">AL679</f>
        <v>0</v>
      </c>
      <c r="AM680" s="319"/>
    </row>
    <row r="681" spans="1:39" ht="15" outlineLevel="1">
      <c r="A681" s="539"/>
      <c r="B681" s="307"/>
      <c r="C681" s="304"/>
      <c r="D681" s="763"/>
      <c r="E681" s="763"/>
      <c r="F681" s="763"/>
      <c r="G681" s="763"/>
      <c r="H681" s="763"/>
      <c r="I681" s="763"/>
      <c r="J681" s="763"/>
      <c r="K681" s="763"/>
      <c r="L681" s="763"/>
      <c r="M681" s="763"/>
      <c r="N681" s="763"/>
      <c r="O681" s="763"/>
      <c r="P681" s="763"/>
      <c r="Q681" s="763"/>
      <c r="R681" s="763"/>
      <c r="S681" s="763"/>
      <c r="T681" s="763"/>
      <c r="U681" s="763"/>
      <c r="V681" s="763"/>
      <c r="W681" s="763"/>
      <c r="X681" s="763"/>
      <c r="Y681" s="774"/>
      <c r="Z681" s="793"/>
      <c r="AA681" s="793"/>
      <c r="AB681" s="793"/>
      <c r="AC681" s="793"/>
      <c r="AD681" s="793"/>
      <c r="AE681" s="793"/>
      <c r="AF681" s="435"/>
      <c r="AG681" s="435"/>
      <c r="AH681" s="435"/>
      <c r="AI681" s="435"/>
      <c r="AJ681" s="435"/>
      <c r="AK681" s="435"/>
      <c r="AL681" s="435"/>
      <c r="AM681" s="319"/>
    </row>
    <row r="682" spans="1:39" ht="30" outlineLevel="1">
      <c r="A682" s="539">
        <v>30</v>
      </c>
      <c r="B682" s="438" t="s">
        <v>122</v>
      </c>
      <c r="C682" s="304" t="s">
        <v>25</v>
      </c>
      <c r="D682" s="308"/>
      <c r="E682" s="308"/>
      <c r="F682" s="308"/>
      <c r="G682" s="308"/>
      <c r="H682" s="308"/>
      <c r="I682" s="308"/>
      <c r="J682" s="308"/>
      <c r="K682" s="308"/>
      <c r="L682" s="308"/>
      <c r="M682" s="308"/>
      <c r="N682" s="308">
        <v>12</v>
      </c>
      <c r="O682" s="308"/>
      <c r="P682" s="308"/>
      <c r="Q682" s="308"/>
      <c r="R682" s="308"/>
      <c r="S682" s="308"/>
      <c r="T682" s="308"/>
      <c r="U682" s="308"/>
      <c r="V682" s="308"/>
      <c r="W682" s="308"/>
      <c r="X682" s="308"/>
      <c r="Y682" s="789"/>
      <c r="Z682" s="772"/>
      <c r="AA682" s="772"/>
      <c r="AB682" s="772"/>
      <c r="AC682" s="772"/>
      <c r="AD682" s="772"/>
      <c r="AE682" s="772"/>
      <c r="AF682" s="427"/>
      <c r="AG682" s="427"/>
      <c r="AH682" s="427"/>
      <c r="AI682" s="427"/>
      <c r="AJ682" s="427"/>
      <c r="AK682" s="427"/>
      <c r="AL682" s="427"/>
      <c r="AM682" s="309">
        <f>SUM(Y682:AL682)</f>
        <v>0</v>
      </c>
    </row>
    <row r="683" spans="1:39" ht="15" outlineLevel="1">
      <c r="A683" s="539"/>
      <c r="B683" s="307" t="s">
        <v>310</v>
      </c>
      <c r="C683" s="304" t="s">
        <v>163</v>
      </c>
      <c r="D683" s="308"/>
      <c r="E683" s="308"/>
      <c r="F683" s="308"/>
      <c r="G683" s="308"/>
      <c r="H683" s="308"/>
      <c r="I683" s="308"/>
      <c r="J683" s="308"/>
      <c r="K683" s="308"/>
      <c r="L683" s="308"/>
      <c r="M683" s="308"/>
      <c r="N683" s="308">
        <f>N682</f>
        <v>12</v>
      </c>
      <c r="O683" s="308"/>
      <c r="P683" s="308"/>
      <c r="Q683" s="308"/>
      <c r="R683" s="308"/>
      <c r="S683" s="308"/>
      <c r="T683" s="308"/>
      <c r="U683" s="308"/>
      <c r="V683" s="308"/>
      <c r="W683" s="308"/>
      <c r="X683" s="308"/>
      <c r="Y683" s="773">
        <f>Y682</f>
        <v>0</v>
      </c>
      <c r="Z683" s="773">
        <f t="shared" ref="Z683:AE683" si="1247">Z682</f>
        <v>0</v>
      </c>
      <c r="AA683" s="773">
        <f t="shared" si="1247"/>
        <v>0</v>
      </c>
      <c r="AB683" s="773">
        <f t="shared" si="1247"/>
        <v>0</v>
      </c>
      <c r="AC683" s="773">
        <f t="shared" si="1247"/>
        <v>0</v>
      </c>
      <c r="AD683" s="773">
        <f t="shared" si="1247"/>
        <v>0</v>
      </c>
      <c r="AE683" s="773">
        <f t="shared" si="1247"/>
        <v>0</v>
      </c>
      <c r="AF683" s="423">
        <f t="shared" ref="AF683" si="1248">AF682</f>
        <v>0</v>
      </c>
      <c r="AG683" s="423">
        <f t="shared" ref="AG683" si="1249">AG682</f>
        <v>0</v>
      </c>
      <c r="AH683" s="423">
        <f t="shared" ref="AH683" si="1250">AH682</f>
        <v>0</v>
      </c>
      <c r="AI683" s="423">
        <f t="shared" ref="AI683" si="1251">AI682</f>
        <v>0</v>
      </c>
      <c r="AJ683" s="423">
        <f t="shared" ref="AJ683" si="1252">AJ682</f>
        <v>0</v>
      </c>
      <c r="AK683" s="423">
        <f t="shared" ref="AK683" si="1253">AK682</f>
        <v>0</v>
      </c>
      <c r="AL683" s="423">
        <f t="shared" ref="AL683" si="1254">AL682</f>
        <v>0</v>
      </c>
      <c r="AM683" s="319"/>
    </row>
    <row r="684" spans="1:39" ht="15" outlineLevel="1">
      <c r="A684" s="539"/>
      <c r="B684" s="307"/>
      <c r="C684" s="304"/>
      <c r="D684" s="763"/>
      <c r="E684" s="763"/>
      <c r="F684" s="763"/>
      <c r="G684" s="763"/>
      <c r="H684" s="763"/>
      <c r="I684" s="763"/>
      <c r="J684" s="763"/>
      <c r="K684" s="763"/>
      <c r="L684" s="763"/>
      <c r="M684" s="763"/>
      <c r="N684" s="763"/>
      <c r="O684" s="763"/>
      <c r="P684" s="763"/>
      <c r="Q684" s="763"/>
      <c r="R684" s="763"/>
      <c r="S684" s="763"/>
      <c r="T684" s="763"/>
      <c r="U684" s="763"/>
      <c r="V684" s="763"/>
      <c r="W684" s="763"/>
      <c r="X684" s="763"/>
      <c r="Y684" s="774"/>
      <c r="Z684" s="793"/>
      <c r="AA684" s="793"/>
      <c r="AB684" s="793"/>
      <c r="AC684" s="793"/>
      <c r="AD684" s="793"/>
      <c r="AE684" s="793"/>
      <c r="AF684" s="435"/>
      <c r="AG684" s="435"/>
      <c r="AH684" s="435"/>
      <c r="AI684" s="435"/>
      <c r="AJ684" s="435"/>
      <c r="AK684" s="435"/>
      <c r="AL684" s="435"/>
      <c r="AM684" s="319"/>
    </row>
    <row r="685" spans="1:39" ht="30" outlineLevel="1">
      <c r="A685" s="539">
        <v>31</v>
      </c>
      <c r="B685" s="438" t="s">
        <v>123</v>
      </c>
      <c r="C685" s="304" t="s">
        <v>25</v>
      </c>
      <c r="D685" s="308"/>
      <c r="E685" s="308"/>
      <c r="F685" s="308"/>
      <c r="G685" s="308"/>
      <c r="H685" s="308"/>
      <c r="I685" s="308"/>
      <c r="J685" s="308"/>
      <c r="K685" s="308"/>
      <c r="L685" s="308"/>
      <c r="M685" s="308"/>
      <c r="N685" s="308">
        <v>12</v>
      </c>
      <c r="O685" s="308"/>
      <c r="P685" s="308"/>
      <c r="Q685" s="308"/>
      <c r="R685" s="308"/>
      <c r="S685" s="308"/>
      <c r="T685" s="308"/>
      <c r="U685" s="308"/>
      <c r="V685" s="308"/>
      <c r="W685" s="308"/>
      <c r="X685" s="308"/>
      <c r="Y685" s="789"/>
      <c r="Z685" s="772"/>
      <c r="AA685" s="772"/>
      <c r="AB685" s="772"/>
      <c r="AC685" s="772"/>
      <c r="AD685" s="772"/>
      <c r="AE685" s="772"/>
      <c r="AF685" s="427"/>
      <c r="AG685" s="427"/>
      <c r="AH685" s="427"/>
      <c r="AI685" s="427"/>
      <c r="AJ685" s="427"/>
      <c r="AK685" s="427"/>
      <c r="AL685" s="427"/>
      <c r="AM685" s="309">
        <f>SUM(Y685:AL685)</f>
        <v>0</v>
      </c>
    </row>
    <row r="686" spans="1:39" ht="15" outlineLevel="1">
      <c r="A686" s="539"/>
      <c r="B686" s="307" t="s">
        <v>310</v>
      </c>
      <c r="C686" s="304" t="s">
        <v>163</v>
      </c>
      <c r="D686" s="308"/>
      <c r="E686" s="308"/>
      <c r="F686" s="308"/>
      <c r="G686" s="308"/>
      <c r="H686" s="308"/>
      <c r="I686" s="308"/>
      <c r="J686" s="308"/>
      <c r="K686" s="308"/>
      <c r="L686" s="308"/>
      <c r="M686" s="308"/>
      <c r="N686" s="308">
        <f>N685</f>
        <v>12</v>
      </c>
      <c r="O686" s="308"/>
      <c r="P686" s="308"/>
      <c r="Q686" s="308"/>
      <c r="R686" s="308"/>
      <c r="S686" s="308"/>
      <c r="T686" s="308"/>
      <c r="U686" s="308"/>
      <c r="V686" s="308"/>
      <c r="W686" s="308"/>
      <c r="X686" s="308"/>
      <c r="Y686" s="773">
        <f>Y685</f>
        <v>0</v>
      </c>
      <c r="Z686" s="773">
        <f t="shared" ref="Z686:AE686" si="1255">Z685</f>
        <v>0</v>
      </c>
      <c r="AA686" s="773">
        <f t="shared" si="1255"/>
        <v>0</v>
      </c>
      <c r="AB686" s="773">
        <f t="shared" si="1255"/>
        <v>0</v>
      </c>
      <c r="AC686" s="773">
        <f t="shared" si="1255"/>
        <v>0</v>
      </c>
      <c r="AD686" s="773">
        <f t="shared" si="1255"/>
        <v>0</v>
      </c>
      <c r="AE686" s="773">
        <f t="shared" si="1255"/>
        <v>0</v>
      </c>
      <c r="AF686" s="423">
        <f t="shared" ref="AF686" si="1256">AF685</f>
        <v>0</v>
      </c>
      <c r="AG686" s="423">
        <f t="shared" ref="AG686" si="1257">AG685</f>
        <v>0</v>
      </c>
      <c r="AH686" s="423">
        <f t="shared" ref="AH686" si="1258">AH685</f>
        <v>0</v>
      </c>
      <c r="AI686" s="423">
        <f t="shared" ref="AI686" si="1259">AI685</f>
        <v>0</v>
      </c>
      <c r="AJ686" s="423">
        <f t="shared" ref="AJ686" si="1260">AJ685</f>
        <v>0</v>
      </c>
      <c r="AK686" s="423">
        <f t="shared" ref="AK686" si="1261">AK685</f>
        <v>0</v>
      </c>
      <c r="AL686" s="423">
        <f t="shared" ref="AL686" si="1262">AL685</f>
        <v>0</v>
      </c>
      <c r="AM686" s="319"/>
    </row>
    <row r="687" spans="1:39" ht="15" outlineLevel="1">
      <c r="A687" s="539"/>
      <c r="B687" s="438"/>
      <c r="C687" s="304"/>
      <c r="D687" s="763"/>
      <c r="E687" s="763"/>
      <c r="F687" s="763"/>
      <c r="G687" s="763"/>
      <c r="H687" s="763"/>
      <c r="I687" s="763"/>
      <c r="J687" s="763"/>
      <c r="K687" s="763"/>
      <c r="L687" s="763"/>
      <c r="M687" s="763"/>
      <c r="N687" s="763"/>
      <c r="O687" s="763"/>
      <c r="P687" s="763"/>
      <c r="Q687" s="763"/>
      <c r="R687" s="763"/>
      <c r="S687" s="763"/>
      <c r="T687" s="763"/>
      <c r="U687" s="763"/>
      <c r="V687" s="763"/>
      <c r="W687" s="763"/>
      <c r="X687" s="763"/>
      <c r="Y687" s="774"/>
      <c r="Z687" s="793"/>
      <c r="AA687" s="793"/>
      <c r="AB687" s="793"/>
      <c r="AC687" s="793"/>
      <c r="AD687" s="793"/>
      <c r="AE687" s="793"/>
      <c r="AF687" s="435"/>
      <c r="AG687" s="435"/>
      <c r="AH687" s="435"/>
      <c r="AI687" s="435"/>
      <c r="AJ687" s="435"/>
      <c r="AK687" s="435"/>
      <c r="AL687" s="435"/>
      <c r="AM687" s="319"/>
    </row>
    <row r="688" spans="1:39" ht="15" outlineLevel="1">
      <c r="A688" s="539">
        <v>32</v>
      </c>
      <c r="B688" s="438" t="s">
        <v>124</v>
      </c>
      <c r="C688" s="304" t="s">
        <v>25</v>
      </c>
      <c r="D688" s="308"/>
      <c r="E688" s="308"/>
      <c r="F688" s="308"/>
      <c r="G688" s="308"/>
      <c r="H688" s="308"/>
      <c r="I688" s="308"/>
      <c r="J688" s="308"/>
      <c r="K688" s="308"/>
      <c r="L688" s="308"/>
      <c r="M688" s="308"/>
      <c r="N688" s="308">
        <v>12</v>
      </c>
      <c r="O688" s="308"/>
      <c r="P688" s="308"/>
      <c r="Q688" s="308"/>
      <c r="R688" s="308"/>
      <c r="S688" s="308"/>
      <c r="T688" s="308"/>
      <c r="U688" s="308"/>
      <c r="V688" s="308"/>
      <c r="W688" s="308"/>
      <c r="X688" s="308"/>
      <c r="Y688" s="789"/>
      <c r="Z688" s="772"/>
      <c r="AA688" s="772"/>
      <c r="AB688" s="772"/>
      <c r="AC688" s="772"/>
      <c r="AD688" s="772"/>
      <c r="AE688" s="772"/>
      <c r="AF688" s="427"/>
      <c r="AG688" s="427"/>
      <c r="AH688" s="427"/>
      <c r="AI688" s="427"/>
      <c r="AJ688" s="427"/>
      <c r="AK688" s="427"/>
      <c r="AL688" s="427"/>
      <c r="AM688" s="309">
        <f>SUM(Y688:AL688)</f>
        <v>0</v>
      </c>
    </row>
    <row r="689" spans="1:39" ht="15" outlineLevel="1">
      <c r="A689" s="539"/>
      <c r="B689" s="307" t="s">
        <v>310</v>
      </c>
      <c r="C689" s="304" t="s">
        <v>163</v>
      </c>
      <c r="D689" s="308"/>
      <c r="E689" s="308"/>
      <c r="F689" s="308"/>
      <c r="G689" s="308"/>
      <c r="H689" s="308"/>
      <c r="I689" s="308"/>
      <c r="J689" s="308"/>
      <c r="K689" s="308"/>
      <c r="L689" s="308"/>
      <c r="M689" s="308"/>
      <c r="N689" s="308">
        <f>N688</f>
        <v>12</v>
      </c>
      <c r="O689" s="308"/>
      <c r="P689" s="308"/>
      <c r="Q689" s="308"/>
      <c r="R689" s="308"/>
      <c r="S689" s="308"/>
      <c r="T689" s="308"/>
      <c r="U689" s="308"/>
      <c r="V689" s="308"/>
      <c r="W689" s="308"/>
      <c r="X689" s="308"/>
      <c r="Y689" s="773">
        <f>Y688</f>
        <v>0</v>
      </c>
      <c r="Z689" s="773">
        <f t="shared" ref="Z689:AE689" si="1263">Z688</f>
        <v>0</v>
      </c>
      <c r="AA689" s="773">
        <f t="shared" si="1263"/>
        <v>0</v>
      </c>
      <c r="AB689" s="773">
        <f t="shared" si="1263"/>
        <v>0</v>
      </c>
      <c r="AC689" s="773">
        <f t="shared" si="1263"/>
        <v>0</v>
      </c>
      <c r="AD689" s="773">
        <f t="shared" si="1263"/>
        <v>0</v>
      </c>
      <c r="AE689" s="773">
        <f t="shared" si="1263"/>
        <v>0</v>
      </c>
      <c r="AF689" s="423">
        <f t="shared" ref="AF689" si="1264">AF688</f>
        <v>0</v>
      </c>
      <c r="AG689" s="423">
        <f t="shared" ref="AG689" si="1265">AG688</f>
        <v>0</v>
      </c>
      <c r="AH689" s="423">
        <f t="shared" ref="AH689" si="1266">AH688</f>
        <v>0</v>
      </c>
      <c r="AI689" s="423">
        <f t="shared" ref="AI689" si="1267">AI688</f>
        <v>0</v>
      </c>
      <c r="AJ689" s="423">
        <f t="shared" ref="AJ689" si="1268">AJ688</f>
        <v>0</v>
      </c>
      <c r="AK689" s="423">
        <f t="shared" ref="AK689" si="1269">AK688</f>
        <v>0</v>
      </c>
      <c r="AL689" s="423">
        <f t="shared" ref="AL689" si="1270">AL688</f>
        <v>0</v>
      </c>
      <c r="AM689" s="319"/>
    </row>
    <row r="690" spans="1:39" ht="15" outlineLevel="1">
      <c r="A690" s="539"/>
      <c r="B690" s="438"/>
      <c r="C690" s="304"/>
      <c r="D690" s="763"/>
      <c r="E690" s="763"/>
      <c r="F690" s="763"/>
      <c r="G690" s="763"/>
      <c r="H690" s="763"/>
      <c r="I690" s="763"/>
      <c r="J690" s="763"/>
      <c r="K690" s="763"/>
      <c r="L690" s="763"/>
      <c r="M690" s="763"/>
      <c r="N690" s="763"/>
      <c r="O690" s="763"/>
      <c r="P690" s="763"/>
      <c r="Q690" s="763"/>
      <c r="R690" s="763"/>
      <c r="S690" s="763"/>
      <c r="T690" s="763"/>
      <c r="U690" s="763"/>
      <c r="V690" s="763"/>
      <c r="W690" s="763"/>
      <c r="X690" s="763"/>
      <c r="Y690" s="774"/>
      <c r="Z690" s="793"/>
      <c r="AA690" s="793"/>
      <c r="AB690" s="793"/>
      <c r="AC690" s="793"/>
      <c r="AD690" s="793"/>
      <c r="AE690" s="793"/>
      <c r="AF690" s="435"/>
      <c r="AG690" s="435"/>
      <c r="AH690" s="435"/>
      <c r="AI690" s="435"/>
      <c r="AJ690" s="435"/>
      <c r="AK690" s="435"/>
      <c r="AL690" s="435"/>
      <c r="AM690" s="319"/>
    </row>
    <row r="691" spans="1:39" ht="15.6" outlineLevel="1">
      <c r="A691" s="539"/>
      <c r="B691" s="301" t="s">
        <v>500</v>
      </c>
      <c r="C691" s="304"/>
      <c r="D691" s="763"/>
      <c r="E691" s="763"/>
      <c r="F691" s="763"/>
      <c r="G691" s="763"/>
      <c r="H691" s="763"/>
      <c r="I691" s="763"/>
      <c r="J691" s="763"/>
      <c r="K691" s="763"/>
      <c r="L691" s="763"/>
      <c r="M691" s="763"/>
      <c r="N691" s="763"/>
      <c r="O691" s="763"/>
      <c r="P691" s="763"/>
      <c r="Q691" s="763"/>
      <c r="R691" s="763"/>
      <c r="S691" s="763"/>
      <c r="T691" s="763"/>
      <c r="U691" s="763"/>
      <c r="V691" s="763"/>
      <c r="W691" s="763"/>
      <c r="X691" s="763"/>
      <c r="Y691" s="774"/>
      <c r="Z691" s="793"/>
      <c r="AA691" s="793"/>
      <c r="AB691" s="793"/>
      <c r="AC691" s="793"/>
      <c r="AD691" s="793"/>
      <c r="AE691" s="793"/>
      <c r="AF691" s="435"/>
      <c r="AG691" s="435"/>
      <c r="AH691" s="435"/>
      <c r="AI691" s="435"/>
      <c r="AJ691" s="435"/>
      <c r="AK691" s="435"/>
      <c r="AL691" s="435"/>
      <c r="AM691" s="319"/>
    </row>
    <row r="692" spans="1:39" ht="15" outlineLevel="1">
      <c r="A692" s="539">
        <v>33</v>
      </c>
      <c r="B692" s="438" t="s">
        <v>125</v>
      </c>
      <c r="C692" s="304" t="s">
        <v>25</v>
      </c>
      <c r="D692" s="308"/>
      <c r="E692" s="308"/>
      <c r="F692" s="308"/>
      <c r="G692" s="308"/>
      <c r="H692" s="308"/>
      <c r="I692" s="308"/>
      <c r="J692" s="308"/>
      <c r="K692" s="308"/>
      <c r="L692" s="308"/>
      <c r="M692" s="308"/>
      <c r="N692" s="308">
        <v>0</v>
      </c>
      <c r="O692" s="308"/>
      <c r="P692" s="308"/>
      <c r="Q692" s="308"/>
      <c r="R692" s="308"/>
      <c r="S692" s="308"/>
      <c r="T692" s="308"/>
      <c r="U692" s="308"/>
      <c r="V692" s="308"/>
      <c r="W692" s="308"/>
      <c r="X692" s="308"/>
      <c r="Y692" s="789"/>
      <c r="Z692" s="772"/>
      <c r="AA692" s="772"/>
      <c r="AB692" s="772"/>
      <c r="AC692" s="772"/>
      <c r="AD692" s="772"/>
      <c r="AE692" s="772"/>
      <c r="AF692" s="427"/>
      <c r="AG692" s="427"/>
      <c r="AH692" s="427"/>
      <c r="AI692" s="427"/>
      <c r="AJ692" s="427"/>
      <c r="AK692" s="427"/>
      <c r="AL692" s="427"/>
      <c r="AM692" s="309">
        <f>SUM(Y692:AL692)</f>
        <v>0</v>
      </c>
    </row>
    <row r="693" spans="1:39" ht="15" outlineLevel="1">
      <c r="A693" s="539"/>
      <c r="B693" s="307" t="s">
        <v>310</v>
      </c>
      <c r="C693" s="304" t="s">
        <v>163</v>
      </c>
      <c r="D693" s="308"/>
      <c r="E693" s="308"/>
      <c r="F693" s="308"/>
      <c r="G693" s="308"/>
      <c r="H693" s="308"/>
      <c r="I693" s="308"/>
      <c r="J693" s="308"/>
      <c r="K693" s="308"/>
      <c r="L693" s="308"/>
      <c r="M693" s="308"/>
      <c r="N693" s="308">
        <f>N692</f>
        <v>0</v>
      </c>
      <c r="O693" s="308"/>
      <c r="P693" s="308"/>
      <c r="Q693" s="308"/>
      <c r="R693" s="308"/>
      <c r="S693" s="308"/>
      <c r="T693" s="308"/>
      <c r="U693" s="308"/>
      <c r="V693" s="308"/>
      <c r="W693" s="308"/>
      <c r="X693" s="308"/>
      <c r="Y693" s="773">
        <f>Y692</f>
        <v>0</v>
      </c>
      <c r="Z693" s="773">
        <f t="shared" ref="Z693:AE693" si="1271">Z692</f>
        <v>0</v>
      </c>
      <c r="AA693" s="773">
        <f t="shared" si="1271"/>
        <v>0</v>
      </c>
      <c r="AB693" s="773">
        <f t="shared" si="1271"/>
        <v>0</v>
      </c>
      <c r="AC693" s="773">
        <f t="shared" si="1271"/>
        <v>0</v>
      </c>
      <c r="AD693" s="773">
        <f t="shared" si="1271"/>
        <v>0</v>
      </c>
      <c r="AE693" s="773">
        <f t="shared" si="1271"/>
        <v>0</v>
      </c>
      <c r="AF693" s="423">
        <f t="shared" ref="AF693" si="1272">AF692</f>
        <v>0</v>
      </c>
      <c r="AG693" s="423">
        <f t="shared" ref="AG693" si="1273">AG692</f>
        <v>0</v>
      </c>
      <c r="AH693" s="423">
        <f t="shared" ref="AH693" si="1274">AH692</f>
        <v>0</v>
      </c>
      <c r="AI693" s="423">
        <f t="shared" ref="AI693" si="1275">AI692</f>
        <v>0</v>
      </c>
      <c r="AJ693" s="423">
        <f t="shared" ref="AJ693" si="1276">AJ692</f>
        <v>0</v>
      </c>
      <c r="AK693" s="423">
        <f t="shared" ref="AK693" si="1277">AK692</f>
        <v>0</v>
      </c>
      <c r="AL693" s="423">
        <f t="shared" ref="AL693" si="1278">AL692</f>
        <v>0</v>
      </c>
      <c r="AM693" s="319"/>
    </row>
    <row r="694" spans="1:39" ht="15" outlineLevel="1">
      <c r="A694" s="539"/>
      <c r="B694" s="438"/>
      <c r="C694" s="304"/>
      <c r="D694" s="763"/>
      <c r="E694" s="763"/>
      <c r="F694" s="763"/>
      <c r="G694" s="763"/>
      <c r="H694" s="763"/>
      <c r="I694" s="763"/>
      <c r="J694" s="763"/>
      <c r="K694" s="763"/>
      <c r="L694" s="763"/>
      <c r="M694" s="763"/>
      <c r="N694" s="763"/>
      <c r="O694" s="763"/>
      <c r="P694" s="763"/>
      <c r="Q694" s="763"/>
      <c r="R694" s="763"/>
      <c r="S694" s="763"/>
      <c r="T694" s="763"/>
      <c r="U694" s="763"/>
      <c r="V694" s="763"/>
      <c r="W694" s="763"/>
      <c r="X694" s="763"/>
      <c r="Y694" s="774"/>
      <c r="Z694" s="793"/>
      <c r="AA694" s="793"/>
      <c r="AB694" s="793"/>
      <c r="AC694" s="793"/>
      <c r="AD694" s="793"/>
      <c r="AE694" s="793"/>
      <c r="AF694" s="435"/>
      <c r="AG694" s="435"/>
      <c r="AH694" s="435"/>
      <c r="AI694" s="435"/>
      <c r="AJ694" s="435"/>
      <c r="AK694" s="435"/>
      <c r="AL694" s="435"/>
      <c r="AM694" s="319"/>
    </row>
    <row r="695" spans="1:39" ht="15" outlineLevel="1">
      <c r="A695" s="539">
        <v>34</v>
      </c>
      <c r="B695" s="438" t="s">
        <v>126</v>
      </c>
      <c r="C695" s="304" t="s">
        <v>25</v>
      </c>
      <c r="D695" s="308"/>
      <c r="E695" s="308"/>
      <c r="F695" s="308"/>
      <c r="G695" s="308"/>
      <c r="H695" s="308"/>
      <c r="I695" s="308"/>
      <c r="J695" s="308"/>
      <c r="K695" s="308"/>
      <c r="L695" s="308"/>
      <c r="M695" s="308"/>
      <c r="N695" s="308">
        <v>0</v>
      </c>
      <c r="O695" s="308"/>
      <c r="P695" s="308"/>
      <c r="Q695" s="308"/>
      <c r="R695" s="308"/>
      <c r="S695" s="308"/>
      <c r="T695" s="308"/>
      <c r="U695" s="308"/>
      <c r="V695" s="308"/>
      <c r="W695" s="308"/>
      <c r="X695" s="308"/>
      <c r="Y695" s="789"/>
      <c r="Z695" s="772"/>
      <c r="AA695" s="772"/>
      <c r="AB695" s="772"/>
      <c r="AC695" s="772"/>
      <c r="AD695" s="772"/>
      <c r="AE695" s="772"/>
      <c r="AF695" s="427"/>
      <c r="AG695" s="427"/>
      <c r="AH695" s="427"/>
      <c r="AI695" s="427"/>
      <c r="AJ695" s="427"/>
      <c r="AK695" s="427"/>
      <c r="AL695" s="427"/>
      <c r="AM695" s="309">
        <f>SUM(Y695:AL695)</f>
        <v>0</v>
      </c>
    </row>
    <row r="696" spans="1:39" ht="15" outlineLevel="1">
      <c r="A696" s="539"/>
      <c r="B696" s="307" t="s">
        <v>310</v>
      </c>
      <c r="C696" s="304" t="s">
        <v>163</v>
      </c>
      <c r="D696" s="308"/>
      <c r="E696" s="308"/>
      <c r="F696" s="308"/>
      <c r="G696" s="308"/>
      <c r="H696" s="308"/>
      <c r="I696" s="308"/>
      <c r="J696" s="308"/>
      <c r="K696" s="308"/>
      <c r="L696" s="308"/>
      <c r="M696" s="308"/>
      <c r="N696" s="308">
        <f>N695</f>
        <v>0</v>
      </c>
      <c r="O696" s="308"/>
      <c r="P696" s="308"/>
      <c r="Q696" s="308"/>
      <c r="R696" s="308"/>
      <c r="S696" s="308"/>
      <c r="T696" s="308"/>
      <c r="U696" s="308"/>
      <c r="V696" s="308"/>
      <c r="W696" s="308"/>
      <c r="X696" s="308"/>
      <c r="Y696" s="773">
        <f>Y695</f>
        <v>0</v>
      </c>
      <c r="Z696" s="773">
        <f t="shared" ref="Z696:AE696" si="1279">Z695</f>
        <v>0</v>
      </c>
      <c r="AA696" s="773">
        <f t="shared" si="1279"/>
        <v>0</v>
      </c>
      <c r="AB696" s="773">
        <f t="shared" si="1279"/>
        <v>0</v>
      </c>
      <c r="AC696" s="773">
        <f t="shared" si="1279"/>
        <v>0</v>
      </c>
      <c r="AD696" s="773">
        <f t="shared" si="1279"/>
        <v>0</v>
      </c>
      <c r="AE696" s="773">
        <f t="shared" si="1279"/>
        <v>0</v>
      </c>
      <c r="AF696" s="423">
        <f t="shared" ref="AF696" si="1280">AF695</f>
        <v>0</v>
      </c>
      <c r="AG696" s="423">
        <f t="shared" ref="AG696" si="1281">AG695</f>
        <v>0</v>
      </c>
      <c r="AH696" s="423">
        <f t="shared" ref="AH696" si="1282">AH695</f>
        <v>0</v>
      </c>
      <c r="AI696" s="423">
        <f t="shared" ref="AI696" si="1283">AI695</f>
        <v>0</v>
      </c>
      <c r="AJ696" s="423">
        <f t="shared" ref="AJ696" si="1284">AJ695</f>
        <v>0</v>
      </c>
      <c r="AK696" s="423">
        <f t="shared" ref="AK696" si="1285">AK695</f>
        <v>0</v>
      </c>
      <c r="AL696" s="423">
        <f t="shared" ref="AL696" si="1286">AL695</f>
        <v>0</v>
      </c>
      <c r="AM696" s="319"/>
    </row>
    <row r="697" spans="1:39" ht="15" outlineLevel="1">
      <c r="A697" s="539"/>
      <c r="B697" s="438"/>
      <c r="C697" s="304"/>
      <c r="D697" s="763"/>
      <c r="E697" s="763"/>
      <c r="F697" s="763"/>
      <c r="G697" s="763"/>
      <c r="H697" s="763"/>
      <c r="I697" s="763"/>
      <c r="J697" s="763"/>
      <c r="K697" s="763"/>
      <c r="L697" s="763"/>
      <c r="M697" s="763"/>
      <c r="N697" s="763"/>
      <c r="O697" s="763"/>
      <c r="P697" s="763"/>
      <c r="Q697" s="763"/>
      <c r="R697" s="763"/>
      <c r="S697" s="763"/>
      <c r="T697" s="763"/>
      <c r="U697" s="763"/>
      <c r="V697" s="763"/>
      <c r="W697" s="763"/>
      <c r="X697" s="763"/>
      <c r="Y697" s="774"/>
      <c r="Z697" s="793"/>
      <c r="AA697" s="793"/>
      <c r="AB697" s="793"/>
      <c r="AC697" s="793"/>
      <c r="AD697" s="793"/>
      <c r="AE697" s="793"/>
      <c r="AF697" s="435"/>
      <c r="AG697" s="435"/>
      <c r="AH697" s="435"/>
      <c r="AI697" s="435"/>
      <c r="AJ697" s="435"/>
      <c r="AK697" s="435"/>
      <c r="AL697" s="435"/>
      <c r="AM697" s="319"/>
    </row>
    <row r="698" spans="1:39" ht="15" outlineLevel="1">
      <c r="A698" s="539">
        <v>35</v>
      </c>
      <c r="B698" s="794" t="s">
        <v>796</v>
      </c>
      <c r="C698" s="304" t="s">
        <v>25</v>
      </c>
      <c r="D698" s="308">
        <f>'7.  Persistence Report'!AX134</f>
        <v>113219</v>
      </c>
      <c r="E698" s="308">
        <f>'7.  Persistence Report'!AY134</f>
        <v>113219</v>
      </c>
      <c r="F698" s="308">
        <f>'7.  Persistence Report'!AZ134</f>
        <v>113219</v>
      </c>
      <c r="G698" s="308"/>
      <c r="H698" s="308"/>
      <c r="I698" s="308"/>
      <c r="J698" s="308"/>
      <c r="K698" s="308"/>
      <c r="L698" s="308"/>
      <c r="M698" s="308"/>
      <c r="N698" s="308">
        <v>0</v>
      </c>
      <c r="O698" s="308">
        <f>'7.  Persistence Report'!S134</f>
        <v>21.872432223581686</v>
      </c>
      <c r="P698" s="308">
        <f>'7.  Persistence Report'!T134</f>
        <v>21.872432223581686</v>
      </c>
      <c r="Q698" s="308">
        <f>'7.  Persistence Report'!U134</f>
        <v>21.872432223581686</v>
      </c>
      <c r="R698" s="308"/>
      <c r="S698" s="308"/>
      <c r="T698" s="308"/>
      <c r="U698" s="308"/>
      <c r="V698" s="308"/>
      <c r="W698" s="308"/>
      <c r="X698" s="308"/>
      <c r="Y698" s="789">
        <v>1</v>
      </c>
      <c r="Z698" s="772"/>
      <c r="AA698" s="772"/>
      <c r="AB698" s="772"/>
      <c r="AC698" s="772"/>
      <c r="AD698" s="772"/>
      <c r="AE698" s="772"/>
      <c r="AF698" s="427"/>
      <c r="AG698" s="427"/>
      <c r="AH698" s="427"/>
      <c r="AI698" s="427"/>
      <c r="AJ698" s="427"/>
      <c r="AK698" s="427"/>
      <c r="AL698" s="427"/>
      <c r="AM698" s="309">
        <f>SUM(Y698:AL698)</f>
        <v>1</v>
      </c>
    </row>
    <row r="699" spans="1:39" ht="15" outlineLevel="1">
      <c r="A699" s="539"/>
      <c r="B699" s="307" t="s">
        <v>310</v>
      </c>
      <c r="C699" s="304" t="s">
        <v>163</v>
      </c>
      <c r="D699" s="308"/>
      <c r="E699" s="308"/>
      <c r="F699" s="308"/>
      <c r="G699" s="308"/>
      <c r="H699" s="308"/>
      <c r="I699" s="308"/>
      <c r="J699" s="308"/>
      <c r="K699" s="308"/>
      <c r="L699" s="308"/>
      <c r="M699" s="308"/>
      <c r="N699" s="308">
        <f>N698</f>
        <v>0</v>
      </c>
      <c r="O699" s="308"/>
      <c r="P699" s="308"/>
      <c r="Q699" s="308"/>
      <c r="R699" s="308"/>
      <c r="S699" s="308"/>
      <c r="T699" s="308"/>
      <c r="U699" s="308"/>
      <c r="V699" s="308"/>
      <c r="W699" s="308"/>
      <c r="X699" s="308"/>
      <c r="Y699" s="773">
        <f>Y698</f>
        <v>1</v>
      </c>
      <c r="Z699" s="773">
        <f t="shared" ref="Z699:AE699" si="1287">Z698</f>
        <v>0</v>
      </c>
      <c r="AA699" s="773">
        <f t="shared" si="1287"/>
        <v>0</v>
      </c>
      <c r="AB699" s="773">
        <f t="shared" si="1287"/>
        <v>0</v>
      </c>
      <c r="AC699" s="773">
        <f t="shared" si="1287"/>
        <v>0</v>
      </c>
      <c r="AD699" s="773">
        <f t="shared" si="1287"/>
        <v>0</v>
      </c>
      <c r="AE699" s="773">
        <f t="shared" si="1287"/>
        <v>0</v>
      </c>
      <c r="AF699" s="423">
        <f t="shared" ref="AF699" si="1288">AF698</f>
        <v>0</v>
      </c>
      <c r="AG699" s="423">
        <f t="shared" ref="AG699" si="1289">AG698</f>
        <v>0</v>
      </c>
      <c r="AH699" s="423">
        <f t="shared" ref="AH699" si="1290">AH698</f>
        <v>0</v>
      </c>
      <c r="AI699" s="423">
        <f t="shared" ref="AI699" si="1291">AI698</f>
        <v>0</v>
      </c>
      <c r="AJ699" s="423">
        <f t="shared" ref="AJ699" si="1292">AJ698</f>
        <v>0</v>
      </c>
      <c r="AK699" s="423">
        <f t="shared" ref="AK699" si="1293">AK698</f>
        <v>0</v>
      </c>
      <c r="AL699" s="423">
        <f t="shared" ref="AL699" si="1294">AL698</f>
        <v>0</v>
      </c>
      <c r="AM699" s="319"/>
    </row>
    <row r="700" spans="1:39" ht="15" outlineLevel="1">
      <c r="A700" s="539"/>
      <c r="B700" s="441"/>
      <c r="C700" s="304"/>
      <c r="D700" s="763"/>
      <c r="E700" s="763"/>
      <c r="F700" s="763"/>
      <c r="G700" s="763"/>
      <c r="H700" s="763"/>
      <c r="I700" s="763"/>
      <c r="J700" s="763"/>
      <c r="K700" s="763"/>
      <c r="L700" s="763"/>
      <c r="M700" s="763"/>
      <c r="N700" s="763"/>
      <c r="O700" s="763"/>
      <c r="P700" s="763"/>
      <c r="Q700" s="763"/>
      <c r="R700" s="763"/>
      <c r="S700" s="763"/>
      <c r="T700" s="763"/>
      <c r="U700" s="763"/>
      <c r="V700" s="763"/>
      <c r="W700" s="763"/>
      <c r="X700" s="763"/>
      <c r="Y700" s="774"/>
      <c r="Z700" s="793"/>
      <c r="AA700" s="793"/>
      <c r="AB700" s="793"/>
      <c r="AC700" s="793"/>
      <c r="AD700" s="793"/>
      <c r="AE700" s="793"/>
      <c r="AF700" s="435"/>
      <c r="AG700" s="435"/>
      <c r="AH700" s="435"/>
      <c r="AI700" s="435"/>
      <c r="AJ700" s="435"/>
      <c r="AK700" s="435"/>
      <c r="AL700" s="435"/>
      <c r="AM700" s="319"/>
    </row>
    <row r="701" spans="1:39" ht="15.6" outlineLevel="1">
      <c r="A701" s="539"/>
      <c r="B701" s="301" t="s">
        <v>501</v>
      </c>
      <c r="C701" s="304"/>
      <c r="D701" s="763"/>
      <c r="E701" s="763"/>
      <c r="F701" s="763"/>
      <c r="G701" s="763"/>
      <c r="H701" s="763"/>
      <c r="I701" s="763"/>
      <c r="J701" s="763"/>
      <c r="K701" s="763"/>
      <c r="L701" s="763"/>
      <c r="M701" s="763"/>
      <c r="N701" s="763"/>
      <c r="O701" s="763"/>
      <c r="P701" s="763"/>
      <c r="Q701" s="763"/>
      <c r="R701" s="763"/>
      <c r="S701" s="763"/>
      <c r="T701" s="763"/>
      <c r="U701" s="763"/>
      <c r="V701" s="763"/>
      <c r="W701" s="763"/>
      <c r="X701" s="763"/>
      <c r="Y701" s="774"/>
      <c r="Z701" s="793"/>
      <c r="AA701" s="793"/>
      <c r="AB701" s="793"/>
      <c r="AC701" s="793"/>
      <c r="AD701" s="793"/>
      <c r="AE701" s="793"/>
      <c r="AF701" s="435"/>
      <c r="AG701" s="435"/>
      <c r="AH701" s="435"/>
      <c r="AI701" s="435"/>
      <c r="AJ701" s="435"/>
      <c r="AK701" s="435"/>
      <c r="AL701" s="435"/>
      <c r="AM701" s="319"/>
    </row>
    <row r="702" spans="1:39" ht="45" outlineLevel="1">
      <c r="A702" s="539">
        <v>36</v>
      </c>
      <c r="B702" s="438" t="s">
        <v>128</v>
      </c>
      <c r="C702" s="304" t="s">
        <v>25</v>
      </c>
      <c r="D702" s="308"/>
      <c r="E702" s="308"/>
      <c r="F702" s="308"/>
      <c r="G702" s="308"/>
      <c r="H702" s="308"/>
      <c r="I702" s="308"/>
      <c r="J702" s="308"/>
      <c r="K702" s="308"/>
      <c r="L702" s="308"/>
      <c r="M702" s="308"/>
      <c r="N702" s="308">
        <v>12</v>
      </c>
      <c r="O702" s="308"/>
      <c r="P702" s="308"/>
      <c r="Q702" s="308"/>
      <c r="R702" s="308"/>
      <c r="S702" s="308"/>
      <c r="T702" s="308"/>
      <c r="U702" s="308"/>
      <c r="V702" s="308"/>
      <c r="W702" s="308"/>
      <c r="X702" s="308"/>
      <c r="Y702" s="789"/>
      <c r="Z702" s="772"/>
      <c r="AA702" s="772"/>
      <c r="AB702" s="772"/>
      <c r="AC702" s="772"/>
      <c r="AD702" s="772"/>
      <c r="AE702" s="772"/>
      <c r="AF702" s="427"/>
      <c r="AG702" s="427"/>
      <c r="AH702" s="427"/>
      <c r="AI702" s="427"/>
      <c r="AJ702" s="427"/>
      <c r="AK702" s="427"/>
      <c r="AL702" s="427"/>
      <c r="AM702" s="309">
        <f>SUM(Y702:AL702)</f>
        <v>0</v>
      </c>
    </row>
    <row r="703" spans="1:39" ht="15" outlineLevel="1">
      <c r="A703" s="539"/>
      <c r="B703" s="307" t="s">
        <v>310</v>
      </c>
      <c r="C703" s="304" t="s">
        <v>163</v>
      </c>
      <c r="D703" s="308"/>
      <c r="E703" s="308"/>
      <c r="F703" s="308"/>
      <c r="G703" s="308"/>
      <c r="H703" s="308"/>
      <c r="I703" s="308"/>
      <c r="J703" s="308"/>
      <c r="K703" s="308"/>
      <c r="L703" s="308"/>
      <c r="M703" s="308"/>
      <c r="N703" s="308">
        <f>N702</f>
        <v>12</v>
      </c>
      <c r="O703" s="308"/>
      <c r="P703" s="308"/>
      <c r="Q703" s="308"/>
      <c r="R703" s="308"/>
      <c r="S703" s="308"/>
      <c r="T703" s="308"/>
      <c r="U703" s="308"/>
      <c r="V703" s="308"/>
      <c r="W703" s="308"/>
      <c r="X703" s="308"/>
      <c r="Y703" s="773">
        <f>Y702</f>
        <v>0</v>
      </c>
      <c r="Z703" s="773">
        <f t="shared" ref="Z703:AE703" si="1295">Z702</f>
        <v>0</v>
      </c>
      <c r="AA703" s="773">
        <f t="shared" si="1295"/>
        <v>0</v>
      </c>
      <c r="AB703" s="773">
        <f t="shared" si="1295"/>
        <v>0</v>
      </c>
      <c r="AC703" s="773">
        <f t="shared" si="1295"/>
        <v>0</v>
      </c>
      <c r="AD703" s="773">
        <f t="shared" si="1295"/>
        <v>0</v>
      </c>
      <c r="AE703" s="773">
        <f t="shared" si="1295"/>
        <v>0</v>
      </c>
      <c r="AF703" s="423">
        <f t="shared" ref="AF703" si="1296">AF702</f>
        <v>0</v>
      </c>
      <c r="AG703" s="423">
        <f t="shared" ref="AG703" si="1297">AG702</f>
        <v>0</v>
      </c>
      <c r="AH703" s="423">
        <f t="shared" ref="AH703" si="1298">AH702</f>
        <v>0</v>
      </c>
      <c r="AI703" s="423">
        <f t="shared" ref="AI703" si="1299">AI702</f>
        <v>0</v>
      </c>
      <c r="AJ703" s="423">
        <f t="shared" ref="AJ703" si="1300">AJ702</f>
        <v>0</v>
      </c>
      <c r="AK703" s="423">
        <f t="shared" ref="AK703" si="1301">AK702</f>
        <v>0</v>
      </c>
      <c r="AL703" s="423">
        <f t="shared" ref="AL703" si="1302">AL702</f>
        <v>0</v>
      </c>
      <c r="AM703" s="319"/>
    </row>
    <row r="704" spans="1:39" ht="15" outlineLevel="1">
      <c r="A704" s="539"/>
      <c r="B704" s="438"/>
      <c r="C704" s="304"/>
      <c r="D704" s="763"/>
      <c r="E704" s="763"/>
      <c r="F704" s="763"/>
      <c r="G704" s="763"/>
      <c r="H704" s="763"/>
      <c r="I704" s="763"/>
      <c r="J704" s="763"/>
      <c r="K704" s="763"/>
      <c r="L704" s="763"/>
      <c r="M704" s="763"/>
      <c r="N704" s="763"/>
      <c r="O704" s="763"/>
      <c r="P704" s="763"/>
      <c r="Q704" s="763"/>
      <c r="R704" s="763"/>
      <c r="S704" s="763"/>
      <c r="T704" s="763"/>
      <c r="U704" s="763"/>
      <c r="V704" s="763"/>
      <c r="W704" s="763"/>
      <c r="X704" s="763"/>
      <c r="Y704" s="774"/>
      <c r="Z704" s="793"/>
      <c r="AA704" s="793"/>
      <c r="AB704" s="793"/>
      <c r="AC704" s="793"/>
      <c r="AD704" s="793"/>
      <c r="AE704" s="793"/>
      <c r="AF704" s="435"/>
      <c r="AG704" s="435"/>
      <c r="AH704" s="435"/>
      <c r="AI704" s="435"/>
      <c r="AJ704" s="435"/>
      <c r="AK704" s="435"/>
      <c r="AL704" s="435"/>
      <c r="AM704" s="319"/>
    </row>
    <row r="705" spans="1:39" ht="30" outlineLevel="1">
      <c r="A705" s="539">
        <v>37</v>
      </c>
      <c r="B705" s="438" t="s">
        <v>129</v>
      </c>
      <c r="C705" s="304" t="s">
        <v>25</v>
      </c>
      <c r="D705" s="308"/>
      <c r="E705" s="308"/>
      <c r="F705" s="308"/>
      <c r="G705" s="308"/>
      <c r="H705" s="308"/>
      <c r="I705" s="308"/>
      <c r="J705" s="308"/>
      <c r="K705" s="308"/>
      <c r="L705" s="308"/>
      <c r="M705" s="308"/>
      <c r="N705" s="308">
        <v>12</v>
      </c>
      <c r="O705" s="308"/>
      <c r="P705" s="308"/>
      <c r="Q705" s="308"/>
      <c r="R705" s="308"/>
      <c r="S705" s="308"/>
      <c r="T705" s="308"/>
      <c r="U705" s="308"/>
      <c r="V705" s="308"/>
      <c r="W705" s="308"/>
      <c r="X705" s="308"/>
      <c r="Y705" s="789"/>
      <c r="Z705" s="772"/>
      <c r="AA705" s="772"/>
      <c r="AB705" s="772"/>
      <c r="AC705" s="772"/>
      <c r="AD705" s="772"/>
      <c r="AE705" s="772"/>
      <c r="AF705" s="427"/>
      <c r="AG705" s="427"/>
      <c r="AH705" s="427"/>
      <c r="AI705" s="427"/>
      <c r="AJ705" s="427"/>
      <c r="AK705" s="427"/>
      <c r="AL705" s="427"/>
      <c r="AM705" s="309">
        <f>SUM(Y705:AL705)</f>
        <v>0</v>
      </c>
    </row>
    <row r="706" spans="1:39" ht="15" outlineLevel="1">
      <c r="A706" s="539"/>
      <c r="B706" s="307" t="s">
        <v>310</v>
      </c>
      <c r="C706" s="304" t="s">
        <v>163</v>
      </c>
      <c r="D706" s="308"/>
      <c r="E706" s="308"/>
      <c r="F706" s="308"/>
      <c r="G706" s="308"/>
      <c r="H706" s="308"/>
      <c r="I706" s="308"/>
      <c r="J706" s="308"/>
      <c r="K706" s="308"/>
      <c r="L706" s="308"/>
      <c r="M706" s="308"/>
      <c r="N706" s="308">
        <f>N705</f>
        <v>12</v>
      </c>
      <c r="O706" s="308"/>
      <c r="P706" s="308"/>
      <c r="Q706" s="308"/>
      <c r="R706" s="308"/>
      <c r="S706" s="308"/>
      <c r="T706" s="308"/>
      <c r="U706" s="308"/>
      <c r="V706" s="308"/>
      <c r="W706" s="308"/>
      <c r="X706" s="308"/>
      <c r="Y706" s="773">
        <f>Y705</f>
        <v>0</v>
      </c>
      <c r="Z706" s="773">
        <f t="shared" ref="Z706:AE706" si="1303">Z705</f>
        <v>0</v>
      </c>
      <c r="AA706" s="773">
        <f t="shared" si="1303"/>
        <v>0</v>
      </c>
      <c r="AB706" s="773">
        <f t="shared" si="1303"/>
        <v>0</v>
      </c>
      <c r="AC706" s="773">
        <f t="shared" si="1303"/>
        <v>0</v>
      </c>
      <c r="AD706" s="773">
        <f t="shared" si="1303"/>
        <v>0</v>
      </c>
      <c r="AE706" s="773">
        <f t="shared" si="1303"/>
        <v>0</v>
      </c>
      <c r="AF706" s="423">
        <f t="shared" ref="AF706" si="1304">AF705</f>
        <v>0</v>
      </c>
      <c r="AG706" s="423">
        <f t="shared" ref="AG706" si="1305">AG705</f>
        <v>0</v>
      </c>
      <c r="AH706" s="423">
        <f t="shared" ref="AH706" si="1306">AH705</f>
        <v>0</v>
      </c>
      <c r="AI706" s="423">
        <f t="shared" ref="AI706" si="1307">AI705</f>
        <v>0</v>
      </c>
      <c r="AJ706" s="423">
        <f t="shared" ref="AJ706" si="1308">AJ705</f>
        <v>0</v>
      </c>
      <c r="AK706" s="423">
        <f t="shared" ref="AK706" si="1309">AK705</f>
        <v>0</v>
      </c>
      <c r="AL706" s="423">
        <f t="shared" ref="AL706" si="1310">AL705</f>
        <v>0</v>
      </c>
      <c r="AM706" s="319"/>
    </row>
    <row r="707" spans="1:39" ht="15" outlineLevel="1">
      <c r="A707" s="539"/>
      <c r="B707" s="438"/>
      <c r="C707" s="304"/>
      <c r="D707" s="763"/>
      <c r="E707" s="763"/>
      <c r="F707" s="763"/>
      <c r="G707" s="763"/>
      <c r="H707" s="763"/>
      <c r="I707" s="763"/>
      <c r="J707" s="763"/>
      <c r="K707" s="763"/>
      <c r="L707" s="763"/>
      <c r="M707" s="763"/>
      <c r="N707" s="763"/>
      <c r="O707" s="763"/>
      <c r="P707" s="763"/>
      <c r="Q707" s="763"/>
      <c r="R707" s="763"/>
      <c r="S707" s="763"/>
      <c r="T707" s="763"/>
      <c r="U707" s="763"/>
      <c r="V707" s="763"/>
      <c r="W707" s="763"/>
      <c r="X707" s="763"/>
      <c r="Y707" s="774"/>
      <c r="Z707" s="793"/>
      <c r="AA707" s="793"/>
      <c r="AB707" s="793"/>
      <c r="AC707" s="793"/>
      <c r="AD707" s="793"/>
      <c r="AE707" s="793"/>
      <c r="AF707" s="435"/>
      <c r="AG707" s="435"/>
      <c r="AH707" s="435"/>
      <c r="AI707" s="435"/>
      <c r="AJ707" s="435"/>
      <c r="AK707" s="435"/>
      <c r="AL707" s="435"/>
      <c r="AM707" s="319"/>
    </row>
    <row r="708" spans="1:39" ht="15" outlineLevel="1">
      <c r="A708" s="539">
        <v>38</v>
      </c>
      <c r="B708" s="438" t="s">
        <v>130</v>
      </c>
      <c r="C708" s="304" t="s">
        <v>25</v>
      </c>
      <c r="D708" s="308"/>
      <c r="E708" s="308"/>
      <c r="F708" s="308"/>
      <c r="G708" s="308"/>
      <c r="H708" s="308"/>
      <c r="I708" s="308"/>
      <c r="J708" s="308"/>
      <c r="K708" s="308"/>
      <c r="L708" s="308"/>
      <c r="M708" s="308"/>
      <c r="N708" s="308">
        <v>12</v>
      </c>
      <c r="O708" s="308"/>
      <c r="P708" s="308"/>
      <c r="Q708" s="308"/>
      <c r="R708" s="308"/>
      <c r="S708" s="308"/>
      <c r="T708" s="308"/>
      <c r="U708" s="308"/>
      <c r="V708" s="308"/>
      <c r="W708" s="308"/>
      <c r="X708" s="308"/>
      <c r="Y708" s="789"/>
      <c r="Z708" s="772"/>
      <c r="AA708" s="772"/>
      <c r="AB708" s="772"/>
      <c r="AC708" s="772"/>
      <c r="AD708" s="772"/>
      <c r="AE708" s="772"/>
      <c r="AF708" s="427"/>
      <c r="AG708" s="427"/>
      <c r="AH708" s="427"/>
      <c r="AI708" s="427"/>
      <c r="AJ708" s="427"/>
      <c r="AK708" s="427"/>
      <c r="AL708" s="427"/>
      <c r="AM708" s="309">
        <f>SUM(Y708:AL708)</f>
        <v>0</v>
      </c>
    </row>
    <row r="709" spans="1:39" ht="15" outlineLevel="1">
      <c r="A709" s="539"/>
      <c r="B709" s="307" t="s">
        <v>310</v>
      </c>
      <c r="C709" s="304" t="s">
        <v>163</v>
      </c>
      <c r="D709" s="308"/>
      <c r="E709" s="308"/>
      <c r="F709" s="308"/>
      <c r="G709" s="308"/>
      <c r="H709" s="308"/>
      <c r="I709" s="308"/>
      <c r="J709" s="308"/>
      <c r="K709" s="308"/>
      <c r="L709" s="308"/>
      <c r="M709" s="308"/>
      <c r="N709" s="308">
        <f>N708</f>
        <v>12</v>
      </c>
      <c r="O709" s="308"/>
      <c r="P709" s="308"/>
      <c r="Q709" s="308"/>
      <c r="R709" s="308"/>
      <c r="S709" s="308"/>
      <c r="T709" s="308"/>
      <c r="U709" s="308"/>
      <c r="V709" s="308"/>
      <c r="W709" s="308"/>
      <c r="X709" s="308"/>
      <c r="Y709" s="773">
        <f>Y708</f>
        <v>0</v>
      </c>
      <c r="Z709" s="773">
        <f t="shared" ref="Z709:AE709" si="1311">Z708</f>
        <v>0</v>
      </c>
      <c r="AA709" s="773">
        <f t="shared" si="1311"/>
        <v>0</v>
      </c>
      <c r="AB709" s="773">
        <f t="shared" si="1311"/>
        <v>0</v>
      </c>
      <c r="AC709" s="773">
        <f t="shared" si="1311"/>
        <v>0</v>
      </c>
      <c r="AD709" s="773">
        <f t="shared" si="1311"/>
        <v>0</v>
      </c>
      <c r="AE709" s="773">
        <f t="shared" si="1311"/>
        <v>0</v>
      </c>
      <c r="AF709" s="423">
        <f t="shared" ref="AF709" si="1312">AF708</f>
        <v>0</v>
      </c>
      <c r="AG709" s="423">
        <f t="shared" ref="AG709" si="1313">AG708</f>
        <v>0</v>
      </c>
      <c r="AH709" s="423">
        <f t="shared" ref="AH709" si="1314">AH708</f>
        <v>0</v>
      </c>
      <c r="AI709" s="423">
        <f t="shared" ref="AI709" si="1315">AI708</f>
        <v>0</v>
      </c>
      <c r="AJ709" s="423">
        <f t="shared" ref="AJ709" si="1316">AJ708</f>
        <v>0</v>
      </c>
      <c r="AK709" s="423">
        <f t="shared" ref="AK709" si="1317">AK708</f>
        <v>0</v>
      </c>
      <c r="AL709" s="423">
        <f t="shared" ref="AL709" si="1318">AL708</f>
        <v>0</v>
      </c>
      <c r="AM709" s="319"/>
    </row>
    <row r="710" spans="1:39" ht="15" outlineLevel="1">
      <c r="A710" s="539"/>
      <c r="B710" s="438"/>
      <c r="C710" s="304"/>
      <c r="D710" s="763"/>
      <c r="E710" s="763"/>
      <c r="F710" s="763"/>
      <c r="G710" s="763"/>
      <c r="H710" s="763"/>
      <c r="I710" s="763"/>
      <c r="J710" s="763"/>
      <c r="K710" s="763"/>
      <c r="L710" s="763"/>
      <c r="M710" s="763"/>
      <c r="N710" s="763"/>
      <c r="O710" s="763"/>
      <c r="P710" s="763"/>
      <c r="Q710" s="763"/>
      <c r="R710" s="763"/>
      <c r="S710" s="763"/>
      <c r="T710" s="763"/>
      <c r="U710" s="763"/>
      <c r="V710" s="763"/>
      <c r="W710" s="763"/>
      <c r="X710" s="763"/>
      <c r="Y710" s="774"/>
      <c r="Z710" s="793"/>
      <c r="AA710" s="793"/>
      <c r="AB710" s="793"/>
      <c r="AC710" s="793"/>
      <c r="AD710" s="793"/>
      <c r="AE710" s="793"/>
      <c r="AF710" s="435"/>
      <c r="AG710" s="435"/>
      <c r="AH710" s="435"/>
      <c r="AI710" s="435"/>
      <c r="AJ710" s="435"/>
      <c r="AK710" s="435"/>
      <c r="AL710" s="435"/>
      <c r="AM710" s="319"/>
    </row>
    <row r="711" spans="1:39" ht="30" outlineLevel="1">
      <c r="A711" s="539">
        <v>39</v>
      </c>
      <c r="B711" s="438" t="s">
        <v>131</v>
      </c>
      <c r="C711" s="304" t="s">
        <v>25</v>
      </c>
      <c r="D711" s="308"/>
      <c r="E711" s="308"/>
      <c r="F711" s="308"/>
      <c r="G711" s="308"/>
      <c r="H711" s="308"/>
      <c r="I711" s="308"/>
      <c r="J711" s="308"/>
      <c r="K711" s="308"/>
      <c r="L711" s="308"/>
      <c r="M711" s="308"/>
      <c r="N711" s="308">
        <v>12</v>
      </c>
      <c r="O711" s="308"/>
      <c r="P711" s="308"/>
      <c r="Q711" s="308"/>
      <c r="R711" s="308"/>
      <c r="S711" s="308"/>
      <c r="T711" s="308"/>
      <c r="U711" s="308"/>
      <c r="V711" s="308"/>
      <c r="W711" s="308"/>
      <c r="X711" s="308"/>
      <c r="Y711" s="789"/>
      <c r="Z711" s="772"/>
      <c r="AA711" s="772"/>
      <c r="AB711" s="772"/>
      <c r="AC711" s="772"/>
      <c r="AD711" s="772"/>
      <c r="AE711" s="772"/>
      <c r="AF711" s="427"/>
      <c r="AG711" s="427"/>
      <c r="AH711" s="427"/>
      <c r="AI711" s="427"/>
      <c r="AJ711" s="427"/>
      <c r="AK711" s="427"/>
      <c r="AL711" s="427"/>
      <c r="AM711" s="309">
        <f>SUM(Y711:AL711)</f>
        <v>0</v>
      </c>
    </row>
    <row r="712" spans="1:39" ht="15" outlineLevel="1">
      <c r="A712" s="539"/>
      <c r="B712" s="307" t="s">
        <v>310</v>
      </c>
      <c r="C712" s="304" t="s">
        <v>163</v>
      </c>
      <c r="D712" s="308"/>
      <c r="E712" s="308"/>
      <c r="F712" s="308"/>
      <c r="G712" s="308"/>
      <c r="H712" s="308"/>
      <c r="I712" s="308"/>
      <c r="J712" s="308"/>
      <c r="K712" s="308"/>
      <c r="L712" s="308"/>
      <c r="M712" s="308"/>
      <c r="N712" s="308">
        <f>N711</f>
        <v>12</v>
      </c>
      <c r="O712" s="308"/>
      <c r="P712" s="308"/>
      <c r="Q712" s="308"/>
      <c r="R712" s="308"/>
      <c r="S712" s="308"/>
      <c r="T712" s="308"/>
      <c r="U712" s="308"/>
      <c r="V712" s="308"/>
      <c r="W712" s="308"/>
      <c r="X712" s="308"/>
      <c r="Y712" s="773">
        <f>Y711</f>
        <v>0</v>
      </c>
      <c r="Z712" s="773">
        <f t="shared" ref="Z712:AE712" si="1319">Z711</f>
        <v>0</v>
      </c>
      <c r="AA712" s="773">
        <f t="shared" si="1319"/>
        <v>0</v>
      </c>
      <c r="AB712" s="773">
        <f t="shared" si="1319"/>
        <v>0</v>
      </c>
      <c r="AC712" s="773">
        <f t="shared" si="1319"/>
        <v>0</v>
      </c>
      <c r="AD712" s="773">
        <f t="shared" si="1319"/>
        <v>0</v>
      </c>
      <c r="AE712" s="773">
        <f t="shared" si="1319"/>
        <v>0</v>
      </c>
      <c r="AF712" s="423">
        <f t="shared" ref="AF712" si="1320">AF711</f>
        <v>0</v>
      </c>
      <c r="AG712" s="423">
        <f t="shared" ref="AG712" si="1321">AG711</f>
        <v>0</v>
      </c>
      <c r="AH712" s="423">
        <f t="shared" ref="AH712" si="1322">AH711</f>
        <v>0</v>
      </c>
      <c r="AI712" s="423">
        <f t="shared" ref="AI712" si="1323">AI711</f>
        <v>0</v>
      </c>
      <c r="AJ712" s="423">
        <f t="shared" ref="AJ712" si="1324">AJ711</f>
        <v>0</v>
      </c>
      <c r="AK712" s="423">
        <f t="shared" ref="AK712" si="1325">AK711</f>
        <v>0</v>
      </c>
      <c r="AL712" s="423">
        <f t="shared" ref="AL712" si="1326">AL711</f>
        <v>0</v>
      </c>
      <c r="AM712" s="319"/>
    </row>
    <row r="713" spans="1:39" ht="15" outlineLevel="1">
      <c r="A713" s="539"/>
      <c r="B713" s="438"/>
      <c r="C713" s="304"/>
      <c r="D713" s="763"/>
      <c r="E713" s="763"/>
      <c r="F713" s="763"/>
      <c r="G713" s="763"/>
      <c r="H713" s="763"/>
      <c r="I713" s="763"/>
      <c r="J713" s="763"/>
      <c r="K713" s="763"/>
      <c r="L713" s="763"/>
      <c r="M713" s="763"/>
      <c r="N713" s="763"/>
      <c r="O713" s="763"/>
      <c r="P713" s="763"/>
      <c r="Q713" s="763"/>
      <c r="R713" s="763"/>
      <c r="S713" s="763"/>
      <c r="T713" s="763"/>
      <c r="U713" s="763"/>
      <c r="V713" s="763"/>
      <c r="W713" s="763"/>
      <c r="X713" s="763"/>
      <c r="Y713" s="774"/>
      <c r="Z713" s="793"/>
      <c r="AA713" s="793"/>
      <c r="AB713" s="793"/>
      <c r="AC713" s="793"/>
      <c r="AD713" s="793"/>
      <c r="AE713" s="793"/>
      <c r="AF713" s="435"/>
      <c r="AG713" s="435"/>
      <c r="AH713" s="435"/>
      <c r="AI713" s="435"/>
      <c r="AJ713" s="435"/>
      <c r="AK713" s="435"/>
      <c r="AL713" s="435"/>
      <c r="AM713" s="319"/>
    </row>
    <row r="714" spans="1:39" ht="30" outlineLevel="1">
      <c r="A714" s="539">
        <v>40</v>
      </c>
      <c r="B714" s="438" t="s">
        <v>132</v>
      </c>
      <c r="C714" s="304" t="s">
        <v>25</v>
      </c>
      <c r="D714" s="308"/>
      <c r="E714" s="308"/>
      <c r="F714" s="308"/>
      <c r="G714" s="308"/>
      <c r="H714" s="308"/>
      <c r="I714" s="308"/>
      <c r="J714" s="308"/>
      <c r="K714" s="308"/>
      <c r="L714" s="308"/>
      <c r="M714" s="308"/>
      <c r="N714" s="308">
        <v>12</v>
      </c>
      <c r="O714" s="308"/>
      <c r="P714" s="308"/>
      <c r="Q714" s="308"/>
      <c r="R714" s="308"/>
      <c r="S714" s="308"/>
      <c r="T714" s="308"/>
      <c r="U714" s="308"/>
      <c r="V714" s="308"/>
      <c r="W714" s="308"/>
      <c r="X714" s="308"/>
      <c r="Y714" s="789"/>
      <c r="Z714" s="772"/>
      <c r="AA714" s="772"/>
      <c r="AB714" s="772"/>
      <c r="AC714" s="772"/>
      <c r="AD714" s="772"/>
      <c r="AE714" s="772"/>
      <c r="AF714" s="427"/>
      <c r="AG714" s="427"/>
      <c r="AH714" s="427"/>
      <c r="AI714" s="427"/>
      <c r="AJ714" s="427"/>
      <c r="AK714" s="427"/>
      <c r="AL714" s="427"/>
      <c r="AM714" s="309">
        <f>SUM(Y714:AL714)</f>
        <v>0</v>
      </c>
    </row>
    <row r="715" spans="1:39" ht="15" outlineLevel="1">
      <c r="A715" s="539"/>
      <c r="B715" s="307" t="s">
        <v>310</v>
      </c>
      <c r="C715" s="304" t="s">
        <v>163</v>
      </c>
      <c r="D715" s="308"/>
      <c r="E715" s="308"/>
      <c r="F715" s="308"/>
      <c r="G715" s="308"/>
      <c r="H715" s="308"/>
      <c r="I715" s="308"/>
      <c r="J715" s="308"/>
      <c r="K715" s="308"/>
      <c r="L715" s="308"/>
      <c r="M715" s="308"/>
      <c r="N715" s="308">
        <f>N714</f>
        <v>12</v>
      </c>
      <c r="O715" s="308"/>
      <c r="P715" s="308"/>
      <c r="Q715" s="308"/>
      <c r="R715" s="308"/>
      <c r="S715" s="308"/>
      <c r="T715" s="308"/>
      <c r="U715" s="308"/>
      <c r="V715" s="308"/>
      <c r="W715" s="308"/>
      <c r="X715" s="308"/>
      <c r="Y715" s="773">
        <f>Y714</f>
        <v>0</v>
      </c>
      <c r="Z715" s="773">
        <f t="shared" ref="Z715:AE715" si="1327">Z714</f>
        <v>0</v>
      </c>
      <c r="AA715" s="773">
        <f t="shared" si="1327"/>
        <v>0</v>
      </c>
      <c r="AB715" s="773">
        <f t="shared" si="1327"/>
        <v>0</v>
      </c>
      <c r="AC715" s="773">
        <f t="shared" si="1327"/>
        <v>0</v>
      </c>
      <c r="AD715" s="773">
        <f t="shared" si="1327"/>
        <v>0</v>
      </c>
      <c r="AE715" s="773">
        <f t="shared" si="1327"/>
        <v>0</v>
      </c>
      <c r="AF715" s="423">
        <f t="shared" ref="AF715" si="1328">AF714</f>
        <v>0</v>
      </c>
      <c r="AG715" s="423">
        <f t="shared" ref="AG715" si="1329">AG714</f>
        <v>0</v>
      </c>
      <c r="AH715" s="423">
        <f t="shared" ref="AH715" si="1330">AH714</f>
        <v>0</v>
      </c>
      <c r="AI715" s="423">
        <f t="shared" ref="AI715" si="1331">AI714</f>
        <v>0</v>
      </c>
      <c r="AJ715" s="423">
        <f t="shared" ref="AJ715" si="1332">AJ714</f>
        <v>0</v>
      </c>
      <c r="AK715" s="423">
        <f t="shared" ref="AK715" si="1333">AK714</f>
        <v>0</v>
      </c>
      <c r="AL715" s="423">
        <f t="shared" ref="AL715" si="1334">AL714</f>
        <v>0</v>
      </c>
      <c r="AM715" s="319"/>
    </row>
    <row r="716" spans="1:39" ht="15" outlineLevel="1">
      <c r="A716" s="539"/>
      <c r="B716" s="438"/>
      <c r="C716" s="304"/>
      <c r="D716" s="763"/>
      <c r="E716" s="763"/>
      <c r="F716" s="763"/>
      <c r="G716" s="763"/>
      <c r="H716" s="763"/>
      <c r="I716" s="763"/>
      <c r="J716" s="763"/>
      <c r="K716" s="763"/>
      <c r="L716" s="763"/>
      <c r="M716" s="763"/>
      <c r="N716" s="763"/>
      <c r="O716" s="763"/>
      <c r="P716" s="763"/>
      <c r="Q716" s="763"/>
      <c r="R716" s="763"/>
      <c r="S716" s="763"/>
      <c r="T716" s="763"/>
      <c r="U716" s="763"/>
      <c r="V716" s="763"/>
      <c r="W716" s="763"/>
      <c r="X716" s="763"/>
      <c r="Y716" s="774"/>
      <c r="Z716" s="793"/>
      <c r="AA716" s="793"/>
      <c r="AB716" s="793"/>
      <c r="AC716" s="793"/>
      <c r="AD716" s="793"/>
      <c r="AE716" s="793"/>
      <c r="AF716" s="435"/>
      <c r="AG716" s="435"/>
      <c r="AH716" s="435"/>
      <c r="AI716" s="435"/>
      <c r="AJ716" s="435"/>
      <c r="AK716" s="435"/>
      <c r="AL716" s="435"/>
      <c r="AM716" s="319"/>
    </row>
    <row r="717" spans="1:39" ht="45" outlineLevel="1">
      <c r="A717" s="539">
        <v>41</v>
      </c>
      <c r="B717" s="438" t="s">
        <v>133</v>
      </c>
      <c r="C717" s="304" t="s">
        <v>25</v>
      </c>
      <c r="D717" s="308"/>
      <c r="E717" s="308"/>
      <c r="F717" s="308"/>
      <c r="G717" s="308"/>
      <c r="H717" s="308"/>
      <c r="I717" s="308"/>
      <c r="J717" s="308"/>
      <c r="K717" s="308"/>
      <c r="L717" s="308"/>
      <c r="M717" s="308"/>
      <c r="N717" s="308">
        <v>12</v>
      </c>
      <c r="O717" s="308"/>
      <c r="P717" s="308"/>
      <c r="Q717" s="308"/>
      <c r="R717" s="308"/>
      <c r="S717" s="308"/>
      <c r="T717" s="308"/>
      <c r="U717" s="308"/>
      <c r="V717" s="308"/>
      <c r="W717" s="308"/>
      <c r="X717" s="308"/>
      <c r="Y717" s="789"/>
      <c r="Z717" s="772"/>
      <c r="AA717" s="772"/>
      <c r="AB717" s="772"/>
      <c r="AC717" s="772"/>
      <c r="AD717" s="772"/>
      <c r="AE717" s="772"/>
      <c r="AF717" s="427"/>
      <c r="AG717" s="427"/>
      <c r="AH717" s="427"/>
      <c r="AI717" s="427"/>
      <c r="AJ717" s="427"/>
      <c r="AK717" s="427"/>
      <c r="AL717" s="427"/>
      <c r="AM717" s="309">
        <f>SUM(Y717:AL717)</f>
        <v>0</v>
      </c>
    </row>
    <row r="718" spans="1:39" ht="15" outlineLevel="1">
      <c r="A718" s="539"/>
      <c r="B718" s="307" t="s">
        <v>310</v>
      </c>
      <c r="C718" s="304" t="s">
        <v>163</v>
      </c>
      <c r="D718" s="308"/>
      <c r="E718" s="308"/>
      <c r="F718" s="308"/>
      <c r="G718" s="308"/>
      <c r="H718" s="308"/>
      <c r="I718" s="308"/>
      <c r="J718" s="308"/>
      <c r="K718" s="308"/>
      <c r="L718" s="308"/>
      <c r="M718" s="308"/>
      <c r="N718" s="308">
        <f>N717</f>
        <v>12</v>
      </c>
      <c r="O718" s="308"/>
      <c r="P718" s="308"/>
      <c r="Q718" s="308"/>
      <c r="R718" s="308"/>
      <c r="S718" s="308"/>
      <c r="T718" s="308"/>
      <c r="U718" s="308"/>
      <c r="V718" s="308"/>
      <c r="W718" s="308"/>
      <c r="X718" s="308"/>
      <c r="Y718" s="773">
        <f>Y717</f>
        <v>0</v>
      </c>
      <c r="Z718" s="773">
        <f t="shared" ref="Z718:AE718" si="1335">Z717</f>
        <v>0</v>
      </c>
      <c r="AA718" s="773">
        <f t="shared" si="1335"/>
        <v>0</v>
      </c>
      <c r="AB718" s="773">
        <f t="shared" si="1335"/>
        <v>0</v>
      </c>
      <c r="AC718" s="773">
        <f t="shared" si="1335"/>
        <v>0</v>
      </c>
      <c r="AD718" s="773">
        <f t="shared" si="1335"/>
        <v>0</v>
      </c>
      <c r="AE718" s="773">
        <f t="shared" si="1335"/>
        <v>0</v>
      </c>
      <c r="AF718" s="423">
        <f t="shared" ref="AF718" si="1336">AF717</f>
        <v>0</v>
      </c>
      <c r="AG718" s="423">
        <f t="shared" ref="AG718" si="1337">AG717</f>
        <v>0</v>
      </c>
      <c r="AH718" s="423">
        <f t="shared" ref="AH718" si="1338">AH717</f>
        <v>0</v>
      </c>
      <c r="AI718" s="423">
        <f t="shared" ref="AI718" si="1339">AI717</f>
        <v>0</v>
      </c>
      <c r="AJ718" s="423">
        <f t="shared" ref="AJ718" si="1340">AJ717</f>
        <v>0</v>
      </c>
      <c r="AK718" s="423">
        <f t="shared" ref="AK718" si="1341">AK717</f>
        <v>0</v>
      </c>
      <c r="AL718" s="423">
        <f t="shared" ref="AL718" si="1342">AL717</f>
        <v>0</v>
      </c>
      <c r="AM718" s="319"/>
    </row>
    <row r="719" spans="1:39" ht="15" outlineLevel="1">
      <c r="A719" s="539"/>
      <c r="B719" s="438"/>
      <c r="C719" s="304"/>
      <c r="D719" s="763"/>
      <c r="E719" s="763"/>
      <c r="F719" s="763"/>
      <c r="G719" s="763"/>
      <c r="H719" s="763"/>
      <c r="I719" s="763"/>
      <c r="J719" s="763"/>
      <c r="K719" s="763"/>
      <c r="L719" s="763"/>
      <c r="M719" s="763"/>
      <c r="N719" s="763"/>
      <c r="O719" s="763"/>
      <c r="P719" s="763"/>
      <c r="Q719" s="763"/>
      <c r="R719" s="763"/>
      <c r="S719" s="763"/>
      <c r="T719" s="763"/>
      <c r="U719" s="763"/>
      <c r="V719" s="763"/>
      <c r="W719" s="763"/>
      <c r="X719" s="763"/>
      <c r="Y719" s="774"/>
      <c r="Z719" s="793"/>
      <c r="AA719" s="793"/>
      <c r="AB719" s="793"/>
      <c r="AC719" s="793"/>
      <c r="AD719" s="793"/>
      <c r="AE719" s="793"/>
      <c r="AF719" s="435"/>
      <c r="AG719" s="435"/>
      <c r="AH719" s="435"/>
      <c r="AI719" s="435"/>
      <c r="AJ719" s="435"/>
      <c r="AK719" s="435"/>
      <c r="AL719" s="435"/>
      <c r="AM719" s="319"/>
    </row>
    <row r="720" spans="1:39" ht="30" outlineLevel="1">
      <c r="A720" s="539">
        <v>42</v>
      </c>
      <c r="B720" s="438" t="s">
        <v>134</v>
      </c>
      <c r="C720" s="304" t="s">
        <v>25</v>
      </c>
      <c r="D720" s="308"/>
      <c r="E720" s="308"/>
      <c r="F720" s="308"/>
      <c r="G720" s="308"/>
      <c r="H720" s="308"/>
      <c r="I720" s="308"/>
      <c r="J720" s="308"/>
      <c r="K720" s="308"/>
      <c r="L720" s="308"/>
      <c r="M720" s="308"/>
      <c r="N720" s="763"/>
      <c r="O720" s="308"/>
      <c r="P720" s="308"/>
      <c r="Q720" s="308"/>
      <c r="R720" s="308"/>
      <c r="S720" s="308"/>
      <c r="T720" s="308"/>
      <c r="U720" s="308"/>
      <c r="V720" s="308"/>
      <c r="W720" s="308"/>
      <c r="X720" s="308"/>
      <c r="Y720" s="789"/>
      <c r="Z720" s="772"/>
      <c r="AA720" s="772"/>
      <c r="AB720" s="772"/>
      <c r="AC720" s="772"/>
      <c r="AD720" s="772"/>
      <c r="AE720" s="772"/>
      <c r="AF720" s="427"/>
      <c r="AG720" s="427"/>
      <c r="AH720" s="427"/>
      <c r="AI720" s="427"/>
      <c r="AJ720" s="427"/>
      <c r="AK720" s="427"/>
      <c r="AL720" s="427"/>
      <c r="AM720" s="309">
        <f>SUM(Y720:AL720)</f>
        <v>0</v>
      </c>
    </row>
    <row r="721" spans="1:39" ht="15" outlineLevel="1">
      <c r="A721" s="539"/>
      <c r="B721" s="307" t="s">
        <v>310</v>
      </c>
      <c r="C721" s="304" t="s">
        <v>163</v>
      </c>
      <c r="D721" s="308"/>
      <c r="E721" s="308"/>
      <c r="F721" s="308"/>
      <c r="G721" s="308"/>
      <c r="H721" s="308"/>
      <c r="I721" s="308"/>
      <c r="J721" s="308"/>
      <c r="K721" s="308"/>
      <c r="L721" s="308"/>
      <c r="M721" s="308"/>
      <c r="N721" s="764"/>
      <c r="O721" s="308"/>
      <c r="P721" s="308"/>
      <c r="Q721" s="308"/>
      <c r="R721" s="308"/>
      <c r="S721" s="308"/>
      <c r="T721" s="308"/>
      <c r="U721" s="308"/>
      <c r="V721" s="308"/>
      <c r="W721" s="308"/>
      <c r="X721" s="308"/>
      <c r="Y721" s="773">
        <f>Y720</f>
        <v>0</v>
      </c>
      <c r="Z721" s="773">
        <f t="shared" ref="Z721:AE721" si="1343">Z720</f>
        <v>0</v>
      </c>
      <c r="AA721" s="773">
        <f t="shared" si="1343"/>
        <v>0</v>
      </c>
      <c r="AB721" s="773">
        <f t="shared" si="1343"/>
        <v>0</v>
      </c>
      <c r="AC721" s="773">
        <f t="shared" si="1343"/>
        <v>0</v>
      </c>
      <c r="AD721" s="773">
        <f t="shared" si="1343"/>
        <v>0</v>
      </c>
      <c r="AE721" s="773">
        <f t="shared" si="1343"/>
        <v>0</v>
      </c>
      <c r="AF721" s="423">
        <f t="shared" ref="AF721" si="1344">AF720</f>
        <v>0</v>
      </c>
      <c r="AG721" s="423">
        <f t="shared" ref="AG721" si="1345">AG720</f>
        <v>0</v>
      </c>
      <c r="AH721" s="423">
        <f t="shared" ref="AH721" si="1346">AH720</f>
        <v>0</v>
      </c>
      <c r="AI721" s="423">
        <f t="shared" ref="AI721" si="1347">AI720</f>
        <v>0</v>
      </c>
      <c r="AJ721" s="423">
        <f t="shared" ref="AJ721" si="1348">AJ720</f>
        <v>0</v>
      </c>
      <c r="AK721" s="423">
        <f t="shared" ref="AK721" si="1349">AK720</f>
        <v>0</v>
      </c>
      <c r="AL721" s="423">
        <f t="shared" ref="AL721" si="1350">AL720</f>
        <v>0</v>
      </c>
      <c r="AM721" s="319"/>
    </row>
    <row r="722" spans="1:39" ht="15" outlineLevel="1">
      <c r="A722" s="539"/>
      <c r="B722" s="438"/>
      <c r="C722" s="304"/>
      <c r="D722" s="763"/>
      <c r="E722" s="763"/>
      <c r="F722" s="763"/>
      <c r="G722" s="763"/>
      <c r="H722" s="763"/>
      <c r="I722" s="763"/>
      <c r="J722" s="763"/>
      <c r="K722" s="763"/>
      <c r="L722" s="763"/>
      <c r="M722" s="763"/>
      <c r="N722" s="763"/>
      <c r="O722" s="763"/>
      <c r="P722" s="763"/>
      <c r="Q722" s="763"/>
      <c r="R722" s="763"/>
      <c r="S722" s="763"/>
      <c r="T722" s="763"/>
      <c r="U722" s="763"/>
      <c r="V722" s="763"/>
      <c r="W722" s="763"/>
      <c r="X722" s="763"/>
      <c r="Y722" s="774"/>
      <c r="Z722" s="793"/>
      <c r="AA722" s="793"/>
      <c r="AB722" s="793"/>
      <c r="AC722" s="793"/>
      <c r="AD722" s="793"/>
      <c r="AE722" s="793"/>
      <c r="AF722" s="435"/>
      <c r="AG722" s="435"/>
      <c r="AH722" s="435"/>
      <c r="AI722" s="435"/>
      <c r="AJ722" s="435"/>
      <c r="AK722" s="435"/>
      <c r="AL722" s="435"/>
      <c r="AM722" s="319"/>
    </row>
    <row r="723" spans="1:39" ht="15" outlineLevel="1">
      <c r="A723" s="539">
        <v>43</v>
      </c>
      <c r="B723" s="438" t="s">
        <v>135</v>
      </c>
      <c r="C723" s="304" t="s">
        <v>25</v>
      </c>
      <c r="D723" s="308"/>
      <c r="E723" s="308"/>
      <c r="F723" s="308"/>
      <c r="G723" s="308"/>
      <c r="H723" s="308"/>
      <c r="I723" s="308"/>
      <c r="J723" s="308"/>
      <c r="K723" s="308"/>
      <c r="L723" s="308"/>
      <c r="M723" s="308"/>
      <c r="N723" s="308">
        <v>12</v>
      </c>
      <c r="O723" s="308"/>
      <c r="P723" s="308"/>
      <c r="Q723" s="308"/>
      <c r="R723" s="308"/>
      <c r="S723" s="308"/>
      <c r="T723" s="308"/>
      <c r="U723" s="308"/>
      <c r="V723" s="308"/>
      <c r="W723" s="308"/>
      <c r="X723" s="308"/>
      <c r="Y723" s="789"/>
      <c r="Z723" s="772"/>
      <c r="AA723" s="772"/>
      <c r="AB723" s="772"/>
      <c r="AC723" s="772"/>
      <c r="AD723" s="772"/>
      <c r="AE723" s="772"/>
      <c r="AF723" s="427"/>
      <c r="AG723" s="427"/>
      <c r="AH723" s="427"/>
      <c r="AI723" s="427"/>
      <c r="AJ723" s="427"/>
      <c r="AK723" s="427"/>
      <c r="AL723" s="427"/>
      <c r="AM723" s="309">
        <f>SUM(Y723:AL723)</f>
        <v>0</v>
      </c>
    </row>
    <row r="724" spans="1:39" ht="15" outlineLevel="1">
      <c r="A724" s="539"/>
      <c r="B724" s="307" t="s">
        <v>310</v>
      </c>
      <c r="C724" s="304" t="s">
        <v>163</v>
      </c>
      <c r="D724" s="308"/>
      <c r="E724" s="308"/>
      <c r="F724" s="308"/>
      <c r="G724" s="308"/>
      <c r="H724" s="308"/>
      <c r="I724" s="308"/>
      <c r="J724" s="308"/>
      <c r="K724" s="308"/>
      <c r="L724" s="308"/>
      <c r="M724" s="308"/>
      <c r="N724" s="308">
        <f>N723</f>
        <v>12</v>
      </c>
      <c r="O724" s="308"/>
      <c r="P724" s="308"/>
      <c r="Q724" s="308"/>
      <c r="R724" s="308"/>
      <c r="S724" s="308"/>
      <c r="T724" s="308"/>
      <c r="U724" s="308"/>
      <c r="V724" s="308"/>
      <c r="W724" s="308"/>
      <c r="X724" s="308"/>
      <c r="Y724" s="773">
        <f>Y723</f>
        <v>0</v>
      </c>
      <c r="Z724" s="773">
        <f t="shared" ref="Z724:AE724" si="1351">Z723</f>
        <v>0</v>
      </c>
      <c r="AA724" s="773">
        <f t="shared" si="1351"/>
        <v>0</v>
      </c>
      <c r="AB724" s="773">
        <f t="shared" si="1351"/>
        <v>0</v>
      </c>
      <c r="AC724" s="773">
        <f t="shared" si="1351"/>
        <v>0</v>
      </c>
      <c r="AD724" s="773">
        <f t="shared" si="1351"/>
        <v>0</v>
      </c>
      <c r="AE724" s="773">
        <f t="shared" si="1351"/>
        <v>0</v>
      </c>
      <c r="AF724" s="423">
        <f t="shared" ref="AF724" si="1352">AF723</f>
        <v>0</v>
      </c>
      <c r="AG724" s="423">
        <f t="shared" ref="AG724" si="1353">AG723</f>
        <v>0</v>
      </c>
      <c r="AH724" s="423">
        <f t="shared" ref="AH724" si="1354">AH723</f>
        <v>0</v>
      </c>
      <c r="AI724" s="423">
        <f t="shared" ref="AI724" si="1355">AI723</f>
        <v>0</v>
      </c>
      <c r="AJ724" s="423">
        <f t="shared" ref="AJ724" si="1356">AJ723</f>
        <v>0</v>
      </c>
      <c r="AK724" s="423">
        <f t="shared" ref="AK724" si="1357">AK723</f>
        <v>0</v>
      </c>
      <c r="AL724" s="423">
        <f t="shared" ref="AL724" si="1358">AL723</f>
        <v>0</v>
      </c>
      <c r="AM724" s="319"/>
    </row>
    <row r="725" spans="1:39" ht="15" outlineLevel="1">
      <c r="A725" s="539"/>
      <c r="B725" s="438"/>
      <c r="C725" s="304"/>
      <c r="D725" s="763"/>
      <c r="E725" s="763"/>
      <c r="F725" s="763"/>
      <c r="G725" s="763"/>
      <c r="H725" s="763"/>
      <c r="I725" s="763"/>
      <c r="J725" s="763"/>
      <c r="K725" s="763"/>
      <c r="L725" s="763"/>
      <c r="M725" s="763"/>
      <c r="N725" s="763"/>
      <c r="O725" s="763"/>
      <c r="P725" s="763"/>
      <c r="Q725" s="763"/>
      <c r="R725" s="763"/>
      <c r="S725" s="763"/>
      <c r="T725" s="763"/>
      <c r="U725" s="763"/>
      <c r="V725" s="763"/>
      <c r="W725" s="763"/>
      <c r="X725" s="763"/>
      <c r="Y725" s="774"/>
      <c r="Z725" s="793"/>
      <c r="AA725" s="793"/>
      <c r="AB725" s="793"/>
      <c r="AC725" s="793"/>
      <c r="AD725" s="793"/>
      <c r="AE725" s="793"/>
      <c r="AF725" s="435"/>
      <c r="AG725" s="435"/>
      <c r="AH725" s="435"/>
      <c r="AI725" s="435"/>
      <c r="AJ725" s="435"/>
      <c r="AK725" s="435"/>
      <c r="AL725" s="435"/>
      <c r="AM725" s="319"/>
    </row>
    <row r="726" spans="1:39" ht="45" outlineLevel="1">
      <c r="A726" s="539">
        <v>44</v>
      </c>
      <c r="B726" s="438" t="s">
        <v>136</v>
      </c>
      <c r="C726" s="304" t="s">
        <v>25</v>
      </c>
      <c r="D726" s="308"/>
      <c r="E726" s="308"/>
      <c r="F726" s="308"/>
      <c r="G726" s="308"/>
      <c r="H726" s="308"/>
      <c r="I726" s="308"/>
      <c r="J726" s="308"/>
      <c r="K726" s="308"/>
      <c r="L726" s="308"/>
      <c r="M726" s="308"/>
      <c r="N726" s="308">
        <v>12</v>
      </c>
      <c r="O726" s="308"/>
      <c r="P726" s="308"/>
      <c r="Q726" s="308"/>
      <c r="R726" s="308"/>
      <c r="S726" s="308"/>
      <c r="T726" s="308"/>
      <c r="U726" s="308"/>
      <c r="V726" s="308"/>
      <c r="W726" s="308"/>
      <c r="X726" s="308"/>
      <c r="Y726" s="789"/>
      <c r="Z726" s="772"/>
      <c r="AA726" s="772"/>
      <c r="AB726" s="772"/>
      <c r="AC726" s="772"/>
      <c r="AD726" s="772"/>
      <c r="AE726" s="772"/>
      <c r="AF726" s="427"/>
      <c r="AG726" s="427"/>
      <c r="AH726" s="427"/>
      <c r="AI726" s="427"/>
      <c r="AJ726" s="427"/>
      <c r="AK726" s="427"/>
      <c r="AL726" s="427"/>
      <c r="AM726" s="309">
        <f>SUM(Y726:AL726)</f>
        <v>0</v>
      </c>
    </row>
    <row r="727" spans="1:39" ht="15" outlineLevel="1">
      <c r="A727" s="539"/>
      <c r="B727" s="307" t="s">
        <v>310</v>
      </c>
      <c r="C727" s="304" t="s">
        <v>163</v>
      </c>
      <c r="D727" s="308"/>
      <c r="E727" s="308"/>
      <c r="F727" s="308"/>
      <c r="G727" s="308"/>
      <c r="H727" s="308"/>
      <c r="I727" s="308"/>
      <c r="J727" s="308"/>
      <c r="K727" s="308"/>
      <c r="L727" s="308"/>
      <c r="M727" s="308"/>
      <c r="N727" s="308">
        <f>N726</f>
        <v>12</v>
      </c>
      <c r="O727" s="308"/>
      <c r="P727" s="308"/>
      <c r="Q727" s="308"/>
      <c r="R727" s="308"/>
      <c r="S727" s="308"/>
      <c r="T727" s="308"/>
      <c r="U727" s="308"/>
      <c r="V727" s="308"/>
      <c r="W727" s="308"/>
      <c r="X727" s="308"/>
      <c r="Y727" s="773">
        <f>Y726</f>
        <v>0</v>
      </c>
      <c r="Z727" s="773">
        <f t="shared" ref="Z727:AE727" si="1359">Z726</f>
        <v>0</v>
      </c>
      <c r="AA727" s="773">
        <f t="shared" si="1359"/>
        <v>0</v>
      </c>
      <c r="AB727" s="773">
        <f t="shared" si="1359"/>
        <v>0</v>
      </c>
      <c r="AC727" s="773">
        <f t="shared" si="1359"/>
        <v>0</v>
      </c>
      <c r="AD727" s="773">
        <f t="shared" si="1359"/>
        <v>0</v>
      </c>
      <c r="AE727" s="773">
        <f t="shared" si="1359"/>
        <v>0</v>
      </c>
      <c r="AF727" s="423">
        <f t="shared" ref="AF727" si="1360">AF726</f>
        <v>0</v>
      </c>
      <c r="AG727" s="423">
        <f t="shared" ref="AG727" si="1361">AG726</f>
        <v>0</v>
      </c>
      <c r="AH727" s="423">
        <f t="shared" ref="AH727" si="1362">AH726</f>
        <v>0</v>
      </c>
      <c r="AI727" s="423">
        <f t="shared" ref="AI727" si="1363">AI726</f>
        <v>0</v>
      </c>
      <c r="AJ727" s="423">
        <f t="shared" ref="AJ727" si="1364">AJ726</f>
        <v>0</v>
      </c>
      <c r="AK727" s="423">
        <f t="shared" ref="AK727" si="1365">AK726</f>
        <v>0</v>
      </c>
      <c r="AL727" s="423">
        <f t="shared" ref="AL727" si="1366">AL726</f>
        <v>0</v>
      </c>
      <c r="AM727" s="319"/>
    </row>
    <row r="728" spans="1:39" ht="15" outlineLevel="1">
      <c r="A728" s="539"/>
      <c r="B728" s="438"/>
      <c r="C728" s="304"/>
      <c r="D728" s="763"/>
      <c r="E728" s="763"/>
      <c r="F728" s="763"/>
      <c r="G728" s="763"/>
      <c r="H728" s="763"/>
      <c r="I728" s="763"/>
      <c r="J728" s="763"/>
      <c r="K728" s="763"/>
      <c r="L728" s="763"/>
      <c r="M728" s="763"/>
      <c r="N728" s="763"/>
      <c r="O728" s="763"/>
      <c r="P728" s="763"/>
      <c r="Q728" s="763"/>
      <c r="R728" s="763"/>
      <c r="S728" s="763"/>
      <c r="T728" s="763"/>
      <c r="U728" s="763"/>
      <c r="V728" s="763"/>
      <c r="W728" s="763"/>
      <c r="X728" s="763"/>
      <c r="Y728" s="774"/>
      <c r="Z728" s="793"/>
      <c r="AA728" s="793"/>
      <c r="AB728" s="793"/>
      <c r="AC728" s="793"/>
      <c r="AD728" s="793"/>
      <c r="AE728" s="793"/>
      <c r="AF728" s="435"/>
      <c r="AG728" s="435"/>
      <c r="AH728" s="435"/>
      <c r="AI728" s="435"/>
      <c r="AJ728" s="435"/>
      <c r="AK728" s="435"/>
      <c r="AL728" s="435"/>
      <c r="AM728" s="319"/>
    </row>
    <row r="729" spans="1:39" ht="30" outlineLevel="1">
      <c r="A729" s="539">
        <v>45</v>
      </c>
      <c r="B729" s="438" t="s">
        <v>137</v>
      </c>
      <c r="C729" s="304" t="s">
        <v>25</v>
      </c>
      <c r="D729" s="308"/>
      <c r="E729" s="308"/>
      <c r="F729" s="308"/>
      <c r="G729" s="308"/>
      <c r="H729" s="308"/>
      <c r="I729" s="308"/>
      <c r="J729" s="308"/>
      <c r="K729" s="308"/>
      <c r="L729" s="308"/>
      <c r="M729" s="308"/>
      <c r="N729" s="308">
        <v>12</v>
      </c>
      <c r="O729" s="308"/>
      <c r="P729" s="308"/>
      <c r="Q729" s="308"/>
      <c r="R729" s="308"/>
      <c r="S729" s="308"/>
      <c r="T729" s="308"/>
      <c r="U729" s="308"/>
      <c r="V729" s="308"/>
      <c r="W729" s="308"/>
      <c r="X729" s="308"/>
      <c r="Y729" s="789"/>
      <c r="Z729" s="772"/>
      <c r="AA729" s="772"/>
      <c r="AB729" s="772"/>
      <c r="AC729" s="772"/>
      <c r="AD729" s="772"/>
      <c r="AE729" s="772"/>
      <c r="AF729" s="427"/>
      <c r="AG729" s="427"/>
      <c r="AH729" s="427"/>
      <c r="AI729" s="427"/>
      <c r="AJ729" s="427"/>
      <c r="AK729" s="427"/>
      <c r="AL729" s="427"/>
      <c r="AM729" s="309">
        <f>SUM(Y729:AL729)</f>
        <v>0</v>
      </c>
    </row>
    <row r="730" spans="1:39" ht="15" outlineLevel="1">
      <c r="A730" s="539"/>
      <c r="B730" s="307" t="s">
        <v>310</v>
      </c>
      <c r="C730" s="304" t="s">
        <v>163</v>
      </c>
      <c r="D730" s="308"/>
      <c r="E730" s="308"/>
      <c r="F730" s="308"/>
      <c r="G730" s="308"/>
      <c r="H730" s="308"/>
      <c r="I730" s="308"/>
      <c r="J730" s="308"/>
      <c r="K730" s="308"/>
      <c r="L730" s="308"/>
      <c r="M730" s="308"/>
      <c r="N730" s="308">
        <f>N729</f>
        <v>12</v>
      </c>
      <c r="O730" s="308"/>
      <c r="P730" s="308"/>
      <c r="Q730" s="308"/>
      <c r="R730" s="308"/>
      <c r="S730" s="308"/>
      <c r="T730" s="308"/>
      <c r="U730" s="308"/>
      <c r="V730" s="308"/>
      <c r="W730" s="308"/>
      <c r="X730" s="308"/>
      <c r="Y730" s="773">
        <f>Y729</f>
        <v>0</v>
      </c>
      <c r="Z730" s="773">
        <f t="shared" ref="Z730:AE730" si="1367">Z729</f>
        <v>0</v>
      </c>
      <c r="AA730" s="773">
        <f t="shared" si="1367"/>
        <v>0</v>
      </c>
      <c r="AB730" s="773">
        <f t="shared" si="1367"/>
        <v>0</v>
      </c>
      <c r="AC730" s="773">
        <f t="shared" si="1367"/>
        <v>0</v>
      </c>
      <c r="AD730" s="773">
        <f t="shared" si="1367"/>
        <v>0</v>
      </c>
      <c r="AE730" s="773">
        <f t="shared" si="1367"/>
        <v>0</v>
      </c>
      <c r="AF730" s="423">
        <f t="shared" ref="AF730" si="1368">AF729</f>
        <v>0</v>
      </c>
      <c r="AG730" s="423">
        <f t="shared" ref="AG730" si="1369">AG729</f>
        <v>0</v>
      </c>
      <c r="AH730" s="423">
        <f t="shared" ref="AH730" si="1370">AH729</f>
        <v>0</v>
      </c>
      <c r="AI730" s="423">
        <f t="shared" ref="AI730" si="1371">AI729</f>
        <v>0</v>
      </c>
      <c r="AJ730" s="423">
        <f t="shared" ref="AJ730" si="1372">AJ729</f>
        <v>0</v>
      </c>
      <c r="AK730" s="423">
        <f t="shared" ref="AK730" si="1373">AK729</f>
        <v>0</v>
      </c>
      <c r="AL730" s="423">
        <f t="shared" ref="AL730" si="1374">AL729</f>
        <v>0</v>
      </c>
      <c r="AM730" s="319"/>
    </row>
    <row r="731" spans="1:39" ht="15" outlineLevel="1">
      <c r="A731" s="539"/>
      <c r="B731" s="438"/>
      <c r="C731" s="304"/>
      <c r="D731" s="763"/>
      <c r="E731" s="763"/>
      <c r="F731" s="763"/>
      <c r="G731" s="763"/>
      <c r="H731" s="763"/>
      <c r="I731" s="763"/>
      <c r="J731" s="763"/>
      <c r="K731" s="763"/>
      <c r="L731" s="763"/>
      <c r="M731" s="763"/>
      <c r="N731" s="763"/>
      <c r="O731" s="763"/>
      <c r="P731" s="763"/>
      <c r="Q731" s="763"/>
      <c r="R731" s="763"/>
      <c r="S731" s="763"/>
      <c r="T731" s="763"/>
      <c r="U731" s="763"/>
      <c r="V731" s="763"/>
      <c r="W731" s="763"/>
      <c r="X731" s="763"/>
      <c r="Y731" s="774"/>
      <c r="Z731" s="793"/>
      <c r="AA731" s="793"/>
      <c r="AB731" s="793"/>
      <c r="AC731" s="793"/>
      <c r="AD731" s="793"/>
      <c r="AE731" s="793"/>
      <c r="AF731" s="435"/>
      <c r="AG731" s="435"/>
      <c r="AH731" s="435"/>
      <c r="AI731" s="435"/>
      <c r="AJ731" s="435"/>
      <c r="AK731" s="435"/>
      <c r="AL731" s="435"/>
      <c r="AM731" s="319"/>
    </row>
    <row r="732" spans="1:39" ht="30" outlineLevel="1">
      <c r="A732" s="539">
        <v>46</v>
      </c>
      <c r="B732" s="438" t="s">
        <v>138</v>
      </c>
      <c r="C732" s="304" t="s">
        <v>25</v>
      </c>
      <c r="D732" s="308"/>
      <c r="E732" s="308"/>
      <c r="F732" s="308"/>
      <c r="G732" s="308"/>
      <c r="H732" s="308"/>
      <c r="I732" s="308"/>
      <c r="J732" s="308"/>
      <c r="K732" s="308"/>
      <c r="L732" s="308"/>
      <c r="M732" s="308"/>
      <c r="N732" s="308">
        <v>12</v>
      </c>
      <c r="O732" s="308"/>
      <c r="P732" s="308"/>
      <c r="Q732" s="308"/>
      <c r="R732" s="308"/>
      <c r="S732" s="308"/>
      <c r="T732" s="308"/>
      <c r="U732" s="308"/>
      <c r="V732" s="308"/>
      <c r="W732" s="308"/>
      <c r="X732" s="308"/>
      <c r="Y732" s="789"/>
      <c r="Z732" s="772"/>
      <c r="AA732" s="772"/>
      <c r="AB732" s="772"/>
      <c r="AC732" s="772"/>
      <c r="AD732" s="772"/>
      <c r="AE732" s="772"/>
      <c r="AF732" s="427"/>
      <c r="AG732" s="427"/>
      <c r="AH732" s="427"/>
      <c r="AI732" s="427"/>
      <c r="AJ732" s="427"/>
      <c r="AK732" s="427"/>
      <c r="AL732" s="427"/>
      <c r="AM732" s="309">
        <f>SUM(Y732:AL732)</f>
        <v>0</v>
      </c>
    </row>
    <row r="733" spans="1:39" ht="15" outlineLevel="1">
      <c r="A733" s="539"/>
      <c r="B733" s="307" t="s">
        <v>310</v>
      </c>
      <c r="C733" s="304" t="s">
        <v>163</v>
      </c>
      <c r="D733" s="308"/>
      <c r="E733" s="308"/>
      <c r="F733" s="308"/>
      <c r="G733" s="308"/>
      <c r="H733" s="308"/>
      <c r="I733" s="308"/>
      <c r="J733" s="308"/>
      <c r="K733" s="308"/>
      <c r="L733" s="308"/>
      <c r="M733" s="308"/>
      <c r="N733" s="308">
        <f>N732</f>
        <v>12</v>
      </c>
      <c r="O733" s="308"/>
      <c r="P733" s="308"/>
      <c r="Q733" s="308"/>
      <c r="R733" s="308"/>
      <c r="S733" s="308"/>
      <c r="T733" s="308"/>
      <c r="U733" s="308"/>
      <c r="V733" s="308"/>
      <c r="W733" s="308"/>
      <c r="X733" s="308"/>
      <c r="Y733" s="773">
        <f>Y732</f>
        <v>0</v>
      </c>
      <c r="Z733" s="773">
        <f t="shared" ref="Z733:AE733" si="1375">Z732</f>
        <v>0</v>
      </c>
      <c r="AA733" s="773">
        <f t="shared" si="1375"/>
        <v>0</v>
      </c>
      <c r="AB733" s="773">
        <f t="shared" si="1375"/>
        <v>0</v>
      </c>
      <c r="AC733" s="773">
        <f t="shared" si="1375"/>
        <v>0</v>
      </c>
      <c r="AD733" s="773">
        <f t="shared" si="1375"/>
        <v>0</v>
      </c>
      <c r="AE733" s="773">
        <f t="shared" si="1375"/>
        <v>0</v>
      </c>
      <c r="AF733" s="423">
        <f t="shared" ref="AF733" si="1376">AF732</f>
        <v>0</v>
      </c>
      <c r="AG733" s="423">
        <f t="shared" ref="AG733" si="1377">AG732</f>
        <v>0</v>
      </c>
      <c r="AH733" s="423">
        <f t="shared" ref="AH733" si="1378">AH732</f>
        <v>0</v>
      </c>
      <c r="AI733" s="423">
        <f t="shared" ref="AI733" si="1379">AI732</f>
        <v>0</v>
      </c>
      <c r="AJ733" s="423">
        <f t="shared" ref="AJ733" si="1380">AJ732</f>
        <v>0</v>
      </c>
      <c r="AK733" s="423">
        <f t="shared" ref="AK733" si="1381">AK732</f>
        <v>0</v>
      </c>
      <c r="AL733" s="423">
        <f t="shared" ref="AL733" si="1382">AL732</f>
        <v>0</v>
      </c>
      <c r="AM733" s="319"/>
    </row>
    <row r="734" spans="1:39" ht="15" outlineLevel="1">
      <c r="A734" s="539"/>
      <c r="B734" s="438"/>
      <c r="C734" s="304"/>
      <c r="D734" s="763"/>
      <c r="E734" s="763"/>
      <c r="F734" s="763"/>
      <c r="G734" s="763"/>
      <c r="H734" s="763"/>
      <c r="I734" s="763"/>
      <c r="J734" s="763"/>
      <c r="K734" s="763"/>
      <c r="L734" s="763"/>
      <c r="M734" s="763"/>
      <c r="N734" s="763"/>
      <c r="O734" s="763"/>
      <c r="P734" s="763"/>
      <c r="Q734" s="763"/>
      <c r="R734" s="763"/>
      <c r="S734" s="763"/>
      <c r="T734" s="763"/>
      <c r="U734" s="763"/>
      <c r="V734" s="763"/>
      <c r="W734" s="763"/>
      <c r="X734" s="763"/>
      <c r="Y734" s="774"/>
      <c r="Z734" s="793"/>
      <c r="AA734" s="793"/>
      <c r="AB734" s="793"/>
      <c r="AC734" s="793"/>
      <c r="AD734" s="793"/>
      <c r="AE734" s="793"/>
      <c r="AF734" s="435"/>
      <c r="AG734" s="435"/>
      <c r="AH734" s="435"/>
      <c r="AI734" s="435"/>
      <c r="AJ734" s="435"/>
      <c r="AK734" s="435"/>
      <c r="AL734" s="435"/>
      <c r="AM734" s="319"/>
    </row>
    <row r="735" spans="1:39" ht="30" outlineLevel="1">
      <c r="A735" s="539">
        <v>47</v>
      </c>
      <c r="B735" s="438" t="s">
        <v>139</v>
      </c>
      <c r="C735" s="304" t="s">
        <v>25</v>
      </c>
      <c r="D735" s="308"/>
      <c r="E735" s="308"/>
      <c r="F735" s="308"/>
      <c r="G735" s="308"/>
      <c r="H735" s="308"/>
      <c r="I735" s="308"/>
      <c r="J735" s="308"/>
      <c r="K735" s="308"/>
      <c r="L735" s="308"/>
      <c r="M735" s="308"/>
      <c r="N735" s="308">
        <v>12</v>
      </c>
      <c r="O735" s="308"/>
      <c r="P735" s="308"/>
      <c r="Q735" s="308"/>
      <c r="R735" s="308"/>
      <c r="S735" s="308"/>
      <c r="T735" s="308"/>
      <c r="U735" s="308"/>
      <c r="V735" s="308"/>
      <c r="W735" s="308"/>
      <c r="X735" s="308"/>
      <c r="Y735" s="789"/>
      <c r="Z735" s="772"/>
      <c r="AA735" s="772"/>
      <c r="AB735" s="772"/>
      <c r="AC735" s="772"/>
      <c r="AD735" s="772"/>
      <c r="AE735" s="772"/>
      <c r="AF735" s="427"/>
      <c r="AG735" s="427"/>
      <c r="AH735" s="427"/>
      <c r="AI735" s="427"/>
      <c r="AJ735" s="427"/>
      <c r="AK735" s="427"/>
      <c r="AL735" s="427"/>
      <c r="AM735" s="309">
        <f>SUM(Y735:AL735)</f>
        <v>0</v>
      </c>
    </row>
    <row r="736" spans="1:39" ht="15" outlineLevel="1">
      <c r="A736" s="539"/>
      <c r="B736" s="307" t="s">
        <v>310</v>
      </c>
      <c r="C736" s="304" t="s">
        <v>163</v>
      </c>
      <c r="D736" s="308"/>
      <c r="E736" s="308"/>
      <c r="F736" s="308"/>
      <c r="G736" s="308"/>
      <c r="H736" s="308"/>
      <c r="I736" s="308"/>
      <c r="J736" s="308"/>
      <c r="K736" s="308"/>
      <c r="L736" s="308"/>
      <c r="M736" s="308"/>
      <c r="N736" s="308">
        <f>N735</f>
        <v>12</v>
      </c>
      <c r="O736" s="308"/>
      <c r="P736" s="308"/>
      <c r="Q736" s="308"/>
      <c r="R736" s="308"/>
      <c r="S736" s="308"/>
      <c r="T736" s="308"/>
      <c r="U736" s="308"/>
      <c r="V736" s="308"/>
      <c r="W736" s="308"/>
      <c r="X736" s="308"/>
      <c r="Y736" s="773">
        <f>Y735</f>
        <v>0</v>
      </c>
      <c r="Z736" s="773">
        <f t="shared" ref="Z736:AE736" si="1383">Z735</f>
        <v>0</v>
      </c>
      <c r="AA736" s="773">
        <f t="shared" si="1383"/>
        <v>0</v>
      </c>
      <c r="AB736" s="773">
        <f t="shared" si="1383"/>
        <v>0</v>
      </c>
      <c r="AC736" s="773">
        <f t="shared" si="1383"/>
        <v>0</v>
      </c>
      <c r="AD736" s="773">
        <f t="shared" si="1383"/>
        <v>0</v>
      </c>
      <c r="AE736" s="773">
        <f t="shared" si="1383"/>
        <v>0</v>
      </c>
      <c r="AF736" s="423">
        <f t="shared" ref="AF736" si="1384">AF735</f>
        <v>0</v>
      </c>
      <c r="AG736" s="423">
        <f t="shared" ref="AG736" si="1385">AG735</f>
        <v>0</v>
      </c>
      <c r="AH736" s="423">
        <f t="shared" ref="AH736" si="1386">AH735</f>
        <v>0</v>
      </c>
      <c r="AI736" s="423">
        <f t="shared" ref="AI736" si="1387">AI735</f>
        <v>0</v>
      </c>
      <c r="AJ736" s="423">
        <f t="shared" ref="AJ736" si="1388">AJ735</f>
        <v>0</v>
      </c>
      <c r="AK736" s="423">
        <f t="shared" ref="AK736" si="1389">AK735</f>
        <v>0</v>
      </c>
      <c r="AL736" s="423">
        <f t="shared" ref="AL736" si="1390">AL735</f>
        <v>0</v>
      </c>
      <c r="AM736" s="319"/>
    </row>
    <row r="737" spans="1:40" ht="15" outlineLevel="1">
      <c r="A737" s="539"/>
      <c r="B737" s="438"/>
      <c r="C737" s="304"/>
      <c r="D737" s="763"/>
      <c r="E737" s="763"/>
      <c r="F737" s="763"/>
      <c r="G737" s="763"/>
      <c r="H737" s="763"/>
      <c r="I737" s="763"/>
      <c r="J737" s="763"/>
      <c r="K737" s="763"/>
      <c r="L737" s="763"/>
      <c r="M737" s="763"/>
      <c r="N737" s="763"/>
      <c r="O737" s="763"/>
      <c r="P737" s="763"/>
      <c r="Q737" s="763"/>
      <c r="R737" s="763"/>
      <c r="S737" s="763"/>
      <c r="T737" s="763"/>
      <c r="U737" s="763"/>
      <c r="V737" s="763"/>
      <c r="W737" s="763"/>
      <c r="X737" s="763"/>
      <c r="Y737" s="774"/>
      <c r="Z737" s="793"/>
      <c r="AA737" s="793"/>
      <c r="AB737" s="793"/>
      <c r="AC737" s="793"/>
      <c r="AD737" s="793"/>
      <c r="AE737" s="793"/>
      <c r="AF737" s="435"/>
      <c r="AG737" s="435"/>
      <c r="AH737" s="435"/>
      <c r="AI737" s="435"/>
      <c r="AJ737" s="435"/>
      <c r="AK737" s="435"/>
      <c r="AL737" s="435"/>
      <c r="AM737" s="319"/>
    </row>
    <row r="738" spans="1:40" ht="30" outlineLevel="1">
      <c r="A738" s="539">
        <v>48</v>
      </c>
      <c r="B738" s="438" t="s">
        <v>140</v>
      </c>
      <c r="C738" s="304" t="s">
        <v>25</v>
      </c>
      <c r="D738" s="308"/>
      <c r="E738" s="308"/>
      <c r="F738" s="308"/>
      <c r="G738" s="308"/>
      <c r="H738" s="308"/>
      <c r="I738" s="308"/>
      <c r="J738" s="308"/>
      <c r="K738" s="308"/>
      <c r="L738" s="308"/>
      <c r="M738" s="308"/>
      <c r="N738" s="308">
        <v>12</v>
      </c>
      <c r="O738" s="308"/>
      <c r="P738" s="308"/>
      <c r="Q738" s="308"/>
      <c r="R738" s="308"/>
      <c r="S738" s="308"/>
      <c r="T738" s="308"/>
      <c r="U738" s="308"/>
      <c r="V738" s="308"/>
      <c r="W738" s="308"/>
      <c r="X738" s="308"/>
      <c r="Y738" s="789"/>
      <c r="Z738" s="772"/>
      <c r="AA738" s="772"/>
      <c r="AB738" s="772"/>
      <c r="AC738" s="772"/>
      <c r="AD738" s="772"/>
      <c r="AE738" s="772"/>
      <c r="AF738" s="427"/>
      <c r="AG738" s="427"/>
      <c r="AH738" s="427"/>
      <c r="AI738" s="427"/>
      <c r="AJ738" s="427"/>
      <c r="AK738" s="427"/>
      <c r="AL738" s="427"/>
      <c r="AM738" s="309">
        <f>SUM(Y738:AL738)</f>
        <v>0</v>
      </c>
    </row>
    <row r="739" spans="1:40" ht="15" outlineLevel="1">
      <c r="A739" s="539"/>
      <c r="B739" s="307" t="s">
        <v>310</v>
      </c>
      <c r="C739" s="304" t="s">
        <v>163</v>
      </c>
      <c r="D739" s="308"/>
      <c r="E739" s="308"/>
      <c r="F739" s="308"/>
      <c r="G739" s="308"/>
      <c r="H739" s="308"/>
      <c r="I739" s="308"/>
      <c r="J739" s="308"/>
      <c r="K739" s="308"/>
      <c r="L739" s="308"/>
      <c r="M739" s="308"/>
      <c r="N739" s="308">
        <f>N738</f>
        <v>12</v>
      </c>
      <c r="O739" s="308"/>
      <c r="P739" s="308"/>
      <c r="Q739" s="308"/>
      <c r="R739" s="308"/>
      <c r="S739" s="308"/>
      <c r="T739" s="308"/>
      <c r="U739" s="308"/>
      <c r="V739" s="308"/>
      <c r="W739" s="308"/>
      <c r="X739" s="308"/>
      <c r="Y739" s="773">
        <f>Y738</f>
        <v>0</v>
      </c>
      <c r="Z739" s="773">
        <f t="shared" ref="Z739:AE739" si="1391">Z738</f>
        <v>0</v>
      </c>
      <c r="AA739" s="773">
        <f t="shared" si="1391"/>
        <v>0</v>
      </c>
      <c r="AB739" s="773">
        <f t="shared" si="1391"/>
        <v>0</v>
      </c>
      <c r="AC739" s="773">
        <f t="shared" si="1391"/>
        <v>0</v>
      </c>
      <c r="AD739" s="773">
        <f t="shared" si="1391"/>
        <v>0</v>
      </c>
      <c r="AE739" s="773">
        <f t="shared" si="1391"/>
        <v>0</v>
      </c>
      <c r="AF739" s="423">
        <f t="shared" ref="AF739" si="1392">AF738</f>
        <v>0</v>
      </c>
      <c r="AG739" s="423">
        <f t="shared" ref="AG739" si="1393">AG738</f>
        <v>0</v>
      </c>
      <c r="AH739" s="423">
        <f t="shared" ref="AH739" si="1394">AH738</f>
        <v>0</v>
      </c>
      <c r="AI739" s="423">
        <f t="shared" ref="AI739" si="1395">AI738</f>
        <v>0</v>
      </c>
      <c r="AJ739" s="423">
        <f t="shared" ref="AJ739" si="1396">AJ738</f>
        <v>0</v>
      </c>
      <c r="AK739" s="423">
        <f t="shared" ref="AK739" si="1397">AK738</f>
        <v>0</v>
      </c>
      <c r="AL739" s="423">
        <f t="shared" ref="AL739" si="1398">AL738</f>
        <v>0</v>
      </c>
      <c r="AM739" s="319"/>
    </row>
    <row r="740" spans="1:40" ht="15" outlineLevel="1">
      <c r="A740" s="539"/>
      <c r="B740" s="438"/>
      <c r="C740" s="304"/>
      <c r="D740" s="763"/>
      <c r="E740" s="763"/>
      <c r="F740" s="763"/>
      <c r="G740" s="763"/>
      <c r="H740" s="763"/>
      <c r="I740" s="763"/>
      <c r="J740" s="763"/>
      <c r="K740" s="763"/>
      <c r="L740" s="763"/>
      <c r="M740" s="763"/>
      <c r="N740" s="763"/>
      <c r="O740" s="763"/>
      <c r="P740" s="763"/>
      <c r="Q740" s="763"/>
      <c r="R740" s="763"/>
      <c r="S740" s="763"/>
      <c r="T740" s="763"/>
      <c r="U740" s="763"/>
      <c r="V740" s="763"/>
      <c r="W740" s="763"/>
      <c r="X740" s="763"/>
      <c r="Y740" s="774"/>
      <c r="Z740" s="793"/>
      <c r="AA740" s="793"/>
      <c r="AB740" s="793"/>
      <c r="AC740" s="793"/>
      <c r="AD740" s="793"/>
      <c r="AE740" s="793"/>
      <c r="AF740" s="435"/>
      <c r="AG740" s="435"/>
      <c r="AH740" s="435"/>
      <c r="AI740" s="435"/>
      <c r="AJ740" s="435"/>
      <c r="AK740" s="435"/>
      <c r="AL740" s="435"/>
      <c r="AM740" s="319"/>
    </row>
    <row r="741" spans="1:40" ht="30" outlineLevel="1">
      <c r="A741" s="539">
        <v>49</v>
      </c>
      <c r="B741" s="438" t="s">
        <v>141</v>
      </c>
      <c r="C741" s="304" t="s">
        <v>25</v>
      </c>
      <c r="D741" s="308"/>
      <c r="E741" s="308"/>
      <c r="F741" s="308"/>
      <c r="G741" s="308"/>
      <c r="H741" s="308"/>
      <c r="I741" s="308"/>
      <c r="J741" s="308"/>
      <c r="K741" s="308"/>
      <c r="L741" s="308"/>
      <c r="M741" s="308"/>
      <c r="N741" s="308">
        <v>12</v>
      </c>
      <c r="O741" s="308"/>
      <c r="P741" s="308"/>
      <c r="Q741" s="308"/>
      <c r="R741" s="308"/>
      <c r="S741" s="308"/>
      <c r="T741" s="308"/>
      <c r="U741" s="308"/>
      <c r="V741" s="308"/>
      <c r="W741" s="308"/>
      <c r="X741" s="308"/>
      <c r="Y741" s="789"/>
      <c r="Z741" s="772"/>
      <c r="AA741" s="772"/>
      <c r="AB741" s="772"/>
      <c r="AC741" s="772"/>
      <c r="AD741" s="772"/>
      <c r="AE741" s="772"/>
      <c r="AF741" s="427"/>
      <c r="AG741" s="427"/>
      <c r="AH741" s="427"/>
      <c r="AI741" s="427"/>
      <c r="AJ741" s="427"/>
      <c r="AK741" s="427"/>
      <c r="AL741" s="427"/>
      <c r="AM741" s="309">
        <f>SUM(Y741:AL741)</f>
        <v>0</v>
      </c>
    </row>
    <row r="742" spans="1:40" ht="15" outlineLevel="1">
      <c r="A742" s="539"/>
      <c r="B742" s="307" t="s">
        <v>310</v>
      </c>
      <c r="C742" s="304" t="s">
        <v>163</v>
      </c>
      <c r="D742" s="308"/>
      <c r="E742" s="308"/>
      <c r="F742" s="308"/>
      <c r="G742" s="308"/>
      <c r="H742" s="308"/>
      <c r="I742" s="308"/>
      <c r="J742" s="308"/>
      <c r="K742" s="308"/>
      <c r="L742" s="308"/>
      <c r="M742" s="308"/>
      <c r="N742" s="308">
        <f>N741</f>
        <v>12</v>
      </c>
      <c r="O742" s="308"/>
      <c r="P742" s="308"/>
      <c r="Q742" s="308"/>
      <c r="R742" s="308"/>
      <c r="S742" s="308"/>
      <c r="T742" s="308"/>
      <c r="U742" s="308"/>
      <c r="V742" s="308"/>
      <c r="W742" s="308"/>
      <c r="X742" s="308"/>
      <c r="Y742" s="423">
        <f>Y741</f>
        <v>0</v>
      </c>
      <c r="Z742" s="423">
        <f t="shared" ref="Z742" si="1399">Z741</f>
        <v>0</v>
      </c>
      <c r="AA742" s="423">
        <f t="shared" ref="AA742" si="1400">AA741</f>
        <v>0</v>
      </c>
      <c r="AB742" s="423">
        <f t="shared" ref="AB742" si="1401">AB741</f>
        <v>0</v>
      </c>
      <c r="AC742" s="423">
        <f t="shared" ref="AC742" si="1402">AC741</f>
        <v>0</v>
      </c>
      <c r="AD742" s="423">
        <f t="shared" ref="AD742" si="1403">AD741</f>
        <v>0</v>
      </c>
      <c r="AE742" s="423">
        <f t="shared" ref="AE742" si="1404">AE741</f>
        <v>0</v>
      </c>
      <c r="AF742" s="423">
        <f t="shared" ref="AF742" si="1405">AF741</f>
        <v>0</v>
      </c>
      <c r="AG742" s="423">
        <f t="shared" ref="AG742" si="1406">AG741</f>
        <v>0</v>
      </c>
      <c r="AH742" s="423">
        <f t="shared" ref="AH742" si="1407">AH741</f>
        <v>0</v>
      </c>
      <c r="AI742" s="423">
        <f t="shared" ref="AI742" si="1408">AI741</f>
        <v>0</v>
      </c>
      <c r="AJ742" s="423">
        <f t="shared" ref="AJ742" si="1409">AJ741</f>
        <v>0</v>
      </c>
      <c r="AK742" s="423">
        <f t="shared" ref="AK742" si="1410">AK741</f>
        <v>0</v>
      </c>
      <c r="AL742" s="423">
        <f t="shared" ref="AL742" si="1411">AL741</f>
        <v>0</v>
      </c>
      <c r="AM742" s="319"/>
    </row>
    <row r="743" spans="1:40" ht="15" outlineLevel="1">
      <c r="A743" s="539"/>
      <c r="B743" s="307"/>
      <c r="C743" s="318"/>
      <c r="D743" s="304"/>
      <c r="E743" s="304"/>
      <c r="F743" s="304"/>
      <c r="G743" s="304"/>
      <c r="H743" s="304"/>
      <c r="I743" s="304"/>
      <c r="J743" s="304"/>
      <c r="K743" s="304"/>
      <c r="L743" s="304"/>
      <c r="M743" s="304"/>
      <c r="N743" s="304"/>
      <c r="O743" s="304"/>
      <c r="P743" s="304"/>
      <c r="Q743" s="304"/>
      <c r="R743" s="304"/>
      <c r="S743" s="304"/>
      <c r="T743" s="304"/>
      <c r="U743" s="304"/>
      <c r="V743" s="304"/>
      <c r="W743" s="304"/>
      <c r="X743" s="304"/>
      <c r="Y743" s="424"/>
      <c r="Z743" s="424"/>
      <c r="AA743" s="424"/>
      <c r="AB743" s="424"/>
      <c r="AC743" s="424"/>
      <c r="AD743" s="424"/>
      <c r="AE743" s="424"/>
      <c r="AF743" s="424"/>
      <c r="AG743" s="424"/>
      <c r="AH743" s="424"/>
      <c r="AI743" s="424"/>
      <c r="AJ743" s="424"/>
      <c r="AK743" s="424"/>
      <c r="AL743" s="424"/>
      <c r="AM743" s="319"/>
    </row>
    <row r="744" spans="1:40" ht="15.6">
      <c r="B744" s="339" t="s">
        <v>311</v>
      </c>
      <c r="C744" s="341"/>
      <c r="D744" s="341">
        <f>SUM(D587:D742)</f>
        <v>3287635.7720774077</v>
      </c>
      <c r="E744" s="341"/>
      <c r="F744" s="341"/>
      <c r="G744" s="341"/>
      <c r="H744" s="341"/>
      <c r="I744" s="341"/>
      <c r="J744" s="341"/>
      <c r="K744" s="341"/>
      <c r="L744" s="341"/>
      <c r="M744" s="341"/>
      <c r="N744" s="341"/>
      <c r="O744" s="341">
        <f>SUM(O587:O742)</f>
        <v>416.63298821731615</v>
      </c>
      <c r="P744" s="341"/>
      <c r="Q744" s="341"/>
      <c r="R744" s="341"/>
      <c r="S744" s="341"/>
      <c r="T744" s="341"/>
      <c r="U744" s="341"/>
      <c r="V744" s="341"/>
      <c r="W744" s="341"/>
      <c r="X744" s="341"/>
      <c r="Y744" s="341">
        <f>IF(Y585="kWh",SUMPRODUCT(D587:D742,Y587:Y742))</f>
        <v>1483285.17652239</v>
      </c>
      <c r="Z744" s="341">
        <f>IF(Z585="kWh",SUMPRODUCT(D587:D742,Z587:Z742))</f>
        <v>321273.11745681294</v>
      </c>
      <c r="AA744" s="341">
        <f>IF(AA585="kw",SUMPRODUCT(N587:N742,O587:O742,AA587:AA742),SUMPRODUCT(D587:D742,AA587:AA742))</f>
        <v>1223.2056445283501</v>
      </c>
      <c r="AB744" s="341">
        <f>IF(AB585="kw",SUMPRODUCT(N587:N742,O587:O742,AB587:AB742),SUMPRODUCT(D587:D742,AB587:AB742))</f>
        <v>1033.8362841440796</v>
      </c>
      <c r="AC744" s="341">
        <f>IF(AC585="kw",SUMPRODUCT(N587:N742,O587:O742,AC587:AC742),SUMPRODUCT(D587:D742,AC587:AC742))</f>
        <v>0</v>
      </c>
      <c r="AD744" s="341">
        <f>IF(AD585="kw",SUMPRODUCT(N587:N742,O587:O742,AD587:AD742),SUMPRODUCT(D587:D742,AD587:AD742))</f>
        <v>0</v>
      </c>
      <c r="AE744" s="819">
        <f>-'8.  Streetlighting'!G108</f>
        <v>0</v>
      </c>
      <c r="AF744" s="341">
        <f>IF(AF585="kw",SUMPRODUCT(N587:N742,O587:O742,AF587:AF742),SUMPRODUCT(D587:D742,AF587:AF742))</f>
        <v>0</v>
      </c>
      <c r="AG744" s="341">
        <f>IF(AG585="kw",SUMPRODUCT(N587:N742,O587:O742,AG587:AG742),SUMPRODUCT(D587:D742,AG587:AG742))</f>
        <v>0</v>
      </c>
      <c r="AH744" s="341">
        <f>IF(AH585="kw",SUMPRODUCT(N587:N742,O587:O742,AH587:AH742),SUMPRODUCT(D587:D742,AH587:AH742))</f>
        <v>0</v>
      </c>
      <c r="AI744" s="341">
        <f>IF(AI585="kw",SUMPRODUCT(N587:N742,O587:O742,AI587:AI742),SUMPRODUCT(D587:D742,AI587:AI742))</f>
        <v>0</v>
      </c>
      <c r="AJ744" s="341">
        <f>IF(AJ585="kw",SUMPRODUCT(N587:N742,O587:O742,AJ587:AJ742),SUMPRODUCT(D587:D742,AJ587:AJ742))</f>
        <v>0</v>
      </c>
      <c r="AK744" s="341">
        <f>IF(AK585="kw",SUMPRODUCT(N587:N742,O587:O742,AK587:AK742),SUMPRODUCT(D587:D742,AK587:AK742))</f>
        <v>0</v>
      </c>
      <c r="AL744" s="341">
        <f>IF(AL585="kw",SUMPRODUCT(N587:N742,O587:O742,AL587:AL742),SUMPRODUCT(D587:D742,AL587:AL742))</f>
        <v>0</v>
      </c>
      <c r="AM744" s="342"/>
    </row>
    <row r="745" spans="1:40" ht="15.6">
      <c r="B745" s="403" t="s">
        <v>312</v>
      </c>
      <c r="C745" s="404"/>
      <c r="D745" s="404"/>
      <c r="E745" s="404"/>
      <c r="F745" s="404"/>
      <c r="G745" s="404"/>
      <c r="H745" s="404"/>
      <c r="I745" s="404"/>
      <c r="J745" s="404"/>
      <c r="K745" s="404"/>
      <c r="L745" s="404"/>
      <c r="M745" s="404"/>
      <c r="N745" s="404"/>
      <c r="O745" s="404"/>
      <c r="P745" s="404"/>
      <c r="Q745" s="404"/>
      <c r="R745" s="404"/>
      <c r="S745" s="404"/>
      <c r="T745" s="404"/>
      <c r="U745" s="404"/>
      <c r="V745" s="404"/>
      <c r="W745" s="404"/>
      <c r="X745" s="404"/>
      <c r="Y745" s="404">
        <f>HLOOKUP(Y401,'2. LRAMVA Threshold'!$B$42:$Q$53,10,FALSE)</f>
        <v>691161</v>
      </c>
      <c r="Z745" s="404">
        <f>HLOOKUP(Z401,'2. LRAMVA Threshold'!$B$42:$Q$53,10,FALSE)</f>
        <v>74889</v>
      </c>
      <c r="AA745" s="404">
        <f>HLOOKUP(AA401,'2. LRAMVA Threshold'!$B$42:$Q$53,10,FALSE)</f>
        <v>3272</v>
      </c>
      <c r="AB745" s="404">
        <f>HLOOKUP(AB401,'2. LRAMVA Threshold'!$B$42:$Q$53,10,FALSE)</f>
        <v>2873</v>
      </c>
      <c r="AC745" s="404">
        <f>HLOOKUP(AC401,'2. LRAMVA Threshold'!$B$42:$Q$53,10,FALSE)</f>
        <v>0</v>
      </c>
      <c r="AD745" s="404">
        <f>HLOOKUP(AD401,'2. LRAMVA Threshold'!$B$42:$Q$53,10,FALSE)</f>
        <v>0</v>
      </c>
      <c r="AE745" s="404">
        <f>HLOOKUP(AE401,'2. LRAMVA Threshold'!$B$42:$Q$53,10,FALSE)</f>
        <v>3777</v>
      </c>
      <c r="AF745" s="404">
        <f>HLOOKUP(AF401,'2. LRAMVA Threshold'!$B$42:$Q$53,10,FALSE)</f>
        <v>0</v>
      </c>
      <c r="AG745" s="404">
        <f>HLOOKUP(AG401,'2. LRAMVA Threshold'!$B$42:$Q$53,10,FALSE)</f>
        <v>0</v>
      </c>
      <c r="AH745" s="404">
        <f>HLOOKUP(AH401,'2. LRAMVA Threshold'!$B$42:$Q$53,10,FALSE)</f>
        <v>0</v>
      </c>
      <c r="AI745" s="404">
        <f>HLOOKUP(AI401,'2. LRAMVA Threshold'!$B$42:$Q$53,10,FALSE)</f>
        <v>0</v>
      </c>
      <c r="AJ745" s="404">
        <f>HLOOKUP(AJ401,'2. LRAMVA Threshold'!$B$42:$Q$53,10,FALSE)</f>
        <v>0</v>
      </c>
      <c r="AK745" s="404">
        <f>HLOOKUP(AK401,'2. LRAMVA Threshold'!$B$42:$Q$53,10,FALSE)</f>
        <v>0</v>
      </c>
      <c r="AL745" s="404">
        <f>HLOOKUP(AL401,'2. LRAMVA Threshold'!$B$42:$Q$53,10,FALSE)</f>
        <v>0</v>
      </c>
      <c r="AM745" s="452"/>
    </row>
    <row r="746" spans="1:40" ht="15">
      <c r="B746" s="406"/>
      <c r="C746" s="442"/>
      <c r="D746" s="443"/>
      <c r="E746" s="443"/>
      <c r="F746" s="443"/>
      <c r="G746" s="443"/>
      <c r="H746" s="443"/>
      <c r="I746" s="443"/>
      <c r="J746" s="443"/>
      <c r="K746" s="443"/>
      <c r="L746" s="443"/>
      <c r="M746" s="443"/>
      <c r="N746" s="443"/>
      <c r="O746" s="444"/>
      <c r="P746" s="443"/>
      <c r="Q746" s="443"/>
      <c r="R746" s="443"/>
      <c r="S746" s="445"/>
      <c r="T746" s="445"/>
      <c r="U746" s="445"/>
      <c r="V746" s="445"/>
      <c r="W746" s="443"/>
      <c r="X746" s="443"/>
      <c r="Y746" s="446"/>
      <c r="Z746" s="446"/>
      <c r="AA746" s="446"/>
      <c r="AB746" s="446"/>
      <c r="AC746" s="446"/>
      <c r="AD746" s="446"/>
      <c r="AE746" s="446"/>
      <c r="AF746" s="411"/>
      <c r="AG746" s="411"/>
      <c r="AH746" s="411"/>
      <c r="AI746" s="411"/>
      <c r="AJ746" s="411"/>
      <c r="AK746" s="411"/>
      <c r="AL746" s="411"/>
      <c r="AM746" s="412"/>
    </row>
    <row r="747" spans="1:40" ht="15">
      <c r="B747" s="336" t="s">
        <v>313</v>
      </c>
      <c r="C747" s="350"/>
      <c r="D747" s="350"/>
      <c r="E747" s="388"/>
      <c r="F747" s="388"/>
      <c r="G747" s="388"/>
      <c r="H747" s="388"/>
      <c r="I747" s="388"/>
      <c r="J747" s="388"/>
      <c r="K747" s="388"/>
      <c r="L747" s="388"/>
      <c r="M747" s="388"/>
      <c r="N747" s="388"/>
      <c r="O747" s="304"/>
      <c r="P747" s="352"/>
      <c r="Q747" s="352"/>
      <c r="R747" s="352"/>
      <c r="S747" s="351"/>
      <c r="T747" s="351"/>
      <c r="U747" s="351"/>
      <c r="V747" s="351"/>
      <c r="W747" s="352"/>
      <c r="X747" s="352"/>
      <c r="Y747" s="353">
        <f>HLOOKUP(Y$35,'3.  Distribution Rates'!$C$122:$P$133,10,FALSE)</f>
        <v>4.4999999999999997E-3</v>
      </c>
      <c r="Z747" s="353">
        <f>HLOOKUP(Z$35,'3.  Distribution Rates'!$C$122:$P$133,10,FALSE)</f>
        <v>1.0200000000000001E-2</v>
      </c>
      <c r="AA747" s="353">
        <f>HLOOKUP(AA$35,'3.  Distribution Rates'!$C$122:$P$133,10,FALSE)</f>
        <v>3.8428</v>
      </c>
      <c r="AB747" s="353">
        <f>HLOOKUP(AB$35,'3.  Distribution Rates'!$C$122:$P$133,10,FALSE)</f>
        <v>3.4567999999999999</v>
      </c>
      <c r="AC747" s="353">
        <f>HLOOKUP(AC$35,'3.  Distribution Rates'!$C$122:$P$133,10,FALSE)</f>
        <v>5.4000000000000003E-3</v>
      </c>
      <c r="AD747" s="353">
        <f>HLOOKUP(AD$35,'3.  Distribution Rates'!$C$122:$P$133,10,FALSE)</f>
        <v>35.763100000000001</v>
      </c>
      <c r="AE747" s="353">
        <f>HLOOKUP(AE$35,'3.  Distribution Rates'!$C$122:$P$133,10,FALSE)</f>
        <v>1.5462</v>
      </c>
      <c r="AF747" s="353">
        <f>HLOOKUP(AF$35,'3.  Distribution Rates'!$C$122:$P$133,10,FALSE)</f>
        <v>0</v>
      </c>
      <c r="AG747" s="353">
        <f>HLOOKUP(AG$35,'3.  Distribution Rates'!$C$122:$P$133,10,FALSE)</f>
        <v>0</v>
      </c>
      <c r="AH747" s="353">
        <f>HLOOKUP(AH$35,'3.  Distribution Rates'!$C$122:$P$133,10,FALSE)</f>
        <v>0</v>
      </c>
      <c r="AI747" s="353">
        <f>HLOOKUP(AI$35,'3.  Distribution Rates'!$C$122:$P$133,10,FALSE)</f>
        <v>0</v>
      </c>
      <c r="AJ747" s="353">
        <f>HLOOKUP(AJ$35,'3.  Distribution Rates'!$C$122:$P$133,10,FALSE)</f>
        <v>0</v>
      </c>
      <c r="AK747" s="353">
        <f>HLOOKUP(AK$35,'3.  Distribution Rates'!$C$122:$P$133,10,FALSE)</f>
        <v>0</v>
      </c>
      <c r="AL747" s="353">
        <f>HLOOKUP(AL$35,'3.  Distribution Rates'!$C$122:$P$133,10,FALSE)</f>
        <v>0</v>
      </c>
      <c r="AM747" s="360"/>
      <c r="AN747" s="453"/>
    </row>
    <row r="748" spans="1:40" ht="15">
      <c r="B748" s="336" t="s">
        <v>314</v>
      </c>
      <c r="C748" s="357"/>
      <c r="D748" s="322"/>
      <c r="E748" s="292"/>
      <c r="F748" s="292"/>
      <c r="G748" s="292"/>
      <c r="H748" s="292"/>
      <c r="I748" s="292"/>
      <c r="J748" s="292"/>
      <c r="K748" s="292"/>
      <c r="L748" s="292"/>
      <c r="M748" s="292"/>
      <c r="N748" s="292"/>
      <c r="O748" s="304"/>
      <c r="P748" s="292"/>
      <c r="Q748" s="292"/>
      <c r="R748" s="292"/>
      <c r="S748" s="322"/>
      <c r="T748" s="322"/>
      <c r="U748" s="322"/>
      <c r="V748" s="322"/>
      <c r="W748" s="292"/>
      <c r="X748" s="292"/>
      <c r="Y748" s="390">
        <f>'4.  2011-2014 LRAM'!Y141*Y747</f>
        <v>0</v>
      </c>
      <c r="Z748" s="390">
        <f>'4.  2011-2014 LRAM'!Z141*Z747</f>
        <v>0</v>
      </c>
      <c r="AA748" s="390">
        <f>'4.  2011-2014 LRAM'!AA141*AA747</f>
        <v>0</v>
      </c>
      <c r="AB748" s="390">
        <f>'4.  2011-2014 LRAM'!AB141*AB747</f>
        <v>0</v>
      </c>
      <c r="AC748" s="390">
        <f>'4.  2011-2014 LRAM'!AC141*AC747</f>
        <v>0</v>
      </c>
      <c r="AD748" s="390">
        <f>'4.  2011-2014 LRAM'!AD141*AD747</f>
        <v>0</v>
      </c>
      <c r="AE748" s="390">
        <f>'4.  2011-2014 LRAM'!AE141*AE747</f>
        <v>0</v>
      </c>
      <c r="AF748" s="390">
        <f>'4.  2011-2014 LRAM'!AF141*AF747</f>
        <v>0</v>
      </c>
      <c r="AG748" s="390">
        <f>'4.  2011-2014 LRAM'!AG141*AG747</f>
        <v>0</v>
      </c>
      <c r="AH748" s="390">
        <f>'4.  2011-2014 LRAM'!AH141*AH747</f>
        <v>0</v>
      </c>
      <c r="AI748" s="390">
        <f>'4.  2011-2014 LRAM'!AI141*AI747</f>
        <v>0</v>
      </c>
      <c r="AJ748" s="390">
        <f>'4.  2011-2014 LRAM'!AJ141*AJ747</f>
        <v>0</v>
      </c>
      <c r="AK748" s="390">
        <f>'4.  2011-2014 LRAM'!AK141*AK747</f>
        <v>0</v>
      </c>
      <c r="AL748" s="390">
        <f>'4.  2011-2014 LRAM'!AL141*AL747</f>
        <v>0</v>
      </c>
      <c r="AM748" s="635">
        <f t="shared" ref="AM748:AM755" si="1412">SUM(Y748:AL748)</f>
        <v>0</v>
      </c>
      <c r="AN748" s="453"/>
    </row>
    <row r="749" spans="1:40" ht="15">
      <c r="B749" s="336" t="s">
        <v>315</v>
      </c>
      <c r="C749" s="357"/>
      <c r="D749" s="322"/>
      <c r="E749" s="292"/>
      <c r="F749" s="292"/>
      <c r="G749" s="292"/>
      <c r="H749" s="292"/>
      <c r="I749" s="292"/>
      <c r="J749" s="292"/>
      <c r="K749" s="292"/>
      <c r="L749" s="292"/>
      <c r="M749" s="292"/>
      <c r="N749" s="292"/>
      <c r="O749" s="304"/>
      <c r="P749" s="292"/>
      <c r="Q749" s="292"/>
      <c r="R749" s="292"/>
      <c r="S749" s="322"/>
      <c r="T749" s="322"/>
      <c r="U749" s="322"/>
      <c r="V749" s="322"/>
      <c r="W749" s="292"/>
      <c r="X749" s="292"/>
      <c r="Y749" s="390">
        <f>'4.  2011-2014 LRAM'!Y270*Y747</f>
        <v>0</v>
      </c>
      <c r="Z749" s="390">
        <f>'4.  2011-2014 LRAM'!Z270*Z747</f>
        <v>0</v>
      </c>
      <c r="AA749" s="390">
        <f>'4.  2011-2014 LRAM'!AA270*AA747</f>
        <v>0</v>
      </c>
      <c r="AB749" s="390">
        <f>'4.  2011-2014 LRAM'!AB270*AB747</f>
        <v>0</v>
      </c>
      <c r="AC749" s="390">
        <f>'4.  2011-2014 LRAM'!AC270*AC747</f>
        <v>0</v>
      </c>
      <c r="AD749" s="390">
        <f>'4.  2011-2014 LRAM'!AD270*AD747</f>
        <v>0</v>
      </c>
      <c r="AE749" s="390">
        <f>'4.  2011-2014 LRAM'!AE270*AE747</f>
        <v>0</v>
      </c>
      <c r="AF749" s="390">
        <f>'4.  2011-2014 LRAM'!AF270*AF747</f>
        <v>0</v>
      </c>
      <c r="AG749" s="390">
        <f>'4.  2011-2014 LRAM'!AG270*AG747</f>
        <v>0</v>
      </c>
      <c r="AH749" s="390">
        <f>'4.  2011-2014 LRAM'!AH270*AH747</f>
        <v>0</v>
      </c>
      <c r="AI749" s="390">
        <f>'4.  2011-2014 LRAM'!AI270*AI747</f>
        <v>0</v>
      </c>
      <c r="AJ749" s="390">
        <f>'4.  2011-2014 LRAM'!AJ270*AJ747</f>
        <v>0</v>
      </c>
      <c r="AK749" s="390">
        <f>'4.  2011-2014 LRAM'!AK270*AK747</f>
        <v>0</v>
      </c>
      <c r="AL749" s="390">
        <f>'4.  2011-2014 LRAM'!AL270*AL747</f>
        <v>0</v>
      </c>
      <c r="AM749" s="635">
        <f t="shared" si="1412"/>
        <v>0</v>
      </c>
      <c r="AN749" s="453"/>
    </row>
    <row r="750" spans="1:40" ht="15">
      <c r="B750" s="336" t="s">
        <v>316</v>
      </c>
      <c r="C750" s="357"/>
      <c r="D750" s="322"/>
      <c r="E750" s="292"/>
      <c r="F750" s="292"/>
      <c r="G750" s="292"/>
      <c r="H750" s="292"/>
      <c r="I750" s="292"/>
      <c r="J750" s="292"/>
      <c r="K750" s="292"/>
      <c r="L750" s="292"/>
      <c r="M750" s="292"/>
      <c r="N750" s="292"/>
      <c r="O750" s="304"/>
      <c r="P750" s="292"/>
      <c r="Q750" s="292"/>
      <c r="R750" s="292"/>
      <c r="S750" s="322"/>
      <c r="T750" s="322"/>
      <c r="U750" s="322"/>
      <c r="V750" s="322"/>
      <c r="W750" s="292"/>
      <c r="X750" s="292"/>
      <c r="Y750" s="390">
        <f>'4.  2011-2014 LRAM'!Y399*Y747</f>
        <v>0</v>
      </c>
      <c r="Z750" s="390">
        <f>'4.  2011-2014 LRAM'!Z399*Z747</f>
        <v>0</v>
      </c>
      <c r="AA750" s="390">
        <f>'4.  2011-2014 LRAM'!AA399*AA747</f>
        <v>0</v>
      </c>
      <c r="AB750" s="390">
        <f>'4.  2011-2014 LRAM'!AB399*AB747</f>
        <v>0</v>
      </c>
      <c r="AC750" s="390">
        <f>'4.  2011-2014 LRAM'!AC399*AC747</f>
        <v>0</v>
      </c>
      <c r="AD750" s="390">
        <f>'4.  2011-2014 LRAM'!AD399*AD747</f>
        <v>0</v>
      </c>
      <c r="AE750" s="390">
        <f>'4.  2011-2014 LRAM'!AE399*AE747</f>
        <v>0</v>
      </c>
      <c r="AF750" s="390">
        <f>'4.  2011-2014 LRAM'!AF399*AF747</f>
        <v>0</v>
      </c>
      <c r="AG750" s="390">
        <f>'4.  2011-2014 LRAM'!AG399*AG747</f>
        <v>0</v>
      </c>
      <c r="AH750" s="390">
        <f>'4.  2011-2014 LRAM'!AH399*AH747</f>
        <v>0</v>
      </c>
      <c r="AI750" s="390">
        <f>'4.  2011-2014 LRAM'!AI399*AI747</f>
        <v>0</v>
      </c>
      <c r="AJ750" s="390">
        <f>'4.  2011-2014 LRAM'!AJ399*AJ747</f>
        <v>0</v>
      </c>
      <c r="AK750" s="390">
        <f>'4.  2011-2014 LRAM'!AK399*AK747</f>
        <v>0</v>
      </c>
      <c r="AL750" s="390">
        <f>'4.  2011-2014 LRAM'!AL399*AL747</f>
        <v>0</v>
      </c>
      <c r="AM750" s="635">
        <f t="shared" si="1412"/>
        <v>0</v>
      </c>
      <c r="AN750" s="453"/>
    </row>
    <row r="751" spans="1:40" ht="15">
      <c r="B751" s="336" t="s">
        <v>317</v>
      </c>
      <c r="C751" s="357"/>
      <c r="D751" s="322"/>
      <c r="E751" s="292"/>
      <c r="F751" s="292"/>
      <c r="G751" s="292"/>
      <c r="H751" s="292"/>
      <c r="I751" s="292"/>
      <c r="J751" s="292"/>
      <c r="K751" s="292"/>
      <c r="L751" s="292"/>
      <c r="M751" s="292"/>
      <c r="N751" s="292"/>
      <c r="O751" s="304"/>
      <c r="P751" s="292"/>
      <c r="Q751" s="292"/>
      <c r="R751" s="292"/>
      <c r="S751" s="322"/>
      <c r="T751" s="322"/>
      <c r="U751" s="322"/>
      <c r="V751" s="322"/>
      <c r="W751" s="292"/>
      <c r="X751" s="292"/>
      <c r="Y751" s="390">
        <f>'4.  2011-2014 LRAM'!Y529*Y747</f>
        <v>0</v>
      </c>
      <c r="Z751" s="390">
        <f>'4.  2011-2014 LRAM'!Z529*Z747</f>
        <v>0</v>
      </c>
      <c r="AA751" s="390">
        <f>'4.  2011-2014 LRAM'!AA529*AA747</f>
        <v>0</v>
      </c>
      <c r="AB751" s="390">
        <f>'4.  2011-2014 LRAM'!AB529*AB747</f>
        <v>0</v>
      </c>
      <c r="AC751" s="390">
        <f>'4.  2011-2014 LRAM'!AC529*AC747</f>
        <v>0</v>
      </c>
      <c r="AD751" s="390">
        <f>'4.  2011-2014 LRAM'!AD529*AD747</f>
        <v>0</v>
      </c>
      <c r="AE751" s="390">
        <f>'4.  2011-2014 LRAM'!AE529*AE747</f>
        <v>0</v>
      </c>
      <c r="AF751" s="390">
        <f>'4.  2011-2014 LRAM'!AF529*AF747</f>
        <v>0</v>
      </c>
      <c r="AG751" s="390">
        <f>'4.  2011-2014 LRAM'!AG529*AG747</f>
        <v>0</v>
      </c>
      <c r="AH751" s="390">
        <f>'4.  2011-2014 LRAM'!AH529*AH747</f>
        <v>0</v>
      </c>
      <c r="AI751" s="390">
        <f>'4.  2011-2014 LRAM'!AI529*AI747</f>
        <v>0</v>
      </c>
      <c r="AJ751" s="390">
        <f>'4.  2011-2014 LRAM'!AJ529*AJ747</f>
        <v>0</v>
      </c>
      <c r="AK751" s="390">
        <f>'4.  2011-2014 LRAM'!AK529*AK747</f>
        <v>0</v>
      </c>
      <c r="AL751" s="390">
        <f>'4.  2011-2014 LRAM'!AL529*AL747</f>
        <v>0</v>
      </c>
      <c r="AM751" s="635">
        <f t="shared" si="1412"/>
        <v>0</v>
      </c>
      <c r="AN751" s="453"/>
    </row>
    <row r="752" spans="1:40" ht="15">
      <c r="B752" s="336" t="s">
        <v>318</v>
      </c>
      <c r="C752" s="357"/>
      <c r="D752" s="322"/>
      <c r="E752" s="292"/>
      <c r="F752" s="292"/>
      <c r="G752" s="292"/>
      <c r="H752" s="292"/>
      <c r="I752" s="292"/>
      <c r="J752" s="292"/>
      <c r="K752" s="292"/>
      <c r="L752" s="292"/>
      <c r="M752" s="292"/>
      <c r="N752" s="292"/>
      <c r="O752" s="304"/>
      <c r="P752" s="292"/>
      <c r="Q752" s="292"/>
      <c r="R752" s="292"/>
      <c r="S752" s="322"/>
      <c r="T752" s="322"/>
      <c r="U752" s="322"/>
      <c r="V752" s="322"/>
      <c r="W752" s="292"/>
      <c r="X752" s="292"/>
      <c r="Y752" s="390">
        <f t="shared" ref="Y752:AL752" si="1413">Y210*Y747</f>
        <v>5475.9105</v>
      </c>
      <c r="Z752" s="390">
        <f t="shared" si="1413"/>
        <v>15878.378607571767</v>
      </c>
      <c r="AA752" s="390">
        <f t="shared" si="1413"/>
        <v>8321.9540109614863</v>
      </c>
      <c r="AB752" s="390">
        <f t="shared" si="1413"/>
        <v>7712.8832925890265</v>
      </c>
      <c r="AC752" s="390">
        <f t="shared" si="1413"/>
        <v>0</v>
      </c>
      <c r="AD752" s="390">
        <f t="shared" si="1413"/>
        <v>0</v>
      </c>
      <c r="AE752" s="390">
        <f t="shared" si="1413"/>
        <v>587.16949947840044</v>
      </c>
      <c r="AF752" s="390">
        <f t="shared" si="1413"/>
        <v>0</v>
      </c>
      <c r="AG752" s="390">
        <f t="shared" si="1413"/>
        <v>0</v>
      </c>
      <c r="AH752" s="390">
        <f t="shared" si="1413"/>
        <v>0</v>
      </c>
      <c r="AI752" s="390">
        <f t="shared" si="1413"/>
        <v>0</v>
      </c>
      <c r="AJ752" s="390">
        <f t="shared" si="1413"/>
        <v>0</v>
      </c>
      <c r="AK752" s="390">
        <f t="shared" si="1413"/>
        <v>0</v>
      </c>
      <c r="AL752" s="390">
        <f t="shared" si="1413"/>
        <v>0</v>
      </c>
      <c r="AM752" s="635">
        <f t="shared" si="1412"/>
        <v>37976.295910600675</v>
      </c>
      <c r="AN752" s="453"/>
    </row>
    <row r="753" spans="1:40" ht="15">
      <c r="B753" s="336" t="s">
        <v>319</v>
      </c>
      <c r="C753" s="357"/>
      <c r="D753" s="322"/>
      <c r="E753" s="292"/>
      <c r="F753" s="292"/>
      <c r="G753" s="292"/>
      <c r="H753" s="292"/>
      <c r="I753" s="292"/>
      <c r="J753" s="292"/>
      <c r="K753" s="292"/>
      <c r="L753" s="292"/>
      <c r="M753" s="292"/>
      <c r="N753" s="292"/>
      <c r="O753" s="304"/>
      <c r="P753" s="292"/>
      <c r="Q753" s="292"/>
      <c r="R753" s="292"/>
      <c r="S753" s="322"/>
      <c r="T753" s="322"/>
      <c r="U753" s="322"/>
      <c r="V753" s="322"/>
      <c r="W753" s="292"/>
      <c r="X753" s="292"/>
      <c r="Y753" s="390">
        <f t="shared" ref="Y753:AL753" si="1414">Y393*Y747</f>
        <v>11681.64</v>
      </c>
      <c r="Z753" s="390">
        <f t="shared" si="1414"/>
        <v>3134.5736563030118</v>
      </c>
      <c r="AA753" s="390">
        <f t="shared" si="1414"/>
        <v>209.15338109985393</v>
      </c>
      <c r="AB753" s="390">
        <f t="shared" si="1414"/>
        <v>944.94417467685378</v>
      </c>
      <c r="AC753" s="390">
        <f t="shared" si="1414"/>
        <v>0</v>
      </c>
      <c r="AD753" s="390">
        <f t="shared" si="1414"/>
        <v>0</v>
      </c>
      <c r="AE753" s="390">
        <f t="shared" si="1414"/>
        <v>5525.9980232256003</v>
      </c>
      <c r="AF753" s="390">
        <f t="shared" si="1414"/>
        <v>0</v>
      </c>
      <c r="AG753" s="390">
        <f t="shared" si="1414"/>
        <v>0</v>
      </c>
      <c r="AH753" s="390">
        <f t="shared" si="1414"/>
        <v>0</v>
      </c>
      <c r="AI753" s="390">
        <f t="shared" si="1414"/>
        <v>0</v>
      </c>
      <c r="AJ753" s="390">
        <f t="shared" si="1414"/>
        <v>0</v>
      </c>
      <c r="AK753" s="390">
        <f t="shared" si="1414"/>
        <v>0</v>
      </c>
      <c r="AL753" s="390">
        <f t="shared" si="1414"/>
        <v>0</v>
      </c>
      <c r="AM753" s="635">
        <f t="shared" si="1412"/>
        <v>21496.309235305318</v>
      </c>
      <c r="AN753" s="453"/>
    </row>
    <row r="754" spans="1:40" ht="15">
      <c r="B754" s="336" t="s">
        <v>320</v>
      </c>
      <c r="C754" s="357"/>
      <c r="D754" s="322"/>
      <c r="E754" s="292"/>
      <c r="F754" s="292"/>
      <c r="G754" s="292"/>
      <c r="H754" s="292"/>
      <c r="I754" s="292"/>
      <c r="J754" s="292"/>
      <c r="K754" s="292"/>
      <c r="L754" s="292"/>
      <c r="M754" s="292"/>
      <c r="N754" s="292"/>
      <c r="O754" s="304"/>
      <c r="P754" s="292"/>
      <c r="Q754" s="292"/>
      <c r="R754" s="292"/>
      <c r="S754" s="322"/>
      <c r="T754" s="322"/>
      <c r="U754" s="322"/>
      <c r="V754" s="322"/>
      <c r="W754" s="292"/>
      <c r="X754" s="292"/>
      <c r="Y754" s="390">
        <f t="shared" ref="Y754:AL754" si="1415">Y576*Y747</f>
        <v>21527.900890784516</v>
      </c>
      <c r="Z754" s="390">
        <f t="shared" si="1415"/>
        <v>12593.349068629626</v>
      </c>
      <c r="AA754" s="390">
        <f t="shared" si="1415"/>
        <v>10861.96889283071</v>
      </c>
      <c r="AB754" s="390">
        <f t="shared" si="1415"/>
        <v>7054.212996488809</v>
      </c>
      <c r="AC754" s="390">
        <f t="shared" si="1415"/>
        <v>0</v>
      </c>
      <c r="AD754" s="390">
        <f t="shared" si="1415"/>
        <v>0</v>
      </c>
      <c r="AE754" s="390">
        <f t="shared" si="1415"/>
        <v>352.95300365760045</v>
      </c>
      <c r="AF754" s="390">
        <f t="shared" si="1415"/>
        <v>0</v>
      </c>
      <c r="AG754" s="390">
        <f t="shared" si="1415"/>
        <v>0</v>
      </c>
      <c r="AH754" s="390">
        <f t="shared" si="1415"/>
        <v>0</v>
      </c>
      <c r="AI754" s="390">
        <f t="shared" si="1415"/>
        <v>0</v>
      </c>
      <c r="AJ754" s="390">
        <f t="shared" si="1415"/>
        <v>0</v>
      </c>
      <c r="AK754" s="390">
        <f t="shared" si="1415"/>
        <v>0</v>
      </c>
      <c r="AL754" s="390">
        <f t="shared" si="1415"/>
        <v>0</v>
      </c>
      <c r="AM754" s="635">
        <f t="shared" si="1412"/>
        <v>52390.38485239126</v>
      </c>
      <c r="AN754" s="453"/>
    </row>
    <row r="755" spans="1:40" ht="15">
      <c r="B755" s="336" t="s">
        <v>321</v>
      </c>
      <c r="C755" s="357"/>
      <c r="D755" s="322"/>
      <c r="E755" s="292"/>
      <c r="F755" s="292"/>
      <c r="G755" s="292"/>
      <c r="H755" s="292"/>
      <c r="I755" s="292"/>
      <c r="J755" s="292"/>
      <c r="K755" s="292"/>
      <c r="L755" s="292"/>
      <c r="M755" s="292"/>
      <c r="N755" s="292"/>
      <c r="O755" s="304"/>
      <c r="P755" s="292"/>
      <c r="Q755" s="292"/>
      <c r="R755" s="292"/>
      <c r="S755" s="322"/>
      <c r="T755" s="322"/>
      <c r="U755" s="322"/>
      <c r="V755" s="322"/>
      <c r="W755" s="292"/>
      <c r="X755" s="292"/>
      <c r="Y755" s="390">
        <f>Y744*Y747</f>
        <v>6674.7832943507547</v>
      </c>
      <c r="Z755" s="390">
        <f t="shared" ref="Z755:AL755" si="1416">Z744*Z747</f>
        <v>3276.985798059492</v>
      </c>
      <c r="AA755" s="390">
        <f t="shared" si="1416"/>
        <v>4700.5346507935437</v>
      </c>
      <c r="AB755" s="390">
        <f t="shared" si="1416"/>
        <v>3573.7652670292541</v>
      </c>
      <c r="AC755" s="390">
        <f t="shared" si="1416"/>
        <v>0</v>
      </c>
      <c r="AD755" s="390">
        <f t="shared" si="1416"/>
        <v>0</v>
      </c>
      <c r="AE755" s="390">
        <f t="shared" si="1416"/>
        <v>0</v>
      </c>
      <c r="AF755" s="390">
        <f t="shared" si="1416"/>
        <v>0</v>
      </c>
      <c r="AG755" s="390">
        <f t="shared" si="1416"/>
        <v>0</v>
      </c>
      <c r="AH755" s="390">
        <f t="shared" si="1416"/>
        <v>0</v>
      </c>
      <c r="AI755" s="390">
        <f t="shared" si="1416"/>
        <v>0</v>
      </c>
      <c r="AJ755" s="390">
        <f t="shared" si="1416"/>
        <v>0</v>
      </c>
      <c r="AK755" s="390">
        <f t="shared" si="1416"/>
        <v>0</v>
      </c>
      <c r="AL755" s="390">
        <f t="shared" si="1416"/>
        <v>0</v>
      </c>
      <c r="AM755" s="635">
        <f t="shared" si="1412"/>
        <v>18226.069010233045</v>
      </c>
      <c r="AN755" s="453"/>
    </row>
    <row r="756" spans="1:40" ht="15.6">
      <c r="B756" s="361" t="s">
        <v>322</v>
      </c>
      <c r="C756" s="357"/>
      <c r="D756" s="348"/>
      <c r="E756" s="346"/>
      <c r="F756" s="346"/>
      <c r="G756" s="346"/>
      <c r="H756" s="346"/>
      <c r="I756" s="346"/>
      <c r="J756" s="346"/>
      <c r="K756" s="346"/>
      <c r="L756" s="346"/>
      <c r="M756" s="346"/>
      <c r="N756" s="346"/>
      <c r="O756" s="313"/>
      <c r="P756" s="346"/>
      <c r="Q756" s="346"/>
      <c r="R756" s="346"/>
      <c r="S756" s="348"/>
      <c r="T756" s="348"/>
      <c r="U756" s="348"/>
      <c r="V756" s="348"/>
      <c r="W756" s="346"/>
      <c r="X756" s="346"/>
      <c r="Y756" s="358">
        <f>SUM(Y748:Y755)</f>
        <v>45360.234685135263</v>
      </c>
      <c r="Z756" s="358">
        <f>SUM(Z748:Z755)</f>
        <v>34883.287130563898</v>
      </c>
      <c r="AA756" s="358">
        <f t="shared" ref="AA756:AE756" si="1417">SUM(AA748:AA755)</f>
        <v>24093.610935685592</v>
      </c>
      <c r="AB756" s="358">
        <f t="shared" si="1417"/>
        <v>19285.805730783944</v>
      </c>
      <c r="AC756" s="358">
        <f t="shared" si="1417"/>
        <v>0</v>
      </c>
      <c r="AD756" s="358">
        <f t="shared" si="1417"/>
        <v>0</v>
      </c>
      <c r="AE756" s="358">
        <f t="shared" si="1417"/>
        <v>6466.1205263616012</v>
      </c>
      <c r="AF756" s="358">
        <f t="shared" ref="AF756:AL756" si="1418">SUM(AF748:AF755)</f>
        <v>0</v>
      </c>
      <c r="AG756" s="358">
        <f t="shared" si="1418"/>
        <v>0</v>
      </c>
      <c r="AH756" s="358">
        <f t="shared" si="1418"/>
        <v>0</v>
      </c>
      <c r="AI756" s="358">
        <f t="shared" si="1418"/>
        <v>0</v>
      </c>
      <c r="AJ756" s="358">
        <f t="shared" si="1418"/>
        <v>0</v>
      </c>
      <c r="AK756" s="358">
        <f t="shared" si="1418"/>
        <v>0</v>
      </c>
      <c r="AL756" s="358">
        <f t="shared" si="1418"/>
        <v>0</v>
      </c>
      <c r="AM756" s="419">
        <f>SUM(AM748:AM755)</f>
        <v>130089.0590085303</v>
      </c>
      <c r="AN756" s="453"/>
    </row>
    <row r="757" spans="1:40" ht="15.6">
      <c r="B757" s="361" t="s">
        <v>323</v>
      </c>
      <c r="C757" s="357"/>
      <c r="D757" s="362"/>
      <c r="E757" s="346"/>
      <c r="F757" s="346"/>
      <c r="G757" s="346"/>
      <c r="H757" s="346"/>
      <c r="I757" s="346"/>
      <c r="J757" s="346"/>
      <c r="K757" s="346"/>
      <c r="L757" s="346"/>
      <c r="M757" s="346"/>
      <c r="N757" s="346"/>
      <c r="O757" s="313"/>
      <c r="P757" s="346"/>
      <c r="Q757" s="346"/>
      <c r="R757" s="346"/>
      <c r="S757" s="348"/>
      <c r="T757" s="348"/>
      <c r="U757" s="348"/>
      <c r="V757" s="348"/>
      <c r="W757" s="346"/>
      <c r="X757" s="346"/>
      <c r="Y757" s="359">
        <f>Y745*Y747</f>
        <v>3110.2244999999998</v>
      </c>
      <c r="Z757" s="359">
        <f t="shared" ref="Z757:AE757" si="1419">Z745*Z747</f>
        <v>763.8678000000001</v>
      </c>
      <c r="AA757" s="359">
        <f t="shared" si="1419"/>
        <v>12573.641600000001</v>
      </c>
      <c r="AB757" s="359">
        <f t="shared" si="1419"/>
        <v>9931.3863999999994</v>
      </c>
      <c r="AC757" s="359">
        <f t="shared" si="1419"/>
        <v>0</v>
      </c>
      <c r="AD757" s="359">
        <f t="shared" si="1419"/>
        <v>0</v>
      </c>
      <c r="AE757" s="359">
        <f t="shared" si="1419"/>
        <v>5839.9974000000002</v>
      </c>
      <c r="AF757" s="359">
        <f t="shared" ref="AF757:AL757" si="1420">AF745*AF747</f>
        <v>0</v>
      </c>
      <c r="AG757" s="359">
        <f t="shared" si="1420"/>
        <v>0</v>
      </c>
      <c r="AH757" s="359">
        <f t="shared" si="1420"/>
        <v>0</v>
      </c>
      <c r="AI757" s="359">
        <f t="shared" si="1420"/>
        <v>0</v>
      </c>
      <c r="AJ757" s="359">
        <f t="shared" si="1420"/>
        <v>0</v>
      </c>
      <c r="AK757" s="359">
        <f t="shared" si="1420"/>
        <v>0</v>
      </c>
      <c r="AL757" s="359">
        <f t="shared" si="1420"/>
        <v>0</v>
      </c>
      <c r="AM757" s="419">
        <f>SUM(Y757:AL757)</f>
        <v>32219.117699999999</v>
      </c>
      <c r="AN757" s="453"/>
    </row>
    <row r="758" spans="1:40" ht="15.6">
      <c r="B758" s="361" t="s">
        <v>324</v>
      </c>
      <c r="C758" s="357"/>
      <c r="D758" s="362"/>
      <c r="E758" s="346"/>
      <c r="F758" s="346"/>
      <c r="G758" s="346"/>
      <c r="H758" s="346"/>
      <c r="I758" s="346"/>
      <c r="J758" s="346"/>
      <c r="K758" s="346"/>
      <c r="L758" s="346"/>
      <c r="M758" s="346"/>
      <c r="N758" s="346"/>
      <c r="O758" s="313"/>
      <c r="P758" s="346"/>
      <c r="Q758" s="346"/>
      <c r="R758" s="346"/>
      <c r="S758" s="362"/>
      <c r="T758" s="362"/>
      <c r="U758" s="362"/>
      <c r="V758" s="362"/>
      <c r="W758" s="346"/>
      <c r="X758" s="346"/>
      <c r="Y758" s="363"/>
      <c r="Z758" s="363"/>
      <c r="AA758" s="363"/>
      <c r="AB758" s="363"/>
      <c r="AC758" s="363"/>
      <c r="AD758" s="363"/>
      <c r="AE758" s="363"/>
      <c r="AF758" s="363"/>
      <c r="AG758" s="363"/>
      <c r="AH758" s="363"/>
      <c r="AI758" s="363"/>
      <c r="AJ758" s="363"/>
      <c r="AK758" s="363"/>
      <c r="AL758" s="363"/>
      <c r="AM758" s="419">
        <f>AM756-AM757</f>
        <v>97869.941308530295</v>
      </c>
      <c r="AN758" s="453"/>
    </row>
    <row r="759" spans="1:40" ht="15">
      <c r="B759" s="336"/>
      <c r="C759" s="362"/>
      <c r="D759" s="362"/>
      <c r="E759" s="346"/>
      <c r="F759" s="346"/>
      <c r="G759" s="346"/>
      <c r="H759" s="346"/>
      <c r="I759" s="346"/>
      <c r="J759" s="346"/>
      <c r="K759" s="346"/>
      <c r="L759" s="346"/>
      <c r="M759" s="346"/>
      <c r="N759" s="346"/>
      <c r="O759" s="313"/>
      <c r="P759" s="346"/>
      <c r="Q759" s="346"/>
      <c r="R759" s="346"/>
      <c r="S759" s="362"/>
      <c r="T759" s="357"/>
      <c r="U759" s="362"/>
      <c r="V759" s="362"/>
      <c r="W759" s="346"/>
      <c r="X759" s="346"/>
      <c r="Y759" s="364"/>
      <c r="Z759" s="364"/>
      <c r="AA759" s="364"/>
      <c r="AB759" s="364"/>
      <c r="AC759" s="364"/>
      <c r="AD759" s="364"/>
      <c r="AE759" s="364"/>
      <c r="AF759" s="364"/>
      <c r="AG759" s="364"/>
      <c r="AH759" s="364"/>
      <c r="AI759" s="364"/>
      <c r="AJ759" s="364"/>
      <c r="AK759" s="364"/>
      <c r="AL759" s="364"/>
      <c r="AM759" s="360"/>
      <c r="AN759" s="453"/>
    </row>
    <row r="760" spans="1:40" ht="15">
      <c r="B760" s="449" t="s">
        <v>325</v>
      </c>
      <c r="C760" s="317"/>
      <c r="D760" s="292"/>
      <c r="E760" s="292"/>
      <c r="F760" s="292"/>
      <c r="G760" s="292"/>
      <c r="H760" s="292"/>
      <c r="I760" s="292"/>
      <c r="J760" s="292"/>
      <c r="K760" s="292"/>
      <c r="L760" s="292"/>
      <c r="M760" s="292"/>
      <c r="N760" s="292"/>
      <c r="O760" s="369"/>
      <c r="P760" s="292"/>
      <c r="Q760" s="292"/>
      <c r="R760" s="292"/>
      <c r="S760" s="317"/>
      <c r="T760" s="322"/>
      <c r="U760" s="322"/>
      <c r="V760" s="292"/>
      <c r="W760" s="292"/>
      <c r="X760" s="322"/>
      <c r="Y760" s="304">
        <f>SUMPRODUCT(E587:E742,Y587:Y742)</f>
        <v>1478684.7701698598</v>
      </c>
      <c r="Z760" s="304">
        <f>SUMPRODUCT(E587:E742,Z587:Z742)</f>
        <v>319202.55321237608</v>
      </c>
      <c r="AA760" s="304">
        <f t="shared" ref="AA760:AL760" si="1421">IF(AA585="kw",SUMPRODUCT($N$587:$N$742,$P$587:$P$742,AA587:AA742),SUMPRODUCT($E$587:$E$742,AA587:AA742))</f>
        <v>1213.344694904232</v>
      </c>
      <c r="AB760" s="304">
        <f t="shared" si="1421"/>
        <v>1025.724661444523</v>
      </c>
      <c r="AC760" s="304">
        <f t="shared" si="1421"/>
        <v>0</v>
      </c>
      <c r="AD760" s="304">
        <f t="shared" si="1421"/>
        <v>0</v>
      </c>
      <c r="AE760" s="820">
        <f>'8.  Streetlighting'!G109</f>
        <v>0</v>
      </c>
      <c r="AF760" s="304">
        <f t="shared" si="1421"/>
        <v>0</v>
      </c>
      <c r="AG760" s="304">
        <f t="shared" si="1421"/>
        <v>0</v>
      </c>
      <c r="AH760" s="304">
        <f t="shared" si="1421"/>
        <v>0</v>
      </c>
      <c r="AI760" s="304">
        <f t="shared" si="1421"/>
        <v>0</v>
      </c>
      <c r="AJ760" s="304">
        <f t="shared" si="1421"/>
        <v>0</v>
      </c>
      <c r="AK760" s="304">
        <f t="shared" si="1421"/>
        <v>0</v>
      </c>
      <c r="AL760" s="304">
        <f t="shared" si="1421"/>
        <v>0</v>
      </c>
      <c r="AM760" s="349"/>
    </row>
    <row r="761" spans="1:40" ht="15">
      <c r="B761" s="450" t="s">
        <v>326</v>
      </c>
      <c r="C761" s="376"/>
      <c r="D761" s="396"/>
      <c r="E761" s="396"/>
      <c r="F761" s="396"/>
      <c r="G761" s="396"/>
      <c r="H761" s="396"/>
      <c r="I761" s="396"/>
      <c r="J761" s="396"/>
      <c r="K761" s="396"/>
      <c r="L761" s="396"/>
      <c r="M761" s="396"/>
      <c r="N761" s="396"/>
      <c r="O761" s="395"/>
      <c r="P761" s="396"/>
      <c r="Q761" s="396"/>
      <c r="R761" s="396"/>
      <c r="S761" s="376"/>
      <c r="T761" s="397"/>
      <c r="U761" s="397"/>
      <c r="V761" s="396"/>
      <c r="W761" s="396"/>
      <c r="X761" s="397"/>
      <c r="Y761" s="338">
        <f>SUMPRODUCT(F587:F742,Y587:Y742)</f>
        <v>1474084.3638173298</v>
      </c>
      <c r="Z761" s="338">
        <f>SUMPRODUCT(F587:F742,Z587:Z742)</f>
        <v>317131.98896793922</v>
      </c>
      <c r="AA761" s="338">
        <f t="shared" ref="AA761:AL761" si="1422">IF(AA585="kw",SUMPRODUCT($N$587:$N$742,$Q$587:$Q$742,AA587:AA742),SUMPRODUCT($F$587:$F$742,AA587:AA742))</f>
        <v>1200.5891569070441</v>
      </c>
      <c r="AB761" s="338">
        <f t="shared" si="1422"/>
        <v>1015.3365992041299</v>
      </c>
      <c r="AC761" s="338">
        <f t="shared" si="1422"/>
        <v>0</v>
      </c>
      <c r="AD761" s="338">
        <f t="shared" si="1422"/>
        <v>0</v>
      </c>
      <c r="AE761" s="821">
        <f>'8.  Streetlighting'!G110</f>
        <v>0</v>
      </c>
      <c r="AF761" s="338">
        <f t="shared" si="1422"/>
        <v>0</v>
      </c>
      <c r="AG761" s="338">
        <f t="shared" si="1422"/>
        <v>0</v>
      </c>
      <c r="AH761" s="338">
        <f t="shared" si="1422"/>
        <v>0</v>
      </c>
      <c r="AI761" s="338">
        <f t="shared" si="1422"/>
        <v>0</v>
      </c>
      <c r="AJ761" s="338">
        <f t="shared" si="1422"/>
        <v>0</v>
      </c>
      <c r="AK761" s="338">
        <f t="shared" si="1422"/>
        <v>0</v>
      </c>
      <c r="AL761" s="338">
        <f t="shared" si="1422"/>
        <v>0</v>
      </c>
      <c r="AM761" s="398"/>
    </row>
    <row r="762" spans="1:40" ht="20.25" customHeight="1">
      <c r="B762" s="380" t="s">
        <v>586</v>
      </c>
      <c r="C762" s="399"/>
      <c r="D762" s="400"/>
      <c r="E762" s="400"/>
      <c r="F762" s="400"/>
      <c r="G762" s="400"/>
      <c r="H762" s="400"/>
      <c r="I762" s="400"/>
      <c r="J762" s="400"/>
      <c r="K762" s="400"/>
      <c r="L762" s="400"/>
      <c r="M762" s="400"/>
      <c r="N762" s="400"/>
      <c r="O762" s="400"/>
      <c r="P762" s="400"/>
      <c r="Q762" s="400"/>
      <c r="R762" s="400"/>
      <c r="S762" s="383"/>
      <c r="T762" s="384"/>
      <c r="U762" s="400"/>
      <c r="V762" s="400"/>
      <c r="W762" s="400"/>
      <c r="X762" s="400"/>
      <c r="Y762" s="421"/>
      <c r="Z762" s="421"/>
      <c r="AA762" s="421"/>
      <c r="AB762" s="421"/>
      <c r="AC762" s="421"/>
      <c r="AD762" s="421"/>
      <c r="AE762" s="421"/>
      <c r="AF762" s="421"/>
      <c r="AG762" s="421"/>
      <c r="AH762" s="421"/>
      <c r="AI762" s="421"/>
      <c r="AJ762" s="421"/>
      <c r="AK762" s="421"/>
      <c r="AL762" s="421"/>
      <c r="AM762" s="401"/>
    </row>
    <row r="765" spans="1:40" ht="15.6">
      <c r="B765" s="293" t="s">
        <v>327</v>
      </c>
      <c r="C765" s="294"/>
      <c r="D765" s="596" t="s">
        <v>525</v>
      </c>
      <c r="E765" s="266"/>
      <c r="F765" s="596"/>
      <c r="G765" s="266"/>
      <c r="H765" s="266"/>
      <c r="I765" s="266"/>
      <c r="J765" s="266"/>
      <c r="K765" s="266"/>
      <c r="L765" s="266"/>
      <c r="M765" s="266"/>
      <c r="N765" s="266"/>
      <c r="O765" s="294"/>
      <c r="P765" s="266"/>
      <c r="Q765" s="266"/>
      <c r="R765" s="266"/>
      <c r="S765" s="266"/>
      <c r="T765" s="266"/>
      <c r="U765" s="266"/>
      <c r="V765" s="266"/>
      <c r="W765" s="266"/>
      <c r="X765" s="266"/>
      <c r="Y765" s="283"/>
      <c r="Z765" s="280"/>
      <c r="AA765" s="280"/>
      <c r="AB765" s="280"/>
      <c r="AC765" s="280"/>
      <c r="AD765" s="280"/>
      <c r="AE765" s="280"/>
      <c r="AF765" s="280"/>
      <c r="AG765" s="280"/>
      <c r="AH765" s="280"/>
      <c r="AI765" s="280"/>
      <c r="AJ765" s="280"/>
      <c r="AK765" s="280"/>
      <c r="AL765" s="280"/>
    </row>
    <row r="766" spans="1:40" ht="33" customHeight="1">
      <c r="B766" s="901" t="s">
        <v>211</v>
      </c>
      <c r="C766" s="903" t="s">
        <v>33</v>
      </c>
      <c r="D766" s="297" t="s">
        <v>421</v>
      </c>
      <c r="E766" s="905" t="s">
        <v>209</v>
      </c>
      <c r="F766" s="906"/>
      <c r="G766" s="906"/>
      <c r="H766" s="906"/>
      <c r="I766" s="906"/>
      <c r="J766" s="906"/>
      <c r="K766" s="906"/>
      <c r="L766" s="906"/>
      <c r="M766" s="907"/>
      <c r="N766" s="911" t="s">
        <v>213</v>
      </c>
      <c r="O766" s="297" t="s">
        <v>422</v>
      </c>
      <c r="P766" s="905" t="s">
        <v>212</v>
      </c>
      <c r="Q766" s="906"/>
      <c r="R766" s="906"/>
      <c r="S766" s="906"/>
      <c r="T766" s="906"/>
      <c r="U766" s="906"/>
      <c r="V766" s="906"/>
      <c r="W766" s="906"/>
      <c r="X766" s="907"/>
      <c r="Y766" s="908" t="s">
        <v>243</v>
      </c>
      <c r="Z766" s="909"/>
      <c r="AA766" s="909"/>
      <c r="AB766" s="909"/>
      <c r="AC766" s="909"/>
      <c r="AD766" s="909"/>
      <c r="AE766" s="909"/>
      <c r="AF766" s="909"/>
      <c r="AG766" s="909"/>
      <c r="AH766" s="909"/>
      <c r="AI766" s="909"/>
      <c r="AJ766" s="909"/>
      <c r="AK766" s="909"/>
      <c r="AL766" s="909"/>
      <c r="AM766" s="910"/>
    </row>
    <row r="767" spans="1:40" ht="65.25" customHeight="1">
      <c r="B767" s="902"/>
      <c r="C767" s="904"/>
      <c r="D767" s="298">
        <v>2019</v>
      </c>
      <c r="E767" s="298">
        <v>2020</v>
      </c>
      <c r="F767" s="298">
        <v>2021</v>
      </c>
      <c r="G767" s="298">
        <v>2022</v>
      </c>
      <c r="H767" s="298">
        <v>2023</v>
      </c>
      <c r="I767" s="298">
        <v>2024</v>
      </c>
      <c r="J767" s="298">
        <v>2025</v>
      </c>
      <c r="K767" s="298">
        <v>2026</v>
      </c>
      <c r="L767" s="298">
        <v>2027</v>
      </c>
      <c r="M767" s="298">
        <v>2028</v>
      </c>
      <c r="N767" s="912"/>
      <c r="O767" s="298">
        <v>2019</v>
      </c>
      <c r="P767" s="298">
        <v>2020</v>
      </c>
      <c r="Q767" s="298">
        <v>2021</v>
      </c>
      <c r="R767" s="298">
        <v>2022</v>
      </c>
      <c r="S767" s="298">
        <v>2023</v>
      </c>
      <c r="T767" s="298">
        <v>2024</v>
      </c>
      <c r="U767" s="298">
        <v>2025</v>
      </c>
      <c r="V767" s="298">
        <v>2026</v>
      </c>
      <c r="W767" s="298">
        <v>2027</v>
      </c>
      <c r="X767" s="298">
        <v>2028</v>
      </c>
      <c r="Y767" s="298" t="str">
        <f>'1.  LRAMVA Summary'!D52</f>
        <v>Residential</v>
      </c>
      <c r="Z767" s="298" t="str">
        <f>'1.  LRAMVA Summary'!E52</f>
        <v>GS&lt;50 kW</v>
      </c>
      <c r="AA767" s="298" t="str">
        <f>'1.  LRAMVA Summary'!F52</f>
        <v>GS 50 - 999 kW</v>
      </c>
      <c r="AB767" s="298" t="str">
        <f>'1.  LRAMVA Summary'!G52</f>
        <v>GS 1,000 - 4,999 kW</v>
      </c>
      <c r="AC767" s="298" t="str">
        <f>'1.  LRAMVA Summary'!H52</f>
        <v>USL</v>
      </c>
      <c r="AD767" s="298" t="str">
        <f>'1.  LRAMVA Summary'!I52</f>
        <v>Sentinel Lighting</v>
      </c>
      <c r="AE767" s="298" t="str">
        <f>'1.  LRAMVA Summary'!J52</f>
        <v>Street Lighting</v>
      </c>
      <c r="AF767" s="298" t="str">
        <f>'1.  LRAMVA Summary'!K52</f>
        <v/>
      </c>
      <c r="AG767" s="298" t="str">
        <f>'1.  LRAMVA Summary'!L52</f>
        <v/>
      </c>
      <c r="AH767" s="298" t="str">
        <f>'1.  LRAMVA Summary'!M52</f>
        <v/>
      </c>
      <c r="AI767" s="298" t="str">
        <f>'1.  LRAMVA Summary'!N52</f>
        <v/>
      </c>
      <c r="AJ767" s="298" t="str">
        <f>'1.  LRAMVA Summary'!O52</f>
        <v/>
      </c>
      <c r="AK767" s="298" t="str">
        <f>'1.  LRAMVA Summary'!P52</f>
        <v/>
      </c>
      <c r="AL767" s="298" t="str">
        <f>'1.  LRAMVA Summary'!Q52</f>
        <v/>
      </c>
      <c r="AM767" s="300" t="str">
        <f>'1.  LRAMVA Summary'!R52</f>
        <v>Total</v>
      </c>
    </row>
    <row r="768" spans="1:40" ht="15.75" customHeight="1">
      <c r="A768" s="539"/>
      <c r="B768" s="525" t="s">
        <v>503</v>
      </c>
      <c r="C768" s="302"/>
      <c r="D768" s="302"/>
      <c r="E768" s="302"/>
      <c r="F768" s="302"/>
      <c r="G768" s="302"/>
      <c r="H768" s="302"/>
      <c r="I768" s="302"/>
      <c r="J768" s="302"/>
      <c r="K768" s="302"/>
      <c r="L768" s="302"/>
      <c r="M768" s="302"/>
      <c r="N768" s="303"/>
      <c r="O768" s="302"/>
      <c r="P768" s="302"/>
      <c r="Q768" s="302"/>
      <c r="R768" s="302"/>
      <c r="S768" s="302"/>
      <c r="T768" s="302"/>
      <c r="U768" s="302"/>
      <c r="V768" s="302"/>
      <c r="W768" s="302"/>
      <c r="X768" s="302"/>
      <c r="Y768" s="304" t="str">
        <f>'1.  LRAMVA Summary'!D53</f>
        <v>kWh</v>
      </c>
      <c r="Z768" s="304" t="str">
        <f>'1.  LRAMVA Summary'!E53</f>
        <v>kWh</v>
      </c>
      <c r="AA768" s="304" t="str">
        <f>'1.  LRAMVA Summary'!F53</f>
        <v>kW</v>
      </c>
      <c r="AB768" s="304" t="str">
        <f>'1.  LRAMVA Summary'!G53</f>
        <v>kW</v>
      </c>
      <c r="AC768" s="304" t="str">
        <f>'1.  LRAMVA Summary'!H53</f>
        <v>kWh</v>
      </c>
      <c r="AD768" s="304" t="str">
        <f>'1.  LRAMVA Summary'!I53</f>
        <v>kW</v>
      </c>
      <c r="AE768" s="304" t="str">
        <f>'1.  LRAMVA Summary'!J53</f>
        <v>kW</v>
      </c>
      <c r="AF768" s="304">
        <f>'1.  LRAMVA Summary'!K53</f>
        <v>0</v>
      </c>
      <c r="AG768" s="304">
        <f>'1.  LRAMVA Summary'!L53</f>
        <v>0</v>
      </c>
      <c r="AH768" s="304">
        <f>'1.  LRAMVA Summary'!M53</f>
        <v>0</v>
      </c>
      <c r="AI768" s="304">
        <f>'1.  LRAMVA Summary'!N53</f>
        <v>0</v>
      </c>
      <c r="AJ768" s="304">
        <f>'1.  LRAMVA Summary'!O53</f>
        <v>0</v>
      </c>
      <c r="AK768" s="304">
        <f>'1.  LRAMVA Summary'!P53</f>
        <v>0</v>
      </c>
      <c r="AL768" s="304">
        <f>'1.  LRAMVA Summary'!Q53</f>
        <v>0</v>
      </c>
      <c r="AM768" s="305"/>
    </row>
    <row r="769" spans="1:39" ht="15.6" outlineLevel="1">
      <c r="A769" s="539"/>
      <c r="B769" s="511" t="s">
        <v>496</v>
      </c>
      <c r="C769" s="302"/>
      <c r="D769" s="302"/>
      <c r="E769" s="302"/>
      <c r="F769" s="302"/>
      <c r="G769" s="302"/>
      <c r="H769" s="302"/>
      <c r="I769" s="302"/>
      <c r="J769" s="302"/>
      <c r="K769" s="302"/>
      <c r="L769" s="302"/>
      <c r="M769" s="302"/>
      <c r="N769" s="303"/>
      <c r="O769" s="302"/>
      <c r="P769" s="302"/>
      <c r="Q769" s="302"/>
      <c r="R769" s="302"/>
      <c r="S769" s="302"/>
      <c r="T769" s="302"/>
      <c r="U769" s="302"/>
      <c r="V769" s="302"/>
      <c r="W769" s="302"/>
      <c r="X769" s="302"/>
      <c r="Y769" s="304"/>
      <c r="Z769" s="304"/>
      <c r="AA769" s="304"/>
      <c r="AB769" s="304"/>
      <c r="AC769" s="304"/>
      <c r="AD769" s="304"/>
      <c r="AE769" s="304"/>
      <c r="AF769" s="304"/>
      <c r="AG769" s="304"/>
      <c r="AH769" s="304"/>
      <c r="AI769" s="304"/>
      <c r="AJ769" s="304"/>
      <c r="AK769" s="304"/>
      <c r="AL769" s="304"/>
      <c r="AM769" s="305"/>
    </row>
    <row r="770" spans="1:39" ht="15" outlineLevel="1">
      <c r="A770" s="539">
        <v>1</v>
      </c>
      <c r="B770" s="438" t="s">
        <v>95</v>
      </c>
      <c r="C770" s="304" t="s">
        <v>25</v>
      </c>
      <c r="D770" s="308"/>
      <c r="E770" s="308"/>
      <c r="F770" s="308"/>
      <c r="G770" s="308"/>
      <c r="H770" s="308"/>
      <c r="I770" s="308"/>
      <c r="J770" s="308"/>
      <c r="K770" s="308"/>
      <c r="L770" s="308"/>
      <c r="M770" s="308"/>
      <c r="N770" s="304"/>
      <c r="O770" s="308"/>
      <c r="P770" s="308"/>
      <c r="Q770" s="308"/>
      <c r="R770" s="308"/>
      <c r="S770" s="308"/>
      <c r="T770" s="308"/>
      <c r="U770" s="308"/>
      <c r="V770" s="308"/>
      <c r="W770" s="308"/>
      <c r="X770" s="308"/>
      <c r="Y770" s="422"/>
      <c r="Z770" s="422"/>
      <c r="AA770" s="422"/>
      <c r="AB770" s="422"/>
      <c r="AC770" s="422"/>
      <c r="AD770" s="422"/>
      <c r="AE770" s="422"/>
      <c r="AF770" s="422"/>
      <c r="AG770" s="422"/>
      <c r="AH770" s="422"/>
      <c r="AI770" s="422"/>
      <c r="AJ770" s="422"/>
      <c r="AK770" s="422"/>
      <c r="AL770" s="422"/>
      <c r="AM770" s="309">
        <f>SUM(Y770:AL770)</f>
        <v>0</v>
      </c>
    </row>
    <row r="771" spans="1:39" ht="15" outlineLevel="1">
      <c r="A771" s="539"/>
      <c r="B771" s="307" t="s">
        <v>342</v>
      </c>
      <c r="C771" s="304" t="s">
        <v>163</v>
      </c>
      <c r="D771" s="308"/>
      <c r="E771" s="308"/>
      <c r="F771" s="308"/>
      <c r="G771" s="308"/>
      <c r="H771" s="308"/>
      <c r="I771" s="308"/>
      <c r="J771" s="308"/>
      <c r="K771" s="308"/>
      <c r="L771" s="308"/>
      <c r="M771" s="308"/>
      <c r="N771" s="477"/>
      <c r="O771" s="308"/>
      <c r="P771" s="308"/>
      <c r="Q771" s="308"/>
      <c r="R771" s="308"/>
      <c r="S771" s="308"/>
      <c r="T771" s="308"/>
      <c r="U771" s="308"/>
      <c r="V771" s="308"/>
      <c r="W771" s="308"/>
      <c r="X771" s="308"/>
      <c r="Y771" s="423">
        <f>Y770</f>
        <v>0</v>
      </c>
      <c r="Z771" s="423">
        <f t="shared" ref="Z771" si="1423">Z770</f>
        <v>0</v>
      </c>
      <c r="AA771" s="423">
        <f t="shared" ref="AA771" si="1424">AA770</f>
        <v>0</v>
      </c>
      <c r="AB771" s="423">
        <f t="shared" ref="AB771" si="1425">AB770</f>
        <v>0</v>
      </c>
      <c r="AC771" s="423">
        <f t="shared" ref="AC771" si="1426">AC770</f>
        <v>0</v>
      </c>
      <c r="AD771" s="423">
        <f t="shared" ref="AD771" si="1427">AD770</f>
        <v>0</v>
      </c>
      <c r="AE771" s="423">
        <f t="shared" ref="AE771" si="1428">AE770</f>
        <v>0</v>
      </c>
      <c r="AF771" s="423">
        <f t="shared" ref="AF771" si="1429">AF770</f>
        <v>0</v>
      </c>
      <c r="AG771" s="423">
        <f t="shared" ref="AG771" si="1430">AG770</f>
        <v>0</v>
      </c>
      <c r="AH771" s="423">
        <f t="shared" ref="AH771" si="1431">AH770</f>
        <v>0</v>
      </c>
      <c r="AI771" s="423">
        <f t="shared" ref="AI771" si="1432">AI770</f>
        <v>0</v>
      </c>
      <c r="AJ771" s="423">
        <f t="shared" ref="AJ771" si="1433">AJ770</f>
        <v>0</v>
      </c>
      <c r="AK771" s="423">
        <f t="shared" ref="AK771" si="1434">AK770</f>
        <v>0</v>
      </c>
      <c r="AL771" s="423">
        <f t="shared" ref="AL771" si="1435">AL770</f>
        <v>0</v>
      </c>
      <c r="AM771" s="310"/>
    </row>
    <row r="772" spans="1:39" ht="15.6" outlineLevel="1">
      <c r="A772" s="539"/>
      <c r="B772" s="311"/>
      <c r="C772" s="312"/>
      <c r="D772" s="312"/>
      <c r="E772" s="312"/>
      <c r="F772" s="312"/>
      <c r="G772" s="312"/>
      <c r="H772" s="312"/>
      <c r="I772" s="312"/>
      <c r="J772" s="312"/>
      <c r="K772" s="312"/>
      <c r="L772" s="312"/>
      <c r="M772" s="312"/>
      <c r="N772" s="313"/>
      <c r="O772" s="312"/>
      <c r="P772" s="312"/>
      <c r="Q772" s="312"/>
      <c r="R772" s="312"/>
      <c r="S772" s="312"/>
      <c r="T772" s="312"/>
      <c r="U772" s="312"/>
      <c r="V772" s="312"/>
      <c r="W772" s="312"/>
      <c r="X772" s="312"/>
      <c r="Y772" s="424"/>
      <c r="Z772" s="425"/>
      <c r="AA772" s="425"/>
      <c r="AB772" s="425"/>
      <c r="AC772" s="425"/>
      <c r="AD772" s="425"/>
      <c r="AE772" s="425"/>
      <c r="AF772" s="425"/>
      <c r="AG772" s="425"/>
      <c r="AH772" s="425"/>
      <c r="AI772" s="425"/>
      <c r="AJ772" s="425"/>
      <c r="AK772" s="425"/>
      <c r="AL772" s="425"/>
      <c r="AM772" s="315"/>
    </row>
    <row r="773" spans="1:39" ht="15" outlineLevel="1">
      <c r="A773" s="539">
        <v>2</v>
      </c>
      <c r="B773" s="438" t="s">
        <v>96</v>
      </c>
      <c r="C773" s="304" t="s">
        <v>25</v>
      </c>
      <c r="D773" s="308"/>
      <c r="E773" s="308"/>
      <c r="F773" s="308"/>
      <c r="G773" s="308"/>
      <c r="H773" s="308"/>
      <c r="I773" s="308"/>
      <c r="J773" s="308"/>
      <c r="K773" s="308"/>
      <c r="L773" s="308"/>
      <c r="M773" s="308"/>
      <c r="N773" s="304"/>
      <c r="O773" s="308"/>
      <c r="P773" s="308"/>
      <c r="Q773" s="308"/>
      <c r="R773" s="308"/>
      <c r="S773" s="308"/>
      <c r="T773" s="308"/>
      <c r="U773" s="308"/>
      <c r="V773" s="308"/>
      <c r="W773" s="308"/>
      <c r="X773" s="308"/>
      <c r="Y773" s="422"/>
      <c r="Z773" s="422"/>
      <c r="AA773" s="422"/>
      <c r="AB773" s="422"/>
      <c r="AC773" s="422"/>
      <c r="AD773" s="422"/>
      <c r="AE773" s="422"/>
      <c r="AF773" s="422"/>
      <c r="AG773" s="422"/>
      <c r="AH773" s="422"/>
      <c r="AI773" s="422"/>
      <c r="AJ773" s="422"/>
      <c r="AK773" s="422"/>
      <c r="AL773" s="422"/>
      <c r="AM773" s="309">
        <f>SUM(Y773:AL773)</f>
        <v>0</v>
      </c>
    </row>
    <row r="774" spans="1:39" ht="15" outlineLevel="1">
      <c r="A774" s="539"/>
      <c r="B774" s="307" t="s">
        <v>342</v>
      </c>
      <c r="C774" s="304" t="s">
        <v>163</v>
      </c>
      <c r="D774" s="308"/>
      <c r="E774" s="308"/>
      <c r="F774" s="308"/>
      <c r="G774" s="308"/>
      <c r="H774" s="308"/>
      <c r="I774" s="308"/>
      <c r="J774" s="308"/>
      <c r="K774" s="308"/>
      <c r="L774" s="308"/>
      <c r="M774" s="308"/>
      <c r="N774" s="477"/>
      <c r="O774" s="308"/>
      <c r="P774" s="308"/>
      <c r="Q774" s="308"/>
      <c r="R774" s="308"/>
      <c r="S774" s="308"/>
      <c r="T774" s="308"/>
      <c r="U774" s="308"/>
      <c r="V774" s="308"/>
      <c r="W774" s="308"/>
      <c r="X774" s="308"/>
      <c r="Y774" s="423">
        <f>Y773</f>
        <v>0</v>
      </c>
      <c r="Z774" s="423">
        <f t="shared" ref="Z774" si="1436">Z773</f>
        <v>0</v>
      </c>
      <c r="AA774" s="423">
        <f t="shared" ref="AA774" si="1437">AA773</f>
        <v>0</v>
      </c>
      <c r="AB774" s="423">
        <f t="shared" ref="AB774" si="1438">AB773</f>
        <v>0</v>
      </c>
      <c r="AC774" s="423">
        <f t="shared" ref="AC774" si="1439">AC773</f>
        <v>0</v>
      </c>
      <c r="AD774" s="423">
        <f t="shared" ref="AD774" si="1440">AD773</f>
        <v>0</v>
      </c>
      <c r="AE774" s="423">
        <f t="shared" ref="AE774" si="1441">AE773</f>
        <v>0</v>
      </c>
      <c r="AF774" s="423">
        <f t="shared" ref="AF774" si="1442">AF773</f>
        <v>0</v>
      </c>
      <c r="AG774" s="423">
        <f t="shared" ref="AG774" si="1443">AG773</f>
        <v>0</v>
      </c>
      <c r="AH774" s="423">
        <f t="shared" ref="AH774" si="1444">AH773</f>
        <v>0</v>
      </c>
      <c r="AI774" s="423">
        <f t="shared" ref="AI774" si="1445">AI773</f>
        <v>0</v>
      </c>
      <c r="AJ774" s="423">
        <f t="shared" ref="AJ774" si="1446">AJ773</f>
        <v>0</v>
      </c>
      <c r="AK774" s="423">
        <f t="shared" ref="AK774" si="1447">AK773</f>
        <v>0</v>
      </c>
      <c r="AL774" s="423">
        <f t="shared" ref="AL774" si="1448">AL773</f>
        <v>0</v>
      </c>
      <c r="AM774" s="310"/>
    </row>
    <row r="775" spans="1:39" ht="15.6" outlineLevel="1">
      <c r="A775" s="539"/>
      <c r="B775" s="311"/>
      <c r="C775" s="312"/>
      <c r="D775" s="317"/>
      <c r="E775" s="317"/>
      <c r="F775" s="317"/>
      <c r="G775" s="317"/>
      <c r="H775" s="317"/>
      <c r="I775" s="317"/>
      <c r="J775" s="317"/>
      <c r="K775" s="317"/>
      <c r="L775" s="317"/>
      <c r="M775" s="317"/>
      <c r="N775" s="313"/>
      <c r="O775" s="317"/>
      <c r="P775" s="317"/>
      <c r="Q775" s="317"/>
      <c r="R775" s="317"/>
      <c r="S775" s="317"/>
      <c r="T775" s="317"/>
      <c r="U775" s="317"/>
      <c r="V775" s="317"/>
      <c r="W775" s="317"/>
      <c r="X775" s="317"/>
      <c r="Y775" s="424"/>
      <c r="Z775" s="425"/>
      <c r="AA775" s="425"/>
      <c r="AB775" s="425"/>
      <c r="AC775" s="425"/>
      <c r="AD775" s="425"/>
      <c r="AE775" s="425"/>
      <c r="AF775" s="425"/>
      <c r="AG775" s="425"/>
      <c r="AH775" s="425"/>
      <c r="AI775" s="425"/>
      <c r="AJ775" s="425"/>
      <c r="AK775" s="425"/>
      <c r="AL775" s="425"/>
      <c r="AM775" s="315"/>
    </row>
    <row r="776" spans="1:39" ht="15" outlineLevel="1">
      <c r="A776" s="539">
        <v>3</v>
      </c>
      <c r="B776" s="438" t="s">
        <v>97</v>
      </c>
      <c r="C776" s="304" t="s">
        <v>25</v>
      </c>
      <c r="D776" s="308"/>
      <c r="E776" s="308"/>
      <c r="F776" s="308"/>
      <c r="G776" s="308"/>
      <c r="H776" s="308"/>
      <c r="I776" s="308"/>
      <c r="J776" s="308"/>
      <c r="K776" s="308"/>
      <c r="L776" s="308"/>
      <c r="M776" s="308"/>
      <c r="N776" s="304"/>
      <c r="O776" s="308"/>
      <c r="P776" s="308"/>
      <c r="Q776" s="308"/>
      <c r="R776" s="308"/>
      <c r="S776" s="308"/>
      <c r="T776" s="308"/>
      <c r="U776" s="308"/>
      <c r="V776" s="308"/>
      <c r="W776" s="308"/>
      <c r="X776" s="308"/>
      <c r="Y776" s="422"/>
      <c r="Z776" s="422"/>
      <c r="AA776" s="422"/>
      <c r="AB776" s="422"/>
      <c r="AC776" s="422"/>
      <c r="AD776" s="422"/>
      <c r="AE776" s="422"/>
      <c r="AF776" s="422"/>
      <c r="AG776" s="422"/>
      <c r="AH776" s="422"/>
      <c r="AI776" s="422"/>
      <c r="AJ776" s="422"/>
      <c r="AK776" s="422"/>
      <c r="AL776" s="422"/>
      <c r="AM776" s="309">
        <f>SUM(Y776:AL776)</f>
        <v>0</v>
      </c>
    </row>
    <row r="777" spans="1:39" ht="15" outlineLevel="1">
      <c r="A777" s="539"/>
      <c r="B777" s="307" t="s">
        <v>342</v>
      </c>
      <c r="C777" s="304" t="s">
        <v>163</v>
      </c>
      <c r="D777" s="308"/>
      <c r="E777" s="308"/>
      <c r="F777" s="308"/>
      <c r="G777" s="308"/>
      <c r="H777" s="308"/>
      <c r="I777" s="308"/>
      <c r="J777" s="308"/>
      <c r="K777" s="308"/>
      <c r="L777" s="308"/>
      <c r="M777" s="308"/>
      <c r="N777" s="477"/>
      <c r="O777" s="308"/>
      <c r="P777" s="308"/>
      <c r="Q777" s="308"/>
      <c r="R777" s="308"/>
      <c r="S777" s="308"/>
      <c r="T777" s="308"/>
      <c r="U777" s="308"/>
      <c r="V777" s="308"/>
      <c r="W777" s="308"/>
      <c r="X777" s="308"/>
      <c r="Y777" s="423">
        <f>Y776</f>
        <v>0</v>
      </c>
      <c r="Z777" s="423">
        <f t="shared" ref="Z777" si="1449">Z776</f>
        <v>0</v>
      </c>
      <c r="AA777" s="423">
        <f t="shared" ref="AA777" si="1450">AA776</f>
        <v>0</v>
      </c>
      <c r="AB777" s="423">
        <f t="shared" ref="AB777" si="1451">AB776</f>
        <v>0</v>
      </c>
      <c r="AC777" s="423">
        <f t="shared" ref="AC777" si="1452">AC776</f>
        <v>0</v>
      </c>
      <c r="AD777" s="423">
        <f t="shared" ref="AD777" si="1453">AD776</f>
        <v>0</v>
      </c>
      <c r="AE777" s="423">
        <f t="shared" ref="AE777" si="1454">AE776</f>
        <v>0</v>
      </c>
      <c r="AF777" s="423">
        <f t="shared" ref="AF777" si="1455">AF776</f>
        <v>0</v>
      </c>
      <c r="AG777" s="423">
        <f t="shared" ref="AG777" si="1456">AG776</f>
        <v>0</v>
      </c>
      <c r="AH777" s="423">
        <f t="shared" ref="AH777" si="1457">AH776</f>
        <v>0</v>
      </c>
      <c r="AI777" s="423">
        <f t="shared" ref="AI777" si="1458">AI776</f>
        <v>0</v>
      </c>
      <c r="AJ777" s="423">
        <f t="shared" ref="AJ777" si="1459">AJ776</f>
        <v>0</v>
      </c>
      <c r="AK777" s="423">
        <f t="shared" ref="AK777" si="1460">AK776</f>
        <v>0</v>
      </c>
      <c r="AL777" s="423">
        <f t="shared" ref="AL777" si="1461">AL776</f>
        <v>0</v>
      </c>
      <c r="AM777" s="310"/>
    </row>
    <row r="778" spans="1:39" ht="15" outlineLevel="1">
      <c r="A778" s="539"/>
      <c r="B778" s="307"/>
      <c r="C778" s="318"/>
      <c r="D778" s="304"/>
      <c r="E778" s="304"/>
      <c r="F778" s="304"/>
      <c r="G778" s="304"/>
      <c r="H778" s="304"/>
      <c r="I778" s="304"/>
      <c r="J778" s="304"/>
      <c r="K778" s="304"/>
      <c r="L778" s="304"/>
      <c r="M778" s="304"/>
      <c r="N778" s="304"/>
      <c r="O778" s="304"/>
      <c r="P778" s="304"/>
      <c r="Q778" s="304"/>
      <c r="R778" s="304"/>
      <c r="S778" s="304"/>
      <c r="T778" s="304"/>
      <c r="U778" s="304"/>
      <c r="V778" s="304"/>
      <c r="W778" s="304"/>
      <c r="X778" s="304"/>
      <c r="Y778" s="424"/>
      <c r="Z778" s="424"/>
      <c r="AA778" s="424"/>
      <c r="AB778" s="424"/>
      <c r="AC778" s="424"/>
      <c r="AD778" s="424"/>
      <c r="AE778" s="424"/>
      <c r="AF778" s="424"/>
      <c r="AG778" s="424"/>
      <c r="AH778" s="424"/>
      <c r="AI778" s="424"/>
      <c r="AJ778" s="424"/>
      <c r="AK778" s="424"/>
      <c r="AL778" s="424"/>
      <c r="AM778" s="319"/>
    </row>
    <row r="779" spans="1:39" ht="15" outlineLevel="1">
      <c r="A779" s="539">
        <v>4</v>
      </c>
      <c r="B779" s="527" t="s">
        <v>676</v>
      </c>
      <c r="C779" s="304" t="s">
        <v>25</v>
      </c>
      <c r="D779" s="308"/>
      <c r="E779" s="308"/>
      <c r="F779" s="308"/>
      <c r="G779" s="308"/>
      <c r="H779" s="308"/>
      <c r="I779" s="308"/>
      <c r="J779" s="308"/>
      <c r="K779" s="308"/>
      <c r="L779" s="308"/>
      <c r="M779" s="308"/>
      <c r="N779" s="304"/>
      <c r="O779" s="308"/>
      <c r="P779" s="308"/>
      <c r="Q779" s="308"/>
      <c r="R779" s="308"/>
      <c r="S779" s="308"/>
      <c r="T779" s="308"/>
      <c r="U779" s="308"/>
      <c r="V779" s="308"/>
      <c r="W779" s="308"/>
      <c r="X779" s="308"/>
      <c r="Y779" s="427"/>
      <c r="Z779" s="427"/>
      <c r="AA779" s="427"/>
      <c r="AB779" s="427"/>
      <c r="AC779" s="427"/>
      <c r="AD779" s="427"/>
      <c r="AE779" s="427"/>
      <c r="AF779" s="422"/>
      <c r="AG779" s="422"/>
      <c r="AH779" s="422"/>
      <c r="AI779" s="422"/>
      <c r="AJ779" s="422"/>
      <c r="AK779" s="422"/>
      <c r="AL779" s="422"/>
      <c r="AM779" s="309">
        <f>SUM(Y779:AL779)</f>
        <v>0</v>
      </c>
    </row>
    <row r="780" spans="1:39" ht="15" outlineLevel="1">
      <c r="A780" s="539"/>
      <c r="B780" s="307" t="s">
        <v>342</v>
      </c>
      <c r="C780" s="304" t="s">
        <v>163</v>
      </c>
      <c r="D780" s="308"/>
      <c r="E780" s="308"/>
      <c r="F780" s="308"/>
      <c r="G780" s="308"/>
      <c r="H780" s="308"/>
      <c r="I780" s="308"/>
      <c r="J780" s="308"/>
      <c r="K780" s="308"/>
      <c r="L780" s="308"/>
      <c r="M780" s="308"/>
      <c r="N780" s="477"/>
      <c r="O780" s="308"/>
      <c r="P780" s="308"/>
      <c r="Q780" s="308"/>
      <c r="R780" s="308"/>
      <c r="S780" s="308"/>
      <c r="T780" s="308"/>
      <c r="U780" s="308"/>
      <c r="V780" s="308"/>
      <c r="W780" s="308"/>
      <c r="X780" s="308"/>
      <c r="Y780" s="423">
        <f>Y779</f>
        <v>0</v>
      </c>
      <c r="Z780" s="423">
        <f t="shared" ref="Z780" si="1462">Z779</f>
        <v>0</v>
      </c>
      <c r="AA780" s="423">
        <f t="shared" ref="AA780" si="1463">AA779</f>
        <v>0</v>
      </c>
      <c r="AB780" s="423">
        <f t="shared" ref="AB780" si="1464">AB779</f>
        <v>0</v>
      </c>
      <c r="AC780" s="423">
        <f t="shared" ref="AC780" si="1465">AC779</f>
        <v>0</v>
      </c>
      <c r="AD780" s="423">
        <f t="shared" ref="AD780" si="1466">AD779</f>
        <v>0</v>
      </c>
      <c r="AE780" s="423">
        <f t="shared" ref="AE780" si="1467">AE779</f>
        <v>0</v>
      </c>
      <c r="AF780" s="423">
        <f t="shared" ref="AF780" si="1468">AF779</f>
        <v>0</v>
      </c>
      <c r="AG780" s="423">
        <f t="shared" ref="AG780" si="1469">AG779</f>
        <v>0</v>
      </c>
      <c r="AH780" s="423">
        <f t="shared" ref="AH780" si="1470">AH779</f>
        <v>0</v>
      </c>
      <c r="AI780" s="423">
        <f t="shared" ref="AI780" si="1471">AI779</f>
        <v>0</v>
      </c>
      <c r="AJ780" s="423">
        <f t="shared" ref="AJ780" si="1472">AJ779</f>
        <v>0</v>
      </c>
      <c r="AK780" s="423">
        <f t="shared" ref="AK780" si="1473">AK779</f>
        <v>0</v>
      </c>
      <c r="AL780" s="423">
        <f t="shared" ref="AL780" si="1474">AL779</f>
        <v>0</v>
      </c>
      <c r="AM780" s="310"/>
    </row>
    <row r="781" spans="1:39" ht="15" outlineLevel="1">
      <c r="A781" s="539"/>
      <c r="B781" s="307"/>
      <c r="C781" s="318"/>
      <c r="D781" s="317"/>
      <c r="E781" s="317"/>
      <c r="F781" s="317"/>
      <c r="G781" s="317"/>
      <c r="H781" s="317"/>
      <c r="I781" s="317"/>
      <c r="J781" s="317"/>
      <c r="K781" s="317"/>
      <c r="L781" s="317"/>
      <c r="M781" s="317"/>
      <c r="N781" s="304"/>
      <c r="O781" s="317"/>
      <c r="P781" s="317"/>
      <c r="Q781" s="317"/>
      <c r="R781" s="317"/>
      <c r="S781" s="317"/>
      <c r="T781" s="317"/>
      <c r="U781" s="317"/>
      <c r="V781" s="317"/>
      <c r="W781" s="317"/>
      <c r="X781" s="317"/>
      <c r="Y781" s="424"/>
      <c r="Z781" s="424"/>
      <c r="AA781" s="424"/>
      <c r="AB781" s="424"/>
      <c r="AC781" s="424"/>
      <c r="AD781" s="424"/>
      <c r="AE781" s="424"/>
      <c r="AF781" s="424"/>
      <c r="AG781" s="424"/>
      <c r="AH781" s="424"/>
      <c r="AI781" s="424"/>
      <c r="AJ781" s="424"/>
      <c r="AK781" s="424"/>
      <c r="AL781" s="424"/>
      <c r="AM781" s="319"/>
    </row>
    <row r="782" spans="1:39" ht="15.75" customHeight="1" outlineLevel="1">
      <c r="A782" s="539">
        <v>5</v>
      </c>
      <c r="B782" s="438" t="s">
        <v>98</v>
      </c>
      <c r="C782" s="304" t="s">
        <v>25</v>
      </c>
      <c r="D782" s="308"/>
      <c r="E782" s="308"/>
      <c r="F782" s="308"/>
      <c r="G782" s="308"/>
      <c r="H782" s="308"/>
      <c r="I782" s="308"/>
      <c r="J782" s="308"/>
      <c r="K782" s="308"/>
      <c r="L782" s="308"/>
      <c r="M782" s="308"/>
      <c r="N782" s="304"/>
      <c r="O782" s="308"/>
      <c r="P782" s="308"/>
      <c r="Q782" s="308"/>
      <c r="R782" s="308"/>
      <c r="S782" s="308"/>
      <c r="T782" s="308"/>
      <c r="U782" s="308"/>
      <c r="V782" s="308"/>
      <c r="W782" s="308"/>
      <c r="X782" s="308"/>
      <c r="Y782" s="427"/>
      <c r="Z782" s="427"/>
      <c r="AA782" s="427"/>
      <c r="AB782" s="427"/>
      <c r="AC782" s="427"/>
      <c r="AD782" s="427"/>
      <c r="AE782" s="427"/>
      <c r="AF782" s="422"/>
      <c r="AG782" s="422"/>
      <c r="AH782" s="422"/>
      <c r="AI782" s="422"/>
      <c r="AJ782" s="422"/>
      <c r="AK782" s="422"/>
      <c r="AL782" s="422"/>
      <c r="AM782" s="309">
        <f>SUM(Y782:AL782)</f>
        <v>0</v>
      </c>
    </row>
    <row r="783" spans="1:39" ht="20.25" customHeight="1" outlineLevel="1">
      <c r="A783" s="539"/>
      <c r="B783" s="307" t="s">
        <v>342</v>
      </c>
      <c r="C783" s="304" t="s">
        <v>163</v>
      </c>
      <c r="D783" s="308"/>
      <c r="E783" s="308"/>
      <c r="F783" s="308"/>
      <c r="G783" s="308"/>
      <c r="H783" s="308"/>
      <c r="I783" s="308"/>
      <c r="J783" s="308"/>
      <c r="K783" s="308"/>
      <c r="L783" s="308"/>
      <c r="M783" s="308"/>
      <c r="N783" s="477"/>
      <c r="O783" s="308"/>
      <c r="P783" s="308"/>
      <c r="Q783" s="308"/>
      <c r="R783" s="308"/>
      <c r="S783" s="308"/>
      <c r="T783" s="308"/>
      <c r="U783" s="308"/>
      <c r="V783" s="308"/>
      <c r="W783" s="308"/>
      <c r="X783" s="308"/>
      <c r="Y783" s="423">
        <f>Y782</f>
        <v>0</v>
      </c>
      <c r="Z783" s="423">
        <f t="shared" ref="Z783" si="1475">Z782</f>
        <v>0</v>
      </c>
      <c r="AA783" s="423">
        <f t="shared" ref="AA783" si="1476">AA782</f>
        <v>0</v>
      </c>
      <c r="AB783" s="423">
        <f t="shared" ref="AB783" si="1477">AB782</f>
        <v>0</v>
      </c>
      <c r="AC783" s="423">
        <f t="shared" ref="AC783" si="1478">AC782</f>
        <v>0</v>
      </c>
      <c r="AD783" s="423">
        <f t="shared" ref="AD783" si="1479">AD782</f>
        <v>0</v>
      </c>
      <c r="AE783" s="423">
        <f t="shared" ref="AE783" si="1480">AE782</f>
        <v>0</v>
      </c>
      <c r="AF783" s="423">
        <f t="shared" ref="AF783" si="1481">AF782</f>
        <v>0</v>
      </c>
      <c r="AG783" s="423">
        <f t="shared" ref="AG783" si="1482">AG782</f>
        <v>0</v>
      </c>
      <c r="AH783" s="423">
        <f t="shared" ref="AH783" si="1483">AH782</f>
        <v>0</v>
      </c>
      <c r="AI783" s="423">
        <f t="shared" ref="AI783" si="1484">AI782</f>
        <v>0</v>
      </c>
      <c r="AJ783" s="423">
        <f t="shared" ref="AJ783" si="1485">AJ782</f>
        <v>0</v>
      </c>
      <c r="AK783" s="423">
        <f t="shared" ref="AK783" si="1486">AK782</f>
        <v>0</v>
      </c>
      <c r="AL783" s="423">
        <f t="shared" ref="AL783" si="1487">AL782</f>
        <v>0</v>
      </c>
      <c r="AM783" s="310"/>
    </row>
    <row r="784" spans="1:39" ht="15" outlineLevel="1">
      <c r="A784" s="539"/>
      <c r="B784" s="307"/>
      <c r="C784" s="304"/>
      <c r="D784" s="304"/>
      <c r="E784" s="304"/>
      <c r="F784" s="304"/>
      <c r="G784" s="304"/>
      <c r="H784" s="304"/>
      <c r="I784" s="304"/>
      <c r="J784" s="304"/>
      <c r="K784" s="304"/>
      <c r="L784" s="304"/>
      <c r="M784" s="304"/>
      <c r="N784" s="304"/>
      <c r="O784" s="304"/>
      <c r="P784" s="304"/>
      <c r="Q784" s="304"/>
      <c r="R784" s="304"/>
      <c r="S784" s="304"/>
      <c r="T784" s="304"/>
      <c r="U784" s="304"/>
      <c r="V784" s="304"/>
      <c r="W784" s="304"/>
      <c r="X784" s="304"/>
      <c r="Y784" s="432"/>
      <c r="Z784" s="433"/>
      <c r="AA784" s="433"/>
      <c r="AB784" s="433"/>
      <c r="AC784" s="433"/>
      <c r="AD784" s="433"/>
      <c r="AE784" s="433"/>
      <c r="AF784" s="433"/>
      <c r="AG784" s="433"/>
      <c r="AH784" s="433"/>
      <c r="AI784" s="433"/>
      <c r="AJ784" s="433"/>
      <c r="AK784" s="433"/>
      <c r="AL784" s="433"/>
      <c r="AM784" s="310"/>
    </row>
    <row r="785" spans="1:39" ht="15.6" outlineLevel="1">
      <c r="A785" s="539"/>
      <c r="B785" s="331" t="s">
        <v>497</v>
      </c>
      <c r="C785" s="302"/>
      <c r="D785" s="302"/>
      <c r="E785" s="302"/>
      <c r="F785" s="302"/>
      <c r="G785" s="302"/>
      <c r="H785" s="302"/>
      <c r="I785" s="302"/>
      <c r="J785" s="302"/>
      <c r="K785" s="302"/>
      <c r="L785" s="302"/>
      <c r="M785" s="302"/>
      <c r="N785" s="303"/>
      <c r="O785" s="302"/>
      <c r="P785" s="302"/>
      <c r="Q785" s="302"/>
      <c r="R785" s="302"/>
      <c r="S785" s="302"/>
      <c r="T785" s="302"/>
      <c r="U785" s="302"/>
      <c r="V785" s="302"/>
      <c r="W785" s="302"/>
      <c r="X785" s="302"/>
      <c r="Y785" s="426"/>
      <c r="Z785" s="426"/>
      <c r="AA785" s="426"/>
      <c r="AB785" s="426"/>
      <c r="AC785" s="426"/>
      <c r="AD785" s="426"/>
      <c r="AE785" s="426"/>
      <c r="AF785" s="426"/>
      <c r="AG785" s="426"/>
      <c r="AH785" s="426"/>
      <c r="AI785" s="426"/>
      <c r="AJ785" s="426"/>
      <c r="AK785" s="426"/>
      <c r="AL785" s="426"/>
      <c r="AM785" s="305"/>
    </row>
    <row r="786" spans="1:39" ht="15" outlineLevel="1">
      <c r="A786" s="539">
        <v>6</v>
      </c>
      <c r="B786" s="438" t="s">
        <v>99</v>
      </c>
      <c r="C786" s="304" t="s">
        <v>25</v>
      </c>
      <c r="D786" s="308"/>
      <c r="E786" s="308"/>
      <c r="F786" s="308"/>
      <c r="G786" s="308"/>
      <c r="H786" s="308"/>
      <c r="I786" s="308"/>
      <c r="J786" s="308"/>
      <c r="K786" s="308"/>
      <c r="L786" s="308"/>
      <c r="M786" s="308"/>
      <c r="N786" s="308">
        <v>12</v>
      </c>
      <c r="O786" s="308"/>
      <c r="P786" s="308"/>
      <c r="Q786" s="308"/>
      <c r="R786" s="308"/>
      <c r="S786" s="308"/>
      <c r="T786" s="308"/>
      <c r="U786" s="308"/>
      <c r="V786" s="308"/>
      <c r="W786" s="308"/>
      <c r="X786" s="308"/>
      <c r="Y786" s="427"/>
      <c r="Z786" s="427"/>
      <c r="AA786" s="427"/>
      <c r="AB786" s="427"/>
      <c r="AC786" s="427"/>
      <c r="AD786" s="427"/>
      <c r="AE786" s="427"/>
      <c r="AF786" s="427"/>
      <c r="AG786" s="427"/>
      <c r="AH786" s="427"/>
      <c r="AI786" s="427"/>
      <c r="AJ786" s="427"/>
      <c r="AK786" s="427"/>
      <c r="AL786" s="427"/>
      <c r="AM786" s="309">
        <f>SUM(Y786:AL786)</f>
        <v>0</v>
      </c>
    </row>
    <row r="787" spans="1:39" ht="15" outlineLevel="1">
      <c r="A787" s="539"/>
      <c r="B787" s="307" t="s">
        <v>342</v>
      </c>
      <c r="C787" s="304" t="s">
        <v>163</v>
      </c>
      <c r="D787" s="308"/>
      <c r="E787" s="308"/>
      <c r="F787" s="308"/>
      <c r="G787" s="308"/>
      <c r="H787" s="308"/>
      <c r="I787" s="308"/>
      <c r="J787" s="308"/>
      <c r="K787" s="308"/>
      <c r="L787" s="308"/>
      <c r="M787" s="308"/>
      <c r="N787" s="308">
        <f>N786</f>
        <v>12</v>
      </c>
      <c r="O787" s="308"/>
      <c r="P787" s="308"/>
      <c r="Q787" s="308"/>
      <c r="R787" s="308"/>
      <c r="S787" s="308"/>
      <c r="T787" s="308"/>
      <c r="U787" s="308"/>
      <c r="V787" s="308"/>
      <c r="W787" s="308"/>
      <c r="X787" s="308"/>
      <c r="Y787" s="423">
        <f>Y786</f>
        <v>0</v>
      </c>
      <c r="Z787" s="423">
        <f t="shared" ref="Z787" si="1488">Z786</f>
        <v>0</v>
      </c>
      <c r="AA787" s="423">
        <f t="shared" ref="AA787" si="1489">AA786</f>
        <v>0</v>
      </c>
      <c r="AB787" s="423">
        <f t="shared" ref="AB787" si="1490">AB786</f>
        <v>0</v>
      </c>
      <c r="AC787" s="423">
        <f t="shared" ref="AC787" si="1491">AC786</f>
        <v>0</v>
      </c>
      <c r="AD787" s="423">
        <f t="shared" ref="AD787" si="1492">AD786</f>
        <v>0</v>
      </c>
      <c r="AE787" s="423">
        <f t="shared" ref="AE787" si="1493">AE786</f>
        <v>0</v>
      </c>
      <c r="AF787" s="423">
        <f t="shared" ref="AF787" si="1494">AF786</f>
        <v>0</v>
      </c>
      <c r="AG787" s="423">
        <f t="shared" ref="AG787" si="1495">AG786</f>
        <v>0</v>
      </c>
      <c r="AH787" s="423">
        <f t="shared" ref="AH787" si="1496">AH786</f>
        <v>0</v>
      </c>
      <c r="AI787" s="423">
        <f t="shared" ref="AI787" si="1497">AI786</f>
        <v>0</v>
      </c>
      <c r="AJ787" s="423">
        <f t="shared" ref="AJ787" si="1498">AJ786</f>
        <v>0</v>
      </c>
      <c r="AK787" s="423">
        <f t="shared" ref="AK787" si="1499">AK786</f>
        <v>0</v>
      </c>
      <c r="AL787" s="423">
        <f t="shared" ref="AL787" si="1500">AL786</f>
        <v>0</v>
      </c>
      <c r="AM787" s="324"/>
    </row>
    <row r="788" spans="1:39" ht="15" outlineLevel="1">
      <c r="A788" s="539"/>
      <c r="B788" s="323"/>
      <c r="C788" s="325"/>
      <c r="D788" s="304"/>
      <c r="E788" s="304"/>
      <c r="F788" s="304"/>
      <c r="G788" s="304"/>
      <c r="H788" s="304"/>
      <c r="I788" s="304"/>
      <c r="J788" s="304"/>
      <c r="K788" s="304"/>
      <c r="L788" s="304"/>
      <c r="M788" s="304"/>
      <c r="N788" s="304"/>
      <c r="O788" s="304"/>
      <c r="P788" s="304"/>
      <c r="Q788" s="304"/>
      <c r="R788" s="304"/>
      <c r="S788" s="304"/>
      <c r="T788" s="304"/>
      <c r="U788" s="304"/>
      <c r="V788" s="304"/>
      <c r="W788" s="304"/>
      <c r="X788" s="304"/>
      <c r="Y788" s="428"/>
      <c r="Z788" s="428"/>
      <c r="AA788" s="428"/>
      <c r="AB788" s="428"/>
      <c r="AC788" s="428"/>
      <c r="AD788" s="428"/>
      <c r="AE788" s="428"/>
      <c r="AF788" s="428"/>
      <c r="AG788" s="428"/>
      <c r="AH788" s="428"/>
      <c r="AI788" s="428"/>
      <c r="AJ788" s="428"/>
      <c r="AK788" s="428"/>
      <c r="AL788" s="428"/>
      <c r="AM788" s="326"/>
    </row>
    <row r="789" spans="1:39" ht="30" outlineLevel="1">
      <c r="A789" s="539">
        <v>7</v>
      </c>
      <c r="B789" s="438" t="s">
        <v>100</v>
      </c>
      <c r="C789" s="304" t="s">
        <v>25</v>
      </c>
      <c r="D789" s="308"/>
      <c r="E789" s="308"/>
      <c r="F789" s="308"/>
      <c r="G789" s="308"/>
      <c r="H789" s="308"/>
      <c r="I789" s="308"/>
      <c r="J789" s="308"/>
      <c r="K789" s="308"/>
      <c r="L789" s="308"/>
      <c r="M789" s="308"/>
      <c r="N789" s="308">
        <v>12</v>
      </c>
      <c r="O789" s="308"/>
      <c r="P789" s="308"/>
      <c r="Q789" s="308"/>
      <c r="R789" s="308"/>
      <c r="S789" s="308"/>
      <c r="T789" s="308"/>
      <c r="U789" s="308"/>
      <c r="V789" s="308"/>
      <c r="W789" s="308"/>
      <c r="X789" s="308"/>
      <c r="Y789" s="427"/>
      <c r="Z789" s="427"/>
      <c r="AA789" s="427"/>
      <c r="AB789" s="427"/>
      <c r="AC789" s="427"/>
      <c r="AD789" s="427"/>
      <c r="AE789" s="427"/>
      <c r="AF789" s="427"/>
      <c r="AG789" s="427"/>
      <c r="AH789" s="427"/>
      <c r="AI789" s="427"/>
      <c r="AJ789" s="427"/>
      <c r="AK789" s="427"/>
      <c r="AL789" s="427"/>
      <c r="AM789" s="309">
        <f>SUM(Y789:AL789)</f>
        <v>0</v>
      </c>
    </row>
    <row r="790" spans="1:39" ht="15" outlineLevel="1">
      <c r="A790" s="539"/>
      <c r="B790" s="307" t="s">
        <v>342</v>
      </c>
      <c r="C790" s="304" t="s">
        <v>163</v>
      </c>
      <c r="D790" s="308"/>
      <c r="E790" s="308"/>
      <c r="F790" s="308"/>
      <c r="G790" s="308"/>
      <c r="H790" s="308"/>
      <c r="I790" s="308"/>
      <c r="J790" s="308"/>
      <c r="K790" s="308"/>
      <c r="L790" s="308"/>
      <c r="M790" s="308"/>
      <c r="N790" s="308">
        <f>N789</f>
        <v>12</v>
      </c>
      <c r="O790" s="308"/>
      <c r="P790" s="308"/>
      <c r="Q790" s="308"/>
      <c r="R790" s="308"/>
      <c r="S790" s="308"/>
      <c r="T790" s="308"/>
      <c r="U790" s="308"/>
      <c r="V790" s="308"/>
      <c r="W790" s="308"/>
      <c r="X790" s="308"/>
      <c r="Y790" s="423">
        <f>Y789</f>
        <v>0</v>
      </c>
      <c r="Z790" s="423">
        <f t="shared" ref="Z790" si="1501">Z789</f>
        <v>0</v>
      </c>
      <c r="AA790" s="423">
        <f t="shared" ref="AA790" si="1502">AA789</f>
        <v>0</v>
      </c>
      <c r="AB790" s="423">
        <f t="shared" ref="AB790" si="1503">AB789</f>
        <v>0</v>
      </c>
      <c r="AC790" s="423">
        <f t="shared" ref="AC790" si="1504">AC789</f>
        <v>0</v>
      </c>
      <c r="AD790" s="423">
        <f t="shared" ref="AD790" si="1505">AD789</f>
        <v>0</v>
      </c>
      <c r="AE790" s="423">
        <f t="shared" ref="AE790" si="1506">AE789</f>
        <v>0</v>
      </c>
      <c r="AF790" s="423">
        <f t="shared" ref="AF790" si="1507">AF789</f>
        <v>0</v>
      </c>
      <c r="AG790" s="423">
        <f t="shared" ref="AG790" si="1508">AG789</f>
        <v>0</v>
      </c>
      <c r="AH790" s="423">
        <f t="shared" ref="AH790" si="1509">AH789</f>
        <v>0</v>
      </c>
      <c r="AI790" s="423">
        <f t="shared" ref="AI790" si="1510">AI789</f>
        <v>0</v>
      </c>
      <c r="AJ790" s="423">
        <f t="shared" ref="AJ790" si="1511">AJ789</f>
        <v>0</v>
      </c>
      <c r="AK790" s="423">
        <f t="shared" ref="AK790" si="1512">AK789</f>
        <v>0</v>
      </c>
      <c r="AL790" s="423">
        <f t="shared" ref="AL790" si="1513">AL789</f>
        <v>0</v>
      </c>
      <c r="AM790" s="324"/>
    </row>
    <row r="791" spans="1:39" ht="15" outlineLevel="1">
      <c r="A791" s="539"/>
      <c r="B791" s="327"/>
      <c r="C791" s="325"/>
      <c r="D791" s="304"/>
      <c r="E791" s="304"/>
      <c r="F791" s="304"/>
      <c r="G791" s="304"/>
      <c r="H791" s="304"/>
      <c r="I791" s="304"/>
      <c r="J791" s="304"/>
      <c r="K791" s="304"/>
      <c r="L791" s="304"/>
      <c r="M791" s="304"/>
      <c r="N791" s="304"/>
      <c r="O791" s="304"/>
      <c r="P791" s="304"/>
      <c r="Q791" s="304"/>
      <c r="R791" s="304"/>
      <c r="S791" s="304"/>
      <c r="T791" s="304"/>
      <c r="U791" s="304"/>
      <c r="V791" s="304"/>
      <c r="W791" s="304"/>
      <c r="X791" s="304"/>
      <c r="Y791" s="428"/>
      <c r="Z791" s="429"/>
      <c r="AA791" s="428"/>
      <c r="AB791" s="428"/>
      <c r="AC791" s="428"/>
      <c r="AD791" s="428"/>
      <c r="AE791" s="428"/>
      <c r="AF791" s="428"/>
      <c r="AG791" s="428"/>
      <c r="AH791" s="428"/>
      <c r="AI791" s="428"/>
      <c r="AJ791" s="428"/>
      <c r="AK791" s="428"/>
      <c r="AL791" s="428"/>
      <c r="AM791" s="326"/>
    </row>
    <row r="792" spans="1:39" ht="30" outlineLevel="1">
      <c r="A792" s="539">
        <v>8</v>
      </c>
      <c r="B792" s="438" t="s">
        <v>101</v>
      </c>
      <c r="C792" s="304" t="s">
        <v>25</v>
      </c>
      <c r="D792" s="308"/>
      <c r="E792" s="308"/>
      <c r="F792" s="308"/>
      <c r="G792" s="308"/>
      <c r="H792" s="308"/>
      <c r="I792" s="308"/>
      <c r="J792" s="308"/>
      <c r="K792" s="308"/>
      <c r="L792" s="308"/>
      <c r="M792" s="308"/>
      <c r="N792" s="308">
        <v>12</v>
      </c>
      <c r="O792" s="308"/>
      <c r="P792" s="308"/>
      <c r="Q792" s="308"/>
      <c r="R792" s="308"/>
      <c r="S792" s="308"/>
      <c r="T792" s="308"/>
      <c r="U792" s="308"/>
      <c r="V792" s="308"/>
      <c r="W792" s="308"/>
      <c r="X792" s="308"/>
      <c r="Y792" s="427"/>
      <c r="Z792" s="427"/>
      <c r="AA792" s="427"/>
      <c r="AB792" s="427"/>
      <c r="AC792" s="427"/>
      <c r="AD792" s="427"/>
      <c r="AE792" s="427"/>
      <c r="AF792" s="427"/>
      <c r="AG792" s="427"/>
      <c r="AH792" s="427"/>
      <c r="AI792" s="427"/>
      <c r="AJ792" s="427"/>
      <c r="AK792" s="427"/>
      <c r="AL792" s="427"/>
      <c r="AM792" s="309">
        <f>SUM(Y792:AL792)</f>
        <v>0</v>
      </c>
    </row>
    <row r="793" spans="1:39" ht="15" outlineLevel="1">
      <c r="A793" s="539"/>
      <c r="B793" s="307" t="s">
        <v>342</v>
      </c>
      <c r="C793" s="304" t="s">
        <v>163</v>
      </c>
      <c r="D793" s="308"/>
      <c r="E793" s="308"/>
      <c r="F793" s="308"/>
      <c r="G793" s="308"/>
      <c r="H793" s="308"/>
      <c r="I793" s="308"/>
      <c r="J793" s="308"/>
      <c r="K793" s="308"/>
      <c r="L793" s="308"/>
      <c r="M793" s="308"/>
      <c r="N793" s="308">
        <f>N792</f>
        <v>12</v>
      </c>
      <c r="O793" s="308"/>
      <c r="P793" s="308"/>
      <c r="Q793" s="308"/>
      <c r="R793" s="308"/>
      <c r="S793" s="308"/>
      <c r="T793" s="308"/>
      <c r="U793" s="308"/>
      <c r="V793" s="308"/>
      <c r="W793" s="308"/>
      <c r="X793" s="308"/>
      <c r="Y793" s="423">
        <f>Y792</f>
        <v>0</v>
      </c>
      <c r="Z793" s="423">
        <f t="shared" ref="Z793" si="1514">Z792</f>
        <v>0</v>
      </c>
      <c r="AA793" s="423">
        <f t="shared" ref="AA793" si="1515">AA792</f>
        <v>0</v>
      </c>
      <c r="AB793" s="423">
        <f t="shared" ref="AB793" si="1516">AB792</f>
        <v>0</v>
      </c>
      <c r="AC793" s="423">
        <f t="shared" ref="AC793" si="1517">AC792</f>
        <v>0</v>
      </c>
      <c r="AD793" s="423">
        <f t="shared" ref="AD793" si="1518">AD792</f>
        <v>0</v>
      </c>
      <c r="AE793" s="423">
        <f t="shared" ref="AE793" si="1519">AE792</f>
        <v>0</v>
      </c>
      <c r="AF793" s="423">
        <f t="shared" ref="AF793" si="1520">AF792</f>
        <v>0</v>
      </c>
      <c r="AG793" s="423">
        <f t="shared" ref="AG793" si="1521">AG792</f>
        <v>0</v>
      </c>
      <c r="AH793" s="423">
        <f t="shared" ref="AH793" si="1522">AH792</f>
        <v>0</v>
      </c>
      <c r="AI793" s="423">
        <f t="shared" ref="AI793" si="1523">AI792</f>
        <v>0</v>
      </c>
      <c r="AJ793" s="423">
        <f t="shared" ref="AJ793" si="1524">AJ792</f>
        <v>0</v>
      </c>
      <c r="AK793" s="423">
        <f t="shared" ref="AK793" si="1525">AK792</f>
        <v>0</v>
      </c>
      <c r="AL793" s="423">
        <f t="shared" ref="AL793" si="1526">AL792</f>
        <v>0</v>
      </c>
      <c r="AM793" s="324"/>
    </row>
    <row r="794" spans="1:39" ht="15" outlineLevel="1">
      <c r="A794" s="539"/>
      <c r="B794" s="327"/>
      <c r="C794" s="325"/>
      <c r="D794" s="329"/>
      <c r="E794" s="329"/>
      <c r="F794" s="329"/>
      <c r="G794" s="329"/>
      <c r="H794" s="329"/>
      <c r="I794" s="329"/>
      <c r="J794" s="329"/>
      <c r="K794" s="329"/>
      <c r="L794" s="329"/>
      <c r="M794" s="329"/>
      <c r="N794" s="304"/>
      <c r="O794" s="329"/>
      <c r="P794" s="329"/>
      <c r="Q794" s="329"/>
      <c r="R794" s="329"/>
      <c r="S794" s="329"/>
      <c r="T794" s="329"/>
      <c r="U794" s="329"/>
      <c r="V794" s="329"/>
      <c r="W794" s="329"/>
      <c r="X794" s="329"/>
      <c r="Y794" s="428"/>
      <c r="Z794" s="429"/>
      <c r="AA794" s="428"/>
      <c r="AB794" s="428"/>
      <c r="AC794" s="428"/>
      <c r="AD794" s="428"/>
      <c r="AE794" s="428"/>
      <c r="AF794" s="428"/>
      <c r="AG794" s="428"/>
      <c r="AH794" s="428"/>
      <c r="AI794" s="428"/>
      <c r="AJ794" s="428"/>
      <c r="AK794" s="428"/>
      <c r="AL794" s="428"/>
      <c r="AM794" s="326"/>
    </row>
    <row r="795" spans="1:39" ht="30" outlineLevel="1">
      <c r="A795" s="539">
        <v>9</v>
      </c>
      <c r="B795" s="438" t="s">
        <v>102</v>
      </c>
      <c r="C795" s="304" t="s">
        <v>25</v>
      </c>
      <c r="D795" s="308"/>
      <c r="E795" s="308"/>
      <c r="F795" s="308"/>
      <c r="G795" s="308"/>
      <c r="H795" s="308"/>
      <c r="I795" s="308"/>
      <c r="J795" s="308"/>
      <c r="K795" s="308"/>
      <c r="L795" s="308"/>
      <c r="M795" s="308"/>
      <c r="N795" s="308">
        <v>12</v>
      </c>
      <c r="O795" s="308"/>
      <c r="P795" s="308"/>
      <c r="Q795" s="308"/>
      <c r="R795" s="308"/>
      <c r="S795" s="308"/>
      <c r="T795" s="308"/>
      <c r="U795" s="308"/>
      <c r="V795" s="308"/>
      <c r="W795" s="308"/>
      <c r="X795" s="308"/>
      <c r="Y795" s="427"/>
      <c r="Z795" s="427"/>
      <c r="AA795" s="427"/>
      <c r="AB795" s="427"/>
      <c r="AC795" s="427"/>
      <c r="AD795" s="427"/>
      <c r="AE795" s="427"/>
      <c r="AF795" s="427"/>
      <c r="AG795" s="427"/>
      <c r="AH795" s="427"/>
      <c r="AI795" s="427"/>
      <c r="AJ795" s="427"/>
      <c r="AK795" s="427"/>
      <c r="AL795" s="427"/>
      <c r="AM795" s="309">
        <f>SUM(Y795:AL795)</f>
        <v>0</v>
      </c>
    </row>
    <row r="796" spans="1:39" ht="15" outlineLevel="1">
      <c r="A796" s="539"/>
      <c r="B796" s="307" t="s">
        <v>342</v>
      </c>
      <c r="C796" s="304" t="s">
        <v>163</v>
      </c>
      <c r="D796" s="308"/>
      <c r="E796" s="308"/>
      <c r="F796" s="308"/>
      <c r="G796" s="308"/>
      <c r="H796" s="308"/>
      <c r="I796" s="308"/>
      <c r="J796" s="308"/>
      <c r="K796" s="308"/>
      <c r="L796" s="308"/>
      <c r="M796" s="308"/>
      <c r="N796" s="308">
        <f>N795</f>
        <v>12</v>
      </c>
      <c r="O796" s="308"/>
      <c r="P796" s="308"/>
      <c r="Q796" s="308"/>
      <c r="R796" s="308"/>
      <c r="S796" s="308"/>
      <c r="T796" s="308"/>
      <c r="U796" s="308"/>
      <c r="V796" s="308"/>
      <c r="W796" s="308"/>
      <c r="X796" s="308"/>
      <c r="Y796" s="423">
        <f>Y795</f>
        <v>0</v>
      </c>
      <c r="Z796" s="423">
        <f t="shared" ref="Z796" si="1527">Z795</f>
        <v>0</v>
      </c>
      <c r="AA796" s="423">
        <f t="shared" ref="AA796" si="1528">AA795</f>
        <v>0</v>
      </c>
      <c r="AB796" s="423">
        <f t="shared" ref="AB796" si="1529">AB795</f>
        <v>0</v>
      </c>
      <c r="AC796" s="423">
        <f t="shared" ref="AC796" si="1530">AC795</f>
        <v>0</v>
      </c>
      <c r="AD796" s="423">
        <f t="shared" ref="AD796" si="1531">AD795</f>
        <v>0</v>
      </c>
      <c r="AE796" s="423">
        <f t="shared" ref="AE796" si="1532">AE795</f>
        <v>0</v>
      </c>
      <c r="AF796" s="423">
        <f t="shared" ref="AF796" si="1533">AF795</f>
        <v>0</v>
      </c>
      <c r="AG796" s="423">
        <f t="shared" ref="AG796" si="1534">AG795</f>
        <v>0</v>
      </c>
      <c r="AH796" s="423">
        <f t="shared" ref="AH796" si="1535">AH795</f>
        <v>0</v>
      </c>
      <c r="AI796" s="423">
        <f t="shared" ref="AI796" si="1536">AI795</f>
        <v>0</v>
      </c>
      <c r="AJ796" s="423">
        <f t="shared" ref="AJ796" si="1537">AJ795</f>
        <v>0</v>
      </c>
      <c r="AK796" s="423">
        <f t="shared" ref="AK796" si="1538">AK795</f>
        <v>0</v>
      </c>
      <c r="AL796" s="423">
        <f t="shared" ref="AL796" si="1539">AL795</f>
        <v>0</v>
      </c>
      <c r="AM796" s="324"/>
    </row>
    <row r="797" spans="1:39" ht="15" outlineLevel="1">
      <c r="A797" s="539"/>
      <c r="B797" s="327"/>
      <c r="C797" s="325"/>
      <c r="D797" s="329"/>
      <c r="E797" s="329"/>
      <c r="F797" s="329"/>
      <c r="G797" s="329"/>
      <c r="H797" s="329"/>
      <c r="I797" s="329"/>
      <c r="J797" s="329"/>
      <c r="K797" s="329"/>
      <c r="L797" s="329"/>
      <c r="M797" s="329"/>
      <c r="N797" s="304"/>
      <c r="O797" s="329"/>
      <c r="P797" s="329"/>
      <c r="Q797" s="329"/>
      <c r="R797" s="329"/>
      <c r="S797" s="329"/>
      <c r="T797" s="329"/>
      <c r="U797" s="329"/>
      <c r="V797" s="329"/>
      <c r="W797" s="329"/>
      <c r="X797" s="329"/>
      <c r="Y797" s="428"/>
      <c r="Z797" s="428"/>
      <c r="AA797" s="428"/>
      <c r="AB797" s="428"/>
      <c r="AC797" s="428"/>
      <c r="AD797" s="428"/>
      <c r="AE797" s="428"/>
      <c r="AF797" s="428"/>
      <c r="AG797" s="428"/>
      <c r="AH797" s="428"/>
      <c r="AI797" s="428"/>
      <c r="AJ797" s="428"/>
      <c r="AK797" s="428"/>
      <c r="AL797" s="428"/>
      <c r="AM797" s="326"/>
    </row>
    <row r="798" spans="1:39" ht="30" outlineLevel="1">
      <c r="A798" s="539">
        <v>10</v>
      </c>
      <c r="B798" s="438" t="s">
        <v>103</v>
      </c>
      <c r="C798" s="304" t="s">
        <v>25</v>
      </c>
      <c r="D798" s="308"/>
      <c r="E798" s="308"/>
      <c r="F798" s="308"/>
      <c r="G798" s="308"/>
      <c r="H798" s="308"/>
      <c r="I798" s="308"/>
      <c r="J798" s="308"/>
      <c r="K798" s="308"/>
      <c r="L798" s="308"/>
      <c r="M798" s="308"/>
      <c r="N798" s="308">
        <v>3</v>
      </c>
      <c r="O798" s="308"/>
      <c r="P798" s="308"/>
      <c r="Q798" s="308"/>
      <c r="R798" s="308"/>
      <c r="S798" s="308"/>
      <c r="T798" s="308"/>
      <c r="U798" s="308"/>
      <c r="V798" s="308"/>
      <c r="W798" s="308"/>
      <c r="X798" s="308"/>
      <c r="Y798" s="427"/>
      <c r="Z798" s="427"/>
      <c r="AA798" s="427"/>
      <c r="AB798" s="427"/>
      <c r="AC798" s="427"/>
      <c r="AD798" s="427"/>
      <c r="AE798" s="427"/>
      <c r="AF798" s="427"/>
      <c r="AG798" s="427"/>
      <c r="AH798" s="427"/>
      <c r="AI798" s="427"/>
      <c r="AJ798" s="427"/>
      <c r="AK798" s="427"/>
      <c r="AL798" s="427"/>
      <c r="AM798" s="309">
        <f>SUM(Y798:AL798)</f>
        <v>0</v>
      </c>
    </row>
    <row r="799" spans="1:39" ht="15" outlineLevel="1">
      <c r="A799" s="539"/>
      <c r="B799" s="307" t="s">
        <v>342</v>
      </c>
      <c r="C799" s="304" t="s">
        <v>163</v>
      </c>
      <c r="D799" s="308"/>
      <c r="E799" s="308"/>
      <c r="F799" s="308"/>
      <c r="G799" s="308"/>
      <c r="H799" s="308"/>
      <c r="I799" s="308"/>
      <c r="J799" s="308"/>
      <c r="K799" s="308"/>
      <c r="L799" s="308"/>
      <c r="M799" s="308"/>
      <c r="N799" s="308">
        <f>N798</f>
        <v>3</v>
      </c>
      <c r="O799" s="308"/>
      <c r="P799" s="308"/>
      <c r="Q799" s="308"/>
      <c r="R799" s="308"/>
      <c r="S799" s="308"/>
      <c r="T799" s="308"/>
      <c r="U799" s="308"/>
      <c r="V799" s="308"/>
      <c r="W799" s="308"/>
      <c r="X799" s="308"/>
      <c r="Y799" s="423">
        <f>Y798</f>
        <v>0</v>
      </c>
      <c r="Z799" s="423">
        <f t="shared" ref="Z799" si="1540">Z798</f>
        <v>0</v>
      </c>
      <c r="AA799" s="423">
        <f t="shared" ref="AA799" si="1541">AA798</f>
        <v>0</v>
      </c>
      <c r="AB799" s="423">
        <f t="shared" ref="AB799" si="1542">AB798</f>
        <v>0</v>
      </c>
      <c r="AC799" s="423">
        <f t="shared" ref="AC799" si="1543">AC798</f>
        <v>0</v>
      </c>
      <c r="AD799" s="423">
        <f t="shared" ref="AD799" si="1544">AD798</f>
        <v>0</v>
      </c>
      <c r="AE799" s="423">
        <f t="shared" ref="AE799" si="1545">AE798</f>
        <v>0</v>
      </c>
      <c r="AF799" s="423">
        <f t="shared" ref="AF799" si="1546">AF798</f>
        <v>0</v>
      </c>
      <c r="AG799" s="423">
        <f t="shared" ref="AG799" si="1547">AG798</f>
        <v>0</v>
      </c>
      <c r="AH799" s="423">
        <f t="shared" ref="AH799" si="1548">AH798</f>
        <v>0</v>
      </c>
      <c r="AI799" s="423">
        <f t="shared" ref="AI799" si="1549">AI798</f>
        <v>0</v>
      </c>
      <c r="AJ799" s="423">
        <f t="shared" ref="AJ799" si="1550">AJ798</f>
        <v>0</v>
      </c>
      <c r="AK799" s="423">
        <f t="shared" ref="AK799" si="1551">AK798</f>
        <v>0</v>
      </c>
      <c r="AL799" s="423">
        <f t="shared" ref="AL799" si="1552">AL798</f>
        <v>0</v>
      </c>
      <c r="AM799" s="324"/>
    </row>
    <row r="800" spans="1:39" ht="15" outlineLevel="1">
      <c r="A800" s="539"/>
      <c r="B800" s="327"/>
      <c r="C800" s="325"/>
      <c r="D800" s="329"/>
      <c r="E800" s="329"/>
      <c r="F800" s="329"/>
      <c r="G800" s="329"/>
      <c r="H800" s="329"/>
      <c r="I800" s="329"/>
      <c r="J800" s="329"/>
      <c r="K800" s="329"/>
      <c r="L800" s="329"/>
      <c r="M800" s="329"/>
      <c r="N800" s="304"/>
      <c r="O800" s="329"/>
      <c r="P800" s="329"/>
      <c r="Q800" s="329"/>
      <c r="R800" s="329"/>
      <c r="S800" s="329"/>
      <c r="T800" s="329"/>
      <c r="U800" s="329"/>
      <c r="V800" s="329"/>
      <c r="W800" s="329"/>
      <c r="X800" s="329"/>
      <c r="Y800" s="428"/>
      <c r="Z800" s="429"/>
      <c r="AA800" s="428"/>
      <c r="AB800" s="428"/>
      <c r="AC800" s="428"/>
      <c r="AD800" s="428"/>
      <c r="AE800" s="428"/>
      <c r="AF800" s="428"/>
      <c r="AG800" s="428"/>
      <c r="AH800" s="428"/>
      <c r="AI800" s="428"/>
      <c r="AJ800" s="428"/>
      <c r="AK800" s="428"/>
      <c r="AL800" s="428"/>
      <c r="AM800" s="326"/>
    </row>
    <row r="801" spans="1:39" ht="15.6" outlineLevel="1">
      <c r="A801" s="539"/>
      <c r="B801" s="301" t="s">
        <v>10</v>
      </c>
      <c r="C801" s="302"/>
      <c r="D801" s="302"/>
      <c r="E801" s="302"/>
      <c r="F801" s="302"/>
      <c r="G801" s="302"/>
      <c r="H801" s="302"/>
      <c r="I801" s="302"/>
      <c r="J801" s="302"/>
      <c r="K801" s="302"/>
      <c r="L801" s="302"/>
      <c r="M801" s="302"/>
      <c r="N801" s="303"/>
      <c r="O801" s="302"/>
      <c r="P801" s="302"/>
      <c r="Q801" s="302"/>
      <c r="R801" s="302"/>
      <c r="S801" s="302"/>
      <c r="T801" s="302"/>
      <c r="U801" s="302"/>
      <c r="V801" s="302"/>
      <c r="W801" s="302"/>
      <c r="X801" s="302"/>
      <c r="Y801" s="426"/>
      <c r="Z801" s="426"/>
      <c r="AA801" s="426"/>
      <c r="AB801" s="426"/>
      <c r="AC801" s="426"/>
      <c r="AD801" s="426"/>
      <c r="AE801" s="426"/>
      <c r="AF801" s="426"/>
      <c r="AG801" s="426"/>
      <c r="AH801" s="426"/>
      <c r="AI801" s="426"/>
      <c r="AJ801" s="426"/>
      <c r="AK801" s="426"/>
      <c r="AL801" s="426"/>
      <c r="AM801" s="305"/>
    </row>
    <row r="802" spans="1:39" ht="30" outlineLevel="1">
      <c r="A802" s="539">
        <v>11</v>
      </c>
      <c r="B802" s="438" t="s">
        <v>104</v>
      </c>
      <c r="C802" s="304" t="s">
        <v>25</v>
      </c>
      <c r="D802" s="308"/>
      <c r="E802" s="308"/>
      <c r="F802" s="308"/>
      <c r="G802" s="308"/>
      <c r="H802" s="308"/>
      <c r="I802" s="308"/>
      <c r="J802" s="308"/>
      <c r="K802" s="308"/>
      <c r="L802" s="308"/>
      <c r="M802" s="308"/>
      <c r="N802" s="308">
        <v>12</v>
      </c>
      <c r="O802" s="308"/>
      <c r="P802" s="308"/>
      <c r="Q802" s="308"/>
      <c r="R802" s="308"/>
      <c r="S802" s="308"/>
      <c r="T802" s="308"/>
      <c r="U802" s="308"/>
      <c r="V802" s="308"/>
      <c r="W802" s="308"/>
      <c r="X802" s="308"/>
      <c r="Y802" s="436"/>
      <c r="Z802" s="427"/>
      <c r="AA802" s="427"/>
      <c r="AB802" s="427"/>
      <c r="AC802" s="427"/>
      <c r="AD802" s="427"/>
      <c r="AE802" s="427"/>
      <c r="AF802" s="427"/>
      <c r="AG802" s="427"/>
      <c r="AH802" s="427"/>
      <c r="AI802" s="427"/>
      <c r="AJ802" s="427"/>
      <c r="AK802" s="427"/>
      <c r="AL802" s="427"/>
      <c r="AM802" s="309">
        <f>SUM(Y802:AL802)</f>
        <v>0</v>
      </c>
    </row>
    <row r="803" spans="1:39" ht="15" outlineLevel="1">
      <c r="A803" s="539"/>
      <c r="B803" s="307" t="s">
        <v>342</v>
      </c>
      <c r="C803" s="304" t="s">
        <v>163</v>
      </c>
      <c r="D803" s="308"/>
      <c r="E803" s="308"/>
      <c r="F803" s="308"/>
      <c r="G803" s="308"/>
      <c r="H803" s="308"/>
      <c r="I803" s="308"/>
      <c r="J803" s="308"/>
      <c r="K803" s="308"/>
      <c r="L803" s="308"/>
      <c r="M803" s="308"/>
      <c r="N803" s="308">
        <f>N802</f>
        <v>12</v>
      </c>
      <c r="O803" s="308"/>
      <c r="P803" s="308"/>
      <c r="Q803" s="308"/>
      <c r="R803" s="308"/>
      <c r="S803" s="308"/>
      <c r="T803" s="308"/>
      <c r="U803" s="308"/>
      <c r="V803" s="308"/>
      <c r="W803" s="308"/>
      <c r="X803" s="308"/>
      <c r="Y803" s="423">
        <f>Y802</f>
        <v>0</v>
      </c>
      <c r="Z803" s="423">
        <f t="shared" ref="Z803" si="1553">Z802</f>
        <v>0</v>
      </c>
      <c r="AA803" s="423">
        <f t="shared" ref="AA803" si="1554">AA802</f>
        <v>0</v>
      </c>
      <c r="AB803" s="423">
        <f t="shared" ref="AB803" si="1555">AB802</f>
        <v>0</v>
      </c>
      <c r="AC803" s="423">
        <f t="shared" ref="AC803" si="1556">AC802</f>
        <v>0</v>
      </c>
      <c r="AD803" s="423">
        <f t="shared" ref="AD803" si="1557">AD802</f>
        <v>0</v>
      </c>
      <c r="AE803" s="423">
        <f t="shared" ref="AE803" si="1558">AE802</f>
        <v>0</v>
      </c>
      <c r="AF803" s="423">
        <f t="shared" ref="AF803" si="1559">AF802</f>
        <v>0</v>
      </c>
      <c r="AG803" s="423">
        <f t="shared" ref="AG803" si="1560">AG802</f>
        <v>0</v>
      </c>
      <c r="AH803" s="423">
        <f t="shared" ref="AH803" si="1561">AH802</f>
        <v>0</v>
      </c>
      <c r="AI803" s="423">
        <f t="shared" ref="AI803" si="1562">AI802</f>
        <v>0</v>
      </c>
      <c r="AJ803" s="423">
        <f t="shared" ref="AJ803" si="1563">AJ802</f>
        <v>0</v>
      </c>
      <c r="AK803" s="423">
        <f t="shared" ref="AK803" si="1564">AK802</f>
        <v>0</v>
      </c>
      <c r="AL803" s="423">
        <f t="shared" ref="AL803" si="1565">AL802</f>
        <v>0</v>
      </c>
      <c r="AM803" s="310"/>
    </row>
    <row r="804" spans="1:39" ht="15" outlineLevel="1">
      <c r="A804" s="539"/>
      <c r="B804" s="328"/>
      <c r="C804" s="318"/>
      <c r="D804" s="304"/>
      <c r="E804" s="304"/>
      <c r="F804" s="304"/>
      <c r="G804" s="304"/>
      <c r="H804" s="304"/>
      <c r="I804" s="304"/>
      <c r="J804" s="304"/>
      <c r="K804" s="304"/>
      <c r="L804" s="304"/>
      <c r="M804" s="304"/>
      <c r="N804" s="304"/>
      <c r="O804" s="304"/>
      <c r="P804" s="304"/>
      <c r="Q804" s="304"/>
      <c r="R804" s="304"/>
      <c r="S804" s="304"/>
      <c r="T804" s="304"/>
      <c r="U804" s="304"/>
      <c r="V804" s="304"/>
      <c r="W804" s="304"/>
      <c r="X804" s="304"/>
      <c r="Y804" s="424"/>
      <c r="Z804" s="431"/>
      <c r="AA804" s="431"/>
      <c r="AB804" s="431"/>
      <c r="AC804" s="431"/>
      <c r="AD804" s="431"/>
      <c r="AE804" s="431"/>
      <c r="AF804" s="431"/>
      <c r="AG804" s="431"/>
      <c r="AH804" s="431"/>
      <c r="AI804" s="431"/>
      <c r="AJ804" s="431"/>
      <c r="AK804" s="431"/>
      <c r="AL804" s="431"/>
      <c r="AM804" s="319"/>
    </row>
    <row r="805" spans="1:39" ht="30" outlineLevel="1">
      <c r="A805" s="539">
        <v>12</v>
      </c>
      <c r="B805" s="438" t="s">
        <v>105</v>
      </c>
      <c r="C805" s="304" t="s">
        <v>25</v>
      </c>
      <c r="D805" s="308"/>
      <c r="E805" s="308"/>
      <c r="F805" s="308"/>
      <c r="G805" s="308"/>
      <c r="H805" s="308"/>
      <c r="I805" s="308"/>
      <c r="J805" s="308"/>
      <c r="K805" s="308"/>
      <c r="L805" s="308"/>
      <c r="M805" s="308"/>
      <c r="N805" s="308">
        <v>12</v>
      </c>
      <c r="O805" s="308"/>
      <c r="P805" s="308"/>
      <c r="Q805" s="308"/>
      <c r="R805" s="308"/>
      <c r="S805" s="308"/>
      <c r="T805" s="308"/>
      <c r="U805" s="308"/>
      <c r="V805" s="308"/>
      <c r="W805" s="308"/>
      <c r="X805" s="308"/>
      <c r="Y805" s="422"/>
      <c r="Z805" s="427"/>
      <c r="AA805" s="427"/>
      <c r="AB805" s="427"/>
      <c r="AC805" s="427"/>
      <c r="AD805" s="427"/>
      <c r="AE805" s="427"/>
      <c r="AF805" s="427"/>
      <c r="AG805" s="427"/>
      <c r="AH805" s="427"/>
      <c r="AI805" s="427"/>
      <c r="AJ805" s="427"/>
      <c r="AK805" s="427"/>
      <c r="AL805" s="427"/>
      <c r="AM805" s="309">
        <f>SUM(Y805:AL805)</f>
        <v>0</v>
      </c>
    </row>
    <row r="806" spans="1:39" ht="15" outlineLevel="1">
      <c r="A806" s="539"/>
      <c r="B806" s="307" t="s">
        <v>342</v>
      </c>
      <c r="C806" s="304" t="s">
        <v>163</v>
      </c>
      <c r="D806" s="308"/>
      <c r="E806" s="308"/>
      <c r="F806" s="308"/>
      <c r="G806" s="308"/>
      <c r="H806" s="308"/>
      <c r="I806" s="308"/>
      <c r="J806" s="308"/>
      <c r="K806" s="308"/>
      <c r="L806" s="308"/>
      <c r="M806" s="308"/>
      <c r="N806" s="308">
        <f>N805</f>
        <v>12</v>
      </c>
      <c r="O806" s="308"/>
      <c r="P806" s="308"/>
      <c r="Q806" s="308"/>
      <c r="R806" s="308"/>
      <c r="S806" s="308"/>
      <c r="T806" s="308"/>
      <c r="U806" s="308"/>
      <c r="V806" s="308"/>
      <c r="W806" s="308"/>
      <c r="X806" s="308"/>
      <c r="Y806" s="423">
        <f>Y805</f>
        <v>0</v>
      </c>
      <c r="Z806" s="423">
        <f t="shared" ref="Z806" si="1566">Z805</f>
        <v>0</v>
      </c>
      <c r="AA806" s="423">
        <f t="shared" ref="AA806" si="1567">AA805</f>
        <v>0</v>
      </c>
      <c r="AB806" s="423">
        <f t="shared" ref="AB806" si="1568">AB805</f>
        <v>0</v>
      </c>
      <c r="AC806" s="423">
        <f t="shared" ref="AC806" si="1569">AC805</f>
        <v>0</v>
      </c>
      <c r="AD806" s="423">
        <f t="shared" ref="AD806" si="1570">AD805</f>
        <v>0</v>
      </c>
      <c r="AE806" s="423">
        <f t="shared" ref="AE806" si="1571">AE805</f>
        <v>0</v>
      </c>
      <c r="AF806" s="423">
        <f t="shared" ref="AF806" si="1572">AF805</f>
        <v>0</v>
      </c>
      <c r="AG806" s="423">
        <f t="shared" ref="AG806" si="1573">AG805</f>
        <v>0</v>
      </c>
      <c r="AH806" s="423">
        <f t="shared" ref="AH806" si="1574">AH805</f>
        <v>0</v>
      </c>
      <c r="AI806" s="423">
        <f t="shared" ref="AI806" si="1575">AI805</f>
        <v>0</v>
      </c>
      <c r="AJ806" s="423">
        <f t="shared" ref="AJ806" si="1576">AJ805</f>
        <v>0</v>
      </c>
      <c r="AK806" s="423">
        <f t="shared" ref="AK806" si="1577">AK805</f>
        <v>0</v>
      </c>
      <c r="AL806" s="423">
        <f t="shared" ref="AL806" si="1578">AL805</f>
        <v>0</v>
      </c>
      <c r="AM806" s="310"/>
    </row>
    <row r="807" spans="1:39" ht="15" outlineLevel="1">
      <c r="A807" s="539"/>
      <c r="B807" s="328"/>
      <c r="C807" s="318"/>
      <c r="D807" s="304"/>
      <c r="E807" s="304"/>
      <c r="F807" s="304"/>
      <c r="G807" s="304"/>
      <c r="H807" s="304"/>
      <c r="I807" s="304"/>
      <c r="J807" s="304"/>
      <c r="K807" s="304"/>
      <c r="L807" s="304"/>
      <c r="M807" s="304"/>
      <c r="N807" s="304"/>
      <c r="O807" s="304"/>
      <c r="P807" s="304"/>
      <c r="Q807" s="304"/>
      <c r="R807" s="304"/>
      <c r="S807" s="304"/>
      <c r="T807" s="304"/>
      <c r="U807" s="304"/>
      <c r="V807" s="304"/>
      <c r="W807" s="304"/>
      <c r="X807" s="304"/>
      <c r="Y807" s="432"/>
      <c r="Z807" s="432"/>
      <c r="AA807" s="424"/>
      <c r="AB807" s="424"/>
      <c r="AC807" s="424"/>
      <c r="AD807" s="424"/>
      <c r="AE807" s="424"/>
      <c r="AF807" s="424"/>
      <c r="AG807" s="424"/>
      <c r="AH807" s="424"/>
      <c r="AI807" s="424"/>
      <c r="AJ807" s="424"/>
      <c r="AK807" s="424"/>
      <c r="AL807" s="424"/>
      <c r="AM807" s="319"/>
    </row>
    <row r="808" spans="1:39" ht="30" outlineLevel="1">
      <c r="A808" s="539">
        <v>13</v>
      </c>
      <c r="B808" s="438" t="s">
        <v>106</v>
      </c>
      <c r="C808" s="304" t="s">
        <v>25</v>
      </c>
      <c r="D808" s="308"/>
      <c r="E808" s="308"/>
      <c r="F808" s="308"/>
      <c r="G808" s="308"/>
      <c r="H808" s="308"/>
      <c r="I808" s="308"/>
      <c r="J808" s="308"/>
      <c r="K808" s="308"/>
      <c r="L808" s="308"/>
      <c r="M808" s="308"/>
      <c r="N808" s="308">
        <v>12</v>
      </c>
      <c r="O808" s="308"/>
      <c r="P808" s="308"/>
      <c r="Q808" s="308"/>
      <c r="R808" s="308"/>
      <c r="S808" s="308"/>
      <c r="T808" s="308"/>
      <c r="U808" s="308"/>
      <c r="V808" s="308"/>
      <c r="W808" s="308"/>
      <c r="X808" s="308"/>
      <c r="Y808" s="422"/>
      <c r="Z808" s="427"/>
      <c r="AA808" s="427"/>
      <c r="AB808" s="427"/>
      <c r="AC808" s="427"/>
      <c r="AD808" s="427"/>
      <c r="AE808" s="427"/>
      <c r="AF808" s="427"/>
      <c r="AG808" s="427"/>
      <c r="AH808" s="427"/>
      <c r="AI808" s="427"/>
      <c r="AJ808" s="427"/>
      <c r="AK808" s="427"/>
      <c r="AL808" s="427"/>
      <c r="AM808" s="309">
        <f>SUM(Y808:AL808)</f>
        <v>0</v>
      </c>
    </row>
    <row r="809" spans="1:39" ht="15" outlineLevel="1">
      <c r="A809" s="539"/>
      <c r="B809" s="307" t="s">
        <v>342</v>
      </c>
      <c r="C809" s="304" t="s">
        <v>163</v>
      </c>
      <c r="D809" s="308"/>
      <c r="E809" s="308"/>
      <c r="F809" s="308"/>
      <c r="G809" s="308"/>
      <c r="H809" s="308"/>
      <c r="I809" s="308"/>
      <c r="J809" s="308"/>
      <c r="K809" s="308"/>
      <c r="L809" s="308"/>
      <c r="M809" s="308"/>
      <c r="N809" s="308">
        <f>N808</f>
        <v>12</v>
      </c>
      <c r="O809" s="308"/>
      <c r="P809" s="308"/>
      <c r="Q809" s="308"/>
      <c r="R809" s="308"/>
      <c r="S809" s="308"/>
      <c r="T809" s="308"/>
      <c r="U809" s="308"/>
      <c r="V809" s="308"/>
      <c r="W809" s="308"/>
      <c r="X809" s="308"/>
      <c r="Y809" s="423">
        <f>Y808</f>
        <v>0</v>
      </c>
      <c r="Z809" s="423">
        <f t="shared" ref="Z809" si="1579">Z808</f>
        <v>0</v>
      </c>
      <c r="AA809" s="423">
        <f t="shared" ref="AA809" si="1580">AA808</f>
        <v>0</v>
      </c>
      <c r="AB809" s="423">
        <f t="shared" ref="AB809" si="1581">AB808</f>
        <v>0</v>
      </c>
      <c r="AC809" s="423">
        <f t="shared" ref="AC809" si="1582">AC808</f>
        <v>0</v>
      </c>
      <c r="AD809" s="423">
        <f t="shared" ref="AD809" si="1583">AD808</f>
        <v>0</v>
      </c>
      <c r="AE809" s="423">
        <f t="shared" ref="AE809" si="1584">AE808</f>
        <v>0</v>
      </c>
      <c r="AF809" s="423">
        <f t="shared" ref="AF809" si="1585">AF808</f>
        <v>0</v>
      </c>
      <c r="AG809" s="423">
        <f t="shared" ref="AG809" si="1586">AG808</f>
        <v>0</v>
      </c>
      <c r="AH809" s="423">
        <f t="shared" ref="AH809" si="1587">AH808</f>
        <v>0</v>
      </c>
      <c r="AI809" s="423">
        <f t="shared" ref="AI809" si="1588">AI808</f>
        <v>0</v>
      </c>
      <c r="AJ809" s="423">
        <f t="shared" ref="AJ809" si="1589">AJ808</f>
        <v>0</v>
      </c>
      <c r="AK809" s="423">
        <f t="shared" ref="AK809" si="1590">AK808</f>
        <v>0</v>
      </c>
      <c r="AL809" s="423">
        <f t="shared" ref="AL809" si="1591">AL808</f>
        <v>0</v>
      </c>
      <c r="AM809" s="319"/>
    </row>
    <row r="810" spans="1:39" ht="15" outlineLevel="1">
      <c r="A810" s="539"/>
      <c r="B810" s="328"/>
      <c r="C810" s="318"/>
      <c r="D810" s="304"/>
      <c r="E810" s="304"/>
      <c r="F810" s="304"/>
      <c r="G810" s="304"/>
      <c r="H810" s="304"/>
      <c r="I810" s="304"/>
      <c r="J810" s="304"/>
      <c r="K810" s="304"/>
      <c r="L810" s="304"/>
      <c r="M810" s="304"/>
      <c r="N810" s="304"/>
      <c r="O810" s="304"/>
      <c r="P810" s="304"/>
      <c r="Q810" s="304"/>
      <c r="R810" s="304"/>
      <c r="S810" s="304"/>
      <c r="T810" s="304"/>
      <c r="U810" s="304"/>
      <c r="V810" s="304"/>
      <c r="W810" s="304"/>
      <c r="X810" s="304"/>
      <c r="Y810" s="424"/>
      <c r="Z810" s="424"/>
      <c r="AA810" s="424"/>
      <c r="AB810" s="424"/>
      <c r="AC810" s="424"/>
      <c r="AD810" s="424"/>
      <c r="AE810" s="424"/>
      <c r="AF810" s="424"/>
      <c r="AG810" s="424"/>
      <c r="AH810" s="424"/>
      <c r="AI810" s="424"/>
      <c r="AJ810" s="424"/>
      <c r="AK810" s="424"/>
      <c r="AL810" s="424"/>
      <c r="AM810" s="319"/>
    </row>
    <row r="811" spans="1:39" ht="15.6" outlineLevel="1">
      <c r="A811" s="539"/>
      <c r="B811" s="301" t="s">
        <v>107</v>
      </c>
      <c r="C811" s="302"/>
      <c r="D811" s="303"/>
      <c r="E811" s="303"/>
      <c r="F811" s="303"/>
      <c r="G811" s="303"/>
      <c r="H811" s="303"/>
      <c r="I811" s="303"/>
      <c r="J811" s="303"/>
      <c r="K811" s="303"/>
      <c r="L811" s="303"/>
      <c r="M811" s="303"/>
      <c r="N811" s="303"/>
      <c r="O811" s="303"/>
      <c r="P811" s="302"/>
      <c r="Q811" s="302"/>
      <c r="R811" s="302"/>
      <c r="S811" s="302"/>
      <c r="T811" s="302"/>
      <c r="U811" s="302"/>
      <c r="V811" s="302"/>
      <c r="W811" s="302"/>
      <c r="X811" s="302"/>
      <c r="Y811" s="426"/>
      <c r="Z811" s="426"/>
      <c r="AA811" s="426"/>
      <c r="AB811" s="426"/>
      <c r="AC811" s="426"/>
      <c r="AD811" s="426"/>
      <c r="AE811" s="426"/>
      <c r="AF811" s="426"/>
      <c r="AG811" s="426"/>
      <c r="AH811" s="426"/>
      <c r="AI811" s="426"/>
      <c r="AJ811" s="426"/>
      <c r="AK811" s="426"/>
      <c r="AL811" s="426"/>
      <c r="AM811" s="305"/>
    </row>
    <row r="812" spans="1:39" ht="15" outlineLevel="1">
      <c r="A812" s="539">
        <v>14</v>
      </c>
      <c r="B812" s="328" t="s">
        <v>108</v>
      </c>
      <c r="C812" s="304" t="s">
        <v>25</v>
      </c>
      <c r="D812" s="308"/>
      <c r="E812" s="308"/>
      <c r="F812" s="308"/>
      <c r="G812" s="308"/>
      <c r="H812" s="308"/>
      <c r="I812" s="308"/>
      <c r="J812" s="308"/>
      <c r="K812" s="308"/>
      <c r="L812" s="308"/>
      <c r="M812" s="308"/>
      <c r="N812" s="308">
        <v>12</v>
      </c>
      <c r="O812" s="308"/>
      <c r="P812" s="308"/>
      <c r="Q812" s="308"/>
      <c r="R812" s="308"/>
      <c r="S812" s="308"/>
      <c r="T812" s="308"/>
      <c r="U812" s="308"/>
      <c r="V812" s="308"/>
      <c r="W812" s="308"/>
      <c r="X812" s="308"/>
      <c r="Y812" s="427"/>
      <c r="Z812" s="427"/>
      <c r="AA812" s="427"/>
      <c r="AB812" s="427"/>
      <c r="AC812" s="427"/>
      <c r="AD812" s="427"/>
      <c r="AE812" s="427"/>
      <c r="AF812" s="422"/>
      <c r="AG812" s="422"/>
      <c r="AH812" s="422"/>
      <c r="AI812" s="422"/>
      <c r="AJ812" s="422"/>
      <c r="AK812" s="422"/>
      <c r="AL812" s="422"/>
      <c r="AM812" s="309">
        <f>SUM(Y812:AL812)</f>
        <v>0</v>
      </c>
    </row>
    <row r="813" spans="1:39" ht="15" outlineLevel="1">
      <c r="A813" s="539"/>
      <c r="B813" s="307" t="s">
        <v>342</v>
      </c>
      <c r="C813" s="304" t="s">
        <v>163</v>
      </c>
      <c r="D813" s="308"/>
      <c r="E813" s="308"/>
      <c r="F813" s="308"/>
      <c r="G813" s="308"/>
      <c r="H813" s="308"/>
      <c r="I813" s="308"/>
      <c r="J813" s="308"/>
      <c r="K813" s="308"/>
      <c r="L813" s="308"/>
      <c r="M813" s="308"/>
      <c r="N813" s="308">
        <f>N812</f>
        <v>12</v>
      </c>
      <c r="O813" s="308"/>
      <c r="P813" s="308"/>
      <c r="Q813" s="308"/>
      <c r="R813" s="308"/>
      <c r="S813" s="308"/>
      <c r="T813" s="308"/>
      <c r="U813" s="308"/>
      <c r="V813" s="308"/>
      <c r="W813" s="308"/>
      <c r="X813" s="308"/>
      <c r="Y813" s="423">
        <f>Y812</f>
        <v>0</v>
      </c>
      <c r="Z813" s="423">
        <f t="shared" ref="Z813" si="1592">Z812</f>
        <v>0</v>
      </c>
      <c r="AA813" s="423">
        <f t="shared" ref="AA813" si="1593">AA812</f>
        <v>0</v>
      </c>
      <c r="AB813" s="423">
        <f t="shared" ref="AB813" si="1594">AB812</f>
        <v>0</v>
      </c>
      <c r="AC813" s="423">
        <f t="shared" ref="AC813" si="1595">AC812</f>
        <v>0</v>
      </c>
      <c r="AD813" s="423">
        <f t="shared" ref="AD813" si="1596">AD812</f>
        <v>0</v>
      </c>
      <c r="AE813" s="423">
        <f t="shared" ref="AE813" si="1597">AE812</f>
        <v>0</v>
      </c>
      <c r="AF813" s="423">
        <f t="shared" ref="AF813" si="1598">AF812</f>
        <v>0</v>
      </c>
      <c r="AG813" s="423">
        <f t="shared" ref="AG813" si="1599">AG812</f>
        <v>0</v>
      </c>
      <c r="AH813" s="423">
        <f t="shared" ref="AH813" si="1600">AH812</f>
        <v>0</v>
      </c>
      <c r="AI813" s="423">
        <f t="shared" ref="AI813" si="1601">AI812</f>
        <v>0</v>
      </c>
      <c r="AJ813" s="423">
        <f t="shared" ref="AJ813" si="1602">AJ812</f>
        <v>0</v>
      </c>
      <c r="AK813" s="423">
        <f t="shared" ref="AK813" si="1603">AK812</f>
        <v>0</v>
      </c>
      <c r="AL813" s="423">
        <f t="shared" ref="AL813" si="1604">AL812</f>
        <v>0</v>
      </c>
      <c r="AM813" s="310"/>
    </row>
    <row r="814" spans="1:39" ht="15" outlineLevel="1">
      <c r="A814" s="539"/>
      <c r="B814" s="328"/>
      <c r="C814" s="318"/>
      <c r="D814" s="304"/>
      <c r="E814" s="304"/>
      <c r="F814" s="304"/>
      <c r="G814" s="304"/>
      <c r="H814" s="304"/>
      <c r="I814" s="304"/>
      <c r="J814" s="304"/>
      <c r="K814" s="304"/>
      <c r="L814" s="304"/>
      <c r="M814" s="304"/>
      <c r="N814" s="477"/>
      <c r="O814" s="304"/>
      <c r="P814" s="304"/>
      <c r="Q814" s="304"/>
      <c r="R814" s="304"/>
      <c r="S814" s="304"/>
      <c r="T814" s="304"/>
      <c r="U814" s="304"/>
      <c r="V814" s="304"/>
      <c r="W814" s="304"/>
      <c r="X814" s="304"/>
      <c r="Y814" s="424"/>
      <c r="Z814" s="424"/>
      <c r="AA814" s="424"/>
      <c r="AB814" s="424"/>
      <c r="AC814" s="424"/>
      <c r="AD814" s="424"/>
      <c r="AE814" s="424"/>
      <c r="AF814" s="424"/>
      <c r="AG814" s="424"/>
      <c r="AH814" s="424"/>
      <c r="AI814" s="424"/>
      <c r="AJ814" s="424"/>
      <c r="AK814" s="424"/>
      <c r="AL814" s="424"/>
      <c r="AM814" s="319"/>
    </row>
    <row r="815" spans="1:39" s="322" customFormat="1" ht="15.6" outlineLevel="1">
      <c r="A815" s="539"/>
      <c r="B815" s="301" t="s">
        <v>489</v>
      </c>
      <c r="C815" s="304"/>
      <c r="D815" s="304"/>
      <c r="E815" s="304"/>
      <c r="F815" s="304"/>
      <c r="G815" s="304"/>
      <c r="H815" s="304"/>
      <c r="I815" s="304"/>
      <c r="J815" s="304"/>
      <c r="K815" s="304"/>
      <c r="L815" s="304"/>
      <c r="M815" s="304"/>
      <c r="N815" s="304"/>
      <c r="O815" s="304"/>
      <c r="P815" s="304"/>
      <c r="Q815" s="304"/>
      <c r="R815" s="304"/>
      <c r="S815" s="304"/>
      <c r="T815" s="304"/>
      <c r="U815" s="304"/>
      <c r="V815" s="304"/>
      <c r="W815" s="304"/>
      <c r="X815" s="304"/>
      <c r="Y815" s="424"/>
      <c r="Z815" s="424"/>
      <c r="AA815" s="424"/>
      <c r="AB815" s="424"/>
      <c r="AC815" s="424"/>
      <c r="AD815" s="424"/>
      <c r="AE815" s="428"/>
      <c r="AF815" s="428"/>
      <c r="AG815" s="428"/>
      <c r="AH815" s="428"/>
      <c r="AI815" s="428"/>
      <c r="AJ815" s="428"/>
      <c r="AK815" s="428"/>
      <c r="AL815" s="428"/>
      <c r="AM815" s="524"/>
    </row>
    <row r="816" spans="1:39" ht="15" outlineLevel="1">
      <c r="A816" s="539">
        <v>15</v>
      </c>
      <c r="B816" s="307" t="s">
        <v>494</v>
      </c>
      <c r="C816" s="304" t="s">
        <v>25</v>
      </c>
      <c r="D816" s="308"/>
      <c r="E816" s="308"/>
      <c r="F816" s="308"/>
      <c r="G816" s="308"/>
      <c r="H816" s="308"/>
      <c r="I816" s="308"/>
      <c r="J816" s="308"/>
      <c r="K816" s="308"/>
      <c r="L816" s="308"/>
      <c r="M816" s="308"/>
      <c r="N816" s="308">
        <v>0</v>
      </c>
      <c r="O816" s="308"/>
      <c r="P816" s="308"/>
      <c r="Q816" s="308"/>
      <c r="R816" s="308"/>
      <c r="S816" s="308"/>
      <c r="T816" s="308"/>
      <c r="U816" s="308"/>
      <c r="V816" s="308"/>
      <c r="W816" s="308"/>
      <c r="X816" s="308"/>
      <c r="Y816" s="427"/>
      <c r="Z816" s="427"/>
      <c r="AA816" s="427"/>
      <c r="AB816" s="427"/>
      <c r="AC816" s="427"/>
      <c r="AD816" s="427"/>
      <c r="AE816" s="427"/>
      <c r="AF816" s="422"/>
      <c r="AG816" s="422"/>
      <c r="AH816" s="422"/>
      <c r="AI816" s="422"/>
      <c r="AJ816" s="422"/>
      <c r="AK816" s="422"/>
      <c r="AL816" s="422"/>
      <c r="AM816" s="309">
        <f>SUM(Y816:AL816)</f>
        <v>0</v>
      </c>
    </row>
    <row r="817" spans="1:39" ht="15" outlineLevel="1">
      <c r="A817" s="539"/>
      <c r="B817" s="307" t="s">
        <v>342</v>
      </c>
      <c r="C817" s="304" t="s">
        <v>163</v>
      </c>
      <c r="D817" s="308"/>
      <c r="E817" s="308"/>
      <c r="F817" s="308"/>
      <c r="G817" s="308"/>
      <c r="H817" s="308"/>
      <c r="I817" s="308"/>
      <c r="J817" s="308"/>
      <c r="K817" s="308"/>
      <c r="L817" s="308"/>
      <c r="M817" s="308"/>
      <c r="N817" s="308">
        <f>N816</f>
        <v>0</v>
      </c>
      <c r="O817" s="308"/>
      <c r="P817" s="308"/>
      <c r="Q817" s="308"/>
      <c r="R817" s="308"/>
      <c r="S817" s="308"/>
      <c r="T817" s="308"/>
      <c r="U817" s="308"/>
      <c r="V817" s="308"/>
      <c r="W817" s="308"/>
      <c r="X817" s="308"/>
      <c r="Y817" s="423">
        <f>Y816</f>
        <v>0</v>
      </c>
      <c r="Z817" s="423">
        <f t="shared" ref="Z817:AL817" si="1605">Z816</f>
        <v>0</v>
      </c>
      <c r="AA817" s="423">
        <f t="shared" si="1605"/>
        <v>0</v>
      </c>
      <c r="AB817" s="423">
        <f t="shared" si="1605"/>
        <v>0</v>
      </c>
      <c r="AC817" s="423">
        <f t="shared" si="1605"/>
        <v>0</v>
      </c>
      <c r="AD817" s="423">
        <f t="shared" si="1605"/>
        <v>0</v>
      </c>
      <c r="AE817" s="423">
        <f t="shared" si="1605"/>
        <v>0</v>
      </c>
      <c r="AF817" s="423">
        <f t="shared" si="1605"/>
        <v>0</v>
      </c>
      <c r="AG817" s="423">
        <f t="shared" si="1605"/>
        <v>0</v>
      </c>
      <c r="AH817" s="423">
        <f t="shared" si="1605"/>
        <v>0</v>
      </c>
      <c r="AI817" s="423">
        <f t="shared" si="1605"/>
        <v>0</v>
      </c>
      <c r="AJ817" s="423">
        <f t="shared" si="1605"/>
        <v>0</v>
      </c>
      <c r="AK817" s="423">
        <f t="shared" si="1605"/>
        <v>0</v>
      </c>
      <c r="AL817" s="423">
        <f t="shared" si="1605"/>
        <v>0</v>
      </c>
      <c r="AM817" s="310"/>
    </row>
    <row r="818" spans="1:39" ht="15" outlineLevel="1">
      <c r="A818" s="539"/>
      <c r="B818" s="328"/>
      <c r="C818" s="318"/>
      <c r="D818" s="304"/>
      <c r="E818" s="304"/>
      <c r="F818" s="304"/>
      <c r="G818" s="304"/>
      <c r="H818" s="304"/>
      <c r="I818" s="304"/>
      <c r="J818" s="304"/>
      <c r="K818" s="304"/>
      <c r="L818" s="304"/>
      <c r="M818" s="304"/>
      <c r="N818" s="304"/>
      <c r="O818" s="304"/>
      <c r="P818" s="304"/>
      <c r="Q818" s="304"/>
      <c r="R818" s="304"/>
      <c r="S818" s="304"/>
      <c r="T818" s="304"/>
      <c r="U818" s="304"/>
      <c r="V818" s="304"/>
      <c r="W818" s="304"/>
      <c r="X818" s="304"/>
      <c r="Y818" s="424"/>
      <c r="Z818" s="424"/>
      <c r="AA818" s="424"/>
      <c r="AB818" s="424"/>
      <c r="AC818" s="424"/>
      <c r="AD818" s="424"/>
      <c r="AE818" s="424"/>
      <c r="AF818" s="424"/>
      <c r="AG818" s="424"/>
      <c r="AH818" s="424"/>
      <c r="AI818" s="424"/>
      <c r="AJ818" s="424"/>
      <c r="AK818" s="424"/>
      <c r="AL818" s="424"/>
      <c r="AM818" s="319"/>
    </row>
    <row r="819" spans="1:39" s="296" customFormat="1" ht="15" outlineLevel="1">
      <c r="A819" s="539">
        <v>16</v>
      </c>
      <c r="B819" s="336" t="s">
        <v>490</v>
      </c>
      <c r="C819" s="304" t="s">
        <v>25</v>
      </c>
      <c r="D819" s="308"/>
      <c r="E819" s="308"/>
      <c r="F819" s="308"/>
      <c r="G819" s="308"/>
      <c r="H819" s="308"/>
      <c r="I819" s="308"/>
      <c r="J819" s="308"/>
      <c r="K819" s="308"/>
      <c r="L819" s="308"/>
      <c r="M819" s="308"/>
      <c r="N819" s="308">
        <v>0</v>
      </c>
      <c r="O819" s="308"/>
      <c r="P819" s="308"/>
      <c r="Q819" s="308"/>
      <c r="R819" s="308"/>
      <c r="S819" s="308"/>
      <c r="T819" s="308"/>
      <c r="U819" s="308"/>
      <c r="V819" s="308"/>
      <c r="W819" s="308"/>
      <c r="X819" s="308"/>
      <c r="Y819" s="427"/>
      <c r="Z819" s="427"/>
      <c r="AA819" s="427"/>
      <c r="AB819" s="427"/>
      <c r="AC819" s="427"/>
      <c r="AD819" s="427"/>
      <c r="AE819" s="427"/>
      <c r="AF819" s="422"/>
      <c r="AG819" s="422"/>
      <c r="AH819" s="422"/>
      <c r="AI819" s="422"/>
      <c r="AJ819" s="422"/>
      <c r="AK819" s="422"/>
      <c r="AL819" s="422"/>
      <c r="AM819" s="309">
        <f>SUM(Y819:AL819)</f>
        <v>0</v>
      </c>
    </row>
    <row r="820" spans="1:39" s="296" customFormat="1" ht="15" outlineLevel="1">
      <c r="A820" s="539"/>
      <c r="B820" s="307" t="s">
        <v>342</v>
      </c>
      <c r="C820" s="304" t="s">
        <v>163</v>
      </c>
      <c r="D820" s="308"/>
      <c r="E820" s="308"/>
      <c r="F820" s="308"/>
      <c r="G820" s="308"/>
      <c r="H820" s="308"/>
      <c r="I820" s="308"/>
      <c r="J820" s="308"/>
      <c r="K820" s="308"/>
      <c r="L820" s="308"/>
      <c r="M820" s="308"/>
      <c r="N820" s="308">
        <f>N819</f>
        <v>0</v>
      </c>
      <c r="O820" s="308"/>
      <c r="P820" s="308"/>
      <c r="Q820" s="308"/>
      <c r="R820" s="308"/>
      <c r="S820" s="308"/>
      <c r="T820" s="308"/>
      <c r="U820" s="308"/>
      <c r="V820" s="308"/>
      <c r="W820" s="308"/>
      <c r="X820" s="308"/>
      <c r="Y820" s="423">
        <f>Y819</f>
        <v>0</v>
      </c>
      <c r="Z820" s="423">
        <f t="shared" ref="Z820:AL820" si="1606">Z819</f>
        <v>0</v>
      </c>
      <c r="AA820" s="423">
        <f t="shared" si="1606"/>
        <v>0</v>
      </c>
      <c r="AB820" s="423">
        <f t="shared" si="1606"/>
        <v>0</v>
      </c>
      <c r="AC820" s="423">
        <f t="shared" si="1606"/>
        <v>0</v>
      </c>
      <c r="AD820" s="423">
        <f t="shared" si="1606"/>
        <v>0</v>
      </c>
      <c r="AE820" s="423">
        <f t="shared" si="1606"/>
        <v>0</v>
      </c>
      <c r="AF820" s="423">
        <f t="shared" si="1606"/>
        <v>0</v>
      </c>
      <c r="AG820" s="423">
        <f t="shared" si="1606"/>
        <v>0</v>
      </c>
      <c r="AH820" s="423">
        <f t="shared" si="1606"/>
        <v>0</v>
      </c>
      <c r="AI820" s="423">
        <f t="shared" si="1606"/>
        <v>0</v>
      </c>
      <c r="AJ820" s="423">
        <f t="shared" si="1606"/>
        <v>0</v>
      </c>
      <c r="AK820" s="423">
        <f t="shared" si="1606"/>
        <v>0</v>
      </c>
      <c r="AL820" s="423">
        <f t="shared" si="1606"/>
        <v>0</v>
      </c>
      <c r="AM820" s="310"/>
    </row>
    <row r="821" spans="1:39" s="296" customFormat="1" ht="15" outlineLevel="1">
      <c r="A821" s="539"/>
      <c r="B821" s="336"/>
      <c r="C821" s="304"/>
      <c r="D821" s="304"/>
      <c r="E821" s="304"/>
      <c r="F821" s="304"/>
      <c r="G821" s="304"/>
      <c r="H821" s="304"/>
      <c r="I821" s="304"/>
      <c r="J821" s="304"/>
      <c r="K821" s="304"/>
      <c r="L821" s="304"/>
      <c r="M821" s="304"/>
      <c r="N821" s="304"/>
      <c r="O821" s="304"/>
      <c r="P821" s="304"/>
      <c r="Q821" s="304"/>
      <c r="R821" s="304"/>
      <c r="S821" s="304"/>
      <c r="T821" s="304"/>
      <c r="U821" s="304"/>
      <c r="V821" s="304"/>
      <c r="W821" s="304"/>
      <c r="X821" s="304"/>
      <c r="Y821" s="424"/>
      <c r="Z821" s="424"/>
      <c r="AA821" s="424"/>
      <c r="AB821" s="424"/>
      <c r="AC821" s="424"/>
      <c r="AD821" s="424"/>
      <c r="AE821" s="428"/>
      <c r="AF821" s="428"/>
      <c r="AG821" s="428"/>
      <c r="AH821" s="428"/>
      <c r="AI821" s="428"/>
      <c r="AJ821" s="428"/>
      <c r="AK821" s="428"/>
      <c r="AL821" s="428"/>
      <c r="AM821" s="326"/>
    </row>
    <row r="822" spans="1:39" ht="15.6" outlineLevel="1">
      <c r="A822" s="539"/>
      <c r="B822" s="526" t="s">
        <v>495</v>
      </c>
      <c r="C822" s="332"/>
      <c r="D822" s="303"/>
      <c r="E822" s="302"/>
      <c r="F822" s="302"/>
      <c r="G822" s="302"/>
      <c r="H822" s="302"/>
      <c r="I822" s="302"/>
      <c r="J822" s="302"/>
      <c r="K822" s="302"/>
      <c r="L822" s="302"/>
      <c r="M822" s="302"/>
      <c r="N822" s="303"/>
      <c r="O822" s="302"/>
      <c r="P822" s="302"/>
      <c r="Q822" s="302"/>
      <c r="R822" s="302"/>
      <c r="S822" s="302"/>
      <c r="T822" s="302"/>
      <c r="U822" s="302"/>
      <c r="V822" s="302"/>
      <c r="W822" s="302"/>
      <c r="X822" s="302"/>
      <c r="Y822" s="426"/>
      <c r="Z822" s="426"/>
      <c r="AA822" s="426"/>
      <c r="AB822" s="426"/>
      <c r="AC822" s="426"/>
      <c r="AD822" s="426"/>
      <c r="AE822" s="426"/>
      <c r="AF822" s="426"/>
      <c r="AG822" s="426"/>
      <c r="AH822" s="426"/>
      <c r="AI822" s="426"/>
      <c r="AJ822" s="426"/>
      <c r="AK822" s="426"/>
      <c r="AL822" s="426"/>
      <c r="AM822" s="305"/>
    </row>
    <row r="823" spans="1:39" ht="15" outlineLevel="1">
      <c r="A823" s="539">
        <v>17</v>
      </c>
      <c r="B823" s="438" t="s">
        <v>112</v>
      </c>
      <c r="C823" s="304" t="s">
        <v>25</v>
      </c>
      <c r="D823" s="308"/>
      <c r="E823" s="308"/>
      <c r="F823" s="308"/>
      <c r="G823" s="308"/>
      <c r="H823" s="308"/>
      <c r="I823" s="308"/>
      <c r="J823" s="308"/>
      <c r="K823" s="308"/>
      <c r="L823" s="308"/>
      <c r="M823" s="308"/>
      <c r="N823" s="308">
        <v>12</v>
      </c>
      <c r="O823" s="308"/>
      <c r="P823" s="308"/>
      <c r="Q823" s="308"/>
      <c r="R823" s="308"/>
      <c r="S823" s="308"/>
      <c r="T823" s="308"/>
      <c r="U823" s="308"/>
      <c r="V823" s="308"/>
      <c r="W823" s="308"/>
      <c r="X823" s="308"/>
      <c r="Y823" s="436"/>
      <c r="Z823" s="422"/>
      <c r="AA823" s="422"/>
      <c r="AB823" s="422"/>
      <c r="AC823" s="422"/>
      <c r="AD823" s="422"/>
      <c r="AE823" s="422"/>
      <c r="AF823" s="427"/>
      <c r="AG823" s="427"/>
      <c r="AH823" s="427"/>
      <c r="AI823" s="427"/>
      <c r="AJ823" s="427"/>
      <c r="AK823" s="427"/>
      <c r="AL823" s="427"/>
      <c r="AM823" s="309">
        <f>SUM(Y823:AL823)</f>
        <v>0</v>
      </c>
    </row>
    <row r="824" spans="1:39" ht="15" outlineLevel="1">
      <c r="A824" s="539"/>
      <c r="B824" s="307" t="s">
        <v>342</v>
      </c>
      <c r="C824" s="304" t="s">
        <v>163</v>
      </c>
      <c r="D824" s="308"/>
      <c r="E824" s="308"/>
      <c r="F824" s="308"/>
      <c r="G824" s="308"/>
      <c r="H824" s="308"/>
      <c r="I824" s="308"/>
      <c r="J824" s="308"/>
      <c r="K824" s="308"/>
      <c r="L824" s="308"/>
      <c r="M824" s="308"/>
      <c r="N824" s="308">
        <f>N823</f>
        <v>12</v>
      </c>
      <c r="O824" s="308"/>
      <c r="P824" s="308"/>
      <c r="Q824" s="308"/>
      <c r="R824" s="308"/>
      <c r="S824" s="308"/>
      <c r="T824" s="308"/>
      <c r="U824" s="308"/>
      <c r="V824" s="308"/>
      <c r="W824" s="308"/>
      <c r="X824" s="308"/>
      <c r="Y824" s="423">
        <f>Y823</f>
        <v>0</v>
      </c>
      <c r="Z824" s="423">
        <f t="shared" ref="Z824:AL824" si="1607">Z823</f>
        <v>0</v>
      </c>
      <c r="AA824" s="423">
        <f t="shared" si="1607"/>
        <v>0</v>
      </c>
      <c r="AB824" s="423">
        <f t="shared" si="1607"/>
        <v>0</v>
      </c>
      <c r="AC824" s="423">
        <f t="shared" si="1607"/>
        <v>0</v>
      </c>
      <c r="AD824" s="423">
        <f t="shared" si="1607"/>
        <v>0</v>
      </c>
      <c r="AE824" s="423">
        <f t="shared" si="1607"/>
        <v>0</v>
      </c>
      <c r="AF824" s="423">
        <f t="shared" si="1607"/>
        <v>0</v>
      </c>
      <c r="AG824" s="423">
        <f t="shared" si="1607"/>
        <v>0</v>
      </c>
      <c r="AH824" s="423">
        <f t="shared" si="1607"/>
        <v>0</v>
      </c>
      <c r="AI824" s="423">
        <f t="shared" si="1607"/>
        <v>0</v>
      </c>
      <c r="AJ824" s="423">
        <f t="shared" si="1607"/>
        <v>0</v>
      </c>
      <c r="AK824" s="423">
        <f t="shared" si="1607"/>
        <v>0</v>
      </c>
      <c r="AL824" s="423">
        <f t="shared" si="1607"/>
        <v>0</v>
      </c>
      <c r="AM824" s="319"/>
    </row>
    <row r="825" spans="1:39" ht="15" outlineLevel="1">
      <c r="A825" s="539"/>
      <c r="B825" s="307"/>
      <c r="C825" s="304"/>
      <c r="D825" s="304"/>
      <c r="E825" s="304"/>
      <c r="F825" s="304"/>
      <c r="G825" s="304"/>
      <c r="H825" s="304"/>
      <c r="I825" s="304"/>
      <c r="J825" s="304"/>
      <c r="K825" s="304"/>
      <c r="L825" s="304"/>
      <c r="M825" s="304"/>
      <c r="N825" s="304"/>
      <c r="O825" s="304"/>
      <c r="P825" s="304"/>
      <c r="Q825" s="304"/>
      <c r="R825" s="304"/>
      <c r="S825" s="304"/>
      <c r="T825" s="304"/>
      <c r="U825" s="304"/>
      <c r="V825" s="304"/>
      <c r="W825" s="304"/>
      <c r="X825" s="304"/>
      <c r="Y825" s="432"/>
      <c r="Z825" s="435"/>
      <c r="AA825" s="435"/>
      <c r="AB825" s="435"/>
      <c r="AC825" s="435"/>
      <c r="AD825" s="435"/>
      <c r="AE825" s="435"/>
      <c r="AF825" s="435"/>
      <c r="AG825" s="435"/>
      <c r="AH825" s="435"/>
      <c r="AI825" s="435"/>
      <c r="AJ825" s="435"/>
      <c r="AK825" s="435"/>
      <c r="AL825" s="435"/>
      <c r="AM825" s="319"/>
    </row>
    <row r="826" spans="1:39" ht="15" outlineLevel="1">
      <c r="A826" s="539">
        <v>18</v>
      </c>
      <c r="B826" s="438" t="s">
        <v>109</v>
      </c>
      <c r="C826" s="304" t="s">
        <v>25</v>
      </c>
      <c r="D826" s="308"/>
      <c r="E826" s="308"/>
      <c r="F826" s="308"/>
      <c r="G826" s="308"/>
      <c r="H826" s="308"/>
      <c r="I826" s="308"/>
      <c r="J826" s="308"/>
      <c r="K826" s="308"/>
      <c r="L826" s="308"/>
      <c r="M826" s="308"/>
      <c r="N826" s="308">
        <v>12</v>
      </c>
      <c r="O826" s="308"/>
      <c r="P826" s="308"/>
      <c r="Q826" s="308"/>
      <c r="R826" s="308"/>
      <c r="S826" s="308"/>
      <c r="T826" s="308"/>
      <c r="U826" s="308"/>
      <c r="V826" s="308"/>
      <c r="W826" s="308"/>
      <c r="X826" s="308"/>
      <c r="Y826" s="436"/>
      <c r="Z826" s="422"/>
      <c r="AA826" s="422"/>
      <c r="AB826" s="422"/>
      <c r="AC826" s="422"/>
      <c r="AD826" s="422"/>
      <c r="AE826" s="422"/>
      <c r="AF826" s="427"/>
      <c r="AG826" s="427"/>
      <c r="AH826" s="427"/>
      <c r="AI826" s="427"/>
      <c r="AJ826" s="427"/>
      <c r="AK826" s="427"/>
      <c r="AL826" s="427"/>
      <c r="AM826" s="309">
        <f>SUM(Y826:AL826)</f>
        <v>0</v>
      </c>
    </row>
    <row r="827" spans="1:39" ht="15" outlineLevel="1">
      <c r="A827" s="539"/>
      <c r="B827" s="307" t="s">
        <v>342</v>
      </c>
      <c r="C827" s="304" t="s">
        <v>163</v>
      </c>
      <c r="D827" s="308"/>
      <c r="E827" s="308"/>
      <c r="F827" s="308"/>
      <c r="G827" s="308"/>
      <c r="H827" s="308"/>
      <c r="I827" s="308"/>
      <c r="J827" s="308"/>
      <c r="K827" s="308"/>
      <c r="L827" s="308"/>
      <c r="M827" s="308"/>
      <c r="N827" s="308">
        <f>N826</f>
        <v>12</v>
      </c>
      <c r="O827" s="308"/>
      <c r="P827" s="308"/>
      <c r="Q827" s="308"/>
      <c r="R827" s="308"/>
      <c r="S827" s="308"/>
      <c r="T827" s="308"/>
      <c r="U827" s="308"/>
      <c r="V827" s="308"/>
      <c r="W827" s="308"/>
      <c r="X827" s="308"/>
      <c r="Y827" s="423">
        <f>Y826</f>
        <v>0</v>
      </c>
      <c r="Z827" s="423">
        <f t="shared" ref="Z827:AL827" si="1608">Z826</f>
        <v>0</v>
      </c>
      <c r="AA827" s="423">
        <f t="shared" si="1608"/>
        <v>0</v>
      </c>
      <c r="AB827" s="423">
        <f t="shared" si="1608"/>
        <v>0</v>
      </c>
      <c r="AC827" s="423">
        <f t="shared" si="1608"/>
        <v>0</v>
      </c>
      <c r="AD827" s="423">
        <f t="shared" si="1608"/>
        <v>0</v>
      </c>
      <c r="AE827" s="423">
        <f t="shared" si="1608"/>
        <v>0</v>
      </c>
      <c r="AF827" s="423">
        <f t="shared" si="1608"/>
        <v>0</v>
      </c>
      <c r="AG827" s="423">
        <f t="shared" si="1608"/>
        <v>0</v>
      </c>
      <c r="AH827" s="423">
        <f t="shared" si="1608"/>
        <v>0</v>
      </c>
      <c r="AI827" s="423">
        <f t="shared" si="1608"/>
        <v>0</v>
      </c>
      <c r="AJ827" s="423">
        <f t="shared" si="1608"/>
        <v>0</v>
      </c>
      <c r="AK827" s="423">
        <f t="shared" si="1608"/>
        <v>0</v>
      </c>
      <c r="AL827" s="423">
        <f t="shared" si="1608"/>
        <v>0</v>
      </c>
      <c r="AM827" s="319"/>
    </row>
    <row r="828" spans="1:39" ht="15" outlineLevel="1">
      <c r="A828" s="539"/>
      <c r="B828" s="334"/>
      <c r="C828" s="304"/>
      <c r="D828" s="304"/>
      <c r="E828" s="304"/>
      <c r="F828" s="304"/>
      <c r="G828" s="304"/>
      <c r="H828" s="304"/>
      <c r="I828" s="304"/>
      <c r="J828" s="304"/>
      <c r="K828" s="304"/>
      <c r="L828" s="304"/>
      <c r="M828" s="304"/>
      <c r="N828" s="304"/>
      <c r="O828" s="304"/>
      <c r="P828" s="304"/>
      <c r="Q828" s="304"/>
      <c r="R828" s="304"/>
      <c r="S828" s="304"/>
      <c r="T828" s="304"/>
      <c r="U828" s="304"/>
      <c r="V828" s="304"/>
      <c r="W828" s="304"/>
      <c r="X828" s="304"/>
      <c r="Y828" s="433"/>
      <c r="Z828" s="434"/>
      <c r="AA828" s="434"/>
      <c r="AB828" s="434"/>
      <c r="AC828" s="434"/>
      <c r="AD828" s="434"/>
      <c r="AE828" s="434"/>
      <c r="AF828" s="434"/>
      <c r="AG828" s="434"/>
      <c r="AH828" s="434"/>
      <c r="AI828" s="434"/>
      <c r="AJ828" s="434"/>
      <c r="AK828" s="434"/>
      <c r="AL828" s="434"/>
      <c r="AM828" s="310"/>
    </row>
    <row r="829" spans="1:39" ht="15" outlineLevel="1">
      <c r="A829" s="539">
        <v>19</v>
      </c>
      <c r="B829" s="438" t="s">
        <v>111</v>
      </c>
      <c r="C829" s="304" t="s">
        <v>25</v>
      </c>
      <c r="D829" s="308"/>
      <c r="E829" s="308"/>
      <c r="F829" s="308"/>
      <c r="G829" s="308"/>
      <c r="H829" s="308"/>
      <c r="I829" s="308"/>
      <c r="J829" s="308"/>
      <c r="K829" s="308"/>
      <c r="L829" s="308"/>
      <c r="M829" s="308"/>
      <c r="N829" s="308">
        <v>12</v>
      </c>
      <c r="O829" s="308"/>
      <c r="P829" s="308"/>
      <c r="Q829" s="308"/>
      <c r="R829" s="308"/>
      <c r="S829" s="308"/>
      <c r="T829" s="308"/>
      <c r="U829" s="308"/>
      <c r="V829" s="308"/>
      <c r="W829" s="308"/>
      <c r="X829" s="308"/>
      <c r="Y829" s="436"/>
      <c r="Z829" s="422"/>
      <c r="AA829" s="422"/>
      <c r="AB829" s="422"/>
      <c r="AC829" s="422"/>
      <c r="AD829" s="422"/>
      <c r="AE829" s="422"/>
      <c r="AF829" s="427"/>
      <c r="AG829" s="427"/>
      <c r="AH829" s="427"/>
      <c r="AI829" s="427"/>
      <c r="AJ829" s="427"/>
      <c r="AK829" s="427"/>
      <c r="AL829" s="427"/>
      <c r="AM829" s="309">
        <f>SUM(Y829:AL829)</f>
        <v>0</v>
      </c>
    </row>
    <row r="830" spans="1:39" ht="15" outlineLevel="1">
      <c r="A830" s="539"/>
      <c r="B830" s="307" t="s">
        <v>342</v>
      </c>
      <c r="C830" s="304" t="s">
        <v>163</v>
      </c>
      <c r="D830" s="308"/>
      <c r="E830" s="308"/>
      <c r="F830" s="308"/>
      <c r="G830" s="308"/>
      <c r="H830" s="308"/>
      <c r="I830" s="308"/>
      <c r="J830" s="308"/>
      <c r="K830" s="308"/>
      <c r="L830" s="308"/>
      <c r="M830" s="308"/>
      <c r="N830" s="308">
        <f>N829</f>
        <v>12</v>
      </c>
      <c r="O830" s="308"/>
      <c r="P830" s="308"/>
      <c r="Q830" s="308"/>
      <c r="R830" s="308"/>
      <c r="S830" s="308"/>
      <c r="T830" s="308"/>
      <c r="U830" s="308"/>
      <c r="V830" s="308"/>
      <c r="W830" s="308"/>
      <c r="X830" s="308"/>
      <c r="Y830" s="423">
        <f>Y829</f>
        <v>0</v>
      </c>
      <c r="Z830" s="423">
        <f t="shared" ref="Z830:AL830" si="1609">Z829</f>
        <v>0</v>
      </c>
      <c r="AA830" s="423">
        <f t="shared" si="1609"/>
        <v>0</v>
      </c>
      <c r="AB830" s="423">
        <f t="shared" si="1609"/>
        <v>0</v>
      </c>
      <c r="AC830" s="423">
        <f t="shared" si="1609"/>
        <v>0</v>
      </c>
      <c r="AD830" s="423">
        <f t="shared" si="1609"/>
        <v>0</v>
      </c>
      <c r="AE830" s="423">
        <f t="shared" si="1609"/>
        <v>0</v>
      </c>
      <c r="AF830" s="423">
        <f t="shared" si="1609"/>
        <v>0</v>
      </c>
      <c r="AG830" s="423">
        <f t="shared" si="1609"/>
        <v>0</v>
      </c>
      <c r="AH830" s="423">
        <f t="shared" si="1609"/>
        <v>0</v>
      </c>
      <c r="AI830" s="423">
        <f t="shared" si="1609"/>
        <v>0</v>
      </c>
      <c r="AJ830" s="423">
        <f t="shared" si="1609"/>
        <v>0</v>
      </c>
      <c r="AK830" s="423">
        <f t="shared" si="1609"/>
        <v>0</v>
      </c>
      <c r="AL830" s="423">
        <f t="shared" si="1609"/>
        <v>0</v>
      </c>
      <c r="AM830" s="310"/>
    </row>
    <row r="831" spans="1:39" ht="15" outlineLevel="1">
      <c r="A831" s="539"/>
      <c r="B831" s="334"/>
      <c r="C831" s="304"/>
      <c r="D831" s="304"/>
      <c r="E831" s="304"/>
      <c r="F831" s="304"/>
      <c r="G831" s="304"/>
      <c r="H831" s="304"/>
      <c r="I831" s="304"/>
      <c r="J831" s="304"/>
      <c r="K831" s="304"/>
      <c r="L831" s="304"/>
      <c r="M831" s="304"/>
      <c r="N831" s="304"/>
      <c r="O831" s="304"/>
      <c r="P831" s="304"/>
      <c r="Q831" s="304"/>
      <c r="R831" s="304"/>
      <c r="S831" s="304"/>
      <c r="T831" s="304"/>
      <c r="U831" s="304"/>
      <c r="V831" s="304"/>
      <c r="W831" s="304"/>
      <c r="X831" s="304"/>
      <c r="Y831" s="424"/>
      <c r="Z831" s="424"/>
      <c r="AA831" s="424"/>
      <c r="AB831" s="424"/>
      <c r="AC831" s="424"/>
      <c r="AD831" s="424"/>
      <c r="AE831" s="424"/>
      <c r="AF831" s="424"/>
      <c r="AG831" s="424"/>
      <c r="AH831" s="424"/>
      <c r="AI831" s="424"/>
      <c r="AJ831" s="424"/>
      <c r="AK831" s="424"/>
      <c r="AL831" s="424"/>
      <c r="AM831" s="319"/>
    </row>
    <row r="832" spans="1:39" ht="15" outlineLevel="1">
      <c r="A832" s="539">
        <v>20</v>
      </c>
      <c r="B832" s="438" t="s">
        <v>110</v>
      </c>
      <c r="C832" s="304" t="s">
        <v>25</v>
      </c>
      <c r="D832" s="308"/>
      <c r="E832" s="308"/>
      <c r="F832" s="308"/>
      <c r="G832" s="308"/>
      <c r="H832" s="308"/>
      <c r="I832" s="308"/>
      <c r="J832" s="308"/>
      <c r="K832" s="308"/>
      <c r="L832" s="308"/>
      <c r="M832" s="308"/>
      <c r="N832" s="308">
        <v>12</v>
      </c>
      <c r="O832" s="308"/>
      <c r="P832" s="308"/>
      <c r="Q832" s="308"/>
      <c r="R832" s="308"/>
      <c r="S832" s="308"/>
      <c r="T832" s="308"/>
      <c r="U832" s="308"/>
      <c r="V832" s="308"/>
      <c r="W832" s="308"/>
      <c r="X832" s="308"/>
      <c r="Y832" s="436"/>
      <c r="Z832" s="422"/>
      <c r="AA832" s="422"/>
      <c r="AB832" s="422"/>
      <c r="AC832" s="422"/>
      <c r="AD832" s="422"/>
      <c r="AE832" s="422"/>
      <c r="AF832" s="427"/>
      <c r="AG832" s="427"/>
      <c r="AH832" s="427"/>
      <c r="AI832" s="427"/>
      <c r="AJ832" s="427"/>
      <c r="AK832" s="427"/>
      <c r="AL832" s="427"/>
      <c r="AM832" s="309">
        <f>SUM(Y832:AL832)</f>
        <v>0</v>
      </c>
    </row>
    <row r="833" spans="1:39" ht="15" outlineLevel="1">
      <c r="A833" s="539"/>
      <c r="B833" s="307" t="s">
        <v>342</v>
      </c>
      <c r="C833" s="304" t="s">
        <v>163</v>
      </c>
      <c r="D833" s="308"/>
      <c r="E833" s="308"/>
      <c r="F833" s="308"/>
      <c r="G833" s="308"/>
      <c r="H833" s="308"/>
      <c r="I833" s="308"/>
      <c r="J833" s="308"/>
      <c r="K833" s="308"/>
      <c r="L833" s="308"/>
      <c r="M833" s="308"/>
      <c r="N833" s="308">
        <f>N832</f>
        <v>12</v>
      </c>
      <c r="O833" s="308"/>
      <c r="P833" s="308"/>
      <c r="Q833" s="308"/>
      <c r="R833" s="308"/>
      <c r="S833" s="308"/>
      <c r="T833" s="308"/>
      <c r="U833" s="308"/>
      <c r="V833" s="308"/>
      <c r="W833" s="308"/>
      <c r="X833" s="308"/>
      <c r="Y833" s="423">
        <f>Y832</f>
        <v>0</v>
      </c>
      <c r="Z833" s="423">
        <f t="shared" ref="Z833:AL833" si="1610">Z832</f>
        <v>0</v>
      </c>
      <c r="AA833" s="423">
        <f t="shared" si="1610"/>
        <v>0</v>
      </c>
      <c r="AB833" s="423">
        <f t="shared" si="1610"/>
        <v>0</v>
      </c>
      <c r="AC833" s="423">
        <f t="shared" si="1610"/>
        <v>0</v>
      </c>
      <c r="AD833" s="423">
        <f t="shared" si="1610"/>
        <v>0</v>
      </c>
      <c r="AE833" s="423">
        <f t="shared" si="1610"/>
        <v>0</v>
      </c>
      <c r="AF833" s="423">
        <f t="shared" si="1610"/>
        <v>0</v>
      </c>
      <c r="AG833" s="423">
        <f t="shared" si="1610"/>
        <v>0</v>
      </c>
      <c r="AH833" s="423">
        <f t="shared" si="1610"/>
        <v>0</v>
      </c>
      <c r="AI833" s="423">
        <f t="shared" si="1610"/>
        <v>0</v>
      </c>
      <c r="AJ833" s="423">
        <f t="shared" si="1610"/>
        <v>0</v>
      </c>
      <c r="AK833" s="423">
        <f t="shared" si="1610"/>
        <v>0</v>
      </c>
      <c r="AL833" s="423">
        <f t="shared" si="1610"/>
        <v>0</v>
      </c>
      <c r="AM833" s="319"/>
    </row>
    <row r="834" spans="1:39" ht="15.6" outlineLevel="1">
      <c r="A834" s="539"/>
      <c r="B834" s="335"/>
      <c r="C834" s="313"/>
      <c r="D834" s="304"/>
      <c r="E834" s="304"/>
      <c r="F834" s="304"/>
      <c r="G834" s="304"/>
      <c r="H834" s="304"/>
      <c r="I834" s="304"/>
      <c r="J834" s="304"/>
      <c r="K834" s="304"/>
      <c r="L834" s="304"/>
      <c r="M834" s="304"/>
      <c r="N834" s="313"/>
      <c r="O834" s="304"/>
      <c r="P834" s="304"/>
      <c r="Q834" s="304"/>
      <c r="R834" s="304"/>
      <c r="S834" s="304"/>
      <c r="T834" s="304"/>
      <c r="U834" s="304"/>
      <c r="V834" s="304"/>
      <c r="W834" s="304"/>
      <c r="X834" s="304"/>
      <c r="Y834" s="424"/>
      <c r="Z834" s="424"/>
      <c r="AA834" s="424"/>
      <c r="AB834" s="424"/>
      <c r="AC834" s="424"/>
      <c r="AD834" s="424"/>
      <c r="AE834" s="424"/>
      <c r="AF834" s="424"/>
      <c r="AG834" s="424"/>
      <c r="AH834" s="424"/>
      <c r="AI834" s="424"/>
      <c r="AJ834" s="424"/>
      <c r="AK834" s="424"/>
      <c r="AL834" s="424"/>
      <c r="AM834" s="319"/>
    </row>
    <row r="835" spans="1:39" ht="15.6" outlineLevel="1">
      <c r="A835" s="539"/>
      <c r="B835" s="525" t="s">
        <v>502</v>
      </c>
      <c r="C835" s="304"/>
      <c r="D835" s="304"/>
      <c r="E835" s="304"/>
      <c r="F835" s="304"/>
      <c r="G835" s="304"/>
      <c r="H835" s="304"/>
      <c r="I835" s="304"/>
      <c r="J835" s="304"/>
      <c r="K835" s="304"/>
      <c r="L835" s="304"/>
      <c r="M835" s="304"/>
      <c r="N835" s="304"/>
      <c r="O835" s="304"/>
      <c r="P835" s="304"/>
      <c r="Q835" s="304"/>
      <c r="R835" s="304"/>
      <c r="S835" s="304"/>
      <c r="T835" s="304"/>
      <c r="U835" s="304"/>
      <c r="V835" s="304"/>
      <c r="W835" s="304"/>
      <c r="X835" s="304"/>
      <c r="Y835" s="432"/>
      <c r="Z835" s="435"/>
      <c r="AA835" s="435"/>
      <c r="AB835" s="435"/>
      <c r="AC835" s="435"/>
      <c r="AD835" s="435"/>
      <c r="AE835" s="435"/>
      <c r="AF835" s="435"/>
      <c r="AG835" s="435"/>
      <c r="AH835" s="435"/>
      <c r="AI835" s="435"/>
      <c r="AJ835" s="435"/>
      <c r="AK835" s="435"/>
      <c r="AL835" s="435"/>
      <c r="AM835" s="319"/>
    </row>
    <row r="836" spans="1:39" ht="15.6" outlineLevel="1">
      <c r="A836" s="539"/>
      <c r="B836" s="511" t="s">
        <v>498</v>
      </c>
      <c r="C836" s="304"/>
      <c r="D836" s="304"/>
      <c r="E836" s="304"/>
      <c r="F836" s="304"/>
      <c r="G836" s="304"/>
      <c r="H836" s="304"/>
      <c r="I836" s="304"/>
      <c r="J836" s="304"/>
      <c r="K836" s="304"/>
      <c r="L836" s="304"/>
      <c r="M836" s="304"/>
      <c r="N836" s="304"/>
      <c r="O836" s="304"/>
      <c r="P836" s="304"/>
      <c r="Q836" s="304"/>
      <c r="R836" s="304"/>
      <c r="S836" s="304"/>
      <c r="T836" s="304"/>
      <c r="U836" s="304"/>
      <c r="V836" s="304"/>
      <c r="W836" s="304"/>
      <c r="X836" s="304"/>
      <c r="Y836" s="432"/>
      <c r="Z836" s="435"/>
      <c r="AA836" s="435"/>
      <c r="AB836" s="435"/>
      <c r="AC836" s="435"/>
      <c r="AD836" s="435"/>
      <c r="AE836" s="435"/>
      <c r="AF836" s="435"/>
      <c r="AG836" s="435"/>
      <c r="AH836" s="435"/>
      <c r="AI836" s="435"/>
      <c r="AJ836" s="435"/>
      <c r="AK836" s="435"/>
      <c r="AL836" s="435"/>
      <c r="AM836" s="319"/>
    </row>
    <row r="837" spans="1:39" ht="15" outlineLevel="1">
      <c r="A837" s="539">
        <v>21</v>
      </c>
      <c r="B837" s="438" t="s">
        <v>113</v>
      </c>
      <c r="C837" s="304" t="s">
        <v>25</v>
      </c>
      <c r="D837" s="308"/>
      <c r="E837" s="308"/>
      <c r="F837" s="308"/>
      <c r="G837" s="308"/>
      <c r="H837" s="308"/>
      <c r="I837" s="308"/>
      <c r="J837" s="308"/>
      <c r="K837" s="308"/>
      <c r="L837" s="308"/>
      <c r="M837" s="308"/>
      <c r="N837" s="304"/>
      <c r="O837" s="308"/>
      <c r="P837" s="308"/>
      <c r="Q837" s="308"/>
      <c r="R837" s="308"/>
      <c r="S837" s="308"/>
      <c r="T837" s="308"/>
      <c r="U837" s="308"/>
      <c r="V837" s="308"/>
      <c r="W837" s="308"/>
      <c r="X837" s="308"/>
      <c r="Y837" s="427"/>
      <c r="Z837" s="427"/>
      <c r="AA837" s="427"/>
      <c r="AB837" s="427"/>
      <c r="AC837" s="427"/>
      <c r="AD837" s="427"/>
      <c r="AE837" s="427"/>
      <c r="AF837" s="422"/>
      <c r="AG837" s="422"/>
      <c r="AH837" s="422"/>
      <c r="AI837" s="422"/>
      <c r="AJ837" s="422"/>
      <c r="AK837" s="422"/>
      <c r="AL837" s="422"/>
      <c r="AM837" s="309">
        <f>SUM(Y837:AL837)</f>
        <v>0</v>
      </c>
    </row>
    <row r="838" spans="1:39" ht="15" outlineLevel="1">
      <c r="A838" s="539"/>
      <c r="B838" s="307" t="s">
        <v>342</v>
      </c>
      <c r="C838" s="304" t="s">
        <v>163</v>
      </c>
      <c r="D838" s="308"/>
      <c r="E838" s="308"/>
      <c r="F838" s="308"/>
      <c r="G838" s="308"/>
      <c r="H838" s="308"/>
      <c r="I838" s="308"/>
      <c r="J838" s="308"/>
      <c r="K838" s="308"/>
      <c r="L838" s="308"/>
      <c r="M838" s="308"/>
      <c r="N838" s="304"/>
      <c r="O838" s="308"/>
      <c r="P838" s="308"/>
      <c r="Q838" s="308"/>
      <c r="R838" s="308"/>
      <c r="S838" s="308"/>
      <c r="T838" s="308"/>
      <c r="U838" s="308"/>
      <c r="V838" s="308"/>
      <c r="W838" s="308"/>
      <c r="X838" s="308"/>
      <c r="Y838" s="423">
        <f>Y837</f>
        <v>0</v>
      </c>
      <c r="Z838" s="423">
        <f t="shared" ref="Z838" si="1611">Z837</f>
        <v>0</v>
      </c>
      <c r="AA838" s="423">
        <f t="shared" ref="AA838" si="1612">AA837</f>
        <v>0</v>
      </c>
      <c r="AB838" s="423">
        <f t="shared" ref="AB838" si="1613">AB837</f>
        <v>0</v>
      </c>
      <c r="AC838" s="423">
        <f t="shared" ref="AC838" si="1614">AC837</f>
        <v>0</v>
      </c>
      <c r="AD838" s="423">
        <f t="shared" ref="AD838" si="1615">AD837</f>
        <v>0</v>
      </c>
      <c r="AE838" s="423">
        <f t="shared" ref="AE838" si="1616">AE837</f>
        <v>0</v>
      </c>
      <c r="AF838" s="423">
        <f t="shared" ref="AF838" si="1617">AF837</f>
        <v>0</v>
      </c>
      <c r="AG838" s="423">
        <f t="shared" ref="AG838" si="1618">AG837</f>
        <v>0</v>
      </c>
      <c r="AH838" s="423">
        <f t="shared" ref="AH838" si="1619">AH837</f>
        <v>0</v>
      </c>
      <c r="AI838" s="423">
        <f t="shared" ref="AI838" si="1620">AI837</f>
        <v>0</v>
      </c>
      <c r="AJ838" s="423">
        <f t="shared" ref="AJ838" si="1621">AJ837</f>
        <v>0</v>
      </c>
      <c r="AK838" s="423">
        <f t="shared" ref="AK838" si="1622">AK837</f>
        <v>0</v>
      </c>
      <c r="AL838" s="423">
        <f t="shared" ref="AL838" si="1623">AL837</f>
        <v>0</v>
      </c>
      <c r="AM838" s="319"/>
    </row>
    <row r="839" spans="1:39" ht="15" outlineLevel="1">
      <c r="A839" s="539"/>
      <c r="B839" s="307"/>
      <c r="C839" s="304"/>
      <c r="D839" s="304"/>
      <c r="E839" s="304"/>
      <c r="F839" s="304"/>
      <c r="G839" s="304"/>
      <c r="H839" s="304"/>
      <c r="I839" s="304"/>
      <c r="J839" s="304"/>
      <c r="K839" s="304"/>
      <c r="L839" s="304"/>
      <c r="M839" s="304"/>
      <c r="N839" s="304"/>
      <c r="O839" s="304"/>
      <c r="P839" s="304"/>
      <c r="Q839" s="304"/>
      <c r="R839" s="304"/>
      <c r="S839" s="304"/>
      <c r="T839" s="304"/>
      <c r="U839" s="304"/>
      <c r="V839" s="304"/>
      <c r="W839" s="304"/>
      <c r="X839" s="304"/>
      <c r="Y839" s="432"/>
      <c r="Z839" s="435"/>
      <c r="AA839" s="435"/>
      <c r="AB839" s="435"/>
      <c r="AC839" s="435"/>
      <c r="AD839" s="435"/>
      <c r="AE839" s="435"/>
      <c r="AF839" s="435"/>
      <c r="AG839" s="435"/>
      <c r="AH839" s="435"/>
      <c r="AI839" s="435"/>
      <c r="AJ839" s="435"/>
      <c r="AK839" s="435"/>
      <c r="AL839" s="435"/>
      <c r="AM839" s="319"/>
    </row>
    <row r="840" spans="1:39" ht="30" outlineLevel="1">
      <c r="A840" s="539">
        <v>22</v>
      </c>
      <c r="B840" s="438" t="s">
        <v>114</v>
      </c>
      <c r="C840" s="304" t="s">
        <v>25</v>
      </c>
      <c r="D840" s="308"/>
      <c r="E840" s="308"/>
      <c r="F840" s="308"/>
      <c r="G840" s="308"/>
      <c r="H840" s="308"/>
      <c r="I840" s="308"/>
      <c r="J840" s="308"/>
      <c r="K840" s="308"/>
      <c r="L840" s="308"/>
      <c r="M840" s="308"/>
      <c r="N840" s="304"/>
      <c r="O840" s="308"/>
      <c r="P840" s="308"/>
      <c r="Q840" s="308"/>
      <c r="R840" s="308"/>
      <c r="S840" s="308"/>
      <c r="T840" s="308"/>
      <c r="U840" s="308"/>
      <c r="V840" s="308"/>
      <c r="W840" s="308"/>
      <c r="X840" s="308"/>
      <c r="Y840" s="427"/>
      <c r="Z840" s="427"/>
      <c r="AA840" s="427"/>
      <c r="AB840" s="427"/>
      <c r="AC840" s="427"/>
      <c r="AD840" s="427"/>
      <c r="AE840" s="427"/>
      <c r="AF840" s="422"/>
      <c r="AG840" s="422"/>
      <c r="AH840" s="422"/>
      <c r="AI840" s="422"/>
      <c r="AJ840" s="422"/>
      <c r="AK840" s="422"/>
      <c r="AL840" s="422"/>
      <c r="AM840" s="309">
        <f>SUM(Y840:AL840)</f>
        <v>0</v>
      </c>
    </row>
    <row r="841" spans="1:39" ht="15" outlineLevel="1">
      <c r="A841" s="539"/>
      <c r="B841" s="307" t="s">
        <v>342</v>
      </c>
      <c r="C841" s="304" t="s">
        <v>163</v>
      </c>
      <c r="D841" s="308"/>
      <c r="E841" s="308"/>
      <c r="F841" s="308"/>
      <c r="G841" s="308"/>
      <c r="H841" s="308"/>
      <c r="I841" s="308"/>
      <c r="J841" s="308"/>
      <c r="K841" s="308"/>
      <c r="L841" s="308"/>
      <c r="M841" s="308"/>
      <c r="N841" s="304"/>
      <c r="O841" s="308"/>
      <c r="P841" s="308"/>
      <c r="Q841" s="308"/>
      <c r="R841" s="308"/>
      <c r="S841" s="308"/>
      <c r="T841" s="308"/>
      <c r="U841" s="308"/>
      <c r="V841" s="308"/>
      <c r="W841" s="308"/>
      <c r="X841" s="308"/>
      <c r="Y841" s="423">
        <f>Y840</f>
        <v>0</v>
      </c>
      <c r="Z841" s="423">
        <f t="shared" ref="Z841" si="1624">Z840</f>
        <v>0</v>
      </c>
      <c r="AA841" s="423">
        <f t="shared" ref="AA841" si="1625">AA840</f>
        <v>0</v>
      </c>
      <c r="AB841" s="423">
        <f t="shared" ref="AB841" si="1626">AB840</f>
        <v>0</v>
      </c>
      <c r="AC841" s="423">
        <f t="shared" ref="AC841" si="1627">AC840</f>
        <v>0</v>
      </c>
      <c r="AD841" s="423">
        <f t="shared" ref="AD841" si="1628">AD840</f>
        <v>0</v>
      </c>
      <c r="AE841" s="423">
        <f t="shared" ref="AE841" si="1629">AE840</f>
        <v>0</v>
      </c>
      <c r="AF841" s="423">
        <f t="shared" ref="AF841" si="1630">AF840</f>
        <v>0</v>
      </c>
      <c r="AG841" s="423">
        <f t="shared" ref="AG841" si="1631">AG840</f>
        <v>0</v>
      </c>
      <c r="AH841" s="423">
        <f t="shared" ref="AH841" si="1632">AH840</f>
        <v>0</v>
      </c>
      <c r="AI841" s="423">
        <f t="shared" ref="AI841" si="1633">AI840</f>
        <v>0</v>
      </c>
      <c r="AJ841" s="423">
        <f t="shared" ref="AJ841" si="1634">AJ840</f>
        <v>0</v>
      </c>
      <c r="AK841" s="423">
        <f t="shared" ref="AK841" si="1635">AK840</f>
        <v>0</v>
      </c>
      <c r="AL841" s="423">
        <f t="shared" ref="AL841" si="1636">AL840</f>
        <v>0</v>
      </c>
      <c r="AM841" s="319"/>
    </row>
    <row r="842" spans="1:39" ht="15" outlineLevel="1">
      <c r="A842" s="539"/>
      <c r="B842" s="307"/>
      <c r="C842" s="304"/>
      <c r="D842" s="304"/>
      <c r="E842" s="304"/>
      <c r="F842" s="304"/>
      <c r="G842" s="304"/>
      <c r="H842" s="304"/>
      <c r="I842" s="304"/>
      <c r="J842" s="304"/>
      <c r="K842" s="304"/>
      <c r="L842" s="304"/>
      <c r="M842" s="304"/>
      <c r="N842" s="304"/>
      <c r="O842" s="304"/>
      <c r="P842" s="304"/>
      <c r="Q842" s="304"/>
      <c r="R842" s="304"/>
      <c r="S842" s="304"/>
      <c r="T842" s="304"/>
      <c r="U842" s="304"/>
      <c r="V842" s="304"/>
      <c r="W842" s="304"/>
      <c r="X842" s="304"/>
      <c r="Y842" s="432"/>
      <c r="Z842" s="435"/>
      <c r="AA842" s="435"/>
      <c r="AB842" s="435"/>
      <c r="AC842" s="435"/>
      <c r="AD842" s="435"/>
      <c r="AE842" s="435"/>
      <c r="AF842" s="435"/>
      <c r="AG842" s="435"/>
      <c r="AH842" s="435"/>
      <c r="AI842" s="435"/>
      <c r="AJ842" s="435"/>
      <c r="AK842" s="435"/>
      <c r="AL842" s="435"/>
      <c r="AM842" s="319"/>
    </row>
    <row r="843" spans="1:39" ht="30" outlineLevel="1">
      <c r="A843" s="539">
        <v>23</v>
      </c>
      <c r="B843" s="438" t="s">
        <v>115</v>
      </c>
      <c r="C843" s="304" t="s">
        <v>25</v>
      </c>
      <c r="D843" s="308"/>
      <c r="E843" s="308"/>
      <c r="F843" s="308"/>
      <c r="G843" s="308"/>
      <c r="H843" s="308"/>
      <c r="I843" s="308"/>
      <c r="J843" s="308"/>
      <c r="K843" s="308"/>
      <c r="L843" s="308"/>
      <c r="M843" s="308"/>
      <c r="N843" s="304"/>
      <c r="O843" s="308"/>
      <c r="P843" s="308"/>
      <c r="Q843" s="308"/>
      <c r="R843" s="308"/>
      <c r="S843" s="308"/>
      <c r="T843" s="308"/>
      <c r="U843" s="308"/>
      <c r="V843" s="308"/>
      <c r="W843" s="308"/>
      <c r="X843" s="308"/>
      <c r="Y843" s="427"/>
      <c r="Z843" s="427"/>
      <c r="AA843" s="427"/>
      <c r="AB843" s="427"/>
      <c r="AC843" s="427"/>
      <c r="AD843" s="427"/>
      <c r="AE843" s="427"/>
      <c r="AF843" s="422"/>
      <c r="AG843" s="422"/>
      <c r="AH843" s="422"/>
      <c r="AI843" s="422"/>
      <c r="AJ843" s="422"/>
      <c r="AK843" s="422"/>
      <c r="AL843" s="422"/>
      <c r="AM843" s="309">
        <f>SUM(Y843:AL843)</f>
        <v>0</v>
      </c>
    </row>
    <row r="844" spans="1:39" ht="15" outlineLevel="1">
      <c r="A844" s="539"/>
      <c r="B844" s="307" t="s">
        <v>342</v>
      </c>
      <c r="C844" s="304" t="s">
        <v>163</v>
      </c>
      <c r="D844" s="308"/>
      <c r="E844" s="308"/>
      <c r="F844" s="308"/>
      <c r="G844" s="308"/>
      <c r="H844" s="308"/>
      <c r="I844" s="308"/>
      <c r="J844" s="308"/>
      <c r="K844" s="308"/>
      <c r="L844" s="308"/>
      <c r="M844" s="308"/>
      <c r="N844" s="304"/>
      <c r="O844" s="308"/>
      <c r="P844" s="308"/>
      <c r="Q844" s="308"/>
      <c r="R844" s="308"/>
      <c r="S844" s="308"/>
      <c r="T844" s="308"/>
      <c r="U844" s="308"/>
      <c r="V844" s="308"/>
      <c r="W844" s="308"/>
      <c r="X844" s="308"/>
      <c r="Y844" s="423">
        <f>Y843</f>
        <v>0</v>
      </c>
      <c r="Z844" s="423">
        <f t="shared" ref="Z844" si="1637">Z843</f>
        <v>0</v>
      </c>
      <c r="AA844" s="423">
        <f t="shared" ref="AA844" si="1638">AA843</f>
        <v>0</v>
      </c>
      <c r="AB844" s="423">
        <f t="shared" ref="AB844" si="1639">AB843</f>
        <v>0</v>
      </c>
      <c r="AC844" s="423">
        <f t="shared" ref="AC844" si="1640">AC843</f>
        <v>0</v>
      </c>
      <c r="AD844" s="423">
        <f t="shared" ref="AD844" si="1641">AD843</f>
        <v>0</v>
      </c>
      <c r="AE844" s="423">
        <f t="shared" ref="AE844" si="1642">AE843</f>
        <v>0</v>
      </c>
      <c r="AF844" s="423">
        <f t="shared" ref="AF844" si="1643">AF843</f>
        <v>0</v>
      </c>
      <c r="AG844" s="423">
        <f t="shared" ref="AG844" si="1644">AG843</f>
        <v>0</v>
      </c>
      <c r="AH844" s="423">
        <f t="shared" ref="AH844" si="1645">AH843</f>
        <v>0</v>
      </c>
      <c r="AI844" s="423">
        <f t="shared" ref="AI844" si="1646">AI843</f>
        <v>0</v>
      </c>
      <c r="AJ844" s="423">
        <f t="shared" ref="AJ844" si="1647">AJ843</f>
        <v>0</v>
      </c>
      <c r="AK844" s="423">
        <f t="shared" ref="AK844" si="1648">AK843</f>
        <v>0</v>
      </c>
      <c r="AL844" s="423">
        <f t="shared" ref="AL844" si="1649">AL843</f>
        <v>0</v>
      </c>
      <c r="AM844" s="319"/>
    </row>
    <row r="845" spans="1:39" ht="15" outlineLevel="1">
      <c r="A845" s="539"/>
      <c r="B845" s="440"/>
      <c r="C845" s="304"/>
      <c r="D845" s="304"/>
      <c r="E845" s="304"/>
      <c r="F845" s="304"/>
      <c r="G845" s="304"/>
      <c r="H845" s="304"/>
      <c r="I845" s="304"/>
      <c r="J845" s="304"/>
      <c r="K845" s="304"/>
      <c r="L845" s="304"/>
      <c r="M845" s="304"/>
      <c r="N845" s="304"/>
      <c r="O845" s="304"/>
      <c r="P845" s="304"/>
      <c r="Q845" s="304"/>
      <c r="R845" s="304"/>
      <c r="S845" s="304"/>
      <c r="T845" s="304"/>
      <c r="U845" s="304"/>
      <c r="V845" s="304"/>
      <c r="W845" s="304"/>
      <c r="X845" s="304"/>
      <c r="Y845" s="432"/>
      <c r="Z845" s="435"/>
      <c r="AA845" s="435"/>
      <c r="AB845" s="435"/>
      <c r="AC845" s="435"/>
      <c r="AD845" s="435"/>
      <c r="AE845" s="435"/>
      <c r="AF845" s="435"/>
      <c r="AG845" s="435"/>
      <c r="AH845" s="435"/>
      <c r="AI845" s="435"/>
      <c r="AJ845" s="435"/>
      <c r="AK845" s="435"/>
      <c r="AL845" s="435"/>
      <c r="AM845" s="319"/>
    </row>
    <row r="846" spans="1:39" ht="15" outlineLevel="1">
      <c r="A846" s="539">
        <v>24</v>
      </c>
      <c r="B846" s="438" t="s">
        <v>116</v>
      </c>
      <c r="C846" s="304" t="s">
        <v>25</v>
      </c>
      <c r="D846" s="308"/>
      <c r="E846" s="308"/>
      <c r="F846" s="308"/>
      <c r="G846" s="308"/>
      <c r="H846" s="308"/>
      <c r="I846" s="308"/>
      <c r="J846" s="308"/>
      <c r="K846" s="308"/>
      <c r="L846" s="308"/>
      <c r="M846" s="308"/>
      <c r="N846" s="304"/>
      <c r="O846" s="308"/>
      <c r="P846" s="308"/>
      <c r="Q846" s="308"/>
      <c r="R846" s="308"/>
      <c r="S846" s="308"/>
      <c r="T846" s="308"/>
      <c r="U846" s="308"/>
      <c r="V846" s="308"/>
      <c r="W846" s="308"/>
      <c r="X846" s="308"/>
      <c r="Y846" s="427"/>
      <c r="Z846" s="427"/>
      <c r="AA846" s="427"/>
      <c r="AB846" s="427"/>
      <c r="AC846" s="427"/>
      <c r="AD846" s="427"/>
      <c r="AE846" s="427"/>
      <c r="AF846" s="422"/>
      <c r="AG846" s="422"/>
      <c r="AH846" s="422"/>
      <c r="AI846" s="422"/>
      <c r="AJ846" s="422"/>
      <c r="AK846" s="422"/>
      <c r="AL846" s="422"/>
      <c r="AM846" s="309">
        <f>SUM(Y846:AL846)</f>
        <v>0</v>
      </c>
    </row>
    <row r="847" spans="1:39" ht="15" outlineLevel="1">
      <c r="A847" s="539"/>
      <c r="B847" s="307" t="s">
        <v>342</v>
      </c>
      <c r="C847" s="304" t="s">
        <v>163</v>
      </c>
      <c r="D847" s="308"/>
      <c r="E847" s="308"/>
      <c r="F847" s="308"/>
      <c r="G847" s="308"/>
      <c r="H847" s="308"/>
      <c r="I847" s="308"/>
      <c r="J847" s="308"/>
      <c r="K847" s="308"/>
      <c r="L847" s="308"/>
      <c r="M847" s="308"/>
      <c r="N847" s="304"/>
      <c r="O847" s="308"/>
      <c r="P847" s="308"/>
      <c r="Q847" s="308"/>
      <c r="R847" s="308"/>
      <c r="S847" s="308"/>
      <c r="T847" s="308"/>
      <c r="U847" s="308"/>
      <c r="V847" s="308"/>
      <c r="W847" s="308"/>
      <c r="X847" s="308"/>
      <c r="Y847" s="423">
        <f>Y846</f>
        <v>0</v>
      </c>
      <c r="Z847" s="423">
        <f t="shared" ref="Z847" si="1650">Z846</f>
        <v>0</v>
      </c>
      <c r="AA847" s="423">
        <f t="shared" ref="AA847" si="1651">AA846</f>
        <v>0</v>
      </c>
      <c r="AB847" s="423">
        <f t="shared" ref="AB847" si="1652">AB846</f>
        <v>0</v>
      </c>
      <c r="AC847" s="423">
        <f t="shared" ref="AC847" si="1653">AC846</f>
        <v>0</v>
      </c>
      <c r="AD847" s="423">
        <f t="shared" ref="AD847" si="1654">AD846</f>
        <v>0</v>
      </c>
      <c r="AE847" s="423">
        <f t="shared" ref="AE847" si="1655">AE846</f>
        <v>0</v>
      </c>
      <c r="AF847" s="423">
        <f t="shared" ref="AF847" si="1656">AF846</f>
        <v>0</v>
      </c>
      <c r="AG847" s="423">
        <f t="shared" ref="AG847" si="1657">AG846</f>
        <v>0</v>
      </c>
      <c r="AH847" s="423">
        <f t="shared" ref="AH847" si="1658">AH846</f>
        <v>0</v>
      </c>
      <c r="AI847" s="423">
        <f t="shared" ref="AI847" si="1659">AI846</f>
        <v>0</v>
      </c>
      <c r="AJ847" s="423">
        <f t="shared" ref="AJ847" si="1660">AJ846</f>
        <v>0</v>
      </c>
      <c r="AK847" s="423">
        <f t="shared" ref="AK847" si="1661">AK846</f>
        <v>0</v>
      </c>
      <c r="AL847" s="423">
        <f t="shared" ref="AL847" si="1662">AL846</f>
        <v>0</v>
      </c>
      <c r="AM847" s="319"/>
    </row>
    <row r="848" spans="1:39" ht="15" outlineLevel="1">
      <c r="A848" s="539"/>
      <c r="B848" s="307"/>
      <c r="C848" s="304"/>
      <c r="D848" s="304"/>
      <c r="E848" s="304"/>
      <c r="F848" s="304"/>
      <c r="G848" s="304"/>
      <c r="H848" s="304"/>
      <c r="I848" s="304"/>
      <c r="J848" s="304"/>
      <c r="K848" s="304"/>
      <c r="L848" s="304"/>
      <c r="M848" s="304"/>
      <c r="N848" s="304"/>
      <c r="O848" s="304"/>
      <c r="P848" s="304"/>
      <c r="Q848" s="304"/>
      <c r="R848" s="304"/>
      <c r="S848" s="304"/>
      <c r="T848" s="304"/>
      <c r="U848" s="304"/>
      <c r="V848" s="304"/>
      <c r="W848" s="304"/>
      <c r="X848" s="304"/>
      <c r="Y848" s="424"/>
      <c r="Z848" s="435"/>
      <c r="AA848" s="435"/>
      <c r="AB848" s="435"/>
      <c r="AC848" s="435"/>
      <c r="AD848" s="435"/>
      <c r="AE848" s="435"/>
      <c r="AF848" s="435"/>
      <c r="AG848" s="435"/>
      <c r="AH848" s="435"/>
      <c r="AI848" s="435"/>
      <c r="AJ848" s="435"/>
      <c r="AK848" s="435"/>
      <c r="AL848" s="435"/>
      <c r="AM848" s="319"/>
    </row>
    <row r="849" spans="1:39" ht="15.6" outlineLevel="1">
      <c r="A849" s="539"/>
      <c r="B849" s="301" t="s">
        <v>499</v>
      </c>
      <c r="C849" s="304"/>
      <c r="D849" s="304"/>
      <c r="E849" s="304"/>
      <c r="F849" s="304"/>
      <c r="G849" s="304"/>
      <c r="H849" s="304"/>
      <c r="I849" s="304"/>
      <c r="J849" s="304"/>
      <c r="K849" s="304"/>
      <c r="L849" s="304"/>
      <c r="M849" s="304"/>
      <c r="N849" s="304"/>
      <c r="O849" s="304"/>
      <c r="P849" s="304"/>
      <c r="Q849" s="304"/>
      <c r="R849" s="304"/>
      <c r="S849" s="304"/>
      <c r="T849" s="304"/>
      <c r="U849" s="304"/>
      <c r="V849" s="304"/>
      <c r="W849" s="304"/>
      <c r="X849" s="304"/>
      <c r="Y849" s="424"/>
      <c r="Z849" s="435"/>
      <c r="AA849" s="435"/>
      <c r="AB849" s="435"/>
      <c r="AC849" s="435"/>
      <c r="AD849" s="435"/>
      <c r="AE849" s="435"/>
      <c r="AF849" s="435"/>
      <c r="AG849" s="435"/>
      <c r="AH849" s="435"/>
      <c r="AI849" s="435"/>
      <c r="AJ849" s="435"/>
      <c r="AK849" s="435"/>
      <c r="AL849" s="435"/>
      <c r="AM849" s="319"/>
    </row>
    <row r="850" spans="1:39" ht="15" outlineLevel="1">
      <c r="A850" s="539">
        <v>25</v>
      </c>
      <c r="B850" s="438" t="s">
        <v>117</v>
      </c>
      <c r="C850" s="304" t="s">
        <v>25</v>
      </c>
      <c r="D850" s="308"/>
      <c r="E850" s="308"/>
      <c r="F850" s="308"/>
      <c r="G850" s="308"/>
      <c r="H850" s="308"/>
      <c r="I850" s="308"/>
      <c r="J850" s="308"/>
      <c r="K850" s="308"/>
      <c r="L850" s="308"/>
      <c r="M850" s="308"/>
      <c r="N850" s="308">
        <v>12</v>
      </c>
      <c r="O850" s="308"/>
      <c r="P850" s="308"/>
      <c r="Q850" s="308"/>
      <c r="R850" s="308"/>
      <c r="S850" s="308"/>
      <c r="T850" s="308"/>
      <c r="U850" s="308"/>
      <c r="V850" s="308"/>
      <c r="W850" s="308"/>
      <c r="X850" s="308"/>
      <c r="Y850" s="436"/>
      <c r="Z850" s="427"/>
      <c r="AA850" s="427"/>
      <c r="AB850" s="427"/>
      <c r="AC850" s="427"/>
      <c r="AD850" s="427"/>
      <c r="AE850" s="427"/>
      <c r="AF850" s="427"/>
      <c r="AG850" s="427"/>
      <c r="AH850" s="427"/>
      <c r="AI850" s="427"/>
      <c r="AJ850" s="427"/>
      <c r="AK850" s="427"/>
      <c r="AL850" s="427"/>
      <c r="AM850" s="309">
        <f>SUM(Y850:AL850)</f>
        <v>0</v>
      </c>
    </row>
    <row r="851" spans="1:39" ht="15" outlineLevel="1">
      <c r="A851" s="539"/>
      <c r="B851" s="307" t="s">
        <v>342</v>
      </c>
      <c r="C851" s="304" t="s">
        <v>163</v>
      </c>
      <c r="D851" s="308"/>
      <c r="E851" s="308"/>
      <c r="F851" s="308"/>
      <c r="G851" s="308"/>
      <c r="H851" s="308"/>
      <c r="I851" s="308"/>
      <c r="J851" s="308"/>
      <c r="K851" s="308"/>
      <c r="L851" s="308"/>
      <c r="M851" s="308"/>
      <c r="N851" s="308">
        <f>N850</f>
        <v>12</v>
      </c>
      <c r="O851" s="308"/>
      <c r="P851" s="308"/>
      <c r="Q851" s="308"/>
      <c r="R851" s="308"/>
      <c r="S851" s="308"/>
      <c r="T851" s="308"/>
      <c r="U851" s="308"/>
      <c r="V851" s="308"/>
      <c r="W851" s="308"/>
      <c r="X851" s="308"/>
      <c r="Y851" s="423">
        <f>Y850</f>
        <v>0</v>
      </c>
      <c r="Z851" s="423">
        <f t="shared" ref="Z851" si="1663">Z850</f>
        <v>0</v>
      </c>
      <c r="AA851" s="423">
        <f t="shared" ref="AA851" si="1664">AA850</f>
        <v>0</v>
      </c>
      <c r="AB851" s="423">
        <f t="shared" ref="AB851" si="1665">AB850</f>
        <v>0</v>
      </c>
      <c r="AC851" s="423">
        <f t="shared" ref="AC851" si="1666">AC850</f>
        <v>0</v>
      </c>
      <c r="AD851" s="423">
        <f t="shared" ref="AD851" si="1667">AD850</f>
        <v>0</v>
      </c>
      <c r="AE851" s="423">
        <f t="shared" ref="AE851" si="1668">AE850</f>
        <v>0</v>
      </c>
      <c r="AF851" s="423">
        <f t="shared" ref="AF851" si="1669">AF850</f>
        <v>0</v>
      </c>
      <c r="AG851" s="423">
        <f t="shared" ref="AG851" si="1670">AG850</f>
        <v>0</v>
      </c>
      <c r="AH851" s="423">
        <f t="shared" ref="AH851" si="1671">AH850</f>
        <v>0</v>
      </c>
      <c r="AI851" s="423">
        <f t="shared" ref="AI851" si="1672">AI850</f>
        <v>0</v>
      </c>
      <c r="AJ851" s="423">
        <f t="shared" ref="AJ851" si="1673">AJ850</f>
        <v>0</v>
      </c>
      <c r="AK851" s="423">
        <f t="shared" ref="AK851" si="1674">AK850</f>
        <v>0</v>
      </c>
      <c r="AL851" s="423">
        <f t="shared" ref="AL851" si="1675">AL850</f>
        <v>0</v>
      </c>
      <c r="AM851" s="319"/>
    </row>
    <row r="852" spans="1:39" ht="15" outlineLevel="1">
      <c r="A852" s="539"/>
      <c r="B852" s="307"/>
      <c r="C852" s="304"/>
      <c r="D852" s="304"/>
      <c r="E852" s="304"/>
      <c r="F852" s="304"/>
      <c r="G852" s="304"/>
      <c r="H852" s="304"/>
      <c r="I852" s="304"/>
      <c r="J852" s="304"/>
      <c r="K852" s="304"/>
      <c r="L852" s="304"/>
      <c r="M852" s="304"/>
      <c r="N852" s="304"/>
      <c r="O852" s="304"/>
      <c r="P852" s="304"/>
      <c r="Q852" s="304"/>
      <c r="R852" s="304"/>
      <c r="S852" s="304"/>
      <c r="T852" s="304"/>
      <c r="U852" s="304"/>
      <c r="V852" s="304"/>
      <c r="W852" s="304"/>
      <c r="X852" s="304"/>
      <c r="Y852" s="424"/>
      <c r="Z852" s="435"/>
      <c r="AA852" s="435"/>
      <c r="AB852" s="435"/>
      <c r="AC852" s="435"/>
      <c r="AD852" s="435"/>
      <c r="AE852" s="435"/>
      <c r="AF852" s="435"/>
      <c r="AG852" s="435"/>
      <c r="AH852" s="435"/>
      <c r="AI852" s="435"/>
      <c r="AJ852" s="435"/>
      <c r="AK852" s="435"/>
      <c r="AL852" s="435"/>
      <c r="AM852" s="319"/>
    </row>
    <row r="853" spans="1:39" ht="15" outlineLevel="1">
      <c r="A853" s="539">
        <v>26</v>
      </c>
      <c r="B853" s="438" t="s">
        <v>118</v>
      </c>
      <c r="C853" s="304" t="s">
        <v>25</v>
      </c>
      <c r="D853" s="308">
        <f>'7.  Persistence Report'!AY136</f>
        <v>259037.18082265044</v>
      </c>
      <c r="E853" s="308">
        <f>'7.  Persistence Report'!AZ136</f>
        <v>259037.18082265044</v>
      </c>
      <c r="F853" s="308"/>
      <c r="G853" s="308"/>
      <c r="H853" s="308"/>
      <c r="I853" s="308"/>
      <c r="J853" s="308"/>
      <c r="K853" s="308"/>
      <c r="L853" s="308"/>
      <c r="M853" s="308"/>
      <c r="N853" s="308">
        <v>12</v>
      </c>
      <c r="O853" s="308">
        <f>'7.  Persistence Report'!T136</f>
        <v>32.433628293043313</v>
      </c>
      <c r="P853" s="308">
        <f>'7.  Persistence Report'!U136</f>
        <v>32.492522972731784</v>
      </c>
      <c r="Q853" s="308"/>
      <c r="R853" s="308"/>
      <c r="S853" s="308"/>
      <c r="T853" s="308"/>
      <c r="U853" s="308"/>
      <c r="V853" s="308"/>
      <c r="W853" s="308"/>
      <c r="X853" s="308"/>
      <c r="Y853" s="436"/>
      <c r="Z853" s="796">
        <f>Z673</f>
        <v>0.18432569974554708</v>
      </c>
      <c r="AA853" s="796">
        <f t="shared" ref="AA853:AE853" si="1676">AA673</f>
        <v>0.45659033078880407</v>
      </c>
      <c r="AB853" s="796">
        <f t="shared" si="1676"/>
        <v>0.35908396946564886</v>
      </c>
      <c r="AC853" s="796">
        <f t="shared" si="1676"/>
        <v>0</v>
      </c>
      <c r="AD853" s="796">
        <f t="shared" si="1676"/>
        <v>0</v>
      </c>
      <c r="AE853" s="796">
        <f t="shared" si="1676"/>
        <v>0</v>
      </c>
      <c r="AF853" s="427"/>
      <c r="AG853" s="427"/>
      <c r="AH853" s="427"/>
      <c r="AI853" s="427"/>
      <c r="AJ853" s="427"/>
      <c r="AK853" s="427"/>
      <c r="AL853" s="427"/>
      <c r="AM853" s="309">
        <f>SUM(Y853:AL853)</f>
        <v>1</v>
      </c>
    </row>
    <row r="854" spans="1:39" ht="15" outlineLevel="1">
      <c r="A854" s="539"/>
      <c r="B854" s="307" t="s">
        <v>342</v>
      </c>
      <c r="C854" s="304" t="s">
        <v>163</v>
      </c>
      <c r="D854" s="308"/>
      <c r="E854" s="308"/>
      <c r="F854" s="308"/>
      <c r="G854" s="308"/>
      <c r="H854" s="308"/>
      <c r="I854" s="308"/>
      <c r="J854" s="308"/>
      <c r="K854" s="308"/>
      <c r="L854" s="308"/>
      <c r="M854" s="308"/>
      <c r="N854" s="308">
        <f>N853</f>
        <v>12</v>
      </c>
      <c r="O854" s="308"/>
      <c r="P854" s="308"/>
      <c r="Q854" s="308"/>
      <c r="R854" s="308"/>
      <c r="S854" s="308"/>
      <c r="T854" s="308"/>
      <c r="U854" s="308"/>
      <c r="V854" s="308"/>
      <c r="W854" s="308"/>
      <c r="X854" s="308"/>
      <c r="Y854" s="423">
        <f>Y853</f>
        <v>0</v>
      </c>
      <c r="Z854" s="423">
        <f t="shared" ref="Z854" si="1677">Z853</f>
        <v>0.18432569974554708</v>
      </c>
      <c r="AA854" s="423">
        <f t="shared" ref="AA854" si="1678">AA853</f>
        <v>0.45659033078880407</v>
      </c>
      <c r="AB854" s="423">
        <f t="shared" ref="AB854" si="1679">AB853</f>
        <v>0.35908396946564886</v>
      </c>
      <c r="AC854" s="423">
        <f t="shared" ref="AC854" si="1680">AC853</f>
        <v>0</v>
      </c>
      <c r="AD854" s="423">
        <f t="shared" ref="AD854" si="1681">AD853</f>
        <v>0</v>
      </c>
      <c r="AE854" s="423">
        <f t="shared" ref="AE854" si="1682">AE853</f>
        <v>0</v>
      </c>
      <c r="AF854" s="423">
        <f t="shared" ref="AF854" si="1683">AF853</f>
        <v>0</v>
      </c>
      <c r="AG854" s="423">
        <f t="shared" ref="AG854" si="1684">AG853</f>
        <v>0</v>
      </c>
      <c r="AH854" s="423">
        <f t="shared" ref="AH854" si="1685">AH853</f>
        <v>0</v>
      </c>
      <c r="AI854" s="423">
        <f t="shared" ref="AI854" si="1686">AI853</f>
        <v>0</v>
      </c>
      <c r="AJ854" s="423">
        <f t="shared" ref="AJ854" si="1687">AJ853</f>
        <v>0</v>
      </c>
      <c r="AK854" s="423">
        <f t="shared" ref="AK854" si="1688">AK853</f>
        <v>0</v>
      </c>
      <c r="AL854" s="423">
        <f t="shared" ref="AL854" si="1689">AL853</f>
        <v>0</v>
      </c>
      <c r="AM854" s="319"/>
    </row>
    <row r="855" spans="1:39" ht="15" outlineLevel="1">
      <c r="A855" s="539"/>
      <c r="B855" s="307"/>
      <c r="C855" s="304"/>
      <c r="D855" s="304"/>
      <c r="E855" s="304"/>
      <c r="F855" s="304"/>
      <c r="G855" s="304"/>
      <c r="H855" s="304"/>
      <c r="I855" s="304"/>
      <c r="J855" s="304"/>
      <c r="K855" s="304"/>
      <c r="L855" s="304"/>
      <c r="M855" s="304"/>
      <c r="N855" s="304"/>
      <c r="O855" s="304"/>
      <c r="P855" s="304"/>
      <c r="Q855" s="304"/>
      <c r="R855" s="304"/>
      <c r="S855" s="304"/>
      <c r="T855" s="304"/>
      <c r="U855" s="304"/>
      <c r="V855" s="304"/>
      <c r="W855" s="304"/>
      <c r="X855" s="304"/>
      <c r="Y855" s="424"/>
      <c r="Z855" s="435"/>
      <c r="AA855" s="435"/>
      <c r="AB855" s="435"/>
      <c r="AC855" s="435"/>
      <c r="AD855" s="435"/>
      <c r="AE855" s="435"/>
      <c r="AF855" s="435"/>
      <c r="AG855" s="435"/>
      <c r="AH855" s="435"/>
      <c r="AI855" s="435"/>
      <c r="AJ855" s="435"/>
      <c r="AK855" s="435"/>
      <c r="AL855" s="435"/>
      <c r="AM855" s="319"/>
    </row>
    <row r="856" spans="1:39" ht="30" outlineLevel="1">
      <c r="A856" s="539">
        <v>27</v>
      </c>
      <c r="B856" s="438" t="s">
        <v>119</v>
      </c>
      <c r="C856" s="304" t="s">
        <v>25</v>
      </c>
      <c r="D856" s="308">
        <f>'7.  Persistence Report'!AY137</f>
        <v>12718.813959487848</v>
      </c>
      <c r="E856" s="308">
        <f>'7.  Persistence Report'!AZ137</f>
        <v>11198.932567219119</v>
      </c>
      <c r="F856" s="308"/>
      <c r="G856" s="308"/>
      <c r="H856" s="308"/>
      <c r="I856" s="308"/>
      <c r="J856" s="308"/>
      <c r="K856" s="308"/>
      <c r="L856" s="308"/>
      <c r="M856" s="308"/>
      <c r="N856" s="308">
        <v>12</v>
      </c>
      <c r="O856" s="308">
        <f>'7.  Persistence Report'!T137</f>
        <v>3.2602299311312084</v>
      </c>
      <c r="P856" s="308">
        <f>'7.  Persistence Report'!U137</f>
        <v>2.8706367801796229</v>
      </c>
      <c r="Q856" s="308"/>
      <c r="R856" s="308"/>
      <c r="S856" s="308"/>
      <c r="T856" s="308"/>
      <c r="U856" s="308"/>
      <c r="V856" s="308"/>
      <c r="W856" s="308"/>
      <c r="X856" s="308"/>
      <c r="Y856" s="436"/>
      <c r="Z856" s="796">
        <f>Z853</f>
        <v>0.18432569974554708</v>
      </c>
      <c r="AA856" s="796">
        <f t="shared" ref="AA856:AE856" si="1690">AA853</f>
        <v>0.45659033078880407</v>
      </c>
      <c r="AB856" s="796">
        <f t="shared" si="1690"/>
        <v>0.35908396946564886</v>
      </c>
      <c r="AC856" s="796">
        <f t="shared" si="1690"/>
        <v>0</v>
      </c>
      <c r="AD856" s="796">
        <f t="shared" si="1690"/>
        <v>0</v>
      </c>
      <c r="AE856" s="796">
        <f t="shared" si="1690"/>
        <v>0</v>
      </c>
      <c r="AF856" s="427"/>
      <c r="AG856" s="427"/>
      <c r="AH856" s="427"/>
      <c r="AI856" s="427"/>
      <c r="AJ856" s="427"/>
      <c r="AK856" s="427"/>
      <c r="AL856" s="427"/>
      <c r="AM856" s="309">
        <f>SUM(Y856:AL856)</f>
        <v>1</v>
      </c>
    </row>
    <row r="857" spans="1:39" ht="15" outlineLevel="1">
      <c r="A857" s="539"/>
      <c r="B857" s="307" t="s">
        <v>342</v>
      </c>
      <c r="C857" s="304" t="s">
        <v>163</v>
      </c>
      <c r="D857" s="308"/>
      <c r="E857" s="308"/>
      <c r="F857" s="308"/>
      <c r="G857" s="308"/>
      <c r="H857" s="308"/>
      <c r="I857" s="308"/>
      <c r="J857" s="308"/>
      <c r="K857" s="308"/>
      <c r="L857" s="308"/>
      <c r="M857" s="308"/>
      <c r="N857" s="308">
        <f>N856</f>
        <v>12</v>
      </c>
      <c r="O857" s="308"/>
      <c r="P857" s="308"/>
      <c r="Q857" s="308"/>
      <c r="R857" s="308"/>
      <c r="S857" s="308"/>
      <c r="T857" s="308"/>
      <c r="U857" s="308"/>
      <c r="V857" s="308"/>
      <c r="W857" s="308"/>
      <c r="X857" s="308"/>
      <c r="Y857" s="423">
        <f>Y856</f>
        <v>0</v>
      </c>
      <c r="Z857" s="423">
        <f t="shared" ref="Z857" si="1691">Z856</f>
        <v>0.18432569974554708</v>
      </c>
      <c r="AA857" s="423">
        <f t="shared" ref="AA857" si="1692">AA856</f>
        <v>0.45659033078880407</v>
      </c>
      <c r="AB857" s="423">
        <f t="shared" ref="AB857" si="1693">AB856</f>
        <v>0.35908396946564886</v>
      </c>
      <c r="AC857" s="423">
        <f t="shared" ref="AC857" si="1694">AC856</f>
        <v>0</v>
      </c>
      <c r="AD857" s="423">
        <f t="shared" ref="AD857" si="1695">AD856</f>
        <v>0</v>
      </c>
      <c r="AE857" s="423">
        <f t="shared" ref="AE857" si="1696">AE856</f>
        <v>0</v>
      </c>
      <c r="AF857" s="423">
        <f t="shared" ref="AF857" si="1697">AF856</f>
        <v>0</v>
      </c>
      <c r="AG857" s="423">
        <f t="shared" ref="AG857" si="1698">AG856</f>
        <v>0</v>
      </c>
      <c r="AH857" s="423">
        <f t="shared" ref="AH857" si="1699">AH856</f>
        <v>0</v>
      </c>
      <c r="AI857" s="423">
        <f t="shared" ref="AI857" si="1700">AI856</f>
        <v>0</v>
      </c>
      <c r="AJ857" s="423">
        <f t="shared" ref="AJ857" si="1701">AJ856</f>
        <v>0</v>
      </c>
      <c r="AK857" s="423">
        <f t="shared" ref="AK857" si="1702">AK856</f>
        <v>0</v>
      </c>
      <c r="AL857" s="423">
        <f t="shared" ref="AL857" si="1703">AL856</f>
        <v>0</v>
      </c>
      <c r="AM857" s="319"/>
    </row>
    <row r="858" spans="1:39" ht="15" outlineLevel="1">
      <c r="A858" s="539"/>
      <c r="B858" s="307"/>
      <c r="C858" s="304"/>
      <c r="D858" s="304"/>
      <c r="E858" s="304"/>
      <c r="F858" s="304"/>
      <c r="G858" s="304"/>
      <c r="H858" s="304"/>
      <c r="I858" s="304"/>
      <c r="J858" s="304"/>
      <c r="K858" s="304"/>
      <c r="L858" s="304"/>
      <c r="M858" s="304"/>
      <c r="N858" s="304"/>
      <c r="O858" s="304"/>
      <c r="P858" s="304"/>
      <c r="Q858" s="304"/>
      <c r="R858" s="304"/>
      <c r="S858" s="304"/>
      <c r="T858" s="304"/>
      <c r="U858" s="304"/>
      <c r="V858" s="304"/>
      <c r="W858" s="304"/>
      <c r="X858" s="304"/>
      <c r="Y858" s="424"/>
      <c r="Z858" s="435"/>
      <c r="AA858" s="435"/>
      <c r="AB858" s="435"/>
      <c r="AC858" s="435"/>
      <c r="AD858" s="435"/>
      <c r="AE858" s="435"/>
      <c r="AF858" s="435"/>
      <c r="AG858" s="435"/>
      <c r="AH858" s="435"/>
      <c r="AI858" s="435"/>
      <c r="AJ858" s="435"/>
      <c r="AK858" s="435"/>
      <c r="AL858" s="435"/>
      <c r="AM858" s="319"/>
    </row>
    <row r="859" spans="1:39" ht="30" outlineLevel="1">
      <c r="A859" s="539">
        <v>28</v>
      </c>
      <c r="B859" s="438" t="s">
        <v>120</v>
      </c>
      <c r="C859" s="304" t="s">
        <v>25</v>
      </c>
      <c r="D859" s="308"/>
      <c r="E859" s="308"/>
      <c r="F859" s="308"/>
      <c r="G859" s="308"/>
      <c r="H859" s="308"/>
      <c r="I859" s="308"/>
      <c r="J859" s="308"/>
      <c r="K859" s="308"/>
      <c r="L859" s="308"/>
      <c r="M859" s="308"/>
      <c r="N859" s="308">
        <v>12</v>
      </c>
      <c r="O859" s="308"/>
      <c r="P859" s="308"/>
      <c r="Q859" s="308"/>
      <c r="R859" s="308"/>
      <c r="S859" s="308"/>
      <c r="T859" s="308"/>
      <c r="U859" s="308"/>
      <c r="V859" s="308"/>
      <c r="W859" s="308"/>
      <c r="X859" s="308"/>
      <c r="Y859" s="436"/>
      <c r="Z859" s="427"/>
      <c r="AA859" s="427"/>
      <c r="AB859" s="427"/>
      <c r="AC859" s="427"/>
      <c r="AD859" s="427"/>
      <c r="AE859" s="427"/>
      <c r="AF859" s="427"/>
      <c r="AG859" s="427"/>
      <c r="AH859" s="427"/>
      <c r="AI859" s="427"/>
      <c r="AJ859" s="427"/>
      <c r="AK859" s="427"/>
      <c r="AL859" s="427"/>
      <c r="AM859" s="309">
        <f>SUM(Y859:AL859)</f>
        <v>0</v>
      </c>
    </row>
    <row r="860" spans="1:39" ht="15" outlineLevel="1">
      <c r="A860" s="539"/>
      <c r="B860" s="307" t="s">
        <v>342</v>
      </c>
      <c r="C860" s="304" t="s">
        <v>163</v>
      </c>
      <c r="D860" s="308"/>
      <c r="E860" s="308"/>
      <c r="F860" s="308"/>
      <c r="G860" s="308"/>
      <c r="H860" s="308"/>
      <c r="I860" s="308"/>
      <c r="J860" s="308"/>
      <c r="K860" s="308"/>
      <c r="L860" s="308"/>
      <c r="M860" s="308"/>
      <c r="N860" s="308">
        <f>N859</f>
        <v>12</v>
      </c>
      <c r="O860" s="308"/>
      <c r="P860" s="308"/>
      <c r="Q860" s="308"/>
      <c r="R860" s="308"/>
      <c r="S860" s="308"/>
      <c r="T860" s="308"/>
      <c r="U860" s="308"/>
      <c r="V860" s="308"/>
      <c r="W860" s="308"/>
      <c r="X860" s="308"/>
      <c r="Y860" s="423">
        <f>Y859</f>
        <v>0</v>
      </c>
      <c r="Z860" s="423">
        <f t="shared" ref="Z860" si="1704">Z859</f>
        <v>0</v>
      </c>
      <c r="AA860" s="423">
        <f t="shared" ref="AA860" si="1705">AA859</f>
        <v>0</v>
      </c>
      <c r="AB860" s="423">
        <f t="shared" ref="AB860" si="1706">AB859</f>
        <v>0</v>
      </c>
      <c r="AC860" s="423">
        <f t="shared" ref="AC860" si="1707">AC859</f>
        <v>0</v>
      </c>
      <c r="AD860" s="423">
        <f t="shared" ref="AD860" si="1708">AD859</f>
        <v>0</v>
      </c>
      <c r="AE860" s="423">
        <f t="shared" ref="AE860" si="1709">AE859</f>
        <v>0</v>
      </c>
      <c r="AF860" s="423">
        <f t="shared" ref="AF860" si="1710">AF859</f>
        <v>0</v>
      </c>
      <c r="AG860" s="423">
        <f t="shared" ref="AG860" si="1711">AG859</f>
        <v>0</v>
      </c>
      <c r="AH860" s="423">
        <f t="shared" ref="AH860" si="1712">AH859</f>
        <v>0</v>
      </c>
      <c r="AI860" s="423">
        <f t="shared" ref="AI860" si="1713">AI859</f>
        <v>0</v>
      </c>
      <c r="AJ860" s="423">
        <f t="shared" ref="AJ860" si="1714">AJ859</f>
        <v>0</v>
      </c>
      <c r="AK860" s="423">
        <f t="shared" ref="AK860" si="1715">AK859</f>
        <v>0</v>
      </c>
      <c r="AL860" s="423">
        <f t="shared" ref="AL860" si="1716">AL859</f>
        <v>0</v>
      </c>
      <c r="AM860" s="319"/>
    </row>
    <row r="861" spans="1:39" ht="15" outlineLevel="1">
      <c r="A861" s="539"/>
      <c r="B861" s="307"/>
      <c r="C861" s="304"/>
      <c r="D861" s="304"/>
      <c r="E861" s="304"/>
      <c r="F861" s="304"/>
      <c r="G861" s="304"/>
      <c r="H861" s="304"/>
      <c r="I861" s="304"/>
      <c r="J861" s="304"/>
      <c r="K861" s="304"/>
      <c r="L861" s="304"/>
      <c r="M861" s="304"/>
      <c r="N861" s="304"/>
      <c r="O861" s="304"/>
      <c r="P861" s="304"/>
      <c r="Q861" s="304"/>
      <c r="R861" s="304"/>
      <c r="S861" s="304"/>
      <c r="T861" s="304"/>
      <c r="U861" s="304"/>
      <c r="V861" s="304"/>
      <c r="W861" s="304"/>
      <c r="X861" s="304"/>
      <c r="Y861" s="424"/>
      <c r="Z861" s="435"/>
      <c r="AA861" s="435"/>
      <c r="AB861" s="435"/>
      <c r="AC861" s="435"/>
      <c r="AD861" s="435"/>
      <c r="AE861" s="435"/>
      <c r="AF861" s="435"/>
      <c r="AG861" s="435"/>
      <c r="AH861" s="435"/>
      <c r="AI861" s="435"/>
      <c r="AJ861" s="435"/>
      <c r="AK861" s="435"/>
      <c r="AL861" s="435"/>
      <c r="AM861" s="319"/>
    </row>
    <row r="862" spans="1:39" ht="30" outlineLevel="1">
      <c r="A862" s="539">
        <v>29</v>
      </c>
      <c r="B862" s="438" t="s">
        <v>121</v>
      </c>
      <c r="C862" s="304" t="s">
        <v>25</v>
      </c>
      <c r="D862" s="308"/>
      <c r="E862" s="308"/>
      <c r="F862" s="308"/>
      <c r="G862" s="308"/>
      <c r="H862" s="308"/>
      <c r="I862" s="308"/>
      <c r="J862" s="308"/>
      <c r="K862" s="308"/>
      <c r="L862" s="308"/>
      <c r="M862" s="308"/>
      <c r="N862" s="308">
        <v>3</v>
      </c>
      <c r="O862" s="308"/>
      <c r="P862" s="308"/>
      <c r="Q862" s="308"/>
      <c r="R862" s="308"/>
      <c r="S862" s="308"/>
      <c r="T862" s="308"/>
      <c r="U862" s="308"/>
      <c r="V862" s="308"/>
      <c r="W862" s="308"/>
      <c r="X862" s="308"/>
      <c r="Y862" s="436"/>
      <c r="Z862" s="427"/>
      <c r="AA862" s="427"/>
      <c r="AB862" s="427"/>
      <c r="AC862" s="427"/>
      <c r="AD862" s="427"/>
      <c r="AE862" s="427"/>
      <c r="AF862" s="427"/>
      <c r="AG862" s="427"/>
      <c r="AH862" s="427"/>
      <c r="AI862" s="427"/>
      <c r="AJ862" s="427"/>
      <c r="AK862" s="427"/>
      <c r="AL862" s="427"/>
      <c r="AM862" s="309">
        <f>SUM(Y862:AL862)</f>
        <v>0</v>
      </c>
    </row>
    <row r="863" spans="1:39" ht="15" outlineLevel="1">
      <c r="A863" s="539"/>
      <c r="B863" s="307" t="s">
        <v>342</v>
      </c>
      <c r="C863" s="304" t="s">
        <v>163</v>
      </c>
      <c r="D863" s="308"/>
      <c r="E863" s="308"/>
      <c r="F863" s="308"/>
      <c r="G863" s="308"/>
      <c r="H863" s="308"/>
      <c r="I863" s="308"/>
      <c r="J863" s="308"/>
      <c r="K863" s="308"/>
      <c r="L863" s="308"/>
      <c r="M863" s="308"/>
      <c r="N863" s="308">
        <f>N862</f>
        <v>3</v>
      </c>
      <c r="O863" s="308"/>
      <c r="P863" s="308"/>
      <c r="Q863" s="308"/>
      <c r="R863" s="308"/>
      <c r="S863" s="308"/>
      <c r="T863" s="308"/>
      <c r="U863" s="308"/>
      <c r="V863" s="308"/>
      <c r="W863" s="308"/>
      <c r="X863" s="308"/>
      <c r="Y863" s="423">
        <f>Y862</f>
        <v>0</v>
      </c>
      <c r="Z863" s="423">
        <f t="shared" ref="Z863" si="1717">Z862</f>
        <v>0</v>
      </c>
      <c r="AA863" s="423">
        <f t="shared" ref="AA863" si="1718">AA862</f>
        <v>0</v>
      </c>
      <c r="AB863" s="423">
        <f t="shared" ref="AB863" si="1719">AB862</f>
        <v>0</v>
      </c>
      <c r="AC863" s="423">
        <f t="shared" ref="AC863" si="1720">AC862</f>
        <v>0</v>
      </c>
      <c r="AD863" s="423">
        <f t="shared" ref="AD863" si="1721">AD862</f>
        <v>0</v>
      </c>
      <c r="AE863" s="423">
        <f t="shared" ref="AE863" si="1722">AE862</f>
        <v>0</v>
      </c>
      <c r="AF863" s="423">
        <f t="shared" ref="AF863" si="1723">AF862</f>
        <v>0</v>
      </c>
      <c r="AG863" s="423">
        <f t="shared" ref="AG863" si="1724">AG862</f>
        <v>0</v>
      </c>
      <c r="AH863" s="423">
        <f t="shared" ref="AH863" si="1725">AH862</f>
        <v>0</v>
      </c>
      <c r="AI863" s="423">
        <f t="shared" ref="AI863" si="1726">AI862</f>
        <v>0</v>
      </c>
      <c r="AJ863" s="423">
        <f t="shared" ref="AJ863" si="1727">AJ862</f>
        <v>0</v>
      </c>
      <c r="AK863" s="423">
        <f t="shared" ref="AK863" si="1728">AK862</f>
        <v>0</v>
      </c>
      <c r="AL863" s="423">
        <f t="shared" ref="AL863" si="1729">AL862</f>
        <v>0</v>
      </c>
      <c r="AM863" s="319"/>
    </row>
    <row r="864" spans="1:39" ht="15" outlineLevel="1">
      <c r="A864" s="539"/>
      <c r="B864" s="307"/>
      <c r="C864" s="304"/>
      <c r="D864" s="304"/>
      <c r="E864" s="304"/>
      <c r="F864" s="304"/>
      <c r="G864" s="304"/>
      <c r="H864" s="304"/>
      <c r="I864" s="304"/>
      <c r="J864" s="304"/>
      <c r="K864" s="304"/>
      <c r="L864" s="304"/>
      <c r="M864" s="304"/>
      <c r="N864" s="304"/>
      <c r="O864" s="304"/>
      <c r="P864" s="304"/>
      <c r="Q864" s="304"/>
      <c r="R864" s="304"/>
      <c r="S864" s="304"/>
      <c r="T864" s="304"/>
      <c r="U864" s="304"/>
      <c r="V864" s="304"/>
      <c r="W864" s="304"/>
      <c r="X864" s="304"/>
      <c r="Y864" s="424"/>
      <c r="Z864" s="435"/>
      <c r="AA864" s="435"/>
      <c r="AB864" s="435"/>
      <c r="AC864" s="435"/>
      <c r="AD864" s="435"/>
      <c r="AE864" s="435"/>
      <c r="AF864" s="435"/>
      <c r="AG864" s="435"/>
      <c r="AH864" s="435"/>
      <c r="AI864" s="435"/>
      <c r="AJ864" s="435"/>
      <c r="AK864" s="435"/>
      <c r="AL864" s="435"/>
      <c r="AM864" s="319"/>
    </row>
    <row r="865" spans="1:39" ht="30" outlineLevel="1">
      <c r="A865" s="539">
        <v>30</v>
      </c>
      <c r="B865" s="438" t="s">
        <v>122</v>
      </c>
      <c r="C865" s="304" t="s">
        <v>25</v>
      </c>
      <c r="D865" s="308"/>
      <c r="E865" s="308"/>
      <c r="F865" s="308"/>
      <c r="G865" s="308"/>
      <c r="H865" s="308"/>
      <c r="I865" s="308"/>
      <c r="J865" s="308"/>
      <c r="K865" s="308"/>
      <c r="L865" s="308"/>
      <c r="M865" s="308"/>
      <c r="N865" s="308">
        <v>12</v>
      </c>
      <c r="O865" s="308"/>
      <c r="P865" s="308"/>
      <c r="Q865" s="308"/>
      <c r="R865" s="308"/>
      <c r="S865" s="308"/>
      <c r="T865" s="308"/>
      <c r="U865" s="308"/>
      <c r="V865" s="308"/>
      <c r="W865" s="308"/>
      <c r="X865" s="308"/>
      <c r="Y865" s="436"/>
      <c r="Z865" s="427"/>
      <c r="AA865" s="427"/>
      <c r="AB865" s="427"/>
      <c r="AC865" s="427"/>
      <c r="AD865" s="427"/>
      <c r="AE865" s="427"/>
      <c r="AF865" s="427"/>
      <c r="AG865" s="427"/>
      <c r="AH865" s="427"/>
      <c r="AI865" s="427"/>
      <c r="AJ865" s="427"/>
      <c r="AK865" s="427"/>
      <c r="AL865" s="427"/>
      <c r="AM865" s="309">
        <f>SUM(Y865:AL865)</f>
        <v>0</v>
      </c>
    </row>
    <row r="866" spans="1:39" ht="15" outlineLevel="1">
      <c r="A866" s="539"/>
      <c r="B866" s="307" t="s">
        <v>342</v>
      </c>
      <c r="C866" s="304" t="s">
        <v>163</v>
      </c>
      <c r="D866" s="308"/>
      <c r="E866" s="308"/>
      <c r="F866" s="308"/>
      <c r="G866" s="308"/>
      <c r="H866" s="308"/>
      <c r="I866" s="308"/>
      <c r="J866" s="308"/>
      <c r="K866" s="308"/>
      <c r="L866" s="308"/>
      <c r="M866" s="308"/>
      <c r="N866" s="308">
        <f>N865</f>
        <v>12</v>
      </c>
      <c r="O866" s="308"/>
      <c r="P866" s="308"/>
      <c r="Q866" s="308"/>
      <c r="R866" s="308"/>
      <c r="S866" s="308"/>
      <c r="T866" s="308"/>
      <c r="U866" s="308"/>
      <c r="V866" s="308"/>
      <c r="W866" s="308"/>
      <c r="X866" s="308"/>
      <c r="Y866" s="423">
        <f>Y865</f>
        <v>0</v>
      </c>
      <c r="Z866" s="423">
        <f t="shared" ref="Z866" si="1730">Z865</f>
        <v>0</v>
      </c>
      <c r="AA866" s="423">
        <f t="shared" ref="AA866" si="1731">AA865</f>
        <v>0</v>
      </c>
      <c r="AB866" s="423">
        <f t="shared" ref="AB866" si="1732">AB865</f>
        <v>0</v>
      </c>
      <c r="AC866" s="423">
        <f t="shared" ref="AC866" si="1733">AC865</f>
        <v>0</v>
      </c>
      <c r="AD866" s="423">
        <f t="shared" ref="AD866" si="1734">AD865</f>
        <v>0</v>
      </c>
      <c r="AE866" s="423">
        <f t="shared" ref="AE866" si="1735">AE865</f>
        <v>0</v>
      </c>
      <c r="AF866" s="423">
        <f t="shared" ref="AF866" si="1736">AF865</f>
        <v>0</v>
      </c>
      <c r="AG866" s="423">
        <f t="shared" ref="AG866" si="1737">AG865</f>
        <v>0</v>
      </c>
      <c r="AH866" s="423">
        <f t="shared" ref="AH866" si="1738">AH865</f>
        <v>0</v>
      </c>
      <c r="AI866" s="423">
        <f t="shared" ref="AI866" si="1739">AI865</f>
        <v>0</v>
      </c>
      <c r="AJ866" s="423">
        <f t="shared" ref="AJ866" si="1740">AJ865</f>
        <v>0</v>
      </c>
      <c r="AK866" s="423">
        <f t="shared" ref="AK866" si="1741">AK865</f>
        <v>0</v>
      </c>
      <c r="AL866" s="423">
        <f t="shared" ref="AL866" si="1742">AL865</f>
        <v>0</v>
      </c>
      <c r="AM866" s="319"/>
    </row>
    <row r="867" spans="1:39" ht="15" outlineLevel="1">
      <c r="A867" s="539"/>
      <c r="B867" s="307"/>
      <c r="C867" s="304"/>
      <c r="D867" s="304"/>
      <c r="E867" s="304"/>
      <c r="F867" s="304"/>
      <c r="G867" s="304"/>
      <c r="H867" s="304"/>
      <c r="I867" s="304"/>
      <c r="J867" s="304"/>
      <c r="K867" s="304"/>
      <c r="L867" s="304"/>
      <c r="M867" s="304"/>
      <c r="N867" s="304"/>
      <c r="O867" s="304"/>
      <c r="P867" s="304"/>
      <c r="Q867" s="304"/>
      <c r="R867" s="304"/>
      <c r="S867" s="304"/>
      <c r="T867" s="304"/>
      <c r="U867" s="304"/>
      <c r="V867" s="304"/>
      <c r="W867" s="304"/>
      <c r="X867" s="304"/>
      <c r="Y867" s="424"/>
      <c r="Z867" s="435"/>
      <c r="AA867" s="435"/>
      <c r="AB867" s="435"/>
      <c r="AC867" s="435"/>
      <c r="AD867" s="435"/>
      <c r="AE867" s="435"/>
      <c r="AF867" s="435"/>
      <c r="AG867" s="435"/>
      <c r="AH867" s="435"/>
      <c r="AI867" s="435"/>
      <c r="AJ867" s="435"/>
      <c r="AK867" s="435"/>
      <c r="AL867" s="435"/>
      <c r="AM867" s="319"/>
    </row>
    <row r="868" spans="1:39" ht="30" outlineLevel="1">
      <c r="A868" s="539">
        <v>31</v>
      </c>
      <c r="B868" s="438" t="s">
        <v>123</v>
      </c>
      <c r="C868" s="304" t="s">
        <v>25</v>
      </c>
      <c r="D868" s="308"/>
      <c r="E868" s="308"/>
      <c r="F868" s="308"/>
      <c r="G868" s="308"/>
      <c r="H868" s="308"/>
      <c r="I868" s="308"/>
      <c r="J868" s="308"/>
      <c r="K868" s="308"/>
      <c r="L868" s="308"/>
      <c r="M868" s="308"/>
      <c r="N868" s="308">
        <v>12</v>
      </c>
      <c r="O868" s="308"/>
      <c r="P868" s="308"/>
      <c r="Q868" s="308"/>
      <c r="R868" s="308"/>
      <c r="S868" s="308"/>
      <c r="T868" s="308"/>
      <c r="U868" s="308"/>
      <c r="V868" s="308"/>
      <c r="W868" s="308"/>
      <c r="X868" s="308"/>
      <c r="Y868" s="436"/>
      <c r="Z868" s="427"/>
      <c r="AA868" s="427"/>
      <c r="AB868" s="427"/>
      <c r="AC868" s="427"/>
      <c r="AD868" s="427"/>
      <c r="AE868" s="427"/>
      <c r="AF868" s="427"/>
      <c r="AG868" s="427"/>
      <c r="AH868" s="427"/>
      <c r="AI868" s="427"/>
      <c r="AJ868" s="427"/>
      <c r="AK868" s="427"/>
      <c r="AL868" s="427"/>
      <c r="AM868" s="309">
        <f>SUM(Y868:AL868)</f>
        <v>0</v>
      </c>
    </row>
    <row r="869" spans="1:39" ht="15" outlineLevel="1">
      <c r="A869" s="539"/>
      <c r="B869" s="307" t="s">
        <v>342</v>
      </c>
      <c r="C869" s="304" t="s">
        <v>163</v>
      </c>
      <c r="D869" s="308"/>
      <c r="E869" s="308"/>
      <c r="F869" s="308"/>
      <c r="G869" s="308"/>
      <c r="H869" s="308"/>
      <c r="I869" s="308"/>
      <c r="J869" s="308"/>
      <c r="K869" s="308"/>
      <c r="L869" s="308"/>
      <c r="M869" s="308"/>
      <c r="N869" s="308">
        <f>N868</f>
        <v>12</v>
      </c>
      <c r="O869" s="308"/>
      <c r="P869" s="308"/>
      <c r="Q869" s="308"/>
      <c r="R869" s="308"/>
      <c r="S869" s="308"/>
      <c r="T869" s="308"/>
      <c r="U869" s="308"/>
      <c r="V869" s="308"/>
      <c r="W869" s="308"/>
      <c r="X869" s="308"/>
      <c r="Y869" s="423">
        <f>Y868</f>
        <v>0</v>
      </c>
      <c r="Z869" s="423">
        <f t="shared" ref="Z869" si="1743">Z868</f>
        <v>0</v>
      </c>
      <c r="AA869" s="423">
        <f t="shared" ref="AA869" si="1744">AA868</f>
        <v>0</v>
      </c>
      <c r="AB869" s="423">
        <f t="shared" ref="AB869" si="1745">AB868</f>
        <v>0</v>
      </c>
      <c r="AC869" s="423">
        <f t="shared" ref="AC869" si="1746">AC868</f>
        <v>0</v>
      </c>
      <c r="AD869" s="423">
        <f t="shared" ref="AD869" si="1747">AD868</f>
        <v>0</v>
      </c>
      <c r="AE869" s="423">
        <f t="shared" ref="AE869" si="1748">AE868</f>
        <v>0</v>
      </c>
      <c r="AF869" s="423">
        <f t="shared" ref="AF869" si="1749">AF868</f>
        <v>0</v>
      </c>
      <c r="AG869" s="423">
        <f t="shared" ref="AG869" si="1750">AG868</f>
        <v>0</v>
      </c>
      <c r="AH869" s="423">
        <f t="shared" ref="AH869" si="1751">AH868</f>
        <v>0</v>
      </c>
      <c r="AI869" s="423">
        <f t="shared" ref="AI869" si="1752">AI868</f>
        <v>0</v>
      </c>
      <c r="AJ869" s="423">
        <f t="shared" ref="AJ869" si="1753">AJ868</f>
        <v>0</v>
      </c>
      <c r="AK869" s="423">
        <f t="shared" ref="AK869" si="1754">AK868</f>
        <v>0</v>
      </c>
      <c r="AL869" s="423">
        <f t="shared" ref="AL869" si="1755">AL868</f>
        <v>0</v>
      </c>
      <c r="AM869" s="319"/>
    </row>
    <row r="870" spans="1:39" ht="15" outlineLevel="1">
      <c r="A870" s="539"/>
      <c r="B870" s="438"/>
      <c r="C870" s="304"/>
      <c r="D870" s="304"/>
      <c r="E870" s="304"/>
      <c r="F870" s="304"/>
      <c r="G870" s="304"/>
      <c r="H870" s="304"/>
      <c r="I870" s="304"/>
      <c r="J870" s="304"/>
      <c r="K870" s="304"/>
      <c r="L870" s="304"/>
      <c r="M870" s="304"/>
      <c r="N870" s="304"/>
      <c r="O870" s="304"/>
      <c r="P870" s="304"/>
      <c r="Q870" s="304"/>
      <c r="R870" s="304"/>
      <c r="S870" s="304"/>
      <c r="T870" s="304"/>
      <c r="U870" s="304"/>
      <c r="V870" s="304"/>
      <c r="W870" s="304"/>
      <c r="X870" s="304"/>
      <c r="Y870" s="424"/>
      <c r="Z870" s="435"/>
      <c r="AA870" s="435"/>
      <c r="AB870" s="435"/>
      <c r="AC870" s="435"/>
      <c r="AD870" s="435"/>
      <c r="AE870" s="435"/>
      <c r="AF870" s="435"/>
      <c r="AG870" s="435"/>
      <c r="AH870" s="435"/>
      <c r="AI870" s="435"/>
      <c r="AJ870" s="435"/>
      <c r="AK870" s="435"/>
      <c r="AL870" s="435"/>
      <c r="AM870" s="319"/>
    </row>
    <row r="871" spans="1:39" ht="15" outlineLevel="1">
      <c r="A871" s="539">
        <v>32</v>
      </c>
      <c r="B871" s="438" t="s">
        <v>124</v>
      </c>
      <c r="C871" s="304" t="s">
        <v>25</v>
      </c>
      <c r="D871" s="308"/>
      <c r="E871" s="308"/>
      <c r="F871" s="308"/>
      <c r="G871" s="308"/>
      <c r="H871" s="308"/>
      <c r="I871" s="308"/>
      <c r="J871" s="308"/>
      <c r="K871" s="308"/>
      <c r="L871" s="308"/>
      <c r="M871" s="308"/>
      <c r="N871" s="308">
        <v>12</v>
      </c>
      <c r="O871" s="308"/>
      <c r="P871" s="308"/>
      <c r="Q871" s="308"/>
      <c r="R871" s="308"/>
      <c r="S871" s="308"/>
      <c r="T871" s="308"/>
      <c r="U871" s="308"/>
      <c r="V871" s="308"/>
      <c r="W871" s="308"/>
      <c r="X871" s="308"/>
      <c r="Y871" s="436"/>
      <c r="Z871" s="427"/>
      <c r="AA871" s="427"/>
      <c r="AB871" s="427"/>
      <c r="AC871" s="427"/>
      <c r="AD871" s="427"/>
      <c r="AE871" s="427"/>
      <c r="AF871" s="427"/>
      <c r="AG871" s="427"/>
      <c r="AH871" s="427"/>
      <c r="AI871" s="427"/>
      <c r="AJ871" s="427"/>
      <c r="AK871" s="427"/>
      <c r="AL871" s="427"/>
      <c r="AM871" s="309">
        <f>SUM(Y871:AL871)</f>
        <v>0</v>
      </c>
    </row>
    <row r="872" spans="1:39" ht="15" outlineLevel="1">
      <c r="A872" s="539"/>
      <c r="B872" s="307" t="s">
        <v>342</v>
      </c>
      <c r="C872" s="304" t="s">
        <v>163</v>
      </c>
      <c r="D872" s="308"/>
      <c r="E872" s="308"/>
      <c r="F872" s="308"/>
      <c r="G872" s="308"/>
      <c r="H872" s="308"/>
      <c r="I872" s="308"/>
      <c r="J872" s="308"/>
      <c r="K872" s="308"/>
      <c r="L872" s="308"/>
      <c r="M872" s="308"/>
      <c r="N872" s="308">
        <f>N871</f>
        <v>12</v>
      </c>
      <c r="O872" s="308"/>
      <c r="P872" s="308"/>
      <c r="Q872" s="308"/>
      <c r="R872" s="308"/>
      <c r="S872" s="308"/>
      <c r="T872" s="308"/>
      <c r="U872" s="308"/>
      <c r="V872" s="308"/>
      <c r="W872" s="308"/>
      <c r="X872" s="308"/>
      <c r="Y872" s="423">
        <f>Y871</f>
        <v>0</v>
      </c>
      <c r="Z872" s="423">
        <f t="shared" ref="Z872" si="1756">Z871</f>
        <v>0</v>
      </c>
      <c r="AA872" s="423">
        <f t="shared" ref="AA872" si="1757">AA871</f>
        <v>0</v>
      </c>
      <c r="AB872" s="423">
        <f t="shared" ref="AB872" si="1758">AB871</f>
        <v>0</v>
      </c>
      <c r="AC872" s="423">
        <f t="shared" ref="AC872" si="1759">AC871</f>
        <v>0</v>
      </c>
      <c r="AD872" s="423">
        <f t="shared" ref="AD872" si="1760">AD871</f>
        <v>0</v>
      </c>
      <c r="AE872" s="423">
        <f t="shared" ref="AE872" si="1761">AE871</f>
        <v>0</v>
      </c>
      <c r="AF872" s="423">
        <f t="shared" ref="AF872" si="1762">AF871</f>
        <v>0</v>
      </c>
      <c r="AG872" s="423">
        <f t="shared" ref="AG872" si="1763">AG871</f>
        <v>0</v>
      </c>
      <c r="AH872" s="423">
        <f t="shared" ref="AH872" si="1764">AH871</f>
        <v>0</v>
      </c>
      <c r="AI872" s="423">
        <f t="shared" ref="AI872" si="1765">AI871</f>
        <v>0</v>
      </c>
      <c r="AJ872" s="423">
        <f t="shared" ref="AJ872" si="1766">AJ871</f>
        <v>0</v>
      </c>
      <c r="AK872" s="423">
        <f t="shared" ref="AK872" si="1767">AK871</f>
        <v>0</v>
      </c>
      <c r="AL872" s="423">
        <f>AL871</f>
        <v>0</v>
      </c>
      <c r="AM872" s="319"/>
    </row>
    <row r="873" spans="1:39" ht="15" outlineLevel="1">
      <c r="A873" s="539"/>
      <c r="B873" s="438"/>
      <c r="C873" s="304"/>
      <c r="D873" s="304"/>
      <c r="E873" s="304"/>
      <c r="F873" s="304"/>
      <c r="G873" s="304"/>
      <c r="H873" s="304"/>
      <c r="I873" s="304"/>
      <c r="J873" s="304"/>
      <c r="K873" s="304"/>
      <c r="L873" s="304"/>
      <c r="M873" s="304"/>
      <c r="N873" s="304"/>
      <c r="O873" s="304"/>
      <c r="P873" s="304"/>
      <c r="Q873" s="304"/>
      <c r="R873" s="304"/>
      <c r="S873" s="304"/>
      <c r="T873" s="304"/>
      <c r="U873" s="304"/>
      <c r="V873" s="304"/>
      <c r="W873" s="304"/>
      <c r="X873" s="304"/>
      <c r="Y873" s="424"/>
      <c r="Z873" s="435"/>
      <c r="AA873" s="435"/>
      <c r="AB873" s="435"/>
      <c r="AC873" s="435"/>
      <c r="AD873" s="435"/>
      <c r="AE873" s="435"/>
      <c r="AF873" s="435"/>
      <c r="AG873" s="435"/>
      <c r="AH873" s="435"/>
      <c r="AI873" s="435"/>
      <c r="AJ873" s="435"/>
      <c r="AK873" s="435"/>
      <c r="AL873" s="435"/>
      <c r="AM873" s="319"/>
    </row>
    <row r="874" spans="1:39" ht="15.6" outlineLevel="1">
      <c r="A874" s="539"/>
      <c r="B874" s="301" t="s">
        <v>500</v>
      </c>
      <c r="C874" s="304"/>
      <c r="D874" s="304"/>
      <c r="E874" s="304"/>
      <c r="F874" s="304"/>
      <c r="G874" s="304"/>
      <c r="H874" s="304"/>
      <c r="I874" s="304"/>
      <c r="J874" s="304"/>
      <c r="K874" s="304"/>
      <c r="L874" s="304"/>
      <c r="M874" s="304"/>
      <c r="N874" s="304"/>
      <c r="O874" s="304"/>
      <c r="P874" s="304"/>
      <c r="Q874" s="304"/>
      <c r="R874" s="304"/>
      <c r="S874" s="304"/>
      <c r="T874" s="304"/>
      <c r="U874" s="304"/>
      <c r="V874" s="304"/>
      <c r="W874" s="304"/>
      <c r="X874" s="304"/>
      <c r="Y874" s="424"/>
      <c r="Z874" s="435"/>
      <c r="AA874" s="435"/>
      <c r="AB874" s="435"/>
      <c r="AC874" s="435"/>
      <c r="AD874" s="435"/>
      <c r="AE874" s="435"/>
      <c r="AF874" s="435"/>
      <c r="AG874" s="435"/>
      <c r="AH874" s="435"/>
      <c r="AI874" s="435"/>
      <c r="AJ874" s="435"/>
      <c r="AK874" s="435"/>
      <c r="AL874" s="435"/>
      <c r="AM874" s="319"/>
    </row>
    <row r="875" spans="1:39" ht="15" outlineLevel="1">
      <c r="A875" s="539">
        <v>33</v>
      </c>
      <c r="B875" s="438" t="s">
        <v>125</v>
      </c>
      <c r="C875" s="304" t="s">
        <v>25</v>
      </c>
      <c r="D875" s="308">
        <f>'7.  Persistence Report'!AY138</f>
        <v>23162.379999999983</v>
      </c>
      <c r="E875" s="308">
        <f>'7.  Persistence Report'!AZ138</f>
        <v>23162.379999999983</v>
      </c>
      <c r="F875" s="308"/>
      <c r="G875" s="308"/>
      <c r="H875" s="308"/>
      <c r="I875" s="308"/>
      <c r="J875" s="308"/>
      <c r="K875" s="308"/>
      <c r="L875" s="308"/>
      <c r="M875" s="308"/>
      <c r="N875" s="308">
        <v>0</v>
      </c>
      <c r="O875" s="308">
        <f>'7.  Persistence Report'!T138</f>
        <v>3.1259895852128605</v>
      </c>
      <c r="P875" s="308">
        <f>'7.  Persistence Report'!U138</f>
        <v>3.1259895852128605</v>
      </c>
      <c r="Q875" s="308"/>
      <c r="R875" s="308"/>
      <c r="S875" s="308"/>
      <c r="T875" s="308"/>
      <c r="U875" s="308"/>
      <c r="V875" s="308"/>
      <c r="W875" s="308"/>
      <c r="X875" s="308"/>
      <c r="Y875" s="436"/>
      <c r="Z875" s="796">
        <f>Z853</f>
        <v>0.18432569974554708</v>
      </c>
      <c r="AA875" s="796">
        <f t="shared" ref="AA875:AE875" si="1768">AA853</f>
        <v>0.45659033078880407</v>
      </c>
      <c r="AB875" s="796">
        <f t="shared" si="1768"/>
        <v>0.35908396946564886</v>
      </c>
      <c r="AC875" s="796">
        <f t="shared" si="1768"/>
        <v>0</v>
      </c>
      <c r="AD875" s="796">
        <f t="shared" si="1768"/>
        <v>0</v>
      </c>
      <c r="AE875" s="796">
        <f t="shared" si="1768"/>
        <v>0</v>
      </c>
      <c r="AF875" s="427"/>
      <c r="AG875" s="427"/>
      <c r="AH875" s="427"/>
      <c r="AI875" s="427"/>
      <c r="AJ875" s="427"/>
      <c r="AK875" s="427"/>
      <c r="AL875" s="427"/>
      <c r="AM875" s="309">
        <f>SUM(Y875:AL875)</f>
        <v>1</v>
      </c>
    </row>
    <row r="876" spans="1:39" ht="15" outlineLevel="1">
      <c r="A876" s="539"/>
      <c r="B876" s="307" t="s">
        <v>342</v>
      </c>
      <c r="C876" s="304" t="s">
        <v>163</v>
      </c>
      <c r="D876" s="308"/>
      <c r="E876" s="308"/>
      <c r="F876" s="308"/>
      <c r="G876" s="308"/>
      <c r="H876" s="308"/>
      <c r="I876" s="308"/>
      <c r="J876" s="308"/>
      <c r="K876" s="308"/>
      <c r="L876" s="308"/>
      <c r="M876" s="308"/>
      <c r="N876" s="308">
        <f>N875</f>
        <v>0</v>
      </c>
      <c r="O876" s="308"/>
      <c r="P876" s="308"/>
      <c r="Q876" s="308"/>
      <c r="R876" s="308"/>
      <c r="S876" s="308"/>
      <c r="T876" s="308"/>
      <c r="U876" s="308"/>
      <c r="V876" s="308"/>
      <c r="W876" s="308"/>
      <c r="X876" s="308"/>
      <c r="Y876" s="423">
        <f>Y875</f>
        <v>0</v>
      </c>
      <c r="Z876" s="423">
        <f t="shared" ref="Z876" si="1769">Z875</f>
        <v>0.18432569974554708</v>
      </c>
      <c r="AA876" s="423">
        <f t="shared" ref="AA876" si="1770">AA875</f>
        <v>0.45659033078880407</v>
      </c>
      <c r="AB876" s="423">
        <f t="shared" ref="AB876" si="1771">AB875</f>
        <v>0.35908396946564886</v>
      </c>
      <c r="AC876" s="423">
        <f t="shared" ref="AC876" si="1772">AC875</f>
        <v>0</v>
      </c>
      <c r="AD876" s="423">
        <f t="shared" ref="AD876" si="1773">AD875</f>
        <v>0</v>
      </c>
      <c r="AE876" s="423">
        <f t="shared" ref="AE876" si="1774">AE875</f>
        <v>0</v>
      </c>
      <c r="AF876" s="423">
        <f t="shared" ref="AF876" si="1775">AF875</f>
        <v>0</v>
      </c>
      <c r="AG876" s="423">
        <f t="shared" ref="AG876" si="1776">AG875</f>
        <v>0</v>
      </c>
      <c r="AH876" s="423">
        <f t="shared" ref="AH876" si="1777">AH875</f>
        <v>0</v>
      </c>
      <c r="AI876" s="423">
        <f t="shared" ref="AI876" si="1778">AI875</f>
        <v>0</v>
      </c>
      <c r="AJ876" s="423">
        <f t="shared" ref="AJ876" si="1779">AJ875</f>
        <v>0</v>
      </c>
      <c r="AK876" s="423">
        <f t="shared" ref="AK876" si="1780">AK875</f>
        <v>0</v>
      </c>
      <c r="AL876" s="423">
        <f t="shared" ref="AL876" si="1781">AL875</f>
        <v>0</v>
      </c>
      <c r="AM876" s="319"/>
    </row>
    <row r="877" spans="1:39" ht="15" outlineLevel="1">
      <c r="A877" s="539"/>
      <c r="B877" s="438"/>
      <c r="C877" s="304"/>
      <c r="D877" s="304"/>
      <c r="E877" s="304"/>
      <c r="F877" s="304"/>
      <c r="G877" s="304"/>
      <c r="H877" s="304"/>
      <c r="I877" s="304"/>
      <c r="J877" s="304"/>
      <c r="K877" s="304"/>
      <c r="L877" s="304"/>
      <c r="M877" s="304"/>
      <c r="N877" s="304"/>
      <c r="O877" s="304"/>
      <c r="P877" s="304"/>
      <c r="Q877" s="304"/>
      <c r="R877" s="304"/>
      <c r="S877" s="304"/>
      <c r="T877" s="304"/>
      <c r="U877" s="304"/>
      <c r="V877" s="304"/>
      <c r="W877" s="304"/>
      <c r="X877" s="304"/>
      <c r="Y877" s="424"/>
      <c r="Z877" s="435"/>
      <c r="AA877" s="435"/>
      <c r="AB877" s="435"/>
      <c r="AC877" s="435"/>
      <c r="AD877" s="435"/>
      <c r="AE877" s="435"/>
      <c r="AF877" s="435"/>
      <c r="AG877" s="435"/>
      <c r="AH877" s="435"/>
      <c r="AI877" s="435"/>
      <c r="AJ877" s="435"/>
      <c r="AK877" s="435"/>
      <c r="AL877" s="435"/>
      <c r="AM877" s="319"/>
    </row>
    <row r="878" spans="1:39" ht="15" outlineLevel="1">
      <c r="A878" s="539">
        <v>34</v>
      </c>
      <c r="B878" s="438" t="s">
        <v>126</v>
      </c>
      <c r="C878" s="304" t="s">
        <v>25</v>
      </c>
      <c r="D878" s="308"/>
      <c r="E878" s="308"/>
      <c r="F878" s="308"/>
      <c r="G878" s="308"/>
      <c r="H878" s="308"/>
      <c r="I878" s="308"/>
      <c r="J878" s="308"/>
      <c r="K878" s="308"/>
      <c r="L878" s="308"/>
      <c r="M878" s="308"/>
      <c r="N878" s="308">
        <v>0</v>
      </c>
      <c r="O878" s="308"/>
      <c r="P878" s="308"/>
      <c r="Q878" s="308"/>
      <c r="R878" s="308"/>
      <c r="S878" s="308"/>
      <c r="T878" s="308"/>
      <c r="U878" s="308"/>
      <c r="V878" s="308"/>
      <c r="W878" s="308"/>
      <c r="X878" s="308"/>
      <c r="Y878" s="436"/>
      <c r="Z878" s="427"/>
      <c r="AA878" s="427"/>
      <c r="AB878" s="427"/>
      <c r="AC878" s="427"/>
      <c r="AD878" s="427"/>
      <c r="AE878" s="427"/>
      <c r="AF878" s="427"/>
      <c r="AG878" s="427"/>
      <c r="AH878" s="427"/>
      <c r="AI878" s="427"/>
      <c r="AJ878" s="427"/>
      <c r="AK878" s="427"/>
      <c r="AL878" s="427"/>
      <c r="AM878" s="309">
        <f>SUM(Y878:AL878)</f>
        <v>0</v>
      </c>
    </row>
    <row r="879" spans="1:39" ht="15" outlineLevel="1">
      <c r="A879" s="539"/>
      <c r="B879" s="307" t="s">
        <v>342</v>
      </c>
      <c r="C879" s="304" t="s">
        <v>163</v>
      </c>
      <c r="D879" s="308"/>
      <c r="E879" s="308"/>
      <c r="F879" s="308"/>
      <c r="G879" s="308"/>
      <c r="H879" s="308"/>
      <c r="I879" s="308"/>
      <c r="J879" s="308"/>
      <c r="K879" s="308"/>
      <c r="L879" s="308"/>
      <c r="M879" s="308"/>
      <c r="N879" s="308">
        <f>N878</f>
        <v>0</v>
      </c>
      <c r="O879" s="308"/>
      <c r="P879" s="308"/>
      <c r="Q879" s="308"/>
      <c r="R879" s="308"/>
      <c r="S879" s="308"/>
      <c r="T879" s="308"/>
      <c r="U879" s="308"/>
      <c r="V879" s="308"/>
      <c r="W879" s="308"/>
      <c r="X879" s="308"/>
      <c r="Y879" s="423">
        <f>Y878</f>
        <v>0</v>
      </c>
      <c r="Z879" s="423">
        <f t="shared" ref="Z879" si="1782">Z878</f>
        <v>0</v>
      </c>
      <c r="AA879" s="423">
        <f t="shared" ref="AA879" si="1783">AA878</f>
        <v>0</v>
      </c>
      <c r="AB879" s="423">
        <f t="shared" ref="AB879" si="1784">AB878</f>
        <v>0</v>
      </c>
      <c r="AC879" s="423">
        <f t="shared" ref="AC879" si="1785">AC878</f>
        <v>0</v>
      </c>
      <c r="AD879" s="423">
        <f t="shared" ref="AD879" si="1786">AD878</f>
        <v>0</v>
      </c>
      <c r="AE879" s="423">
        <f t="shared" ref="AE879" si="1787">AE878</f>
        <v>0</v>
      </c>
      <c r="AF879" s="423">
        <f t="shared" ref="AF879" si="1788">AF878</f>
        <v>0</v>
      </c>
      <c r="AG879" s="423">
        <f t="shared" ref="AG879" si="1789">AG878</f>
        <v>0</v>
      </c>
      <c r="AH879" s="423">
        <f t="shared" ref="AH879" si="1790">AH878</f>
        <v>0</v>
      </c>
      <c r="AI879" s="423">
        <f t="shared" ref="AI879" si="1791">AI878</f>
        <v>0</v>
      </c>
      <c r="AJ879" s="423">
        <f t="shared" ref="AJ879" si="1792">AJ878</f>
        <v>0</v>
      </c>
      <c r="AK879" s="423">
        <f t="shared" ref="AK879" si="1793">AK878</f>
        <v>0</v>
      </c>
      <c r="AL879" s="423">
        <f t="shared" ref="AL879" si="1794">AL878</f>
        <v>0</v>
      </c>
      <c r="AM879" s="319"/>
    </row>
    <row r="880" spans="1:39" ht="15" outlineLevel="1">
      <c r="A880" s="539"/>
      <c r="B880" s="438"/>
      <c r="C880" s="304"/>
      <c r="D880" s="304"/>
      <c r="E880" s="304"/>
      <c r="F880" s="304"/>
      <c r="G880" s="304"/>
      <c r="H880" s="304"/>
      <c r="I880" s="304"/>
      <c r="J880" s="304"/>
      <c r="K880" s="304"/>
      <c r="L880" s="304"/>
      <c r="M880" s="304"/>
      <c r="N880" s="304"/>
      <c r="O880" s="304"/>
      <c r="P880" s="304"/>
      <c r="Q880" s="304"/>
      <c r="R880" s="304"/>
      <c r="S880" s="304"/>
      <c r="T880" s="304"/>
      <c r="U880" s="304"/>
      <c r="V880" s="304"/>
      <c r="W880" s="304"/>
      <c r="X880" s="304"/>
      <c r="Y880" s="424"/>
      <c r="Z880" s="435"/>
      <c r="AA880" s="435"/>
      <c r="AB880" s="435"/>
      <c r="AC880" s="435"/>
      <c r="AD880" s="435"/>
      <c r="AE880" s="435"/>
      <c r="AF880" s="435"/>
      <c r="AG880" s="435"/>
      <c r="AH880" s="435"/>
      <c r="AI880" s="435"/>
      <c r="AJ880" s="435"/>
      <c r="AK880" s="435"/>
      <c r="AL880" s="435"/>
      <c r="AM880" s="319"/>
    </row>
    <row r="881" spans="1:39" ht="15" outlineLevel="1">
      <c r="A881" s="539">
        <v>35</v>
      </c>
      <c r="B881" s="438" t="s">
        <v>127</v>
      </c>
      <c r="C881" s="304" t="s">
        <v>25</v>
      </c>
      <c r="D881" s="308"/>
      <c r="E881" s="308"/>
      <c r="F881" s="308"/>
      <c r="G881" s="308"/>
      <c r="H881" s="308"/>
      <c r="I881" s="308"/>
      <c r="J881" s="308"/>
      <c r="K881" s="308"/>
      <c r="L881" s="308"/>
      <c r="M881" s="308"/>
      <c r="N881" s="308">
        <v>0</v>
      </c>
      <c r="O881" s="308"/>
      <c r="P881" s="308"/>
      <c r="Q881" s="308"/>
      <c r="R881" s="308"/>
      <c r="S881" s="308"/>
      <c r="T881" s="308"/>
      <c r="U881" s="308"/>
      <c r="V881" s="308"/>
      <c r="W881" s="308"/>
      <c r="X881" s="308"/>
      <c r="Y881" s="436"/>
      <c r="Z881" s="427"/>
      <c r="AA881" s="427"/>
      <c r="AB881" s="427"/>
      <c r="AC881" s="427"/>
      <c r="AD881" s="427"/>
      <c r="AE881" s="427"/>
      <c r="AF881" s="427"/>
      <c r="AG881" s="427"/>
      <c r="AH881" s="427"/>
      <c r="AI881" s="427"/>
      <c r="AJ881" s="427"/>
      <c r="AK881" s="427"/>
      <c r="AL881" s="427"/>
      <c r="AM881" s="309">
        <f>SUM(Y881:AL881)</f>
        <v>0</v>
      </c>
    </row>
    <row r="882" spans="1:39" ht="15" outlineLevel="1">
      <c r="A882" s="539"/>
      <c r="B882" s="307" t="s">
        <v>342</v>
      </c>
      <c r="C882" s="304" t="s">
        <v>163</v>
      </c>
      <c r="D882" s="308"/>
      <c r="E882" s="308"/>
      <c r="F882" s="308"/>
      <c r="G882" s="308"/>
      <c r="H882" s="308"/>
      <c r="I882" s="308"/>
      <c r="J882" s="308"/>
      <c r="K882" s="308"/>
      <c r="L882" s="308"/>
      <c r="M882" s="308"/>
      <c r="N882" s="308">
        <f>N881</f>
        <v>0</v>
      </c>
      <c r="O882" s="308"/>
      <c r="P882" s="308"/>
      <c r="Q882" s="308"/>
      <c r="R882" s="308"/>
      <c r="S882" s="308"/>
      <c r="T882" s="308"/>
      <c r="U882" s="308"/>
      <c r="V882" s="308"/>
      <c r="W882" s="308"/>
      <c r="X882" s="308"/>
      <c r="Y882" s="423">
        <f>Y881</f>
        <v>0</v>
      </c>
      <c r="Z882" s="423">
        <f t="shared" ref="Z882" si="1795">Z881</f>
        <v>0</v>
      </c>
      <c r="AA882" s="423">
        <f t="shared" ref="AA882" si="1796">AA881</f>
        <v>0</v>
      </c>
      <c r="AB882" s="423">
        <f t="shared" ref="AB882" si="1797">AB881</f>
        <v>0</v>
      </c>
      <c r="AC882" s="423">
        <f t="shared" ref="AC882" si="1798">AC881</f>
        <v>0</v>
      </c>
      <c r="AD882" s="423">
        <f t="shared" ref="AD882" si="1799">AD881</f>
        <v>0</v>
      </c>
      <c r="AE882" s="423">
        <f t="shared" ref="AE882" si="1800">AE881</f>
        <v>0</v>
      </c>
      <c r="AF882" s="423">
        <f t="shared" ref="AF882" si="1801">AF881</f>
        <v>0</v>
      </c>
      <c r="AG882" s="423">
        <f t="shared" ref="AG882" si="1802">AG881</f>
        <v>0</v>
      </c>
      <c r="AH882" s="423">
        <f t="shared" ref="AH882" si="1803">AH881</f>
        <v>0</v>
      </c>
      <c r="AI882" s="423">
        <f t="shared" ref="AI882" si="1804">AI881</f>
        <v>0</v>
      </c>
      <c r="AJ882" s="423">
        <f t="shared" ref="AJ882" si="1805">AJ881</f>
        <v>0</v>
      </c>
      <c r="AK882" s="423">
        <f t="shared" ref="AK882" si="1806">AK881</f>
        <v>0</v>
      </c>
      <c r="AL882" s="423">
        <f t="shared" ref="AL882" si="1807">AL881</f>
        <v>0</v>
      </c>
      <c r="AM882" s="319"/>
    </row>
    <row r="883" spans="1:39" ht="15" outlineLevel="1">
      <c r="A883" s="539"/>
      <c r="B883" s="441"/>
      <c r="C883" s="304"/>
      <c r="D883" s="304"/>
      <c r="E883" s="304"/>
      <c r="F883" s="304"/>
      <c r="G883" s="304"/>
      <c r="H883" s="304"/>
      <c r="I883" s="304"/>
      <c r="J883" s="304"/>
      <c r="K883" s="304"/>
      <c r="L883" s="304"/>
      <c r="M883" s="304"/>
      <c r="N883" s="304"/>
      <c r="O883" s="304"/>
      <c r="P883" s="304"/>
      <c r="Q883" s="304"/>
      <c r="R883" s="304"/>
      <c r="S883" s="304"/>
      <c r="T883" s="304"/>
      <c r="U883" s="304"/>
      <c r="V883" s="304"/>
      <c r="W883" s="304"/>
      <c r="X883" s="304"/>
      <c r="Y883" s="424"/>
      <c r="Z883" s="435"/>
      <c r="AA883" s="435"/>
      <c r="AB883" s="435"/>
      <c r="AC883" s="435"/>
      <c r="AD883" s="435"/>
      <c r="AE883" s="435"/>
      <c r="AF883" s="435"/>
      <c r="AG883" s="435"/>
      <c r="AH883" s="435"/>
      <c r="AI883" s="435"/>
      <c r="AJ883" s="435"/>
      <c r="AK883" s="435"/>
      <c r="AL883" s="435"/>
      <c r="AM883" s="319"/>
    </row>
    <row r="884" spans="1:39" ht="15.6" outlineLevel="1">
      <c r="A884" s="539"/>
      <c r="B884" s="301" t="s">
        <v>501</v>
      </c>
      <c r="C884" s="304"/>
      <c r="D884" s="304"/>
      <c r="E884" s="304"/>
      <c r="F884" s="304"/>
      <c r="G884" s="304"/>
      <c r="H884" s="304"/>
      <c r="I884" s="304"/>
      <c r="J884" s="304"/>
      <c r="K884" s="304"/>
      <c r="L884" s="304"/>
      <c r="M884" s="304"/>
      <c r="N884" s="304"/>
      <c r="O884" s="304"/>
      <c r="P884" s="304"/>
      <c r="Q884" s="304"/>
      <c r="R884" s="304"/>
      <c r="S884" s="304"/>
      <c r="T884" s="304"/>
      <c r="U884" s="304"/>
      <c r="V884" s="304"/>
      <c r="W884" s="304"/>
      <c r="X884" s="304"/>
      <c r="Y884" s="424"/>
      <c r="Z884" s="435"/>
      <c r="AA884" s="435"/>
      <c r="AB884" s="435"/>
      <c r="AC884" s="435"/>
      <c r="AD884" s="435"/>
      <c r="AE884" s="435"/>
      <c r="AF884" s="435"/>
      <c r="AG884" s="435"/>
      <c r="AH884" s="435"/>
      <c r="AI884" s="435"/>
      <c r="AJ884" s="435"/>
      <c r="AK884" s="435"/>
      <c r="AL884" s="435"/>
      <c r="AM884" s="319"/>
    </row>
    <row r="885" spans="1:39" ht="45" outlineLevel="1">
      <c r="A885" s="539">
        <v>36</v>
      </c>
      <c r="B885" s="438" t="s">
        <v>128</v>
      </c>
      <c r="C885" s="304" t="s">
        <v>25</v>
      </c>
      <c r="D885" s="308"/>
      <c r="E885" s="308"/>
      <c r="F885" s="308"/>
      <c r="G885" s="308"/>
      <c r="H885" s="308"/>
      <c r="I885" s="308"/>
      <c r="J885" s="308"/>
      <c r="K885" s="308"/>
      <c r="L885" s="308"/>
      <c r="M885" s="308"/>
      <c r="N885" s="308">
        <v>12</v>
      </c>
      <c r="O885" s="308"/>
      <c r="P885" s="308"/>
      <c r="Q885" s="308"/>
      <c r="R885" s="308"/>
      <c r="S885" s="308"/>
      <c r="T885" s="308"/>
      <c r="U885" s="308"/>
      <c r="V885" s="308"/>
      <c r="W885" s="308"/>
      <c r="X885" s="308"/>
      <c r="Y885" s="436"/>
      <c r="Z885" s="427"/>
      <c r="AA885" s="427"/>
      <c r="AB885" s="427"/>
      <c r="AC885" s="427"/>
      <c r="AD885" s="427"/>
      <c r="AE885" s="427"/>
      <c r="AF885" s="427"/>
      <c r="AG885" s="427"/>
      <c r="AH885" s="427"/>
      <c r="AI885" s="427"/>
      <c r="AJ885" s="427"/>
      <c r="AK885" s="427"/>
      <c r="AL885" s="427"/>
      <c r="AM885" s="309">
        <f>SUM(Y885:AL885)</f>
        <v>0</v>
      </c>
    </row>
    <row r="886" spans="1:39" ht="15" outlineLevel="1">
      <c r="A886" s="539"/>
      <c r="B886" s="307" t="s">
        <v>342</v>
      </c>
      <c r="C886" s="304" t="s">
        <v>163</v>
      </c>
      <c r="D886" s="308"/>
      <c r="E886" s="308"/>
      <c r="F886" s="308"/>
      <c r="G886" s="308"/>
      <c r="H886" s="308"/>
      <c r="I886" s="308"/>
      <c r="J886" s="308"/>
      <c r="K886" s="308"/>
      <c r="L886" s="308"/>
      <c r="M886" s="308"/>
      <c r="N886" s="308">
        <f>N885</f>
        <v>12</v>
      </c>
      <c r="O886" s="308"/>
      <c r="P886" s="308"/>
      <c r="Q886" s="308"/>
      <c r="R886" s="308"/>
      <c r="S886" s="308"/>
      <c r="T886" s="308"/>
      <c r="U886" s="308"/>
      <c r="V886" s="308"/>
      <c r="W886" s="308"/>
      <c r="X886" s="308"/>
      <c r="Y886" s="423">
        <f>Y885</f>
        <v>0</v>
      </c>
      <c r="Z886" s="423">
        <f t="shared" ref="Z886" si="1808">Z885</f>
        <v>0</v>
      </c>
      <c r="AA886" s="423">
        <f t="shared" ref="AA886" si="1809">AA885</f>
        <v>0</v>
      </c>
      <c r="AB886" s="423">
        <f t="shared" ref="AB886" si="1810">AB885</f>
        <v>0</v>
      </c>
      <c r="AC886" s="423">
        <f t="shared" ref="AC886" si="1811">AC885</f>
        <v>0</v>
      </c>
      <c r="AD886" s="423">
        <f t="shared" ref="AD886" si="1812">AD885</f>
        <v>0</v>
      </c>
      <c r="AE886" s="423">
        <f t="shared" ref="AE886" si="1813">AE885</f>
        <v>0</v>
      </c>
      <c r="AF886" s="423">
        <f t="shared" ref="AF886" si="1814">AF885</f>
        <v>0</v>
      </c>
      <c r="AG886" s="423">
        <f t="shared" ref="AG886" si="1815">AG885</f>
        <v>0</v>
      </c>
      <c r="AH886" s="423">
        <f t="shared" ref="AH886" si="1816">AH885</f>
        <v>0</v>
      </c>
      <c r="AI886" s="423">
        <f t="shared" ref="AI886" si="1817">AI885</f>
        <v>0</v>
      </c>
      <c r="AJ886" s="423">
        <f t="shared" ref="AJ886" si="1818">AJ885</f>
        <v>0</v>
      </c>
      <c r="AK886" s="423">
        <f t="shared" ref="AK886" si="1819">AK885</f>
        <v>0</v>
      </c>
      <c r="AL886" s="423">
        <f t="shared" ref="AL886" si="1820">AL885</f>
        <v>0</v>
      </c>
      <c r="AM886" s="319"/>
    </row>
    <row r="887" spans="1:39" ht="15" outlineLevel="1">
      <c r="A887" s="539"/>
      <c r="B887" s="438"/>
      <c r="C887" s="304"/>
      <c r="D887" s="304"/>
      <c r="E887" s="304"/>
      <c r="F887" s="304"/>
      <c r="G887" s="304"/>
      <c r="H887" s="304"/>
      <c r="I887" s="304"/>
      <c r="J887" s="304"/>
      <c r="K887" s="304"/>
      <c r="L887" s="304"/>
      <c r="M887" s="304"/>
      <c r="N887" s="304"/>
      <c r="O887" s="304"/>
      <c r="P887" s="304"/>
      <c r="Q887" s="304"/>
      <c r="R887" s="304"/>
      <c r="S887" s="304"/>
      <c r="T887" s="304"/>
      <c r="U887" s="304"/>
      <c r="V887" s="304"/>
      <c r="W887" s="304"/>
      <c r="X887" s="304"/>
      <c r="Y887" s="424"/>
      <c r="Z887" s="435"/>
      <c r="AA887" s="435"/>
      <c r="AB887" s="435"/>
      <c r="AC887" s="435"/>
      <c r="AD887" s="435"/>
      <c r="AE887" s="435"/>
      <c r="AF887" s="435"/>
      <c r="AG887" s="435"/>
      <c r="AH887" s="435"/>
      <c r="AI887" s="435"/>
      <c r="AJ887" s="435"/>
      <c r="AK887" s="435"/>
      <c r="AL887" s="435"/>
      <c r="AM887" s="319"/>
    </row>
    <row r="888" spans="1:39" ht="30" outlineLevel="1">
      <c r="A888" s="539">
        <v>37</v>
      </c>
      <c r="B888" s="438" t="s">
        <v>129</v>
      </c>
      <c r="C888" s="304" t="s">
        <v>25</v>
      </c>
      <c r="D888" s="308"/>
      <c r="E888" s="308"/>
      <c r="F888" s="308"/>
      <c r="G888" s="308"/>
      <c r="H888" s="308"/>
      <c r="I888" s="308"/>
      <c r="J888" s="308"/>
      <c r="K888" s="308"/>
      <c r="L888" s="308"/>
      <c r="M888" s="308"/>
      <c r="N888" s="308">
        <v>12</v>
      </c>
      <c r="O888" s="308"/>
      <c r="P888" s="308"/>
      <c r="Q888" s="308"/>
      <c r="R888" s="308"/>
      <c r="S888" s="308"/>
      <c r="T888" s="308"/>
      <c r="U888" s="308"/>
      <c r="V888" s="308"/>
      <c r="W888" s="308"/>
      <c r="X888" s="308"/>
      <c r="Y888" s="436"/>
      <c r="Z888" s="427"/>
      <c r="AA888" s="427"/>
      <c r="AB888" s="427"/>
      <c r="AC888" s="427"/>
      <c r="AD888" s="427"/>
      <c r="AE888" s="427"/>
      <c r="AF888" s="427"/>
      <c r="AG888" s="427"/>
      <c r="AH888" s="427"/>
      <c r="AI888" s="427"/>
      <c r="AJ888" s="427"/>
      <c r="AK888" s="427"/>
      <c r="AL888" s="427"/>
      <c r="AM888" s="309">
        <f>SUM(Y888:AL888)</f>
        <v>0</v>
      </c>
    </row>
    <row r="889" spans="1:39" ht="15" outlineLevel="1">
      <c r="A889" s="539"/>
      <c r="B889" s="307" t="s">
        <v>342</v>
      </c>
      <c r="C889" s="304" t="s">
        <v>163</v>
      </c>
      <c r="D889" s="308"/>
      <c r="E889" s="308"/>
      <c r="F889" s="308"/>
      <c r="G889" s="308"/>
      <c r="H889" s="308"/>
      <c r="I889" s="308"/>
      <c r="J889" s="308"/>
      <c r="K889" s="308"/>
      <c r="L889" s="308"/>
      <c r="M889" s="308"/>
      <c r="N889" s="308">
        <f>N888</f>
        <v>12</v>
      </c>
      <c r="O889" s="308"/>
      <c r="P889" s="308"/>
      <c r="Q889" s="308"/>
      <c r="R889" s="308"/>
      <c r="S889" s="308"/>
      <c r="T889" s="308"/>
      <c r="U889" s="308"/>
      <c r="V889" s="308"/>
      <c r="W889" s="308"/>
      <c r="X889" s="308"/>
      <c r="Y889" s="423">
        <f>Y888</f>
        <v>0</v>
      </c>
      <c r="Z889" s="423">
        <f t="shared" ref="Z889" si="1821">Z888</f>
        <v>0</v>
      </c>
      <c r="AA889" s="423">
        <f t="shared" ref="AA889" si="1822">AA888</f>
        <v>0</v>
      </c>
      <c r="AB889" s="423">
        <f t="shared" ref="AB889" si="1823">AB888</f>
        <v>0</v>
      </c>
      <c r="AC889" s="423">
        <f t="shared" ref="AC889" si="1824">AC888</f>
        <v>0</v>
      </c>
      <c r="AD889" s="423">
        <f t="shared" ref="AD889" si="1825">AD888</f>
        <v>0</v>
      </c>
      <c r="AE889" s="423">
        <f t="shared" ref="AE889" si="1826">AE888</f>
        <v>0</v>
      </c>
      <c r="AF889" s="423">
        <f t="shared" ref="AF889" si="1827">AF888</f>
        <v>0</v>
      </c>
      <c r="AG889" s="423">
        <f t="shared" ref="AG889" si="1828">AG888</f>
        <v>0</v>
      </c>
      <c r="AH889" s="423">
        <f t="shared" ref="AH889" si="1829">AH888</f>
        <v>0</v>
      </c>
      <c r="AI889" s="423">
        <f t="shared" ref="AI889" si="1830">AI888</f>
        <v>0</v>
      </c>
      <c r="AJ889" s="423">
        <f t="shared" ref="AJ889" si="1831">AJ888</f>
        <v>0</v>
      </c>
      <c r="AK889" s="423">
        <f t="shared" ref="AK889" si="1832">AK888</f>
        <v>0</v>
      </c>
      <c r="AL889" s="423">
        <f t="shared" ref="AL889" si="1833">AL888</f>
        <v>0</v>
      </c>
      <c r="AM889" s="319"/>
    </row>
    <row r="890" spans="1:39" ht="15" outlineLevel="1">
      <c r="A890" s="539"/>
      <c r="B890" s="438"/>
      <c r="C890" s="304"/>
      <c r="D890" s="304"/>
      <c r="E890" s="304"/>
      <c r="F890" s="304"/>
      <c r="G890" s="304"/>
      <c r="H890" s="304"/>
      <c r="I890" s="304"/>
      <c r="J890" s="304"/>
      <c r="K890" s="304"/>
      <c r="L890" s="304"/>
      <c r="M890" s="304"/>
      <c r="N890" s="304"/>
      <c r="O890" s="304"/>
      <c r="P890" s="304"/>
      <c r="Q890" s="304"/>
      <c r="R890" s="304"/>
      <c r="S890" s="304"/>
      <c r="T890" s="304"/>
      <c r="U890" s="304"/>
      <c r="V890" s="304"/>
      <c r="W890" s="304"/>
      <c r="X890" s="304"/>
      <c r="Y890" s="424"/>
      <c r="Z890" s="435"/>
      <c r="AA890" s="435"/>
      <c r="AB890" s="435"/>
      <c r="AC890" s="435"/>
      <c r="AD890" s="435"/>
      <c r="AE890" s="435"/>
      <c r="AF890" s="435"/>
      <c r="AG890" s="435"/>
      <c r="AH890" s="435"/>
      <c r="AI890" s="435"/>
      <c r="AJ890" s="435"/>
      <c r="AK890" s="435"/>
      <c r="AL890" s="435"/>
      <c r="AM890" s="319"/>
    </row>
    <row r="891" spans="1:39" ht="15" outlineLevel="1">
      <c r="A891" s="539">
        <v>38</v>
      </c>
      <c r="B891" s="438" t="s">
        <v>130</v>
      </c>
      <c r="C891" s="304" t="s">
        <v>25</v>
      </c>
      <c r="D891" s="308"/>
      <c r="E891" s="308"/>
      <c r="F891" s="308"/>
      <c r="G891" s="308"/>
      <c r="H891" s="308"/>
      <c r="I891" s="308"/>
      <c r="J891" s="308"/>
      <c r="K891" s="308"/>
      <c r="L891" s="308"/>
      <c r="M891" s="308"/>
      <c r="N891" s="308">
        <v>12</v>
      </c>
      <c r="O891" s="308"/>
      <c r="P891" s="308"/>
      <c r="Q891" s="308"/>
      <c r="R891" s="308"/>
      <c r="S891" s="308"/>
      <c r="T891" s="308"/>
      <c r="U891" s="308"/>
      <c r="V891" s="308"/>
      <c r="W891" s="308"/>
      <c r="X891" s="308"/>
      <c r="Y891" s="436"/>
      <c r="Z891" s="427"/>
      <c r="AA891" s="427"/>
      <c r="AB891" s="427"/>
      <c r="AC891" s="427"/>
      <c r="AD891" s="427"/>
      <c r="AE891" s="427"/>
      <c r="AF891" s="427"/>
      <c r="AG891" s="427"/>
      <c r="AH891" s="427"/>
      <c r="AI891" s="427"/>
      <c r="AJ891" s="427"/>
      <c r="AK891" s="427"/>
      <c r="AL891" s="427"/>
      <c r="AM891" s="309">
        <f>SUM(Y891:AL891)</f>
        <v>0</v>
      </c>
    </row>
    <row r="892" spans="1:39" ht="15" outlineLevel="1">
      <c r="A892" s="539"/>
      <c r="B892" s="307" t="s">
        <v>342</v>
      </c>
      <c r="C892" s="304" t="s">
        <v>163</v>
      </c>
      <c r="D892" s="308"/>
      <c r="E892" s="308"/>
      <c r="F892" s="308"/>
      <c r="G892" s="308"/>
      <c r="H892" s="308"/>
      <c r="I892" s="308"/>
      <c r="J892" s="308"/>
      <c r="K892" s="308"/>
      <c r="L892" s="308"/>
      <c r="M892" s="308"/>
      <c r="N892" s="308">
        <f>N891</f>
        <v>12</v>
      </c>
      <c r="O892" s="308"/>
      <c r="P892" s="308"/>
      <c r="Q892" s="308"/>
      <c r="R892" s="308"/>
      <c r="S892" s="308"/>
      <c r="T892" s="308"/>
      <c r="U892" s="308"/>
      <c r="V892" s="308"/>
      <c r="W892" s="308"/>
      <c r="X892" s="308"/>
      <c r="Y892" s="423">
        <f>Y891</f>
        <v>0</v>
      </c>
      <c r="Z892" s="423">
        <f t="shared" ref="Z892" si="1834">Z891</f>
        <v>0</v>
      </c>
      <c r="AA892" s="423">
        <f t="shared" ref="AA892" si="1835">AA891</f>
        <v>0</v>
      </c>
      <c r="AB892" s="423">
        <f t="shared" ref="AB892" si="1836">AB891</f>
        <v>0</v>
      </c>
      <c r="AC892" s="423">
        <f t="shared" ref="AC892" si="1837">AC891</f>
        <v>0</v>
      </c>
      <c r="AD892" s="423">
        <f t="shared" ref="AD892" si="1838">AD891</f>
        <v>0</v>
      </c>
      <c r="AE892" s="423">
        <f t="shared" ref="AE892" si="1839">AE891</f>
        <v>0</v>
      </c>
      <c r="AF892" s="423">
        <f t="shared" ref="AF892" si="1840">AF891</f>
        <v>0</v>
      </c>
      <c r="AG892" s="423">
        <f t="shared" ref="AG892" si="1841">AG891</f>
        <v>0</v>
      </c>
      <c r="AH892" s="423">
        <f t="shared" ref="AH892" si="1842">AH891</f>
        <v>0</v>
      </c>
      <c r="AI892" s="423">
        <f t="shared" ref="AI892" si="1843">AI891</f>
        <v>0</v>
      </c>
      <c r="AJ892" s="423">
        <f t="shared" ref="AJ892" si="1844">AJ891</f>
        <v>0</v>
      </c>
      <c r="AK892" s="423">
        <f t="shared" ref="AK892" si="1845">AK891</f>
        <v>0</v>
      </c>
      <c r="AL892" s="423">
        <f t="shared" ref="AL892" si="1846">AL891</f>
        <v>0</v>
      </c>
      <c r="AM892" s="319"/>
    </row>
    <row r="893" spans="1:39" ht="15" outlineLevel="1">
      <c r="A893" s="539"/>
      <c r="B893" s="438"/>
      <c r="C893" s="304"/>
      <c r="D893" s="304"/>
      <c r="E893" s="304"/>
      <c r="F893" s="304"/>
      <c r="G893" s="304"/>
      <c r="H893" s="304"/>
      <c r="I893" s="304"/>
      <c r="J893" s="304"/>
      <c r="K893" s="304"/>
      <c r="L893" s="304"/>
      <c r="M893" s="304"/>
      <c r="N893" s="304"/>
      <c r="O893" s="304"/>
      <c r="P893" s="304"/>
      <c r="Q893" s="304"/>
      <c r="R893" s="304"/>
      <c r="S893" s="304"/>
      <c r="T893" s="304"/>
      <c r="U893" s="304"/>
      <c r="V893" s="304"/>
      <c r="W893" s="304"/>
      <c r="X893" s="304"/>
      <c r="Y893" s="424"/>
      <c r="Z893" s="435"/>
      <c r="AA893" s="435"/>
      <c r="AB893" s="435"/>
      <c r="AC893" s="435"/>
      <c r="AD893" s="435"/>
      <c r="AE893" s="435"/>
      <c r="AF893" s="435"/>
      <c r="AG893" s="435"/>
      <c r="AH893" s="435"/>
      <c r="AI893" s="435"/>
      <c r="AJ893" s="435"/>
      <c r="AK893" s="435"/>
      <c r="AL893" s="435"/>
      <c r="AM893" s="319"/>
    </row>
    <row r="894" spans="1:39" ht="30" outlineLevel="1">
      <c r="A894" s="539">
        <v>39</v>
      </c>
      <c r="B894" s="438" t="s">
        <v>131</v>
      </c>
      <c r="C894" s="304" t="s">
        <v>25</v>
      </c>
      <c r="D894" s="308"/>
      <c r="E894" s="308"/>
      <c r="F894" s="308"/>
      <c r="G894" s="308"/>
      <c r="H894" s="308"/>
      <c r="I894" s="308"/>
      <c r="J894" s="308"/>
      <c r="K894" s="308"/>
      <c r="L894" s="308"/>
      <c r="M894" s="308"/>
      <c r="N894" s="308">
        <v>12</v>
      </c>
      <c r="O894" s="308"/>
      <c r="P894" s="308"/>
      <c r="Q894" s="308"/>
      <c r="R894" s="308"/>
      <c r="S894" s="308"/>
      <c r="T894" s="308"/>
      <c r="U894" s="308"/>
      <c r="V894" s="308"/>
      <c r="W894" s="308"/>
      <c r="X894" s="308"/>
      <c r="Y894" s="436"/>
      <c r="Z894" s="427"/>
      <c r="AA894" s="427"/>
      <c r="AB894" s="427"/>
      <c r="AC894" s="427"/>
      <c r="AD894" s="427"/>
      <c r="AE894" s="427"/>
      <c r="AF894" s="427"/>
      <c r="AG894" s="427"/>
      <c r="AH894" s="427"/>
      <c r="AI894" s="427"/>
      <c r="AJ894" s="427"/>
      <c r="AK894" s="427"/>
      <c r="AL894" s="427"/>
      <c r="AM894" s="309">
        <f>SUM(Y894:AL894)</f>
        <v>0</v>
      </c>
    </row>
    <row r="895" spans="1:39" ht="15" outlineLevel="1">
      <c r="A895" s="539"/>
      <c r="B895" s="307" t="s">
        <v>342</v>
      </c>
      <c r="C895" s="304" t="s">
        <v>163</v>
      </c>
      <c r="D895" s="308"/>
      <c r="E895" s="308"/>
      <c r="F895" s="308"/>
      <c r="G895" s="308"/>
      <c r="H895" s="308"/>
      <c r="I895" s="308"/>
      <c r="J895" s="308"/>
      <c r="K895" s="308"/>
      <c r="L895" s="308"/>
      <c r="M895" s="308"/>
      <c r="N895" s="308">
        <f>N894</f>
        <v>12</v>
      </c>
      <c r="O895" s="308"/>
      <c r="P895" s="308"/>
      <c r="Q895" s="308"/>
      <c r="R895" s="308"/>
      <c r="S895" s="308"/>
      <c r="T895" s="308"/>
      <c r="U895" s="308"/>
      <c r="V895" s="308"/>
      <c r="W895" s="308"/>
      <c r="X895" s="308"/>
      <c r="Y895" s="423">
        <f>Y894</f>
        <v>0</v>
      </c>
      <c r="Z895" s="423">
        <f t="shared" ref="Z895" si="1847">Z894</f>
        <v>0</v>
      </c>
      <c r="AA895" s="423">
        <f t="shared" ref="AA895" si="1848">AA894</f>
        <v>0</v>
      </c>
      <c r="AB895" s="423">
        <f t="shared" ref="AB895" si="1849">AB894</f>
        <v>0</v>
      </c>
      <c r="AC895" s="423">
        <f t="shared" ref="AC895" si="1850">AC894</f>
        <v>0</v>
      </c>
      <c r="AD895" s="423">
        <f t="shared" ref="AD895" si="1851">AD894</f>
        <v>0</v>
      </c>
      <c r="AE895" s="423">
        <f t="shared" ref="AE895" si="1852">AE894</f>
        <v>0</v>
      </c>
      <c r="AF895" s="423">
        <f t="shared" ref="AF895" si="1853">AF894</f>
        <v>0</v>
      </c>
      <c r="AG895" s="423">
        <f t="shared" ref="AG895" si="1854">AG894</f>
        <v>0</v>
      </c>
      <c r="AH895" s="423">
        <f t="shared" ref="AH895" si="1855">AH894</f>
        <v>0</v>
      </c>
      <c r="AI895" s="423">
        <f t="shared" ref="AI895" si="1856">AI894</f>
        <v>0</v>
      </c>
      <c r="AJ895" s="423">
        <f t="shared" ref="AJ895" si="1857">AJ894</f>
        <v>0</v>
      </c>
      <c r="AK895" s="423">
        <f t="shared" ref="AK895" si="1858">AK894</f>
        <v>0</v>
      </c>
      <c r="AL895" s="423">
        <f t="shared" ref="AL895" si="1859">AL894</f>
        <v>0</v>
      </c>
      <c r="AM895" s="319"/>
    </row>
    <row r="896" spans="1:39" ht="15" outlineLevel="1">
      <c r="A896" s="539"/>
      <c r="B896" s="438"/>
      <c r="C896" s="304"/>
      <c r="D896" s="304"/>
      <c r="E896" s="304"/>
      <c r="F896" s="304"/>
      <c r="G896" s="304"/>
      <c r="H896" s="304"/>
      <c r="I896" s="304"/>
      <c r="J896" s="304"/>
      <c r="K896" s="304"/>
      <c r="L896" s="304"/>
      <c r="M896" s="304"/>
      <c r="N896" s="304"/>
      <c r="O896" s="304"/>
      <c r="P896" s="304"/>
      <c r="Q896" s="304"/>
      <c r="R896" s="304"/>
      <c r="S896" s="304"/>
      <c r="T896" s="304"/>
      <c r="U896" s="304"/>
      <c r="V896" s="304"/>
      <c r="W896" s="304"/>
      <c r="X896" s="304"/>
      <c r="Y896" s="424"/>
      <c r="Z896" s="435"/>
      <c r="AA896" s="435"/>
      <c r="AB896" s="435"/>
      <c r="AC896" s="435"/>
      <c r="AD896" s="435"/>
      <c r="AE896" s="435"/>
      <c r="AF896" s="435"/>
      <c r="AG896" s="435"/>
      <c r="AH896" s="435"/>
      <c r="AI896" s="435"/>
      <c r="AJ896" s="435"/>
      <c r="AK896" s="435"/>
      <c r="AL896" s="435"/>
      <c r="AM896" s="319"/>
    </row>
    <row r="897" spans="1:39" ht="30" outlineLevel="1">
      <c r="A897" s="539">
        <v>40</v>
      </c>
      <c r="B897" s="438" t="s">
        <v>132</v>
      </c>
      <c r="C897" s="304" t="s">
        <v>25</v>
      </c>
      <c r="D897" s="308"/>
      <c r="E897" s="308"/>
      <c r="F897" s="308"/>
      <c r="G897" s="308"/>
      <c r="H897" s="308"/>
      <c r="I897" s="308"/>
      <c r="J897" s="308"/>
      <c r="K897" s="308"/>
      <c r="L897" s="308"/>
      <c r="M897" s="308"/>
      <c r="N897" s="308">
        <v>12</v>
      </c>
      <c r="O897" s="308"/>
      <c r="P897" s="308"/>
      <c r="Q897" s="308"/>
      <c r="R897" s="308"/>
      <c r="S897" s="308"/>
      <c r="T897" s="308"/>
      <c r="U897" s="308"/>
      <c r="V897" s="308"/>
      <c r="W897" s="308"/>
      <c r="X897" s="308"/>
      <c r="Y897" s="436"/>
      <c r="Z897" s="427"/>
      <c r="AA897" s="427"/>
      <c r="AB897" s="427"/>
      <c r="AC897" s="427"/>
      <c r="AD897" s="427"/>
      <c r="AE897" s="427"/>
      <c r="AF897" s="427"/>
      <c r="AG897" s="427"/>
      <c r="AH897" s="427"/>
      <c r="AI897" s="427"/>
      <c r="AJ897" s="427"/>
      <c r="AK897" s="427"/>
      <c r="AL897" s="427"/>
      <c r="AM897" s="309">
        <f>SUM(Y897:AL897)</f>
        <v>0</v>
      </c>
    </row>
    <row r="898" spans="1:39" ht="15" outlineLevel="1">
      <c r="A898" s="539"/>
      <c r="B898" s="307" t="s">
        <v>342</v>
      </c>
      <c r="C898" s="304" t="s">
        <v>163</v>
      </c>
      <c r="D898" s="308"/>
      <c r="E898" s="308"/>
      <c r="F898" s="308"/>
      <c r="G898" s="308"/>
      <c r="H898" s="308"/>
      <c r="I898" s="308"/>
      <c r="J898" s="308"/>
      <c r="K898" s="308"/>
      <c r="L898" s="308"/>
      <c r="M898" s="308"/>
      <c r="N898" s="308">
        <f>N897</f>
        <v>12</v>
      </c>
      <c r="O898" s="308"/>
      <c r="P898" s="308"/>
      <c r="Q898" s="308"/>
      <c r="R898" s="308"/>
      <c r="S898" s="308"/>
      <c r="T898" s="308"/>
      <c r="U898" s="308"/>
      <c r="V898" s="308"/>
      <c r="W898" s="308"/>
      <c r="X898" s="308"/>
      <c r="Y898" s="423">
        <f>Y897</f>
        <v>0</v>
      </c>
      <c r="Z898" s="423">
        <f t="shared" ref="Z898" si="1860">Z897</f>
        <v>0</v>
      </c>
      <c r="AA898" s="423">
        <f t="shared" ref="AA898" si="1861">AA897</f>
        <v>0</v>
      </c>
      <c r="AB898" s="423">
        <f t="shared" ref="AB898" si="1862">AB897</f>
        <v>0</v>
      </c>
      <c r="AC898" s="423">
        <f t="shared" ref="AC898" si="1863">AC897</f>
        <v>0</v>
      </c>
      <c r="AD898" s="423">
        <f t="shared" ref="AD898" si="1864">AD897</f>
        <v>0</v>
      </c>
      <c r="AE898" s="423">
        <f t="shared" ref="AE898" si="1865">AE897</f>
        <v>0</v>
      </c>
      <c r="AF898" s="423">
        <f t="shared" ref="AF898" si="1866">AF897</f>
        <v>0</v>
      </c>
      <c r="AG898" s="423">
        <f t="shared" ref="AG898" si="1867">AG897</f>
        <v>0</v>
      </c>
      <c r="AH898" s="423">
        <f t="shared" ref="AH898" si="1868">AH897</f>
        <v>0</v>
      </c>
      <c r="AI898" s="423">
        <f t="shared" ref="AI898" si="1869">AI897</f>
        <v>0</v>
      </c>
      <c r="AJ898" s="423">
        <f t="shared" ref="AJ898" si="1870">AJ897</f>
        <v>0</v>
      </c>
      <c r="AK898" s="423">
        <f t="shared" ref="AK898" si="1871">AK897</f>
        <v>0</v>
      </c>
      <c r="AL898" s="423">
        <f t="shared" ref="AL898" si="1872">AL897</f>
        <v>0</v>
      </c>
      <c r="AM898" s="319"/>
    </row>
    <row r="899" spans="1:39" ht="15" outlineLevel="1">
      <c r="A899" s="539"/>
      <c r="B899" s="438"/>
      <c r="C899" s="304"/>
      <c r="D899" s="304"/>
      <c r="E899" s="304"/>
      <c r="F899" s="304"/>
      <c r="G899" s="304"/>
      <c r="H899" s="304"/>
      <c r="I899" s="304"/>
      <c r="J899" s="304"/>
      <c r="K899" s="304"/>
      <c r="L899" s="304"/>
      <c r="M899" s="304"/>
      <c r="N899" s="304"/>
      <c r="O899" s="304"/>
      <c r="P899" s="304"/>
      <c r="Q899" s="304"/>
      <c r="R899" s="304"/>
      <c r="S899" s="304"/>
      <c r="T899" s="304"/>
      <c r="U899" s="304"/>
      <c r="V899" s="304"/>
      <c r="W899" s="304"/>
      <c r="X899" s="304"/>
      <c r="Y899" s="424"/>
      <c r="Z899" s="435"/>
      <c r="AA899" s="435"/>
      <c r="AB899" s="435"/>
      <c r="AC899" s="435"/>
      <c r="AD899" s="435"/>
      <c r="AE899" s="435"/>
      <c r="AF899" s="435"/>
      <c r="AG899" s="435"/>
      <c r="AH899" s="435"/>
      <c r="AI899" s="435"/>
      <c r="AJ899" s="435"/>
      <c r="AK899" s="435"/>
      <c r="AL899" s="435"/>
      <c r="AM899" s="319"/>
    </row>
    <row r="900" spans="1:39" ht="45" outlineLevel="1">
      <c r="A900" s="539">
        <v>41</v>
      </c>
      <c r="B900" s="438" t="s">
        <v>133</v>
      </c>
      <c r="C900" s="304" t="s">
        <v>25</v>
      </c>
      <c r="D900" s="308"/>
      <c r="E900" s="308"/>
      <c r="F900" s="308"/>
      <c r="G900" s="308"/>
      <c r="H900" s="308"/>
      <c r="I900" s="308"/>
      <c r="J900" s="308"/>
      <c r="K900" s="308"/>
      <c r="L900" s="308"/>
      <c r="M900" s="308"/>
      <c r="N900" s="308">
        <v>12</v>
      </c>
      <c r="O900" s="308"/>
      <c r="P900" s="308"/>
      <c r="Q900" s="308"/>
      <c r="R900" s="308"/>
      <c r="S900" s="308"/>
      <c r="T900" s="308"/>
      <c r="U900" s="308"/>
      <c r="V900" s="308"/>
      <c r="W900" s="308"/>
      <c r="X900" s="308"/>
      <c r="Y900" s="436"/>
      <c r="Z900" s="427"/>
      <c r="AA900" s="427"/>
      <c r="AB900" s="427"/>
      <c r="AC900" s="427"/>
      <c r="AD900" s="427"/>
      <c r="AE900" s="427"/>
      <c r="AF900" s="427"/>
      <c r="AG900" s="427"/>
      <c r="AH900" s="427"/>
      <c r="AI900" s="427"/>
      <c r="AJ900" s="427"/>
      <c r="AK900" s="427"/>
      <c r="AL900" s="427"/>
      <c r="AM900" s="309">
        <f>SUM(Y900:AL900)</f>
        <v>0</v>
      </c>
    </row>
    <row r="901" spans="1:39" ht="15" outlineLevel="1">
      <c r="A901" s="539"/>
      <c r="B901" s="307" t="s">
        <v>342</v>
      </c>
      <c r="C901" s="304" t="s">
        <v>163</v>
      </c>
      <c r="D901" s="308"/>
      <c r="E901" s="308"/>
      <c r="F901" s="308"/>
      <c r="G901" s="308"/>
      <c r="H901" s="308"/>
      <c r="I901" s="308"/>
      <c r="J901" s="308"/>
      <c r="K901" s="308"/>
      <c r="L901" s="308"/>
      <c r="M901" s="308"/>
      <c r="N901" s="308">
        <f>N900</f>
        <v>12</v>
      </c>
      <c r="O901" s="308"/>
      <c r="P901" s="308"/>
      <c r="Q901" s="308"/>
      <c r="R901" s="308"/>
      <c r="S901" s="308"/>
      <c r="T901" s="308"/>
      <c r="U901" s="308"/>
      <c r="V901" s="308"/>
      <c r="W901" s="308"/>
      <c r="X901" s="308"/>
      <c r="Y901" s="423">
        <f>Y900</f>
        <v>0</v>
      </c>
      <c r="Z901" s="423">
        <f t="shared" ref="Z901" si="1873">Z900</f>
        <v>0</v>
      </c>
      <c r="AA901" s="423">
        <f t="shared" ref="AA901" si="1874">AA900</f>
        <v>0</v>
      </c>
      <c r="AB901" s="423">
        <f t="shared" ref="AB901" si="1875">AB900</f>
        <v>0</v>
      </c>
      <c r="AC901" s="423">
        <f t="shared" ref="AC901" si="1876">AC900</f>
        <v>0</v>
      </c>
      <c r="AD901" s="423">
        <f t="shared" ref="AD901" si="1877">AD900</f>
        <v>0</v>
      </c>
      <c r="AE901" s="423">
        <f t="shared" ref="AE901" si="1878">AE900</f>
        <v>0</v>
      </c>
      <c r="AF901" s="423">
        <f t="shared" ref="AF901" si="1879">AF900</f>
        <v>0</v>
      </c>
      <c r="AG901" s="423">
        <f t="shared" ref="AG901" si="1880">AG900</f>
        <v>0</v>
      </c>
      <c r="AH901" s="423">
        <f t="shared" ref="AH901" si="1881">AH900</f>
        <v>0</v>
      </c>
      <c r="AI901" s="423">
        <f t="shared" ref="AI901" si="1882">AI900</f>
        <v>0</v>
      </c>
      <c r="AJ901" s="423">
        <f t="shared" ref="AJ901" si="1883">AJ900</f>
        <v>0</v>
      </c>
      <c r="AK901" s="423">
        <f t="shared" ref="AK901" si="1884">AK900</f>
        <v>0</v>
      </c>
      <c r="AL901" s="423">
        <f t="shared" ref="AL901" si="1885">AL900</f>
        <v>0</v>
      </c>
      <c r="AM901" s="319"/>
    </row>
    <row r="902" spans="1:39" ht="15" outlineLevel="1">
      <c r="A902" s="539"/>
      <c r="B902" s="438"/>
      <c r="C902" s="304"/>
      <c r="D902" s="304"/>
      <c r="E902" s="304"/>
      <c r="F902" s="304"/>
      <c r="G902" s="304"/>
      <c r="H902" s="304"/>
      <c r="I902" s="304"/>
      <c r="J902" s="304"/>
      <c r="K902" s="304"/>
      <c r="L902" s="304"/>
      <c r="M902" s="304"/>
      <c r="N902" s="304"/>
      <c r="O902" s="304"/>
      <c r="P902" s="304"/>
      <c r="Q902" s="304"/>
      <c r="R902" s="304"/>
      <c r="S902" s="304"/>
      <c r="T902" s="304"/>
      <c r="U902" s="304"/>
      <c r="V902" s="304"/>
      <c r="W902" s="304"/>
      <c r="X902" s="304"/>
      <c r="Y902" s="424"/>
      <c r="Z902" s="435"/>
      <c r="AA902" s="435"/>
      <c r="AB902" s="435"/>
      <c r="AC902" s="435"/>
      <c r="AD902" s="435"/>
      <c r="AE902" s="435"/>
      <c r="AF902" s="435"/>
      <c r="AG902" s="435"/>
      <c r="AH902" s="435"/>
      <c r="AI902" s="435"/>
      <c r="AJ902" s="435"/>
      <c r="AK902" s="435"/>
      <c r="AL902" s="435"/>
      <c r="AM902" s="319"/>
    </row>
    <row r="903" spans="1:39" ht="30" outlineLevel="1">
      <c r="A903" s="539">
        <v>42</v>
      </c>
      <c r="B903" s="438" t="s">
        <v>134</v>
      </c>
      <c r="C903" s="304" t="s">
        <v>25</v>
      </c>
      <c r="D903" s="308"/>
      <c r="E903" s="308"/>
      <c r="F903" s="308"/>
      <c r="G903" s="308"/>
      <c r="H903" s="308"/>
      <c r="I903" s="308"/>
      <c r="J903" s="308"/>
      <c r="K903" s="308"/>
      <c r="L903" s="308"/>
      <c r="M903" s="308"/>
      <c r="N903" s="304"/>
      <c r="O903" s="308"/>
      <c r="P903" s="308"/>
      <c r="Q903" s="308"/>
      <c r="R903" s="308"/>
      <c r="S903" s="308"/>
      <c r="T903" s="308"/>
      <c r="U903" s="308"/>
      <c r="V903" s="308"/>
      <c r="W903" s="308"/>
      <c r="X903" s="308"/>
      <c r="Y903" s="436"/>
      <c r="Z903" s="427"/>
      <c r="AA903" s="427"/>
      <c r="AB903" s="427"/>
      <c r="AC903" s="427"/>
      <c r="AD903" s="427"/>
      <c r="AE903" s="427"/>
      <c r="AF903" s="427"/>
      <c r="AG903" s="427"/>
      <c r="AH903" s="427"/>
      <c r="AI903" s="427"/>
      <c r="AJ903" s="427"/>
      <c r="AK903" s="427"/>
      <c r="AL903" s="427"/>
      <c r="AM903" s="309">
        <f>SUM(Y903:AL903)</f>
        <v>0</v>
      </c>
    </row>
    <row r="904" spans="1:39" ht="15" outlineLevel="1">
      <c r="A904" s="539"/>
      <c r="B904" s="307" t="s">
        <v>342</v>
      </c>
      <c r="C904" s="304" t="s">
        <v>163</v>
      </c>
      <c r="D904" s="308"/>
      <c r="E904" s="308"/>
      <c r="F904" s="308"/>
      <c r="G904" s="308"/>
      <c r="H904" s="308"/>
      <c r="I904" s="308"/>
      <c r="J904" s="308"/>
      <c r="K904" s="308"/>
      <c r="L904" s="308"/>
      <c r="M904" s="308"/>
      <c r="N904" s="477"/>
      <c r="O904" s="308"/>
      <c r="P904" s="308"/>
      <c r="Q904" s="308"/>
      <c r="R904" s="308"/>
      <c r="S904" s="308"/>
      <c r="T904" s="308"/>
      <c r="U904" s="308"/>
      <c r="V904" s="308"/>
      <c r="W904" s="308"/>
      <c r="X904" s="308"/>
      <c r="Y904" s="423">
        <f>Y903</f>
        <v>0</v>
      </c>
      <c r="Z904" s="423">
        <f t="shared" ref="Z904" si="1886">Z903</f>
        <v>0</v>
      </c>
      <c r="AA904" s="423">
        <f t="shared" ref="AA904" si="1887">AA903</f>
        <v>0</v>
      </c>
      <c r="AB904" s="423">
        <f t="shared" ref="AB904" si="1888">AB903</f>
        <v>0</v>
      </c>
      <c r="AC904" s="423">
        <f t="shared" ref="AC904" si="1889">AC903</f>
        <v>0</v>
      </c>
      <c r="AD904" s="423">
        <f t="shared" ref="AD904" si="1890">AD903</f>
        <v>0</v>
      </c>
      <c r="AE904" s="423">
        <f t="shared" ref="AE904" si="1891">AE903</f>
        <v>0</v>
      </c>
      <c r="AF904" s="423">
        <f t="shared" ref="AF904" si="1892">AF903</f>
        <v>0</v>
      </c>
      <c r="AG904" s="423">
        <f t="shared" ref="AG904" si="1893">AG903</f>
        <v>0</v>
      </c>
      <c r="AH904" s="423">
        <f t="shared" ref="AH904" si="1894">AH903</f>
        <v>0</v>
      </c>
      <c r="AI904" s="423">
        <f t="shared" ref="AI904" si="1895">AI903</f>
        <v>0</v>
      </c>
      <c r="AJ904" s="423">
        <f t="shared" ref="AJ904" si="1896">AJ903</f>
        <v>0</v>
      </c>
      <c r="AK904" s="423">
        <f t="shared" ref="AK904" si="1897">AK903</f>
        <v>0</v>
      </c>
      <c r="AL904" s="423">
        <f t="shared" ref="AL904" si="1898">AL903</f>
        <v>0</v>
      </c>
      <c r="AM904" s="319"/>
    </row>
    <row r="905" spans="1:39" ht="15" outlineLevel="1">
      <c r="A905" s="539"/>
      <c r="B905" s="438"/>
      <c r="C905" s="304"/>
      <c r="D905" s="304"/>
      <c r="E905" s="304"/>
      <c r="F905" s="304"/>
      <c r="G905" s="304"/>
      <c r="H905" s="304"/>
      <c r="I905" s="304"/>
      <c r="J905" s="304"/>
      <c r="K905" s="304"/>
      <c r="L905" s="304"/>
      <c r="M905" s="304"/>
      <c r="N905" s="304"/>
      <c r="O905" s="304"/>
      <c r="P905" s="304"/>
      <c r="Q905" s="304"/>
      <c r="R905" s="304"/>
      <c r="S905" s="304"/>
      <c r="T905" s="304"/>
      <c r="U905" s="304"/>
      <c r="V905" s="304"/>
      <c r="W905" s="304"/>
      <c r="X905" s="304"/>
      <c r="Y905" s="424"/>
      <c r="Z905" s="435"/>
      <c r="AA905" s="435"/>
      <c r="AB905" s="435"/>
      <c r="AC905" s="435"/>
      <c r="AD905" s="435"/>
      <c r="AE905" s="435"/>
      <c r="AF905" s="435"/>
      <c r="AG905" s="435"/>
      <c r="AH905" s="435"/>
      <c r="AI905" s="435"/>
      <c r="AJ905" s="435"/>
      <c r="AK905" s="435"/>
      <c r="AL905" s="435"/>
      <c r="AM905" s="319"/>
    </row>
    <row r="906" spans="1:39" ht="15" outlineLevel="1">
      <c r="A906" s="539">
        <v>43</v>
      </c>
      <c r="B906" s="438" t="s">
        <v>135</v>
      </c>
      <c r="C906" s="304" t="s">
        <v>25</v>
      </c>
      <c r="D906" s="308"/>
      <c r="E906" s="308"/>
      <c r="F906" s="308"/>
      <c r="G906" s="308"/>
      <c r="H906" s="308"/>
      <c r="I906" s="308"/>
      <c r="J906" s="308"/>
      <c r="K906" s="308"/>
      <c r="L906" s="308"/>
      <c r="M906" s="308"/>
      <c r="N906" s="308">
        <v>12</v>
      </c>
      <c r="O906" s="308"/>
      <c r="P906" s="308"/>
      <c r="Q906" s="308"/>
      <c r="R906" s="308"/>
      <c r="S906" s="308"/>
      <c r="T906" s="308"/>
      <c r="U906" s="308"/>
      <c r="V906" s="308"/>
      <c r="W906" s="308"/>
      <c r="X906" s="308"/>
      <c r="Y906" s="436"/>
      <c r="Z906" s="427"/>
      <c r="AA906" s="427"/>
      <c r="AB906" s="427"/>
      <c r="AC906" s="427"/>
      <c r="AD906" s="427"/>
      <c r="AE906" s="427"/>
      <c r="AF906" s="427"/>
      <c r="AG906" s="427"/>
      <c r="AH906" s="427"/>
      <c r="AI906" s="427"/>
      <c r="AJ906" s="427"/>
      <c r="AK906" s="427"/>
      <c r="AL906" s="427"/>
      <c r="AM906" s="309">
        <f>SUM(Y906:AL906)</f>
        <v>0</v>
      </c>
    </row>
    <row r="907" spans="1:39" ht="15" outlineLevel="1">
      <c r="A907" s="539"/>
      <c r="B907" s="307" t="s">
        <v>342</v>
      </c>
      <c r="C907" s="304" t="s">
        <v>163</v>
      </c>
      <c r="D907" s="308"/>
      <c r="E907" s="308"/>
      <c r="F907" s="308"/>
      <c r="G907" s="308"/>
      <c r="H907" s="308"/>
      <c r="I907" s="308"/>
      <c r="J907" s="308"/>
      <c r="K907" s="308"/>
      <c r="L907" s="308"/>
      <c r="M907" s="308"/>
      <c r="N907" s="308">
        <f>N906</f>
        <v>12</v>
      </c>
      <c r="O907" s="308"/>
      <c r="P907" s="308"/>
      <c r="Q907" s="308"/>
      <c r="R907" s="308"/>
      <c r="S907" s="308"/>
      <c r="T907" s="308"/>
      <c r="U907" s="308"/>
      <c r="V907" s="308"/>
      <c r="W907" s="308"/>
      <c r="X907" s="308"/>
      <c r="Y907" s="423">
        <f>Y906</f>
        <v>0</v>
      </c>
      <c r="Z907" s="423">
        <f t="shared" ref="Z907" si="1899">Z906</f>
        <v>0</v>
      </c>
      <c r="AA907" s="423">
        <f t="shared" ref="AA907" si="1900">AA906</f>
        <v>0</v>
      </c>
      <c r="AB907" s="423">
        <f t="shared" ref="AB907" si="1901">AB906</f>
        <v>0</v>
      </c>
      <c r="AC907" s="423">
        <f t="shared" ref="AC907" si="1902">AC906</f>
        <v>0</v>
      </c>
      <c r="AD907" s="423">
        <f t="shared" ref="AD907" si="1903">AD906</f>
        <v>0</v>
      </c>
      <c r="AE907" s="423">
        <f t="shared" ref="AE907" si="1904">AE906</f>
        <v>0</v>
      </c>
      <c r="AF907" s="423">
        <f t="shared" ref="AF907" si="1905">AF906</f>
        <v>0</v>
      </c>
      <c r="AG907" s="423">
        <f t="shared" ref="AG907" si="1906">AG906</f>
        <v>0</v>
      </c>
      <c r="AH907" s="423">
        <f t="shared" ref="AH907" si="1907">AH906</f>
        <v>0</v>
      </c>
      <c r="AI907" s="423">
        <f t="shared" ref="AI907" si="1908">AI906</f>
        <v>0</v>
      </c>
      <c r="AJ907" s="423">
        <f t="shared" ref="AJ907" si="1909">AJ906</f>
        <v>0</v>
      </c>
      <c r="AK907" s="423">
        <f t="shared" ref="AK907" si="1910">AK906</f>
        <v>0</v>
      </c>
      <c r="AL907" s="423">
        <f t="shared" ref="AL907" si="1911">AL906</f>
        <v>0</v>
      </c>
      <c r="AM907" s="319"/>
    </row>
    <row r="908" spans="1:39" ht="15" outlineLevel="1">
      <c r="A908" s="539"/>
      <c r="B908" s="438"/>
      <c r="C908" s="304"/>
      <c r="D908" s="304"/>
      <c r="E908" s="304"/>
      <c r="F908" s="304"/>
      <c r="G908" s="304"/>
      <c r="H908" s="304"/>
      <c r="I908" s="304"/>
      <c r="J908" s="304"/>
      <c r="K908" s="304"/>
      <c r="L908" s="304"/>
      <c r="M908" s="304"/>
      <c r="N908" s="304"/>
      <c r="O908" s="304"/>
      <c r="P908" s="304"/>
      <c r="Q908" s="304"/>
      <c r="R908" s="304"/>
      <c r="S908" s="304"/>
      <c r="T908" s="304"/>
      <c r="U908" s="304"/>
      <c r="V908" s="304"/>
      <c r="W908" s="304"/>
      <c r="X908" s="304"/>
      <c r="Y908" s="424"/>
      <c r="Z908" s="435"/>
      <c r="AA908" s="435"/>
      <c r="AB908" s="435"/>
      <c r="AC908" s="435"/>
      <c r="AD908" s="435"/>
      <c r="AE908" s="435"/>
      <c r="AF908" s="435"/>
      <c r="AG908" s="435"/>
      <c r="AH908" s="435"/>
      <c r="AI908" s="435"/>
      <c r="AJ908" s="435"/>
      <c r="AK908" s="435"/>
      <c r="AL908" s="435"/>
      <c r="AM908" s="319"/>
    </row>
    <row r="909" spans="1:39" ht="45" outlineLevel="1">
      <c r="A909" s="539">
        <v>44</v>
      </c>
      <c r="B909" s="438" t="s">
        <v>136</v>
      </c>
      <c r="C909" s="304" t="s">
        <v>25</v>
      </c>
      <c r="D909" s="308"/>
      <c r="E909" s="308"/>
      <c r="F909" s="308"/>
      <c r="G909" s="308"/>
      <c r="H909" s="308"/>
      <c r="I909" s="308"/>
      <c r="J909" s="308"/>
      <c r="K909" s="308"/>
      <c r="L909" s="308"/>
      <c r="M909" s="308"/>
      <c r="N909" s="308">
        <v>12</v>
      </c>
      <c r="O909" s="308"/>
      <c r="P909" s="308"/>
      <c r="Q909" s="308"/>
      <c r="R909" s="308"/>
      <c r="S909" s="308"/>
      <c r="T909" s="308"/>
      <c r="U909" s="308"/>
      <c r="V909" s="308"/>
      <c r="W909" s="308"/>
      <c r="X909" s="308"/>
      <c r="Y909" s="436"/>
      <c r="Z909" s="427"/>
      <c r="AA909" s="427"/>
      <c r="AB909" s="427"/>
      <c r="AC909" s="427"/>
      <c r="AD909" s="427"/>
      <c r="AE909" s="427"/>
      <c r="AF909" s="427"/>
      <c r="AG909" s="427"/>
      <c r="AH909" s="427"/>
      <c r="AI909" s="427"/>
      <c r="AJ909" s="427"/>
      <c r="AK909" s="427"/>
      <c r="AL909" s="427"/>
      <c r="AM909" s="309">
        <f>SUM(Y909:AL909)</f>
        <v>0</v>
      </c>
    </row>
    <row r="910" spans="1:39" ht="15" outlineLevel="1">
      <c r="A910" s="539"/>
      <c r="B910" s="307" t="s">
        <v>342</v>
      </c>
      <c r="C910" s="304" t="s">
        <v>163</v>
      </c>
      <c r="D910" s="308"/>
      <c r="E910" s="308"/>
      <c r="F910" s="308"/>
      <c r="G910" s="308"/>
      <c r="H910" s="308"/>
      <c r="I910" s="308"/>
      <c r="J910" s="308"/>
      <c r="K910" s="308"/>
      <c r="L910" s="308"/>
      <c r="M910" s="308"/>
      <c r="N910" s="308">
        <f>N909</f>
        <v>12</v>
      </c>
      <c r="O910" s="308"/>
      <c r="P910" s="308"/>
      <c r="Q910" s="308"/>
      <c r="R910" s="308"/>
      <c r="S910" s="308"/>
      <c r="T910" s="308"/>
      <c r="U910" s="308"/>
      <c r="V910" s="308"/>
      <c r="W910" s="308"/>
      <c r="X910" s="308"/>
      <c r="Y910" s="423">
        <f>Y909</f>
        <v>0</v>
      </c>
      <c r="Z910" s="423">
        <f t="shared" ref="Z910" si="1912">Z909</f>
        <v>0</v>
      </c>
      <c r="AA910" s="423">
        <f t="shared" ref="AA910" si="1913">AA909</f>
        <v>0</v>
      </c>
      <c r="AB910" s="423">
        <f t="shared" ref="AB910" si="1914">AB909</f>
        <v>0</v>
      </c>
      <c r="AC910" s="423">
        <f t="shared" ref="AC910" si="1915">AC909</f>
        <v>0</v>
      </c>
      <c r="AD910" s="423">
        <f t="shared" ref="AD910" si="1916">AD909</f>
        <v>0</v>
      </c>
      <c r="AE910" s="423">
        <f t="shared" ref="AE910" si="1917">AE909</f>
        <v>0</v>
      </c>
      <c r="AF910" s="423">
        <f t="shared" ref="AF910" si="1918">AF909</f>
        <v>0</v>
      </c>
      <c r="AG910" s="423">
        <f t="shared" ref="AG910" si="1919">AG909</f>
        <v>0</v>
      </c>
      <c r="AH910" s="423">
        <f t="shared" ref="AH910" si="1920">AH909</f>
        <v>0</v>
      </c>
      <c r="AI910" s="423">
        <f t="shared" ref="AI910" si="1921">AI909</f>
        <v>0</v>
      </c>
      <c r="AJ910" s="423">
        <f t="shared" ref="AJ910" si="1922">AJ909</f>
        <v>0</v>
      </c>
      <c r="AK910" s="423">
        <f t="shared" ref="AK910" si="1923">AK909</f>
        <v>0</v>
      </c>
      <c r="AL910" s="423">
        <f t="shared" ref="AL910" si="1924">AL909</f>
        <v>0</v>
      </c>
      <c r="AM910" s="319"/>
    </row>
    <row r="911" spans="1:39" ht="15" outlineLevel="1">
      <c r="A911" s="539"/>
      <c r="B911" s="438"/>
      <c r="C911" s="304"/>
      <c r="D911" s="304"/>
      <c r="E911" s="304"/>
      <c r="F911" s="304"/>
      <c r="G911" s="304"/>
      <c r="H911" s="304"/>
      <c r="I911" s="304"/>
      <c r="J911" s="304"/>
      <c r="K911" s="304"/>
      <c r="L911" s="304"/>
      <c r="M911" s="304"/>
      <c r="N911" s="304"/>
      <c r="O911" s="304"/>
      <c r="P911" s="304"/>
      <c r="Q911" s="304"/>
      <c r="R911" s="304"/>
      <c r="S911" s="304"/>
      <c r="T911" s="304"/>
      <c r="U911" s="304"/>
      <c r="V911" s="304"/>
      <c r="W911" s="304"/>
      <c r="X911" s="304"/>
      <c r="Y911" s="424"/>
      <c r="Z911" s="435"/>
      <c r="AA911" s="435"/>
      <c r="AB911" s="435"/>
      <c r="AC911" s="435"/>
      <c r="AD911" s="435"/>
      <c r="AE911" s="435"/>
      <c r="AF911" s="435"/>
      <c r="AG911" s="435"/>
      <c r="AH911" s="435"/>
      <c r="AI911" s="435"/>
      <c r="AJ911" s="435"/>
      <c r="AK911" s="435"/>
      <c r="AL911" s="435"/>
      <c r="AM911" s="319"/>
    </row>
    <row r="912" spans="1:39" ht="30" outlineLevel="1">
      <c r="A912" s="539">
        <v>45</v>
      </c>
      <c r="B912" s="438" t="s">
        <v>137</v>
      </c>
      <c r="C912" s="304" t="s">
        <v>25</v>
      </c>
      <c r="D912" s="308"/>
      <c r="E912" s="308"/>
      <c r="F912" s="308"/>
      <c r="G912" s="308"/>
      <c r="H912" s="308"/>
      <c r="I912" s="308"/>
      <c r="J912" s="308"/>
      <c r="K912" s="308"/>
      <c r="L912" s="308"/>
      <c r="M912" s="308"/>
      <c r="N912" s="308">
        <v>12</v>
      </c>
      <c r="O912" s="308"/>
      <c r="P912" s="308"/>
      <c r="Q912" s="308"/>
      <c r="R912" s="308"/>
      <c r="S912" s="308"/>
      <c r="T912" s="308"/>
      <c r="U912" s="308"/>
      <c r="V912" s="308"/>
      <c r="W912" s="308"/>
      <c r="X912" s="308"/>
      <c r="Y912" s="436"/>
      <c r="Z912" s="427"/>
      <c r="AA912" s="427"/>
      <c r="AB912" s="427"/>
      <c r="AC912" s="427"/>
      <c r="AD912" s="427"/>
      <c r="AE912" s="427"/>
      <c r="AF912" s="427"/>
      <c r="AG912" s="427"/>
      <c r="AH912" s="427"/>
      <c r="AI912" s="427"/>
      <c r="AJ912" s="427"/>
      <c r="AK912" s="427"/>
      <c r="AL912" s="427"/>
      <c r="AM912" s="309">
        <f>SUM(Y912:AL912)</f>
        <v>0</v>
      </c>
    </row>
    <row r="913" spans="1:39" ht="15" outlineLevel="1">
      <c r="A913" s="539"/>
      <c r="B913" s="307" t="s">
        <v>342</v>
      </c>
      <c r="C913" s="304" t="s">
        <v>163</v>
      </c>
      <c r="D913" s="308"/>
      <c r="E913" s="308"/>
      <c r="F913" s="308"/>
      <c r="G913" s="308"/>
      <c r="H913" s="308"/>
      <c r="I913" s="308"/>
      <c r="J913" s="308"/>
      <c r="K913" s="308"/>
      <c r="L913" s="308"/>
      <c r="M913" s="308"/>
      <c r="N913" s="308">
        <f>N912</f>
        <v>12</v>
      </c>
      <c r="O913" s="308"/>
      <c r="P913" s="308"/>
      <c r="Q913" s="308"/>
      <c r="R913" s="308"/>
      <c r="S913" s="308"/>
      <c r="T913" s="308"/>
      <c r="U913" s="308"/>
      <c r="V913" s="308"/>
      <c r="W913" s="308"/>
      <c r="X913" s="308"/>
      <c r="Y913" s="423">
        <f>Y912</f>
        <v>0</v>
      </c>
      <c r="Z913" s="423">
        <f t="shared" ref="Z913" si="1925">Z912</f>
        <v>0</v>
      </c>
      <c r="AA913" s="423">
        <f t="shared" ref="AA913" si="1926">AA912</f>
        <v>0</v>
      </c>
      <c r="AB913" s="423">
        <f t="shared" ref="AB913" si="1927">AB912</f>
        <v>0</v>
      </c>
      <c r="AC913" s="423">
        <f t="shared" ref="AC913" si="1928">AC912</f>
        <v>0</v>
      </c>
      <c r="AD913" s="423">
        <f t="shared" ref="AD913" si="1929">AD912</f>
        <v>0</v>
      </c>
      <c r="AE913" s="423">
        <f t="shared" ref="AE913" si="1930">AE912</f>
        <v>0</v>
      </c>
      <c r="AF913" s="423">
        <f t="shared" ref="AF913" si="1931">AF912</f>
        <v>0</v>
      </c>
      <c r="AG913" s="423">
        <f t="shared" ref="AG913" si="1932">AG912</f>
        <v>0</v>
      </c>
      <c r="AH913" s="423">
        <f t="shared" ref="AH913" si="1933">AH912</f>
        <v>0</v>
      </c>
      <c r="AI913" s="423">
        <f t="shared" ref="AI913" si="1934">AI912</f>
        <v>0</v>
      </c>
      <c r="AJ913" s="423">
        <f t="shared" ref="AJ913" si="1935">AJ912</f>
        <v>0</v>
      </c>
      <c r="AK913" s="423">
        <f t="shared" ref="AK913" si="1936">AK912</f>
        <v>0</v>
      </c>
      <c r="AL913" s="423">
        <f t="shared" ref="AL913" si="1937">AL912</f>
        <v>0</v>
      </c>
      <c r="AM913" s="319"/>
    </row>
    <row r="914" spans="1:39" ht="15" outlineLevel="1">
      <c r="A914" s="539"/>
      <c r="B914" s="438"/>
      <c r="C914" s="304"/>
      <c r="D914" s="304"/>
      <c r="E914" s="304"/>
      <c r="F914" s="304"/>
      <c r="G914" s="304"/>
      <c r="H914" s="304"/>
      <c r="I914" s="304"/>
      <c r="J914" s="304"/>
      <c r="K914" s="304"/>
      <c r="L914" s="304"/>
      <c r="M914" s="304"/>
      <c r="N914" s="304"/>
      <c r="O914" s="304"/>
      <c r="P914" s="304"/>
      <c r="Q914" s="304"/>
      <c r="R914" s="304"/>
      <c r="S914" s="304"/>
      <c r="T914" s="304"/>
      <c r="U914" s="304"/>
      <c r="V914" s="304"/>
      <c r="W914" s="304"/>
      <c r="X914" s="304"/>
      <c r="Y914" s="424"/>
      <c r="Z914" s="435"/>
      <c r="AA914" s="435"/>
      <c r="AB914" s="435"/>
      <c r="AC914" s="435"/>
      <c r="AD914" s="435"/>
      <c r="AE914" s="435"/>
      <c r="AF914" s="435"/>
      <c r="AG914" s="435"/>
      <c r="AH914" s="435"/>
      <c r="AI914" s="435"/>
      <c r="AJ914" s="435"/>
      <c r="AK914" s="435"/>
      <c r="AL914" s="435"/>
      <c r="AM914" s="319"/>
    </row>
    <row r="915" spans="1:39" ht="30" outlineLevel="1">
      <c r="A915" s="539">
        <v>46</v>
      </c>
      <c r="B915" s="438" t="s">
        <v>138</v>
      </c>
      <c r="C915" s="304" t="s">
        <v>25</v>
      </c>
      <c r="D915" s="308"/>
      <c r="E915" s="308"/>
      <c r="F915" s="308"/>
      <c r="G915" s="308"/>
      <c r="H915" s="308"/>
      <c r="I915" s="308"/>
      <c r="J915" s="308"/>
      <c r="K915" s="308"/>
      <c r="L915" s="308"/>
      <c r="M915" s="308"/>
      <c r="N915" s="308">
        <v>12</v>
      </c>
      <c r="O915" s="308"/>
      <c r="P915" s="308"/>
      <c r="Q915" s="308"/>
      <c r="R915" s="308"/>
      <c r="S915" s="308"/>
      <c r="T915" s="308"/>
      <c r="U915" s="308"/>
      <c r="V915" s="308"/>
      <c r="W915" s="308"/>
      <c r="X915" s="308"/>
      <c r="Y915" s="436"/>
      <c r="Z915" s="427"/>
      <c r="AA915" s="427"/>
      <c r="AB915" s="427"/>
      <c r="AC915" s="427"/>
      <c r="AD915" s="427"/>
      <c r="AE915" s="427"/>
      <c r="AF915" s="427"/>
      <c r="AG915" s="427"/>
      <c r="AH915" s="427"/>
      <c r="AI915" s="427"/>
      <c r="AJ915" s="427"/>
      <c r="AK915" s="427"/>
      <c r="AL915" s="427"/>
      <c r="AM915" s="309">
        <f>SUM(Y915:AL915)</f>
        <v>0</v>
      </c>
    </row>
    <row r="916" spans="1:39" ht="15" outlineLevel="1">
      <c r="A916" s="539"/>
      <c r="B916" s="307" t="s">
        <v>342</v>
      </c>
      <c r="C916" s="304" t="s">
        <v>163</v>
      </c>
      <c r="D916" s="308"/>
      <c r="E916" s="308"/>
      <c r="F916" s="308"/>
      <c r="G916" s="308"/>
      <c r="H916" s="308"/>
      <c r="I916" s="308"/>
      <c r="J916" s="308"/>
      <c r="K916" s="308"/>
      <c r="L916" s="308"/>
      <c r="M916" s="308"/>
      <c r="N916" s="308">
        <f>N915</f>
        <v>12</v>
      </c>
      <c r="O916" s="308"/>
      <c r="P916" s="308"/>
      <c r="Q916" s="308"/>
      <c r="R916" s="308"/>
      <c r="S916" s="308"/>
      <c r="T916" s="308"/>
      <c r="U916" s="308"/>
      <c r="V916" s="308"/>
      <c r="W916" s="308"/>
      <c r="X916" s="308"/>
      <c r="Y916" s="423">
        <f>Y915</f>
        <v>0</v>
      </c>
      <c r="Z916" s="423">
        <f t="shared" ref="Z916" si="1938">Z915</f>
        <v>0</v>
      </c>
      <c r="AA916" s="423">
        <f t="shared" ref="AA916" si="1939">AA915</f>
        <v>0</v>
      </c>
      <c r="AB916" s="423">
        <f t="shared" ref="AB916" si="1940">AB915</f>
        <v>0</v>
      </c>
      <c r="AC916" s="423">
        <f t="shared" ref="AC916" si="1941">AC915</f>
        <v>0</v>
      </c>
      <c r="AD916" s="423">
        <f t="shared" ref="AD916" si="1942">AD915</f>
        <v>0</v>
      </c>
      <c r="AE916" s="423">
        <f t="shared" ref="AE916" si="1943">AE915</f>
        <v>0</v>
      </c>
      <c r="AF916" s="423">
        <f t="shared" ref="AF916" si="1944">AF915</f>
        <v>0</v>
      </c>
      <c r="AG916" s="423">
        <f t="shared" ref="AG916" si="1945">AG915</f>
        <v>0</v>
      </c>
      <c r="AH916" s="423">
        <f t="shared" ref="AH916" si="1946">AH915</f>
        <v>0</v>
      </c>
      <c r="AI916" s="423">
        <f t="shared" ref="AI916" si="1947">AI915</f>
        <v>0</v>
      </c>
      <c r="AJ916" s="423">
        <f t="shared" ref="AJ916" si="1948">AJ915</f>
        <v>0</v>
      </c>
      <c r="AK916" s="423">
        <f t="shared" ref="AK916" si="1949">AK915</f>
        <v>0</v>
      </c>
      <c r="AL916" s="423">
        <f t="shared" ref="AL916" si="1950">AL915</f>
        <v>0</v>
      </c>
      <c r="AM916" s="319"/>
    </row>
    <row r="917" spans="1:39" ht="15" outlineLevel="1">
      <c r="A917" s="539"/>
      <c r="B917" s="438"/>
      <c r="C917" s="304"/>
      <c r="D917" s="304"/>
      <c r="E917" s="304"/>
      <c r="F917" s="304"/>
      <c r="G917" s="304"/>
      <c r="H917" s="304"/>
      <c r="I917" s="304"/>
      <c r="J917" s="304"/>
      <c r="K917" s="304"/>
      <c r="L917" s="304"/>
      <c r="M917" s="304"/>
      <c r="N917" s="304"/>
      <c r="O917" s="304"/>
      <c r="P917" s="304"/>
      <c r="Q917" s="304"/>
      <c r="R917" s="304"/>
      <c r="S917" s="304"/>
      <c r="T917" s="304"/>
      <c r="U917" s="304"/>
      <c r="V917" s="304"/>
      <c r="W917" s="304"/>
      <c r="X917" s="304"/>
      <c r="Y917" s="424"/>
      <c r="Z917" s="435"/>
      <c r="AA917" s="435"/>
      <c r="AB917" s="435"/>
      <c r="AC917" s="435"/>
      <c r="AD917" s="435"/>
      <c r="AE917" s="435"/>
      <c r="AF917" s="435"/>
      <c r="AG917" s="435"/>
      <c r="AH917" s="435"/>
      <c r="AI917" s="435"/>
      <c r="AJ917" s="435"/>
      <c r="AK917" s="435"/>
      <c r="AL917" s="435"/>
      <c r="AM917" s="319"/>
    </row>
    <row r="918" spans="1:39" ht="30" outlineLevel="1">
      <c r="A918" s="539">
        <v>47</v>
      </c>
      <c r="B918" s="438" t="s">
        <v>139</v>
      </c>
      <c r="C918" s="304" t="s">
        <v>25</v>
      </c>
      <c r="D918" s="308"/>
      <c r="E918" s="308"/>
      <c r="F918" s="308"/>
      <c r="G918" s="308"/>
      <c r="H918" s="308"/>
      <c r="I918" s="308"/>
      <c r="J918" s="308"/>
      <c r="K918" s="308"/>
      <c r="L918" s="308"/>
      <c r="M918" s="308"/>
      <c r="N918" s="308">
        <v>12</v>
      </c>
      <c r="O918" s="308"/>
      <c r="P918" s="308"/>
      <c r="Q918" s="308"/>
      <c r="R918" s="308"/>
      <c r="S918" s="308"/>
      <c r="T918" s="308"/>
      <c r="U918" s="308"/>
      <c r="V918" s="308"/>
      <c r="W918" s="308"/>
      <c r="X918" s="308"/>
      <c r="Y918" s="436"/>
      <c r="Z918" s="427"/>
      <c r="AA918" s="427"/>
      <c r="AB918" s="427"/>
      <c r="AC918" s="427"/>
      <c r="AD918" s="427"/>
      <c r="AE918" s="427"/>
      <c r="AF918" s="427"/>
      <c r="AG918" s="427"/>
      <c r="AH918" s="427"/>
      <c r="AI918" s="427"/>
      <c r="AJ918" s="427"/>
      <c r="AK918" s="427"/>
      <c r="AL918" s="427"/>
      <c r="AM918" s="309">
        <f>SUM(Y918:AL918)</f>
        <v>0</v>
      </c>
    </row>
    <row r="919" spans="1:39" ht="15" outlineLevel="1">
      <c r="A919" s="539"/>
      <c r="B919" s="307" t="s">
        <v>342</v>
      </c>
      <c r="C919" s="304" t="s">
        <v>163</v>
      </c>
      <c r="D919" s="308"/>
      <c r="E919" s="308"/>
      <c r="F919" s="308"/>
      <c r="G919" s="308"/>
      <c r="H919" s="308"/>
      <c r="I919" s="308"/>
      <c r="J919" s="308"/>
      <c r="K919" s="308"/>
      <c r="L919" s="308"/>
      <c r="M919" s="308"/>
      <c r="N919" s="308">
        <f>N918</f>
        <v>12</v>
      </c>
      <c r="O919" s="308"/>
      <c r="P919" s="308"/>
      <c r="Q919" s="308"/>
      <c r="R919" s="308"/>
      <c r="S919" s="308"/>
      <c r="T919" s="308"/>
      <c r="U919" s="308"/>
      <c r="V919" s="308"/>
      <c r="W919" s="308"/>
      <c r="X919" s="308"/>
      <c r="Y919" s="423">
        <f>Y918</f>
        <v>0</v>
      </c>
      <c r="Z919" s="423">
        <f t="shared" ref="Z919" si="1951">Z918</f>
        <v>0</v>
      </c>
      <c r="AA919" s="423">
        <f t="shared" ref="AA919" si="1952">AA918</f>
        <v>0</v>
      </c>
      <c r="AB919" s="423">
        <f t="shared" ref="AB919" si="1953">AB918</f>
        <v>0</v>
      </c>
      <c r="AC919" s="423">
        <f t="shared" ref="AC919" si="1954">AC918</f>
        <v>0</v>
      </c>
      <c r="AD919" s="423">
        <f t="shared" ref="AD919" si="1955">AD918</f>
        <v>0</v>
      </c>
      <c r="AE919" s="423">
        <f t="shared" ref="AE919" si="1956">AE918</f>
        <v>0</v>
      </c>
      <c r="AF919" s="423">
        <f t="shared" ref="AF919" si="1957">AF918</f>
        <v>0</v>
      </c>
      <c r="AG919" s="423">
        <f t="shared" ref="AG919" si="1958">AG918</f>
        <v>0</v>
      </c>
      <c r="AH919" s="423">
        <f t="shared" ref="AH919" si="1959">AH918</f>
        <v>0</v>
      </c>
      <c r="AI919" s="423">
        <f t="shared" ref="AI919" si="1960">AI918</f>
        <v>0</v>
      </c>
      <c r="AJ919" s="423">
        <f t="shared" ref="AJ919" si="1961">AJ918</f>
        <v>0</v>
      </c>
      <c r="AK919" s="423">
        <f t="shared" ref="AK919" si="1962">AK918</f>
        <v>0</v>
      </c>
      <c r="AL919" s="423">
        <f t="shared" ref="AL919" si="1963">AL918</f>
        <v>0</v>
      </c>
      <c r="AM919" s="319"/>
    </row>
    <row r="920" spans="1:39" ht="15" outlineLevel="1">
      <c r="A920" s="539"/>
      <c r="B920" s="438"/>
      <c r="C920" s="304"/>
      <c r="D920" s="304"/>
      <c r="E920" s="304"/>
      <c r="F920" s="304"/>
      <c r="G920" s="304"/>
      <c r="H920" s="304"/>
      <c r="I920" s="304"/>
      <c r="J920" s="304"/>
      <c r="K920" s="304"/>
      <c r="L920" s="304"/>
      <c r="M920" s="304"/>
      <c r="N920" s="304"/>
      <c r="O920" s="304"/>
      <c r="P920" s="304"/>
      <c r="Q920" s="304"/>
      <c r="R920" s="304"/>
      <c r="S920" s="304"/>
      <c r="T920" s="304"/>
      <c r="U920" s="304"/>
      <c r="V920" s="304"/>
      <c r="W920" s="304"/>
      <c r="X920" s="304"/>
      <c r="Y920" s="424"/>
      <c r="Z920" s="435"/>
      <c r="AA920" s="435"/>
      <c r="AB920" s="435"/>
      <c r="AC920" s="435"/>
      <c r="AD920" s="435"/>
      <c r="AE920" s="435"/>
      <c r="AF920" s="435"/>
      <c r="AG920" s="435"/>
      <c r="AH920" s="435"/>
      <c r="AI920" s="435"/>
      <c r="AJ920" s="435"/>
      <c r="AK920" s="435"/>
      <c r="AL920" s="435"/>
      <c r="AM920" s="319"/>
    </row>
    <row r="921" spans="1:39" ht="30" outlineLevel="1">
      <c r="A921" s="539">
        <v>48</v>
      </c>
      <c r="B921" s="438" t="s">
        <v>140</v>
      </c>
      <c r="C921" s="304" t="s">
        <v>25</v>
      </c>
      <c r="D921" s="308"/>
      <c r="E921" s="308"/>
      <c r="F921" s="308"/>
      <c r="G921" s="308"/>
      <c r="H921" s="308"/>
      <c r="I921" s="308"/>
      <c r="J921" s="308"/>
      <c r="K921" s="308"/>
      <c r="L921" s="308"/>
      <c r="M921" s="308"/>
      <c r="N921" s="308">
        <v>12</v>
      </c>
      <c r="O921" s="308"/>
      <c r="P921" s="308"/>
      <c r="Q921" s="308"/>
      <c r="R921" s="308"/>
      <c r="S921" s="308"/>
      <c r="T921" s="308"/>
      <c r="U921" s="308"/>
      <c r="V921" s="308"/>
      <c r="W921" s="308"/>
      <c r="X921" s="308"/>
      <c r="Y921" s="436"/>
      <c r="Z921" s="427"/>
      <c r="AA921" s="427"/>
      <c r="AB921" s="427"/>
      <c r="AC921" s="427"/>
      <c r="AD921" s="427"/>
      <c r="AE921" s="427"/>
      <c r="AF921" s="427"/>
      <c r="AG921" s="427"/>
      <c r="AH921" s="427"/>
      <c r="AI921" s="427"/>
      <c r="AJ921" s="427"/>
      <c r="AK921" s="427"/>
      <c r="AL921" s="427"/>
      <c r="AM921" s="309">
        <f>SUM(Y921:AL921)</f>
        <v>0</v>
      </c>
    </row>
    <row r="922" spans="1:39" ht="15" outlineLevel="1">
      <c r="A922" s="539"/>
      <c r="B922" s="307" t="s">
        <v>342</v>
      </c>
      <c r="C922" s="304" t="s">
        <v>163</v>
      </c>
      <c r="D922" s="308"/>
      <c r="E922" s="308"/>
      <c r="F922" s="308"/>
      <c r="G922" s="308"/>
      <c r="H922" s="308"/>
      <c r="I922" s="308"/>
      <c r="J922" s="308"/>
      <c r="K922" s="308"/>
      <c r="L922" s="308"/>
      <c r="M922" s="308"/>
      <c r="N922" s="308">
        <f>N921</f>
        <v>12</v>
      </c>
      <c r="O922" s="308"/>
      <c r="P922" s="308"/>
      <c r="Q922" s="308"/>
      <c r="R922" s="308"/>
      <c r="S922" s="308"/>
      <c r="T922" s="308"/>
      <c r="U922" s="308"/>
      <c r="V922" s="308"/>
      <c r="W922" s="308"/>
      <c r="X922" s="308"/>
      <c r="Y922" s="423">
        <f>Y921</f>
        <v>0</v>
      </c>
      <c r="Z922" s="423">
        <f t="shared" ref="Z922" si="1964">Z921</f>
        <v>0</v>
      </c>
      <c r="AA922" s="423">
        <f t="shared" ref="AA922" si="1965">AA921</f>
        <v>0</v>
      </c>
      <c r="AB922" s="423">
        <f t="shared" ref="AB922" si="1966">AB921</f>
        <v>0</v>
      </c>
      <c r="AC922" s="423">
        <f t="shared" ref="AC922" si="1967">AC921</f>
        <v>0</v>
      </c>
      <c r="AD922" s="423">
        <f t="shared" ref="AD922" si="1968">AD921</f>
        <v>0</v>
      </c>
      <c r="AE922" s="423">
        <f t="shared" ref="AE922" si="1969">AE921</f>
        <v>0</v>
      </c>
      <c r="AF922" s="423">
        <f t="shared" ref="AF922" si="1970">AF921</f>
        <v>0</v>
      </c>
      <c r="AG922" s="423">
        <f t="shared" ref="AG922" si="1971">AG921</f>
        <v>0</v>
      </c>
      <c r="AH922" s="423">
        <f t="shared" ref="AH922" si="1972">AH921</f>
        <v>0</v>
      </c>
      <c r="AI922" s="423">
        <f t="shared" ref="AI922" si="1973">AI921</f>
        <v>0</v>
      </c>
      <c r="AJ922" s="423">
        <f t="shared" ref="AJ922" si="1974">AJ921</f>
        <v>0</v>
      </c>
      <c r="AK922" s="423">
        <f t="shared" ref="AK922" si="1975">AK921</f>
        <v>0</v>
      </c>
      <c r="AL922" s="423">
        <f t="shared" ref="AL922" si="1976">AL921</f>
        <v>0</v>
      </c>
      <c r="AM922" s="319"/>
    </row>
    <row r="923" spans="1:39" ht="15" outlineLevel="1">
      <c r="A923" s="539"/>
      <c r="B923" s="438"/>
      <c r="C923" s="304"/>
      <c r="D923" s="304"/>
      <c r="E923" s="304"/>
      <c r="F923" s="304"/>
      <c r="G923" s="304"/>
      <c r="H923" s="304"/>
      <c r="I923" s="304"/>
      <c r="J923" s="304"/>
      <c r="K923" s="304"/>
      <c r="L923" s="304"/>
      <c r="M923" s="304"/>
      <c r="N923" s="304"/>
      <c r="O923" s="304"/>
      <c r="P923" s="304"/>
      <c r="Q923" s="304"/>
      <c r="R923" s="304"/>
      <c r="S923" s="304"/>
      <c r="T923" s="304"/>
      <c r="U923" s="304"/>
      <c r="V923" s="304"/>
      <c r="W923" s="304"/>
      <c r="X923" s="304"/>
      <c r="Y923" s="424"/>
      <c r="Z923" s="435"/>
      <c r="AA923" s="435"/>
      <c r="AB923" s="435"/>
      <c r="AC923" s="435"/>
      <c r="AD923" s="435"/>
      <c r="AE923" s="435"/>
      <c r="AF923" s="435"/>
      <c r="AG923" s="435"/>
      <c r="AH923" s="435"/>
      <c r="AI923" s="435"/>
      <c r="AJ923" s="435"/>
      <c r="AK923" s="435"/>
      <c r="AL923" s="435"/>
      <c r="AM923" s="319"/>
    </row>
    <row r="924" spans="1:39" ht="30" outlineLevel="1">
      <c r="A924" s="539">
        <v>49</v>
      </c>
      <c r="B924" s="438" t="s">
        <v>141</v>
      </c>
      <c r="C924" s="304" t="s">
        <v>25</v>
      </c>
      <c r="D924" s="308"/>
      <c r="E924" s="308"/>
      <c r="F924" s="308"/>
      <c r="G924" s="308"/>
      <c r="H924" s="308"/>
      <c r="I924" s="308"/>
      <c r="J924" s="308"/>
      <c r="K924" s="308"/>
      <c r="L924" s="308"/>
      <c r="M924" s="308"/>
      <c r="N924" s="308">
        <v>12</v>
      </c>
      <c r="O924" s="308"/>
      <c r="P924" s="308"/>
      <c r="Q924" s="308"/>
      <c r="R924" s="308"/>
      <c r="S924" s="308"/>
      <c r="T924" s="308"/>
      <c r="U924" s="308"/>
      <c r="V924" s="308"/>
      <c r="W924" s="308"/>
      <c r="X924" s="308"/>
      <c r="Y924" s="436"/>
      <c r="Z924" s="427"/>
      <c r="AA924" s="427"/>
      <c r="AB924" s="427"/>
      <c r="AC924" s="427"/>
      <c r="AD924" s="427"/>
      <c r="AE924" s="427"/>
      <c r="AF924" s="427"/>
      <c r="AG924" s="427"/>
      <c r="AH924" s="427"/>
      <c r="AI924" s="427"/>
      <c r="AJ924" s="427"/>
      <c r="AK924" s="427"/>
      <c r="AL924" s="427"/>
      <c r="AM924" s="309">
        <f>SUM(Y924:AL924)</f>
        <v>0</v>
      </c>
    </row>
    <row r="925" spans="1:39" ht="15" outlineLevel="1">
      <c r="A925" s="539"/>
      <c r="B925" s="307" t="s">
        <v>342</v>
      </c>
      <c r="C925" s="304" t="s">
        <v>163</v>
      </c>
      <c r="D925" s="308"/>
      <c r="E925" s="308"/>
      <c r="F925" s="308"/>
      <c r="G925" s="308"/>
      <c r="H925" s="308"/>
      <c r="I925" s="308"/>
      <c r="J925" s="308"/>
      <c r="K925" s="308"/>
      <c r="L925" s="308"/>
      <c r="M925" s="308"/>
      <c r="N925" s="308">
        <f>N924</f>
        <v>12</v>
      </c>
      <c r="O925" s="308"/>
      <c r="P925" s="308"/>
      <c r="Q925" s="308"/>
      <c r="R925" s="308"/>
      <c r="S925" s="308"/>
      <c r="T925" s="308"/>
      <c r="U925" s="308"/>
      <c r="V925" s="308"/>
      <c r="W925" s="308"/>
      <c r="X925" s="308"/>
      <c r="Y925" s="423">
        <f>Y924</f>
        <v>0</v>
      </c>
      <c r="Z925" s="423">
        <f t="shared" ref="Z925" si="1977">Z924</f>
        <v>0</v>
      </c>
      <c r="AA925" s="423">
        <f t="shared" ref="AA925" si="1978">AA924</f>
        <v>0</v>
      </c>
      <c r="AB925" s="423">
        <f t="shared" ref="AB925" si="1979">AB924</f>
        <v>0</v>
      </c>
      <c r="AC925" s="423">
        <f t="shared" ref="AC925" si="1980">AC924</f>
        <v>0</v>
      </c>
      <c r="AD925" s="423">
        <f t="shared" ref="AD925" si="1981">AD924</f>
        <v>0</v>
      </c>
      <c r="AE925" s="423">
        <f t="shared" ref="AE925" si="1982">AE924</f>
        <v>0</v>
      </c>
      <c r="AF925" s="423">
        <f t="shared" ref="AF925" si="1983">AF924</f>
        <v>0</v>
      </c>
      <c r="AG925" s="423">
        <f t="shared" ref="AG925" si="1984">AG924</f>
        <v>0</v>
      </c>
      <c r="AH925" s="423">
        <f t="shared" ref="AH925" si="1985">AH924</f>
        <v>0</v>
      </c>
      <c r="AI925" s="423">
        <f t="shared" ref="AI925" si="1986">AI924</f>
        <v>0</v>
      </c>
      <c r="AJ925" s="423">
        <f t="shared" ref="AJ925" si="1987">AJ924</f>
        <v>0</v>
      </c>
      <c r="AK925" s="423">
        <f t="shared" ref="AK925" si="1988">AK924</f>
        <v>0</v>
      </c>
      <c r="AL925" s="423">
        <f t="shared" ref="AL925" si="1989">AL924</f>
        <v>0</v>
      </c>
      <c r="AM925" s="319"/>
    </row>
    <row r="926" spans="1:39" ht="15" outlineLevel="1">
      <c r="A926" s="539"/>
      <c r="B926" s="307"/>
      <c r="C926" s="318"/>
      <c r="D926" s="304"/>
      <c r="E926" s="304"/>
      <c r="F926" s="304"/>
      <c r="G926" s="304"/>
      <c r="H926" s="304"/>
      <c r="I926" s="304"/>
      <c r="J926" s="304"/>
      <c r="K926" s="304"/>
      <c r="L926" s="304"/>
      <c r="M926" s="304"/>
      <c r="N926" s="304"/>
      <c r="O926" s="304"/>
      <c r="P926" s="304"/>
      <c r="Q926" s="304"/>
      <c r="R926" s="304"/>
      <c r="S926" s="304"/>
      <c r="T926" s="304"/>
      <c r="U926" s="304"/>
      <c r="V926" s="304"/>
      <c r="W926" s="304"/>
      <c r="X926" s="304"/>
      <c r="Y926" s="314"/>
      <c r="Z926" s="314"/>
      <c r="AA926" s="314"/>
      <c r="AB926" s="314"/>
      <c r="AC926" s="314"/>
      <c r="AD926" s="314"/>
      <c r="AE926" s="314"/>
      <c r="AF926" s="314"/>
      <c r="AG926" s="314"/>
      <c r="AH926" s="314"/>
      <c r="AI926" s="314"/>
      <c r="AJ926" s="314"/>
      <c r="AK926" s="314"/>
      <c r="AL926" s="314"/>
      <c r="AM926" s="319"/>
    </row>
    <row r="927" spans="1:39" ht="15.6">
      <c r="B927" s="339" t="s">
        <v>328</v>
      </c>
      <c r="C927" s="341"/>
      <c r="D927" s="341">
        <f>SUM(D770:D925)</f>
        <v>294918.37478213827</v>
      </c>
      <c r="E927" s="341"/>
      <c r="F927" s="341"/>
      <c r="G927" s="341"/>
      <c r="H927" s="341"/>
      <c r="I927" s="341"/>
      <c r="J927" s="341"/>
      <c r="K927" s="341"/>
      <c r="L927" s="341"/>
      <c r="M927" s="341"/>
      <c r="N927" s="341"/>
      <c r="O927" s="341">
        <f>SUM(O770:O925)</f>
        <v>38.819847809387383</v>
      </c>
      <c r="P927" s="341"/>
      <c r="Q927" s="341"/>
      <c r="R927" s="341"/>
      <c r="S927" s="341"/>
      <c r="T927" s="341"/>
      <c r="U927" s="341"/>
      <c r="V927" s="341"/>
      <c r="W927" s="341"/>
      <c r="X927" s="341"/>
      <c r="Y927" s="341">
        <f>IF(Y768="kWh",SUMPRODUCT(D770:D925,Y770:Y925))</f>
        <v>0</v>
      </c>
      <c r="Z927" s="341">
        <f>IF(Z768="kWh",SUMPRODUCT(D770:D925,Z770:Z925))</f>
        <v>54361.035799537145</v>
      </c>
      <c r="AA927" s="341">
        <f>IF(AA768="kw",SUMPRODUCT(N770:N925,O770:O925,AA770:AA925),SUMPRODUCT(D770:D925,AA770:AA925))</f>
        <v>195.56964640445423</v>
      </c>
      <c r="AB927" s="341">
        <f>IF(AB768="kw",SUMPRODUCT(N770:N925,O770:O925,AB770:AB925),SUMPRODUCT(D770:D925,AB770:AB925))</f>
        <v>153.80510756016818</v>
      </c>
      <c r="AC927" s="341">
        <f>IF(AC768="kw",SUMPRODUCT(N770:N925,O770:O925,AC770:AC925),SUMPRODUCT(D770:D925,AC770:AC925))</f>
        <v>0</v>
      </c>
      <c r="AD927" s="341">
        <f>IF(AD768="kw",SUMPRODUCT(N770:N925,O770:O925,AD770:AD925),SUMPRODUCT(D770:D925,AD770:AD925))</f>
        <v>0</v>
      </c>
      <c r="AE927" s="341">
        <f>IF(AE768="kw",SUMPRODUCT(N770:N925,O770:O925,AE770:AE925),SUMPRODUCT(D770:D925,AE770:AE925))</f>
        <v>0</v>
      </c>
      <c r="AF927" s="341">
        <f>IF(AF768="kw",SUMPRODUCT(N770:N925,O770:O925,AF770:AF925),SUMPRODUCT(D770:D925,AF770:AF925))</f>
        <v>0</v>
      </c>
      <c r="AG927" s="341">
        <f>IF(AG768="kw",SUMPRODUCT(N770:N925,O770:O925,AG770:AG925),SUMPRODUCT(D770:D925,AG770:AG925))</f>
        <v>0</v>
      </c>
      <c r="AH927" s="341">
        <f>IF(AH768="kw",SUMPRODUCT(N770:N925,O770:O925,AH770:AH925),SUMPRODUCT(D770:D925,AH770:AH925))</f>
        <v>0</v>
      </c>
      <c r="AI927" s="341">
        <f>IF(AI768="kw",SUMPRODUCT(N770:N925,O770:O925,AI770:AI925),SUMPRODUCT(D770:D925,AI770:AI925))</f>
        <v>0</v>
      </c>
      <c r="AJ927" s="341">
        <f>IF(AJ768="kw",SUMPRODUCT(N770:N925,O770:O925,AJ770:AJ925),SUMPRODUCT(D770:D925,AJ770:AJ925))</f>
        <v>0</v>
      </c>
      <c r="AK927" s="341">
        <f>IF(AK768="kw",SUMPRODUCT(N770:N925,O770:O925,AK770:AK925),SUMPRODUCT(D770:D925,AK770:AK925))</f>
        <v>0</v>
      </c>
      <c r="AL927" s="341">
        <f>IF(AL768="kw",SUMPRODUCT(N770:N925,O770:O925,AL770:AL925),SUMPRODUCT(D770:D925,AL770:AL925))</f>
        <v>0</v>
      </c>
      <c r="AM927" s="342"/>
    </row>
    <row r="928" spans="1:39" ht="15.6">
      <c r="B928" s="403" t="s">
        <v>329</v>
      </c>
      <c r="C928" s="404"/>
      <c r="D928" s="404"/>
      <c r="E928" s="404"/>
      <c r="F928" s="404"/>
      <c r="G928" s="404"/>
      <c r="H928" s="404"/>
      <c r="I928" s="404"/>
      <c r="J928" s="404"/>
      <c r="K928" s="404"/>
      <c r="L928" s="404"/>
      <c r="M928" s="404"/>
      <c r="N928" s="404"/>
      <c r="O928" s="404"/>
      <c r="P928" s="404"/>
      <c r="Q928" s="404"/>
      <c r="R928" s="404"/>
      <c r="S928" s="404"/>
      <c r="T928" s="404"/>
      <c r="U928" s="404"/>
      <c r="V928" s="404"/>
      <c r="W928" s="404"/>
      <c r="X928" s="404"/>
      <c r="Y928" s="404">
        <f>HLOOKUP(Y584,'2. LRAMVA Threshold'!$B$42:$Q$53,11,FALSE)</f>
        <v>691161</v>
      </c>
      <c r="Z928" s="404">
        <f>HLOOKUP(Z584,'2. LRAMVA Threshold'!$B$42:$Q$53,11,FALSE)</f>
        <v>74889</v>
      </c>
      <c r="AA928" s="404">
        <f>HLOOKUP(AA584,'2. LRAMVA Threshold'!$B$42:$Q$53,11,FALSE)</f>
        <v>3272</v>
      </c>
      <c r="AB928" s="404">
        <f>HLOOKUP(AB584,'2. LRAMVA Threshold'!$B$42:$Q$53,11,FALSE)</f>
        <v>2873</v>
      </c>
      <c r="AC928" s="404">
        <f>HLOOKUP(AC584,'2. LRAMVA Threshold'!$B$42:$Q$53,11,FALSE)</f>
        <v>0</v>
      </c>
      <c r="AD928" s="404">
        <f>HLOOKUP(AD584,'2. LRAMVA Threshold'!$B$42:$Q$53,11,FALSE)</f>
        <v>0</v>
      </c>
      <c r="AE928" s="404">
        <f>HLOOKUP(AE584,'2. LRAMVA Threshold'!$B$42:$Q$53,11,FALSE)</f>
        <v>3777</v>
      </c>
      <c r="AF928" s="404">
        <f>HLOOKUP(AF584,'2. LRAMVA Threshold'!$B$42:$Q$53,11,FALSE)</f>
        <v>0</v>
      </c>
      <c r="AG928" s="404">
        <f>HLOOKUP(AG584,'2. LRAMVA Threshold'!$B$42:$Q$53,11,FALSE)</f>
        <v>0</v>
      </c>
      <c r="AH928" s="404">
        <f>HLOOKUP(AH584,'2. LRAMVA Threshold'!$B$42:$Q$53,11,FALSE)</f>
        <v>0</v>
      </c>
      <c r="AI928" s="404">
        <f>HLOOKUP(AI584,'2. LRAMVA Threshold'!$B$42:$Q$53,11,FALSE)</f>
        <v>0</v>
      </c>
      <c r="AJ928" s="404">
        <f>HLOOKUP(AJ584,'2. LRAMVA Threshold'!$B$42:$Q$53,11,FALSE)</f>
        <v>0</v>
      </c>
      <c r="AK928" s="404">
        <f>HLOOKUP(AK584,'2. LRAMVA Threshold'!$B$42:$Q$53,11,FALSE)</f>
        <v>0</v>
      </c>
      <c r="AL928" s="404">
        <f>HLOOKUP(AL584,'2. LRAMVA Threshold'!$B$42:$Q$53,11,FALSE)</f>
        <v>0</v>
      </c>
      <c r="AM928" s="452"/>
    </row>
    <row r="929" spans="2:39" ht="15">
      <c r="B929" s="406"/>
      <c r="C929" s="442"/>
      <c r="D929" s="443"/>
      <c r="E929" s="443"/>
      <c r="F929" s="443"/>
      <c r="G929" s="443"/>
      <c r="H929" s="443"/>
      <c r="I929" s="443"/>
      <c r="J929" s="443"/>
      <c r="K929" s="443"/>
      <c r="L929" s="443"/>
      <c r="M929" s="443"/>
      <c r="N929" s="443"/>
      <c r="O929" s="444"/>
      <c r="P929" s="443"/>
      <c r="Q929" s="443"/>
      <c r="R929" s="443"/>
      <c r="S929" s="445"/>
      <c r="T929" s="445"/>
      <c r="U929" s="445"/>
      <c r="V929" s="445"/>
      <c r="W929" s="443"/>
      <c r="X929" s="443"/>
      <c r="Y929" s="446"/>
      <c r="Z929" s="446"/>
      <c r="AA929" s="446"/>
      <c r="AB929" s="446"/>
      <c r="AC929" s="446"/>
      <c r="AD929" s="446"/>
      <c r="AE929" s="446"/>
      <c r="AF929" s="411"/>
      <c r="AG929" s="411"/>
      <c r="AH929" s="411"/>
      <c r="AI929" s="411"/>
      <c r="AJ929" s="411"/>
      <c r="AK929" s="411"/>
      <c r="AL929" s="411"/>
      <c r="AM929" s="412"/>
    </row>
    <row r="930" spans="2:39" ht="15">
      <c r="B930" s="336" t="s">
        <v>330</v>
      </c>
      <c r="C930" s="350"/>
      <c r="D930" s="350"/>
      <c r="E930" s="388"/>
      <c r="F930" s="388"/>
      <c r="G930" s="388"/>
      <c r="H930" s="388"/>
      <c r="I930" s="388"/>
      <c r="J930" s="388"/>
      <c r="K930" s="388"/>
      <c r="L930" s="388"/>
      <c r="M930" s="388"/>
      <c r="N930" s="388"/>
      <c r="O930" s="304"/>
      <c r="P930" s="352"/>
      <c r="Q930" s="352"/>
      <c r="R930" s="352"/>
      <c r="S930" s="351"/>
      <c r="T930" s="351"/>
      <c r="U930" s="351"/>
      <c r="V930" s="351"/>
      <c r="W930" s="352"/>
      <c r="X930" s="352"/>
      <c r="Y930" s="353">
        <f>HLOOKUP(Y$35,'3.  Distribution Rates'!$C$122:$P$133,11,FALSE)</f>
        <v>1.1000000000000001E-3</v>
      </c>
      <c r="Z930" s="353">
        <f>HLOOKUP(Z$35,'3.  Distribution Rates'!$C$122:$P$133,11,FALSE)</f>
        <v>1.03E-2</v>
      </c>
      <c r="AA930" s="353">
        <f>HLOOKUP(AA$35,'3.  Distribution Rates'!$C$122:$P$133,11,FALSE)</f>
        <v>3.8965999999999998</v>
      </c>
      <c r="AB930" s="353">
        <f>HLOOKUP(AB$35,'3.  Distribution Rates'!$C$122:$P$133,11,FALSE)</f>
        <v>3.5051999999999999</v>
      </c>
      <c r="AC930" s="353">
        <f>HLOOKUP(AC$35,'3.  Distribution Rates'!$C$122:$P$133,11,FALSE)</f>
        <v>5.4999999999999997E-3</v>
      </c>
      <c r="AD930" s="353">
        <f>HLOOKUP(AD$35,'3.  Distribution Rates'!$C$122:$P$133,11,FALSE)</f>
        <v>36.264099999999999</v>
      </c>
      <c r="AE930" s="353">
        <f>HLOOKUP(AE$35,'3.  Distribution Rates'!$C$122:$P$133,11,FALSE)</f>
        <v>1.5678000000000001</v>
      </c>
      <c r="AF930" s="353">
        <f>HLOOKUP(AF$35,'3.  Distribution Rates'!$C$122:$P$133,11,FALSE)</f>
        <v>0</v>
      </c>
      <c r="AG930" s="353">
        <f>HLOOKUP(AG$35,'3.  Distribution Rates'!$C$122:$P$133,11,FALSE)</f>
        <v>0</v>
      </c>
      <c r="AH930" s="353">
        <f>HLOOKUP(AH$35,'3.  Distribution Rates'!$C$122:$P$133,11,FALSE)</f>
        <v>0</v>
      </c>
      <c r="AI930" s="353">
        <f>HLOOKUP(AI$35,'3.  Distribution Rates'!$C$122:$P$133,11,FALSE)</f>
        <v>0</v>
      </c>
      <c r="AJ930" s="353">
        <f>HLOOKUP(AJ$35,'3.  Distribution Rates'!$C$122:$P$133,11,FALSE)</f>
        <v>0</v>
      </c>
      <c r="AK930" s="353">
        <f>HLOOKUP(AK$35,'3.  Distribution Rates'!$C$122:$P$133,11,FALSE)</f>
        <v>0</v>
      </c>
      <c r="AL930" s="353">
        <f>HLOOKUP(AL$35,'3.  Distribution Rates'!$C$122:$P$133,11,FALSE)</f>
        <v>0</v>
      </c>
      <c r="AM930" s="389"/>
    </row>
    <row r="931" spans="2:39" ht="15">
      <c r="B931" s="336" t="s">
        <v>331</v>
      </c>
      <c r="C931" s="357"/>
      <c r="D931" s="322"/>
      <c r="E931" s="292"/>
      <c r="F931" s="292"/>
      <c r="G931" s="292"/>
      <c r="H931" s="292"/>
      <c r="I931" s="292"/>
      <c r="J931" s="292"/>
      <c r="K931" s="292"/>
      <c r="L931" s="292"/>
      <c r="M931" s="292"/>
      <c r="N931" s="292"/>
      <c r="O931" s="304"/>
      <c r="P931" s="292"/>
      <c r="Q931" s="292"/>
      <c r="R931" s="292"/>
      <c r="S931" s="322"/>
      <c r="T931" s="322"/>
      <c r="U931" s="322"/>
      <c r="V931" s="322"/>
      <c r="W931" s="292"/>
      <c r="X931" s="292"/>
      <c r="Y931" s="390">
        <f>'4.  2011-2014 LRAM'!Y142*Y930</f>
        <v>0</v>
      </c>
      <c r="Z931" s="390">
        <f>'4.  2011-2014 LRAM'!Z142*Z930</f>
        <v>0</v>
      </c>
      <c r="AA931" s="390">
        <f>'4.  2011-2014 LRAM'!AA142*AA930</f>
        <v>0</v>
      </c>
      <c r="AB931" s="390">
        <f>'4.  2011-2014 LRAM'!AB142*AB930</f>
        <v>0</v>
      </c>
      <c r="AC931" s="390">
        <f>'4.  2011-2014 LRAM'!AC142*AC930</f>
        <v>0</v>
      </c>
      <c r="AD931" s="390">
        <f>'4.  2011-2014 LRAM'!AD142*AD930</f>
        <v>0</v>
      </c>
      <c r="AE931" s="390">
        <f>'4.  2011-2014 LRAM'!AE142*AE930</f>
        <v>0</v>
      </c>
      <c r="AF931" s="390">
        <f>'4.  2011-2014 LRAM'!AF142*AF930</f>
        <v>0</v>
      </c>
      <c r="AG931" s="390">
        <f>'4.  2011-2014 LRAM'!AG142*AG930</f>
        <v>0</v>
      </c>
      <c r="AH931" s="390">
        <f>'4.  2011-2014 LRAM'!AH142*AH930</f>
        <v>0</v>
      </c>
      <c r="AI931" s="390">
        <f>'4.  2011-2014 LRAM'!AI142*AI930</f>
        <v>0</v>
      </c>
      <c r="AJ931" s="390">
        <f>'4.  2011-2014 LRAM'!AJ142*AJ930</f>
        <v>0</v>
      </c>
      <c r="AK931" s="390">
        <f>'4.  2011-2014 LRAM'!AK142*AK930</f>
        <v>0</v>
      </c>
      <c r="AL931" s="390">
        <f>'4.  2011-2014 LRAM'!AL142*AL930</f>
        <v>0</v>
      </c>
      <c r="AM931" s="635">
        <f t="shared" ref="AM931:AM939" si="1990">SUM(Y931:AL931)</f>
        <v>0</v>
      </c>
    </row>
    <row r="932" spans="2:39" ht="15">
      <c r="B932" s="336" t="s">
        <v>332</v>
      </c>
      <c r="C932" s="357"/>
      <c r="D932" s="322"/>
      <c r="E932" s="292"/>
      <c r="F932" s="292"/>
      <c r="G932" s="292"/>
      <c r="H932" s="292"/>
      <c r="I932" s="292"/>
      <c r="J932" s="292"/>
      <c r="K932" s="292"/>
      <c r="L932" s="292"/>
      <c r="M932" s="292"/>
      <c r="N932" s="292"/>
      <c r="O932" s="304"/>
      <c r="P932" s="292"/>
      <c r="Q932" s="292"/>
      <c r="R932" s="292"/>
      <c r="S932" s="322"/>
      <c r="T932" s="322"/>
      <c r="U932" s="322"/>
      <c r="V932" s="322"/>
      <c r="W932" s="292"/>
      <c r="X932" s="292"/>
      <c r="Y932" s="390">
        <f>'4.  2011-2014 LRAM'!Y271*Y930</f>
        <v>0</v>
      </c>
      <c r="Z932" s="390">
        <f>'4.  2011-2014 LRAM'!Z271*Z930</f>
        <v>0</v>
      </c>
      <c r="AA932" s="390">
        <f>'4.  2011-2014 LRAM'!AA271*AA930</f>
        <v>0</v>
      </c>
      <c r="AB932" s="390">
        <f>'4.  2011-2014 LRAM'!AB271*AB930</f>
        <v>0</v>
      </c>
      <c r="AC932" s="390">
        <f>'4.  2011-2014 LRAM'!AC271*AC930</f>
        <v>0</v>
      </c>
      <c r="AD932" s="390">
        <f>'4.  2011-2014 LRAM'!AD271*AD930</f>
        <v>0</v>
      </c>
      <c r="AE932" s="390">
        <f>'4.  2011-2014 LRAM'!AE271*AE930</f>
        <v>0</v>
      </c>
      <c r="AF932" s="390">
        <f>'4.  2011-2014 LRAM'!AF271*AF930</f>
        <v>0</v>
      </c>
      <c r="AG932" s="390">
        <f>'4.  2011-2014 LRAM'!AG271*AG930</f>
        <v>0</v>
      </c>
      <c r="AH932" s="390">
        <f>'4.  2011-2014 LRAM'!AH271*AH930</f>
        <v>0</v>
      </c>
      <c r="AI932" s="390">
        <f>'4.  2011-2014 LRAM'!AI271*AI930</f>
        <v>0</v>
      </c>
      <c r="AJ932" s="390">
        <f>'4.  2011-2014 LRAM'!AJ271*AJ930</f>
        <v>0</v>
      </c>
      <c r="AK932" s="390">
        <f>'4.  2011-2014 LRAM'!AK271*AK930</f>
        <v>0</v>
      </c>
      <c r="AL932" s="390">
        <f>'4.  2011-2014 LRAM'!AL271*AL930</f>
        <v>0</v>
      </c>
      <c r="AM932" s="635">
        <f t="shared" si="1990"/>
        <v>0</v>
      </c>
    </row>
    <row r="933" spans="2:39" ht="15">
      <c r="B933" s="336" t="s">
        <v>333</v>
      </c>
      <c r="C933" s="357"/>
      <c r="D933" s="322"/>
      <c r="E933" s="292"/>
      <c r="F933" s="292"/>
      <c r="G933" s="292"/>
      <c r="H933" s="292"/>
      <c r="I933" s="292"/>
      <c r="J933" s="292"/>
      <c r="K933" s="292"/>
      <c r="L933" s="292"/>
      <c r="M933" s="292"/>
      <c r="N933" s="292"/>
      <c r="O933" s="304"/>
      <c r="P933" s="292"/>
      <c r="Q933" s="292"/>
      <c r="R933" s="292"/>
      <c r="S933" s="322"/>
      <c r="T933" s="322"/>
      <c r="U933" s="322"/>
      <c r="V933" s="322"/>
      <c r="W933" s="292"/>
      <c r="X933" s="292"/>
      <c r="Y933" s="390">
        <f>'4.  2011-2014 LRAM'!Y400*Y930</f>
        <v>0</v>
      </c>
      <c r="Z933" s="390">
        <f>'4.  2011-2014 LRAM'!Z400*Z930</f>
        <v>0</v>
      </c>
      <c r="AA933" s="390">
        <f>'4.  2011-2014 LRAM'!AA400*AA930</f>
        <v>0</v>
      </c>
      <c r="AB933" s="390">
        <f>'4.  2011-2014 LRAM'!AB400*AB930</f>
        <v>0</v>
      </c>
      <c r="AC933" s="390">
        <f>'4.  2011-2014 LRAM'!AC400*AC930</f>
        <v>0</v>
      </c>
      <c r="AD933" s="390">
        <f>'4.  2011-2014 LRAM'!AD400*AD930</f>
        <v>0</v>
      </c>
      <c r="AE933" s="390">
        <f>'4.  2011-2014 LRAM'!AE400*AE930</f>
        <v>0</v>
      </c>
      <c r="AF933" s="390">
        <f>'4.  2011-2014 LRAM'!AF400*AF930</f>
        <v>0</v>
      </c>
      <c r="AG933" s="390">
        <f>'4.  2011-2014 LRAM'!AG400*AG930</f>
        <v>0</v>
      </c>
      <c r="AH933" s="390">
        <f>'4.  2011-2014 LRAM'!AH400*AH930</f>
        <v>0</v>
      </c>
      <c r="AI933" s="390">
        <f>'4.  2011-2014 LRAM'!AI400*AI930</f>
        <v>0</v>
      </c>
      <c r="AJ933" s="390">
        <f>'4.  2011-2014 LRAM'!AJ400*AJ930</f>
        <v>0</v>
      </c>
      <c r="AK933" s="390">
        <f>'4.  2011-2014 LRAM'!AK400*AK930</f>
        <v>0</v>
      </c>
      <c r="AL933" s="390">
        <f>'4.  2011-2014 LRAM'!AL400*AL930</f>
        <v>0</v>
      </c>
      <c r="AM933" s="635">
        <f t="shared" si="1990"/>
        <v>0</v>
      </c>
    </row>
    <row r="934" spans="2:39" ht="15">
      <c r="B934" s="336" t="s">
        <v>334</v>
      </c>
      <c r="C934" s="357"/>
      <c r="D934" s="322"/>
      <c r="E934" s="292"/>
      <c r="F934" s="292"/>
      <c r="G934" s="292"/>
      <c r="H934" s="292"/>
      <c r="I934" s="292"/>
      <c r="J934" s="292"/>
      <c r="K934" s="292"/>
      <c r="L934" s="292"/>
      <c r="M934" s="292"/>
      <c r="N934" s="292"/>
      <c r="O934" s="304"/>
      <c r="P934" s="292"/>
      <c r="Q934" s="292"/>
      <c r="R934" s="292"/>
      <c r="S934" s="322"/>
      <c r="T934" s="322"/>
      <c r="U934" s="322"/>
      <c r="V934" s="322"/>
      <c r="W934" s="292"/>
      <c r="X934" s="292"/>
      <c r="Y934" s="390">
        <f>'4.  2011-2014 LRAM'!Y530*Y930</f>
        <v>0</v>
      </c>
      <c r="Z934" s="390">
        <f>'4.  2011-2014 LRAM'!Z530*Z930</f>
        <v>0</v>
      </c>
      <c r="AA934" s="390">
        <f>'4.  2011-2014 LRAM'!AA530*AA930</f>
        <v>0</v>
      </c>
      <c r="AB934" s="390">
        <f>'4.  2011-2014 LRAM'!AB530*AB930</f>
        <v>0</v>
      </c>
      <c r="AC934" s="390">
        <f>'4.  2011-2014 LRAM'!AC530*AC930</f>
        <v>0</v>
      </c>
      <c r="AD934" s="390">
        <f>'4.  2011-2014 LRAM'!AD530*AD930</f>
        <v>0</v>
      </c>
      <c r="AE934" s="390">
        <f>'4.  2011-2014 LRAM'!AE530*AE930</f>
        <v>0</v>
      </c>
      <c r="AF934" s="390">
        <f>'4.  2011-2014 LRAM'!AF530*AF930</f>
        <v>0</v>
      </c>
      <c r="AG934" s="390">
        <f>'4.  2011-2014 LRAM'!AG530*AG930</f>
        <v>0</v>
      </c>
      <c r="AH934" s="390">
        <f>'4.  2011-2014 LRAM'!AH530*AH930</f>
        <v>0</v>
      </c>
      <c r="AI934" s="390">
        <f>'4.  2011-2014 LRAM'!AI530*AI930</f>
        <v>0</v>
      </c>
      <c r="AJ934" s="390">
        <f>'4.  2011-2014 LRAM'!AJ530*AJ930</f>
        <v>0</v>
      </c>
      <c r="AK934" s="390">
        <f>'4.  2011-2014 LRAM'!AK530*AK930</f>
        <v>0</v>
      </c>
      <c r="AL934" s="390">
        <f>'4.  2011-2014 LRAM'!AL530*AL930</f>
        <v>0</v>
      </c>
      <c r="AM934" s="635">
        <f t="shared" si="1990"/>
        <v>0</v>
      </c>
    </row>
    <row r="935" spans="2:39" ht="15">
      <c r="B935" s="336" t="s">
        <v>335</v>
      </c>
      <c r="C935" s="357"/>
      <c r="D935" s="322"/>
      <c r="E935" s="292"/>
      <c r="F935" s="292"/>
      <c r="G935" s="292"/>
      <c r="H935" s="292"/>
      <c r="I935" s="292"/>
      <c r="J935" s="292"/>
      <c r="K935" s="292"/>
      <c r="L935" s="292"/>
      <c r="M935" s="292"/>
      <c r="N935" s="292"/>
      <c r="O935" s="304"/>
      <c r="P935" s="292"/>
      <c r="Q935" s="292"/>
      <c r="R935" s="292"/>
      <c r="S935" s="322"/>
      <c r="T935" s="322"/>
      <c r="U935" s="322"/>
      <c r="V935" s="322"/>
      <c r="W935" s="292"/>
      <c r="X935" s="292"/>
      <c r="Y935" s="390">
        <f t="shared" ref="Y935:AL935" si="1991">Y211*Y930</f>
        <v>1330.3686</v>
      </c>
      <c r="Z935" s="390">
        <f t="shared" si="1991"/>
        <v>16034.048986077372</v>
      </c>
      <c r="AA935" s="390">
        <f t="shared" si="1991"/>
        <v>8438.4630995921016</v>
      </c>
      <c r="AB935" s="390">
        <f t="shared" si="1991"/>
        <v>7820.874368544045</v>
      </c>
      <c r="AC935" s="390">
        <f t="shared" si="1991"/>
        <v>0</v>
      </c>
      <c r="AD935" s="390">
        <f t="shared" si="1991"/>
        <v>0</v>
      </c>
      <c r="AE935" s="390">
        <f t="shared" si="1991"/>
        <v>595.37210016960046</v>
      </c>
      <c r="AF935" s="390">
        <f t="shared" si="1991"/>
        <v>0</v>
      </c>
      <c r="AG935" s="390">
        <f t="shared" si="1991"/>
        <v>0</v>
      </c>
      <c r="AH935" s="390">
        <f t="shared" si="1991"/>
        <v>0</v>
      </c>
      <c r="AI935" s="390">
        <f t="shared" si="1991"/>
        <v>0</v>
      </c>
      <c r="AJ935" s="390">
        <f t="shared" si="1991"/>
        <v>0</v>
      </c>
      <c r="AK935" s="390">
        <f t="shared" si="1991"/>
        <v>0</v>
      </c>
      <c r="AL935" s="390">
        <f t="shared" si="1991"/>
        <v>0</v>
      </c>
      <c r="AM935" s="635">
        <f t="shared" si="1990"/>
        <v>34219.127154383117</v>
      </c>
    </row>
    <row r="936" spans="2:39" ht="15">
      <c r="B936" s="336" t="s">
        <v>336</v>
      </c>
      <c r="C936" s="357"/>
      <c r="D936" s="322"/>
      <c r="E936" s="292"/>
      <c r="F936" s="292"/>
      <c r="G936" s="292"/>
      <c r="H936" s="292"/>
      <c r="I936" s="292"/>
      <c r="J936" s="292"/>
      <c r="K936" s="292"/>
      <c r="L936" s="292"/>
      <c r="M936" s="292"/>
      <c r="N936" s="292"/>
      <c r="O936" s="304"/>
      <c r="P936" s="292"/>
      <c r="Q936" s="292"/>
      <c r="R936" s="292"/>
      <c r="S936" s="322"/>
      <c r="T936" s="322"/>
      <c r="U936" s="322"/>
      <c r="V936" s="322"/>
      <c r="W936" s="292"/>
      <c r="X936" s="292"/>
      <c r="Y936" s="390">
        <f t="shared" ref="Y936:AL936" si="1992">Y394*Y930</f>
        <v>2855.5120000000002</v>
      </c>
      <c r="Z936" s="390">
        <f t="shared" si="1992"/>
        <v>3165.3047705804925</v>
      </c>
      <c r="AA936" s="390">
        <f t="shared" si="1992"/>
        <v>212.08157197712367</v>
      </c>
      <c r="AB936" s="390">
        <f t="shared" si="1992"/>
        <v>958.17470524106329</v>
      </c>
      <c r="AC936" s="390">
        <f t="shared" si="1992"/>
        <v>0</v>
      </c>
      <c r="AD936" s="390">
        <f t="shared" si="1992"/>
        <v>0</v>
      </c>
      <c r="AE936" s="390">
        <f t="shared" si="1992"/>
        <v>5603.1947360064005</v>
      </c>
      <c r="AF936" s="390">
        <f t="shared" si="1992"/>
        <v>0</v>
      </c>
      <c r="AG936" s="390">
        <f t="shared" si="1992"/>
        <v>0</v>
      </c>
      <c r="AH936" s="390">
        <f t="shared" si="1992"/>
        <v>0</v>
      </c>
      <c r="AI936" s="390">
        <f t="shared" si="1992"/>
        <v>0</v>
      </c>
      <c r="AJ936" s="390">
        <f t="shared" si="1992"/>
        <v>0</v>
      </c>
      <c r="AK936" s="390">
        <f t="shared" si="1992"/>
        <v>0</v>
      </c>
      <c r="AL936" s="390">
        <f t="shared" si="1992"/>
        <v>0</v>
      </c>
      <c r="AM936" s="635">
        <f t="shared" si="1990"/>
        <v>12794.26778380508</v>
      </c>
    </row>
    <row r="937" spans="2:39" ht="15">
      <c r="B937" s="336" t="s">
        <v>337</v>
      </c>
      <c r="C937" s="357"/>
      <c r="D937" s="322"/>
      <c r="E937" s="292"/>
      <c r="F937" s="292"/>
      <c r="G937" s="292"/>
      <c r="H937" s="292"/>
      <c r="I937" s="292"/>
      <c r="J937" s="292"/>
      <c r="K937" s="292"/>
      <c r="L937" s="292"/>
      <c r="M937" s="292"/>
      <c r="N937" s="292"/>
      <c r="O937" s="304"/>
      <c r="P937" s="292"/>
      <c r="Q937" s="292"/>
      <c r="R937" s="292"/>
      <c r="S937" s="322"/>
      <c r="T937" s="322"/>
      <c r="U937" s="322"/>
      <c r="V937" s="322"/>
      <c r="W937" s="292"/>
      <c r="X937" s="292"/>
      <c r="Y937" s="390">
        <f t="shared" ref="Y937:AL937" si="1993">Y577*Y930</f>
        <v>5262.3618759384317</v>
      </c>
      <c r="Z937" s="390">
        <f t="shared" si="1993"/>
        <v>12711.379762998913</v>
      </c>
      <c r="AA937" s="390">
        <f t="shared" si="1993"/>
        <v>11011.083751601342</v>
      </c>
      <c r="AB937" s="390">
        <f t="shared" si="1993"/>
        <v>7151.0626933634521</v>
      </c>
      <c r="AC937" s="390">
        <f t="shared" si="1993"/>
        <v>0</v>
      </c>
      <c r="AD937" s="390">
        <f t="shared" si="1993"/>
        <v>0</v>
      </c>
      <c r="AE937" s="390">
        <f t="shared" si="1993"/>
        <v>357.88366261440046</v>
      </c>
      <c r="AF937" s="390">
        <f t="shared" si="1993"/>
        <v>0</v>
      </c>
      <c r="AG937" s="390">
        <f t="shared" si="1993"/>
        <v>0</v>
      </c>
      <c r="AH937" s="390">
        <f t="shared" si="1993"/>
        <v>0</v>
      </c>
      <c r="AI937" s="390">
        <f t="shared" si="1993"/>
        <v>0</v>
      </c>
      <c r="AJ937" s="390">
        <f t="shared" si="1993"/>
        <v>0</v>
      </c>
      <c r="AK937" s="390">
        <f t="shared" si="1993"/>
        <v>0</v>
      </c>
      <c r="AL937" s="390">
        <f t="shared" si="1993"/>
        <v>0</v>
      </c>
      <c r="AM937" s="635">
        <f t="shared" si="1990"/>
        <v>36493.771746516548</v>
      </c>
    </row>
    <row r="938" spans="2:39" ht="15">
      <c r="B938" s="336" t="s">
        <v>338</v>
      </c>
      <c r="C938" s="357"/>
      <c r="D938" s="322"/>
      <c r="E938" s="292"/>
      <c r="F938" s="292"/>
      <c r="G938" s="292"/>
      <c r="H938" s="292"/>
      <c r="I938" s="292"/>
      <c r="J938" s="292"/>
      <c r="K938" s="292"/>
      <c r="L938" s="292"/>
      <c r="M938" s="292"/>
      <c r="N938" s="292"/>
      <c r="O938" s="304"/>
      <c r="P938" s="292"/>
      <c r="Q938" s="292"/>
      <c r="R938" s="292"/>
      <c r="S938" s="322"/>
      <c r="T938" s="322"/>
      <c r="U938" s="322"/>
      <c r="V938" s="322"/>
      <c r="W938" s="292"/>
      <c r="X938" s="292"/>
      <c r="Y938" s="390">
        <f t="shared" ref="Y938:AL938" si="1994">Y760*Y930</f>
        <v>1626.5532471868457</v>
      </c>
      <c r="Z938" s="390">
        <f t="shared" si="1994"/>
        <v>3287.7862980874738</v>
      </c>
      <c r="AA938" s="390">
        <f t="shared" si="1994"/>
        <v>4727.9189381638307</v>
      </c>
      <c r="AB938" s="390">
        <f t="shared" si="1994"/>
        <v>3595.3700832953418</v>
      </c>
      <c r="AC938" s="390">
        <f t="shared" si="1994"/>
        <v>0</v>
      </c>
      <c r="AD938" s="390">
        <f t="shared" si="1994"/>
        <v>0</v>
      </c>
      <c r="AE938" s="390">
        <f t="shared" si="1994"/>
        <v>0</v>
      </c>
      <c r="AF938" s="390">
        <f t="shared" si="1994"/>
        <v>0</v>
      </c>
      <c r="AG938" s="390">
        <f t="shared" si="1994"/>
        <v>0</v>
      </c>
      <c r="AH938" s="390">
        <f t="shared" si="1994"/>
        <v>0</v>
      </c>
      <c r="AI938" s="390">
        <f t="shared" si="1994"/>
        <v>0</v>
      </c>
      <c r="AJ938" s="390">
        <f t="shared" si="1994"/>
        <v>0</v>
      </c>
      <c r="AK938" s="390">
        <f t="shared" si="1994"/>
        <v>0</v>
      </c>
      <c r="AL938" s="390">
        <f t="shared" si="1994"/>
        <v>0</v>
      </c>
      <c r="AM938" s="635">
        <f t="shared" si="1990"/>
        <v>13237.628566733492</v>
      </c>
    </row>
    <row r="939" spans="2:39" ht="15">
      <c r="B939" s="336" t="s">
        <v>339</v>
      </c>
      <c r="C939" s="357"/>
      <c r="D939" s="322"/>
      <c r="E939" s="292"/>
      <c r="F939" s="292"/>
      <c r="G939" s="292"/>
      <c r="H939" s="292"/>
      <c r="I939" s="292"/>
      <c r="J939" s="292"/>
      <c r="K939" s="292"/>
      <c r="L939" s="292"/>
      <c r="M939" s="292"/>
      <c r="N939" s="292"/>
      <c r="O939" s="304"/>
      <c r="P939" s="292"/>
      <c r="Q939" s="292"/>
      <c r="R939" s="292"/>
      <c r="S939" s="322"/>
      <c r="T939" s="322"/>
      <c r="U939" s="322"/>
      <c r="V939" s="322"/>
      <c r="W939" s="292"/>
      <c r="X939" s="292"/>
      <c r="Y939" s="390">
        <f>Y927*Y930</f>
        <v>0</v>
      </c>
      <c r="Z939" s="390">
        <f t="shared" ref="Z939:AL939" si="1995">Z927*Z930</f>
        <v>559.91866873523259</v>
      </c>
      <c r="AA939" s="390">
        <f t="shared" si="1995"/>
        <v>762.05668417959635</v>
      </c>
      <c r="AB939" s="390">
        <f t="shared" si="1995"/>
        <v>539.11766301990144</v>
      </c>
      <c r="AC939" s="390">
        <f t="shared" si="1995"/>
        <v>0</v>
      </c>
      <c r="AD939" s="390">
        <f t="shared" si="1995"/>
        <v>0</v>
      </c>
      <c r="AE939" s="390">
        <f t="shared" si="1995"/>
        <v>0</v>
      </c>
      <c r="AF939" s="390">
        <f t="shared" si="1995"/>
        <v>0</v>
      </c>
      <c r="AG939" s="390">
        <f t="shared" si="1995"/>
        <v>0</v>
      </c>
      <c r="AH939" s="390">
        <f t="shared" si="1995"/>
        <v>0</v>
      </c>
      <c r="AI939" s="390">
        <f t="shared" si="1995"/>
        <v>0</v>
      </c>
      <c r="AJ939" s="390">
        <f t="shared" si="1995"/>
        <v>0</v>
      </c>
      <c r="AK939" s="390">
        <f t="shared" si="1995"/>
        <v>0</v>
      </c>
      <c r="AL939" s="390">
        <f t="shared" si="1995"/>
        <v>0</v>
      </c>
      <c r="AM939" s="635">
        <f t="shared" si="1990"/>
        <v>1861.0930159347304</v>
      </c>
    </row>
    <row r="940" spans="2:39" ht="15.6">
      <c r="B940" s="361" t="s">
        <v>343</v>
      </c>
      <c r="C940" s="357"/>
      <c r="D940" s="348"/>
      <c r="E940" s="346"/>
      <c r="F940" s="346"/>
      <c r="G940" s="346"/>
      <c r="H940" s="346"/>
      <c r="I940" s="346"/>
      <c r="J940" s="346"/>
      <c r="K940" s="346"/>
      <c r="L940" s="346"/>
      <c r="M940" s="346"/>
      <c r="N940" s="346"/>
      <c r="O940" s="313"/>
      <c r="P940" s="346"/>
      <c r="Q940" s="346"/>
      <c r="R940" s="346"/>
      <c r="S940" s="348"/>
      <c r="T940" s="348"/>
      <c r="U940" s="348"/>
      <c r="V940" s="348"/>
      <c r="W940" s="346"/>
      <c r="X940" s="346"/>
      <c r="Y940" s="358">
        <f>SUM(Y931:Y939)</f>
        <v>11074.795723125279</v>
      </c>
      <c r="Z940" s="358">
        <f t="shared" ref="Z940:AE940" si="1996">SUM(Z931:Z939)</f>
        <v>35758.438486479485</v>
      </c>
      <c r="AA940" s="358">
        <f t="shared" si="1996"/>
        <v>25151.604045513992</v>
      </c>
      <c r="AB940" s="358">
        <f t="shared" si="1996"/>
        <v>20064.599513463803</v>
      </c>
      <c r="AC940" s="358">
        <f t="shared" si="1996"/>
        <v>0</v>
      </c>
      <c r="AD940" s="358">
        <f t="shared" si="1996"/>
        <v>0</v>
      </c>
      <c r="AE940" s="358">
        <f t="shared" si="1996"/>
        <v>6556.4504987904011</v>
      </c>
      <c r="AF940" s="358">
        <f>SUM(AF931:AF939)</f>
        <v>0</v>
      </c>
      <c r="AG940" s="358">
        <f t="shared" ref="AG940:AL940" si="1997">SUM(AG931:AG939)</f>
        <v>0</v>
      </c>
      <c r="AH940" s="358">
        <f t="shared" si="1997"/>
        <v>0</v>
      </c>
      <c r="AI940" s="358">
        <f t="shared" si="1997"/>
        <v>0</v>
      </c>
      <c r="AJ940" s="358">
        <f t="shared" si="1997"/>
        <v>0</v>
      </c>
      <c r="AK940" s="358">
        <f t="shared" si="1997"/>
        <v>0</v>
      </c>
      <c r="AL940" s="358">
        <f t="shared" si="1997"/>
        <v>0</v>
      </c>
      <c r="AM940" s="419">
        <f>SUM(AM931:AM939)</f>
        <v>98605.888267372968</v>
      </c>
    </row>
    <row r="941" spans="2:39" ht="15.6">
      <c r="B941" s="361" t="s">
        <v>344</v>
      </c>
      <c r="C941" s="357"/>
      <c r="D941" s="362"/>
      <c r="E941" s="346"/>
      <c r="F941" s="346"/>
      <c r="G941" s="346"/>
      <c r="H941" s="346"/>
      <c r="I941" s="346"/>
      <c r="J941" s="346"/>
      <c r="K941" s="346"/>
      <c r="L941" s="346"/>
      <c r="M941" s="346"/>
      <c r="N941" s="346"/>
      <c r="O941" s="313"/>
      <c r="P941" s="346"/>
      <c r="Q941" s="346"/>
      <c r="R941" s="346"/>
      <c r="S941" s="348"/>
      <c r="T941" s="348"/>
      <c r="U941" s="348"/>
      <c r="V941" s="348"/>
      <c r="W941" s="346"/>
      <c r="X941" s="346"/>
      <c r="Y941" s="359">
        <f>Y928*Y930</f>
        <v>760.27710000000002</v>
      </c>
      <c r="Z941" s="359">
        <f t="shared" ref="Z941:AE941" si="1998">Z928*Z930</f>
        <v>771.35670000000005</v>
      </c>
      <c r="AA941" s="359">
        <f t="shared" si="1998"/>
        <v>12749.6752</v>
      </c>
      <c r="AB941" s="359">
        <f t="shared" si="1998"/>
        <v>10070.4396</v>
      </c>
      <c r="AC941" s="359">
        <f t="shared" si="1998"/>
        <v>0</v>
      </c>
      <c r="AD941" s="359">
        <f t="shared" si="1998"/>
        <v>0</v>
      </c>
      <c r="AE941" s="359">
        <f t="shared" si="1998"/>
        <v>5921.5806000000002</v>
      </c>
      <c r="AF941" s="359">
        <f>AF928*AF930</f>
        <v>0</v>
      </c>
      <c r="AG941" s="359">
        <f t="shared" ref="AG941:AL941" si="1999">AG928*AG930</f>
        <v>0</v>
      </c>
      <c r="AH941" s="359">
        <f t="shared" si="1999"/>
        <v>0</v>
      </c>
      <c r="AI941" s="359">
        <f t="shared" si="1999"/>
        <v>0</v>
      </c>
      <c r="AJ941" s="359">
        <f t="shared" si="1999"/>
        <v>0</v>
      </c>
      <c r="AK941" s="359">
        <f t="shared" si="1999"/>
        <v>0</v>
      </c>
      <c r="AL941" s="359">
        <f t="shared" si="1999"/>
        <v>0</v>
      </c>
      <c r="AM941" s="419">
        <f>SUM(Y941:AL941)</f>
        <v>30273.3292</v>
      </c>
    </row>
    <row r="942" spans="2:39" ht="15.6">
      <c r="B942" s="361" t="s">
        <v>345</v>
      </c>
      <c r="C942" s="357"/>
      <c r="D942" s="362"/>
      <c r="E942" s="346"/>
      <c r="F942" s="346"/>
      <c r="G942" s="346"/>
      <c r="H942" s="346"/>
      <c r="I942" s="346"/>
      <c r="J942" s="346"/>
      <c r="K942" s="346"/>
      <c r="L942" s="346"/>
      <c r="M942" s="346"/>
      <c r="N942" s="346"/>
      <c r="O942" s="313"/>
      <c r="P942" s="346"/>
      <c r="Q942" s="346"/>
      <c r="R942" s="346"/>
      <c r="S942" s="362"/>
      <c r="T942" s="362"/>
      <c r="U942" s="362"/>
      <c r="V942" s="362"/>
      <c r="W942" s="346"/>
      <c r="X942" s="346"/>
      <c r="Y942" s="363"/>
      <c r="Z942" s="363"/>
      <c r="AA942" s="363"/>
      <c r="AB942" s="363"/>
      <c r="AC942" s="363"/>
      <c r="AD942" s="363"/>
      <c r="AE942" s="363"/>
      <c r="AF942" s="363"/>
      <c r="AG942" s="363"/>
      <c r="AH942" s="363"/>
      <c r="AI942" s="363"/>
      <c r="AJ942" s="363"/>
      <c r="AK942" s="363"/>
      <c r="AL942" s="363"/>
      <c r="AM942" s="419">
        <f>AM940-AM941</f>
        <v>68332.55906737296</v>
      </c>
    </row>
    <row r="943" spans="2:39" ht="15">
      <c r="B943" s="336"/>
      <c r="C943" s="362"/>
      <c r="D943" s="362"/>
      <c r="E943" s="346"/>
      <c r="F943" s="346"/>
      <c r="G943" s="346"/>
      <c r="H943" s="346"/>
      <c r="I943" s="346"/>
      <c r="J943" s="346"/>
      <c r="K943" s="346"/>
      <c r="L943" s="346"/>
      <c r="M943" s="346"/>
      <c r="N943" s="346"/>
      <c r="O943" s="313"/>
      <c r="P943" s="346"/>
      <c r="Q943" s="346"/>
      <c r="R943" s="346"/>
      <c r="S943" s="362"/>
      <c r="T943" s="357"/>
      <c r="U943" s="362"/>
      <c r="V943" s="362"/>
      <c r="W943" s="346"/>
      <c r="X943" s="346"/>
      <c r="Y943" s="364"/>
      <c r="Z943" s="364"/>
      <c r="AA943" s="364"/>
      <c r="AB943" s="364"/>
      <c r="AC943" s="364"/>
      <c r="AD943" s="364"/>
      <c r="AE943" s="364"/>
      <c r="AF943" s="364"/>
      <c r="AG943" s="364"/>
      <c r="AH943" s="364"/>
      <c r="AI943" s="364"/>
      <c r="AJ943" s="364"/>
      <c r="AK943" s="364"/>
      <c r="AL943" s="364"/>
      <c r="AM943" s="349"/>
    </row>
    <row r="944" spans="2:39" ht="15">
      <c r="B944" s="450" t="s">
        <v>340</v>
      </c>
      <c r="C944" s="376"/>
      <c r="D944" s="396"/>
      <c r="E944" s="396"/>
      <c r="F944" s="396"/>
      <c r="G944" s="396"/>
      <c r="H944" s="396"/>
      <c r="I944" s="396"/>
      <c r="J944" s="396"/>
      <c r="K944" s="396"/>
      <c r="L944" s="396"/>
      <c r="M944" s="396"/>
      <c r="N944" s="396"/>
      <c r="O944" s="395"/>
      <c r="P944" s="396"/>
      <c r="Q944" s="396"/>
      <c r="R944" s="396"/>
      <c r="S944" s="376"/>
      <c r="T944" s="397"/>
      <c r="U944" s="397"/>
      <c r="V944" s="396"/>
      <c r="W944" s="396"/>
      <c r="X944" s="397"/>
      <c r="Y944" s="338">
        <f>SUMPRODUCT(E770:E925,Y770:Y925)</f>
        <v>0</v>
      </c>
      <c r="Z944" s="338">
        <f>SUMPRODUCT(E770:E925,Z770:Z925)</f>
        <v>54080.882598376971</v>
      </c>
      <c r="AA944" s="338">
        <f t="shared" ref="AA944:AL944" si="2000">IF(AA768="kw",SUMPRODUCT($N$770:$N$925,$P$770:$P$925,AA770:AA925),SUMPRODUCT($E$770:$E$925,AA770:AA925))</f>
        <v>193.75772171182967</v>
      </c>
      <c r="AB944" s="338">
        <f t="shared" si="2000"/>
        <v>152.38012532307962</v>
      </c>
      <c r="AC944" s="338">
        <f t="shared" si="2000"/>
        <v>0</v>
      </c>
      <c r="AD944" s="338">
        <f t="shared" si="2000"/>
        <v>0</v>
      </c>
      <c r="AE944" s="338">
        <f t="shared" si="2000"/>
        <v>0</v>
      </c>
      <c r="AF944" s="338">
        <f t="shared" si="2000"/>
        <v>0</v>
      </c>
      <c r="AG944" s="338">
        <f t="shared" si="2000"/>
        <v>0</v>
      </c>
      <c r="AH944" s="338">
        <f t="shared" si="2000"/>
        <v>0</v>
      </c>
      <c r="AI944" s="338">
        <f t="shared" si="2000"/>
        <v>0</v>
      </c>
      <c r="AJ944" s="338">
        <f t="shared" si="2000"/>
        <v>0</v>
      </c>
      <c r="AK944" s="338">
        <f t="shared" si="2000"/>
        <v>0</v>
      </c>
      <c r="AL944" s="338">
        <f t="shared" si="2000"/>
        <v>0</v>
      </c>
      <c r="AM944" s="398"/>
    </row>
    <row r="945" spans="1:39" ht="18.75" customHeight="1">
      <c r="B945" s="380" t="s">
        <v>586</v>
      </c>
      <c r="C945" s="399"/>
      <c r="D945" s="400"/>
      <c r="E945" s="400"/>
      <c r="F945" s="400"/>
      <c r="G945" s="400"/>
      <c r="H945" s="400"/>
      <c r="I945" s="400"/>
      <c r="J945" s="400"/>
      <c r="K945" s="400"/>
      <c r="L945" s="400"/>
      <c r="M945" s="400"/>
      <c r="N945" s="400"/>
      <c r="O945" s="400"/>
      <c r="P945" s="400"/>
      <c r="Q945" s="400"/>
      <c r="R945" s="400"/>
      <c r="S945" s="383"/>
      <c r="T945" s="384"/>
      <c r="U945" s="400"/>
      <c r="V945" s="400"/>
      <c r="W945" s="400"/>
      <c r="X945" s="400"/>
      <c r="Y945" s="421"/>
      <c r="Z945" s="421"/>
      <c r="AA945" s="421"/>
      <c r="AB945" s="421"/>
      <c r="AC945" s="421"/>
      <c r="AD945" s="421"/>
      <c r="AE945" s="421"/>
      <c r="AF945" s="421"/>
      <c r="AG945" s="421"/>
      <c r="AH945" s="421"/>
      <c r="AI945" s="421"/>
      <c r="AJ945" s="421"/>
      <c r="AK945" s="421"/>
      <c r="AL945" s="421"/>
      <c r="AM945" s="401"/>
    </row>
    <row r="946" spans="1:39" collapsed="1"/>
    <row r="948" spans="1:39" ht="15.6">
      <c r="B948" s="293" t="s">
        <v>341</v>
      </c>
      <c r="C948" s="294"/>
      <c r="D948" s="596" t="s">
        <v>525</v>
      </c>
      <c r="E948" s="266"/>
      <c r="F948" s="596"/>
      <c r="G948" s="266"/>
      <c r="H948" s="266"/>
      <c r="I948" s="266"/>
      <c r="J948" s="266"/>
      <c r="K948" s="266"/>
      <c r="L948" s="266"/>
      <c r="M948" s="266"/>
      <c r="N948" s="266"/>
      <c r="O948" s="294"/>
      <c r="P948" s="266"/>
      <c r="Q948" s="266"/>
      <c r="R948" s="266"/>
      <c r="S948" s="266"/>
      <c r="T948" s="266"/>
      <c r="U948" s="266"/>
      <c r="V948" s="266"/>
      <c r="W948" s="266"/>
      <c r="X948" s="266"/>
      <c r="Y948" s="283"/>
      <c r="Z948" s="280"/>
      <c r="AA948" s="280"/>
      <c r="AB948" s="280"/>
      <c r="AC948" s="280"/>
      <c r="AD948" s="280"/>
      <c r="AE948" s="280"/>
      <c r="AF948" s="280"/>
      <c r="AG948" s="280"/>
      <c r="AH948" s="280"/>
      <c r="AI948" s="280"/>
      <c r="AJ948" s="280"/>
      <c r="AK948" s="280"/>
      <c r="AL948" s="280"/>
    </row>
    <row r="949" spans="1:39" ht="39.75" customHeight="1">
      <c r="B949" s="901" t="s">
        <v>211</v>
      </c>
      <c r="C949" s="903" t="s">
        <v>33</v>
      </c>
      <c r="D949" s="297" t="s">
        <v>421</v>
      </c>
      <c r="E949" s="905" t="s">
        <v>209</v>
      </c>
      <c r="F949" s="906"/>
      <c r="G949" s="906"/>
      <c r="H949" s="906"/>
      <c r="I949" s="906"/>
      <c r="J949" s="906"/>
      <c r="K949" s="906"/>
      <c r="L949" s="906"/>
      <c r="M949" s="907"/>
      <c r="N949" s="911" t="s">
        <v>213</v>
      </c>
      <c r="O949" s="297" t="s">
        <v>422</v>
      </c>
      <c r="P949" s="905" t="s">
        <v>212</v>
      </c>
      <c r="Q949" s="906"/>
      <c r="R949" s="906"/>
      <c r="S949" s="906"/>
      <c r="T949" s="906"/>
      <c r="U949" s="906"/>
      <c r="V949" s="906"/>
      <c r="W949" s="906"/>
      <c r="X949" s="907"/>
      <c r="Y949" s="908" t="s">
        <v>243</v>
      </c>
      <c r="Z949" s="909"/>
      <c r="AA949" s="909"/>
      <c r="AB949" s="909"/>
      <c r="AC949" s="909"/>
      <c r="AD949" s="909"/>
      <c r="AE949" s="909"/>
      <c r="AF949" s="909"/>
      <c r="AG949" s="909"/>
      <c r="AH949" s="909"/>
      <c r="AI949" s="909"/>
      <c r="AJ949" s="909"/>
      <c r="AK949" s="909"/>
      <c r="AL949" s="909"/>
      <c r="AM949" s="910"/>
    </row>
    <row r="950" spans="1:39" ht="65.25" customHeight="1">
      <c r="B950" s="902"/>
      <c r="C950" s="904"/>
      <c r="D950" s="298">
        <v>2020</v>
      </c>
      <c r="E950" s="298">
        <v>2021</v>
      </c>
      <c r="F950" s="298">
        <v>2022</v>
      </c>
      <c r="G950" s="298">
        <v>2023</v>
      </c>
      <c r="H950" s="298">
        <v>2024</v>
      </c>
      <c r="I950" s="298">
        <v>2025</v>
      </c>
      <c r="J950" s="298">
        <v>2026</v>
      </c>
      <c r="K950" s="298">
        <v>2027</v>
      </c>
      <c r="L950" s="298">
        <v>2028</v>
      </c>
      <c r="M950" s="298">
        <v>2029</v>
      </c>
      <c r="N950" s="912"/>
      <c r="O950" s="298">
        <v>2020</v>
      </c>
      <c r="P950" s="298">
        <v>2021</v>
      </c>
      <c r="Q950" s="298">
        <v>2022</v>
      </c>
      <c r="R950" s="298">
        <v>2023</v>
      </c>
      <c r="S950" s="298">
        <v>2024</v>
      </c>
      <c r="T950" s="298">
        <v>2025</v>
      </c>
      <c r="U950" s="298">
        <v>2026</v>
      </c>
      <c r="V950" s="298">
        <v>2027</v>
      </c>
      <c r="W950" s="298">
        <v>2028</v>
      </c>
      <c r="X950" s="298">
        <v>2029</v>
      </c>
      <c r="Y950" s="298" t="str">
        <f>'1.  LRAMVA Summary'!D52</f>
        <v>Residential</v>
      </c>
      <c r="Z950" s="298" t="str">
        <f>'1.  LRAMVA Summary'!E52</f>
        <v>GS&lt;50 kW</v>
      </c>
      <c r="AA950" s="298" t="str">
        <f>'1.  LRAMVA Summary'!F52</f>
        <v>GS 50 - 999 kW</v>
      </c>
      <c r="AB950" s="298" t="str">
        <f>'1.  LRAMVA Summary'!G52</f>
        <v>GS 1,000 - 4,999 kW</v>
      </c>
      <c r="AC950" s="298" t="str">
        <f>'1.  LRAMVA Summary'!H52</f>
        <v>USL</v>
      </c>
      <c r="AD950" s="298" t="str">
        <f>'1.  LRAMVA Summary'!I52</f>
        <v>Sentinel Lighting</v>
      </c>
      <c r="AE950" s="298" t="str">
        <f>'1.  LRAMVA Summary'!J52</f>
        <v>Street Lighting</v>
      </c>
      <c r="AF950" s="298" t="str">
        <f>'1.  LRAMVA Summary'!K52</f>
        <v/>
      </c>
      <c r="AG950" s="298" t="str">
        <f>'1.  LRAMVA Summary'!L52</f>
        <v/>
      </c>
      <c r="AH950" s="298" t="str">
        <f>'1.  LRAMVA Summary'!M52</f>
        <v/>
      </c>
      <c r="AI950" s="298" t="str">
        <f>'1.  LRAMVA Summary'!N52</f>
        <v/>
      </c>
      <c r="AJ950" s="298" t="str">
        <f>'1.  LRAMVA Summary'!O52</f>
        <v/>
      </c>
      <c r="AK950" s="298" t="str">
        <f>'1.  LRAMVA Summary'!P52</f>
        <v/>
      </c>
      <c r="AL950" s="298" t="str">
        <f>'1.  LRAMVA Summary'!Q52</f>
        <v/>
      </c>
      <c r="AM950" s="300" t="str">
        <f>'1.  LRAMVA Summary'!R52</f>
        <v>Total</v>
      </c>
    </row>
    <row r="951" spans="1:39" ht="15" customHeight="1">
      <c r="A951" s="539"/>
      <c r="B951" s="525" t="s">
        <v>503</v>
      </c>
      <c r="C951" s="302"/>
      <c r="D951" s="302"/>
      <c r="E951" s="302"/>
      <c r="F951" s="302"/>
      <c r="G951" s="302"/>
      <c r="H951" s="302"/>
      <c r="I951" s="302"/>
      <c r="J951" s="302"/>
      <c r="K951" s="302"/>
      <c r="L951" s="302"/>
      <c r="M951" s="302"/>
      <c r="N951" s="303"/>
      <c r="O951" s="302"/>
      <c r="P951" s="302"/>
      <c r="Q951" s="302"/>
      <c r="R951" s="302"/>
      <c r="S951" s="302"/>
      <c r="T951" s="302"/>
      <c r="U951" s="302"/>
      <c r="V951" s="302"/>
      <c r="W951" s="302"/>
      <c r="X951" s="302"/>
      <c r="Y951" s="304" t="str">
        <f>'1.  LRAMVA Summary'!D53</f>
        <v>kWh</v>
      </c>
      <c r="Z951" s="304" t="str">
        <f>'1.  LRAMVA Summary'!E53</f>
        <v>kWh</v>
      </c>
      <c r="AA951" s="304" t="str">
        <f>'1.  LRAMVA Summary'!F53</f>
        <v>kW</v>
      </c>
      <c r="AB951" s="304" t="str">
        <f>'1.  LRAMVA Summary'!G53</f>
        <v>kW</v>
      </c>
      <c r="AC951" s="304" t="str">
        <f>'1.  LRAMVA Summary'!H53</f>
        <v>kWh</v>
      </c>
      <c r="AD951" s="304" t="str">
        <f>'1.  LRAMVA Summary'!I53</f>
        <v>kW</v>
      </c>
      <c r="AE951" s="304" t="str">
        <f>'1.  LRAMVA Summary'!J53</f>
        <v>kW</v>
      </c>
      <c r="AF951" s="304">
        <f>'1.  LRAMVA Summary'!K53</f>
        <v>0</v>
      </c>
      <c r="AG951" s="304">
        <f>'1.  LRAMVA Summary'!L53</f>
        <v>0</v>
      </c>
      <c r="AH951" s="304">
        <f>'1.  LRAMVA Summary'!M53</f>
        <v>0</v>
      </c>
      <c r="AI951" s="304">
        <f>'1.  LRAMVA Summary'!N53</f>
        <v>0</v>
      </c>
      <c r="AJ951" s="304">
        <f>'1.  LRAMVA Summary'!O53</f>
        <v>0</v>
      </c>
      <c r="AK951" s="304">
        <f>'1.  LRAMVA Summary'!P53</f>
        <v>0</v>
      </c>
      <c r="AL951" s="304">
        <f>'1.  LRAMVA Summary'!Q53</f>
        <v>0</v>
      </c>
      <c r="AM951" s="305"/>
    </row>
    <row r="952" spans="1:39" ht="15" hidden="1" customHeight="1" outlineLevel="1">
      <c r="A952" s="539"/>
      <c r="B952" s="511" t="s">
        <v>496</v>
      </c>
      <c r="C952" s="302"/>
      <c r="D952" s="302"/>
      <c r="E952" s="302"/>
      <c r="F952" s="302"/>
      <c r="G952" s="302"/>
      <c r="H952" s="302"/>
      <c r="I952" s="302"/>
      <c r="J952" s="302"/>
      <c r="K952" s="302"/>
      <c r="L952" s="302"/>
      <c r="M952" s="302"/>
      <c r="N952" s="303"/>
      <c r="O952" s="302"/>
      <c r="P952" s="302"/>
      <c r="Q952" s="302"/>
      <c r="R952" s="302"/>
      <c r="S952" s="302"/>
      <c r="T952" s="302"/>
      <c r="U952" s="302"/>
      <c r="V952" s="302"/>
      <c r="W952" s="302"/>
      <c r="X952" s="302"/>
      <c r="Y952" s="304"/>
      <c r="Z952" s="304"/>
      <c r="AA952" s="304"/>
      <c r="AB952" s="304"/>
      <c r="AC952" s="304"/>
      <c r="AD952" s="304"/>
      <c r="AE952" s="304"/>
      <c r="AF952" s="304"/>
      <c r="AG952" s="304"/>
      <c r="AH952" s="304"/>
      <c r="AI952" s="304"/>
      <c r="AJ952" s="304"/>
      <c r="AK952" s="304"/>
      <c r="AL952" s="304"/>
      <c r="AM952" s="305"/>
    </row>
    <row r="953" spans="1:39" ht="15" hidden="1" customHeight="1" outlineLevel="1">
      <c r="A953" s="539">
        <v>1</v>
      </c>
      <c r="B953" s="438" t="s">
        <v>95</v>
      </c>
      <c r="C953" s="304" t="s">
        <v>25</v>
      </c>
      <c r="D953" s="308"/>
      <c r="E953" s="308"/>
      <c r="F953" s="308"/>
      <c r="G953" s="308"/>
      <c r="H953" s="308"/>
      <c r="I953" s="308"/>
      <c r="J953" s="308"/>
      <c r="K953" s="308"/>
      <c r="L953" s="308"/>
      <c r="M953" s="308"/>
      <c r="N953" s="304"/>
      <c r="O953" s="308"/>
      <c r="P953" s="308"/>
      <c r="Q953" s="308"/>
      <c r="R953" s="308"/>
      <c r="S953" s="308"/>
      <c r="T953" s="308"/>
      <c r="U953" s="308"/>
      <c r="V953" s="308"/>
      <c r="W953" s="308"/>
      <c r="X953" s="308"/>
      <c r="Y953" s="427"/>
      <c r="Z953" s="427"/>
      <c r="AA953" s="427"/>
      <c r="AB953" s="427"/>
      <c r="AC953" s="427"/>
      <c r="AD953" s="427"/>
      <c r="AE953" s="427"/>
      <c r="AF953" s="422"/>
      <c r="AG953" s="422"/>
      <c r="AH953" s="422"/>
      <c r="AI953" s="422"/>
      <c r="AJ953" s="422"/>
      <c r="AK953" s="422"/>
      <c r="AL953" s="422"/>
      <c r="AM953" s="309">
        <f>SUM(Y953:AL953)</f>
        <v>0</v>
      </c>
    </row>
    <row r="954" spans="1:39" ht="15" hidden="1" customHeight="1" outlineLevel="1">
      <c r="A954" s="539"/>
      <c r="B954" s="307" t="s">
        <v>346</v>
      </c>
      <c r="C954" s="304" t="s">
        <v>163</v>
      </c>
      <c r="D954" s="308"/>
      <c r="E954" s="308"/>
      <c r="F954" s="308"/>
      <c r="G954" s="308"/>
      <c r="H954" s="308"/>
      <c r="I954" s="308"/>
      <c r="J954" s="308"/>
      <c r="K954" s="308"/>
      <c r="L954" s="308"/>
      <c r="M954" s="308"/>
      <c r="N954" s="477"/>
      <c r="O954" s="308"/>
      <c r="P954" s="308"/>
      <c r="Q954" s="308"/>
      <c r="R954" s="308"/>
      <c r="S954" s="308"/>
      <c r="T954" s="308"/>
      <c r="U954" s="308"/>
      <c r="V954" s="308"/>
      <c r="W954" s="308"/>
      <c r="X954" s="308"/>
      <c r="Y954" s="423">
        <f>Y953</f>
        <v>0</v>
      </c>
      <c r="Z954" s="423">
        <f t="shared" ref="Z954" si="2001">Z953</f>
        <v>0</v>
      </c>
      <c r="AA954" s="423">
        <f t="shared" ref="AA954" si="2002">AA953</f>
        <v>0</v>
      </c>
      <c r="AB954" s="423">
        <f t="shared" ref="AB954" si="2003">AB953</f>
        <v>0</v>
      </c>
      <c r="AC954" s="423">
        <f t="shared" ref="AC954" si="2004">AC953</f>
        <v>0</v>
      </c>
      <c r="AD954" s="423">
        <f t="shared" ref="AD954" si="2005">AD953</f>
        <v>0</v>
      </c>
      <c r="AE954" s="423">
        <f t="shared" ref="AE954" si="2006">AE953</f>
        <v>0</v>
      </c>
      <c r="AF954" s="423">
        <f t="shared" ref="AF954" si="2007">AF953</f>
        <v>0</v>
      </c>
      <c r="AG954" s="423">
        <f t="shared" ref="AG954" si="2008">AG953</f>
        <v>0</v>
      </c>
      <c r="AH954" s="423">
        <f t="shared" ref="AH954" si="2009">AH953</f>
        <v>0</v>
      </c>
      <c r="AI954" s="423">
        <f t="shared" ref="AI954" si="2010">AI953</f>
        <v>0</v>
      </c>
      <c r="AJ954" s="423">
        <f t="shared" ref="AJ954" si="2011">AJ953</f>
        <v>0</v>
      </c>
      <c r="AK954" s="423">
        <f t="shared" ref="AK954" si="2012">AK953</f>
        <v>0</v>
      </c>
      <c r="AL954" s="423">
        <f t="shared" ref="AL954" si="2013">AL953</f>
        <v>0</v>
      </c>
      <c r="AM954" s="310"/>
    </row>
    <row r="955" spans="1:39" ht="15" hidden="1" customHeight="1" outlineLevel="1">
      <c r="A955" s="539"/>
      <c r="B955" s="311"/>
      <c r="C955" s="312"/>
      <c r="D955" s="312"/>
      <c r="E955" s="312"/>
      <c r="F955" s="312"/>
      <c r="G955" s="312"/>
      <c r="H955" s="312"/>
      <c r="I955" s="312"/>
      <c r="J955" s="312"/>
      <c r="K955" s="312"/>
      <c r="L955" s="312"/>
      <c r="M955" s="312"/>
      <c r="N955" s="313"/>
      <c r="O955" s="312"/>
      <c r="P955" s="312"/>
      <c r="Q955" s="312"/>
      <c r="R955" s="312"/>
      <c r="S955" s="312"/>
      <c r="T955" s="312"/>
      <c r="U955" s="312"/>
      <c r="V955" s="312"/>
      <c r="W955" s="312"/>
      <c r="X955" s="312"/>
      <c r="Y955" s="424"/>
      <c r="Z955" s="425"/>
      <c r="AA955" s="425"/>
      <c r="AB955" s="425"/>
      <c r="AC955" s="425"/>
      <c r="AD955" s="425"/>
      <c r="AE955" s="425"/>
      <c r="AF955" s="425"/>
      <c r="AG955" s="425"/>
      <c r="AH955" s="425"/>
      <c r="AI955" s="425"/>
      <c r="AJ955" s="425"/>
      <c r="AK955" s="425"/>
      <c r="AL955" s="425"/>
      <c r="AM955" s="315"/>
    </row>
    <row r="956" spans="1:39" ht="15" hidden="1" customHeight="1" outlineLevel="1">
      <c r="A956" s="539">
        <v>2</v>
      </c>
      <c r="B956" s="438" t="s">
        <v>96</v>
      </c>
      <c r="C956" s="304" t="s">
        <v>25</v>
      </c>
      <c r="D956" s="308"/>
      <c r="E956" s="308"/>
      <c r="F956" s="308"/>
      <c r="G956" s="308"/>
      <c r="H956" s="308"/>
      <c r="I956" s="308"/>
      <c r="J956" s="308"/>
      <c r="K956" s="308"/>
      <c r="L956" s="308"/>
      <c r="M956" s="308"/>
      <c r="N956" s="304"/>
      <c r="O956" s="308"/>
      <c r="P956" s="308"/>
      <c r="Q956" s="308"/>
      <c r="R956" s="308"/>
      <c r="S956" s="308"/>
      <c r="T956" s="308"/>
      <c r="U956" s="308"/>
      <c r="V956" s="308"/>
      <c r="W956" s="308"/>
      <c r="X956" s="308"/>
      <c r="Y956" s="427"/>
      <c r="Z956" s="427"/>
      <c r="AA956" s="427"/>
      <c r="AB956" s="427"/>
      <c r="AC956" s="427"/>
      <c r="AD956" s="427"/>
      <c r="AE956" s="427"/>
      <c r="AF956" s="422"/>
      <c r="AG956" s="422"/>
      <c r="AH956" s="422"/>
      <c r="AI956" s="422"/>
      <c r="AJ956" s="422"/>
      <c r="AK956" s="422"/>
      <c r="AL956" s="422"/>
      <c r="AM956" s="309">
        <f>SUM(Y956:AL956)</f>
        <v>0</v>
      </c>
    </row>
    <row r="957" spans="1:39" ht="15" hidden="1" customHeight="1" outlineLevel="1">
      <c r="A957" s="539"/>
      <c r="B957" s="307" t="s">
        <v>346</v>
      </c>
      <c r="C957" s="304" t="s">
        <v>163</v>
      </c>
      <c r="D957" s="308"/>
      <c r="E957" s="308"/>
      <c r="F957" s="308"/>
      <c r="G957" s="308"/>
      <c r="H957" s="308"/>
      <c r="I957" s="308"/>
      <c r="J957" s="308"/>
      <c r="K957" s="308"/>
      <c r="L957" s="308"/>
      <c r="M957" s="308"/>
      <c r="N957" s="477"/>
      <c r="O957" s="308"/>
      <c r="P957" s="308"/>
      <c r="Q957" s="308"/>
      <c r="R957" s="308"/>
      <c r="S957" s="308"/>
      <c r="T957" s="308"/>
      <c r="U957" s="308"/>
      <c r="V957" s="308"/>
      <c r="W957" s="308"/>
      <c r="X957" s="308"/>
      <c r="Y957" s="423">
        <f>Y956</f>
        <v>0</v>
      </c>
      <c r="Z957" s="423">
        <f t="shared" ref="Z957" si="2014">Z956</f>
        <v>0</v>
      </c>
      <c r="AA957" s="423">
        <f t="shared" ref="AA957" si="2015">AA956</f>
        <v>0</v>
      </c>
      <c r="AB957" s="423">
        <f t="shared" ref="AB957" si="2016">AB956</f>
        <v>0</v>
      </c>
      <c r="AC957" s="423">
        <f t="shared" ref="AC957" si="2017">AC956</f>
        <v>0</v>
      </c>
      <c r="AD957" s="423">
        <f t="shared" ref="AD957" si="2018">AD956</f>
        <v>0</v>
      </c>
      <c r="AE957" s="423">
        <f t="shared" ref="AE957" si="2019">AE956</f>
        <v>0</v>
      </c>
      <c r="AF957" s="423">
        <f t="shared" ref="AF957" si="2020">AF956</f>
        <v>0</v>
      </c>
      <c r="AG957" s="423">
        <f t="shared" ref="AG957" si="2021">AG956</f>
        <v>0</v>
      </c>
      <c r="AH957" s="423">
        <f t="shared" ref="AH957" si="2022">AH956</f>
        <v>0</v>
      </c>
      <c r="AI957" s="423">
        <f t="shared" ref="AI957" si="2023">AI956</f>
        <v>0</v>
      </c>
      <c r="AJ957" s="423">
        <f t="shared" ref="AJ957" si="2024">AJ956</f>
        <v>0</v>
      </c>
      <c r="AK957" s="423">
        <f t="shared" ref="AK957" si="2025">AK956</f>
        <v>0</v>
      </c>
      <c r="AL957" s="423">
        <f t="shared" ref="AL957" si="2026">AL956</f>
        <v>0</v>
      </c>
      <c r="AM957" s="310"/>
    </row>
    <row r="958" spans="1:39" ht="15" hidden="1" customHeight="1" outlineLevel="1">
      <c r="A958" s="539"/>
      <c r="B958" s="311"/>
      <c r="C958" s="312"/>
      <c r="D958" s="317"/>
      <c r="E958" s="317"/>
      <c r="F958" s="317"/>
      <c r="G958" s="317"/>
      <c r="H958" s="317"/>
      <c r="I958" s="317"/>
      <c r="J958" s="317"/>
      <c r="K958" s="317"/>
      <c r="L958" s="317"/>
      <c r="M958" s="317"/>
      <c r="N958" s="313"/>
      <c r="O958" s="317"/>
      <c r="P958" s="317"/>
      <c r="Q958" s="317"/>
      <c r="R958" s="317"/>
      <c r="S958" s="317"/>
      <c r="T958" s="317"/>
      <c r="U958" s="317"/>
      <c r="V958" s="317"/>
      <c r="W958" s="317"/>
      <c r="X958" s="317"/>
      <c r="Y958" s="424"/>
      <c r="Z958" s="425"/>
      <c r="AA958" s="425"/>
      <c r="AB958" s="425"/>
      <c r="AC958" s="425"/>
      <c r="AD958" s="425"/>
      <c r="AE958" s="425"/>
      <c r="AF958" s="425"/>
      <c r="AG958" s="425"/>
      <c r="AH958" s="425"/>
      <c r="AI958" s="425"/>
      <c r="AJ958" s="425"/>
      <c r="AK958" s="425"/>
      <c r="AL958" s="425"/>
      <c r="AM958" s="315"/>
    </row>
    <row r="959" spans="1:39" ht="15" hidden="1" customHeight="1" outlineLevel="1">
      <c r="A959" s="539">
        <v>3</v>
      </c>
      <c r="B959" s="438" t="s">
        <v>97</v>
      </c>
      <c r="C959" s="304" t="s">
        <v>25</v>
      </c>
      <c r="D959" s="308"/>
      <c r="E959" s="308"/>
      <c r="F959" s="308"/>
      <c r="G959" s="308"/>
      <c r="H959" s="308"/>
      <c r="I959" s="308"/>
      <c r="J959" s="308"/>
      <c r="K959" s="308"/>
      <c r="L959" s="308"/>
      <c r="M959" s="308"/>
      <c r="N959" s="304"/>
      <c r="O959" s="308"/>
      <c r="P959" s="308"/>
      <c r="Q959" s="308"/>
      <c r="R959" s="308"/>
      <c r="S959" s="308"/>
      <c r="T959" s="308"/>
      <c r="U959" s="308"/>
      <c r="V959" s="308"/>
      <c r="W959" s="308"/>
      <c r="X959" s="308"/>
      <c r="Y959" s="427"/>
      <c r="Z959" s="427"/>
      <c r="AA959" s="427"/>
      <c r="AB959" s="427"/>
      <c r="AC959" s="427"/>
      <c r="AD959" s="427"/>
      <c r="AE959" s="427"/>
      <c r="AF959" s="422"/>
      <c r="AG959" s="422"/>
      <c r="AH959" s="422"/>
      <c r="AI959" s="422"/>
      <c r="AJ959" s="422"/>
      <c r="AK959" s="422"/>
      <c r="AL959" s="422"/>
      <c r="AM959" s="309">
        <f>SUM(Y959:AL959)</f>
        <v>0</v>
      </c>
    </row>
    <row r="960" spans="1:39" ht="15" hidden="1" customHeight="1" outlineLevel="1">
      <c r="A960" s="539"/>
      <c r="B960" s="307" t="s">
        <v>346</v>
      </c>
      <c r="C960" s="304" t="s">
        <v>163</v>
      </c>
      <c r="D960" s="308"/>
      <c r="E960" s="308"/>
      <c r="F960" s="308"/>
      <c r="G960" s="308"/>
      <c r="H960" s="308"/>
      <c r="I960" s="308"/>
      <c r="J960" s="308"/>
      <c r="K960" s="308"/>
      <c r="L960" s="308"/>
      <c r="M960" s="308"/>
      <c r="N960" s="477"/>
      <c r="O960" s="308"/>
      <c r="P960" s="308"/>
      <c r="Q960" s="308"/>
      <c r="R960" s="308"/>
      <c r="S960" s="308"/>
      <c r="T960" s="308"/>
      <c r="U960" s="308"/>
      <c r="V960" s="308"/>
      <c r="W960" s="308"/>
      <c r="X960" s="308"/>
      <c r="Y960" s="423">
        <f>Y959</f>
        <v>0</v>
      </c>
      <c r="Z960" s="423">
        <f t="shared" ref="Z960" si="2027">Z959</f>
        <v>0</v>
      </c>
      <c r="AA960" s="423">
        <f t="shared" ref="AA960" si="2028">AA959</f>
        <v>0</v>
      </c>
      <c r="AB960" s="423">
        <f t="shared" ref="AB960" si="2029">AB959</f>
        <v>0</v>
      </c>
      <c r="AC960" s="423">
        <f t="shared" ref="AC960" si="2030">AC959</f>
        <v>0</v>
      </c>
      <c r="AD960" s="423">
        <f t="shared" ref="AD960" si="2031">AD959</f>
        <v>0</v>
      </c>
      <c r="AE960" s="423">
        <f t="shared" ref="AE960" si="2032">AE959</f>
        <v>0</v>
      </c>
      <c r="AF960" s="423">
        <f t="shared" ref="AF960" si="2033">AF959</f>
        <v>0</v>
      </c>
      <c r="AG960" s="423">
        <f t="shared" ref="AG960" si="2034">AG959</f>
        <v>0</v>
      </c>
      <c r="AH960" s="423">
        <f t="shared" ref="AH960" si="2035">AH959</f>
        <v>0</v>
      </c>
      <c r="AI960" s="423">
        <f t="shared" ref="AI960" si="2036">AI959</f>
        <v>0</v>
      </c>
      <c r="AJ960" s="423">
        <f t="shared" ref="AJ960" si="2037">AJ959</f>
        <v>0</v>
      </c>
      <c r="AK960" s="423">
        <f t="shared" ref="AK960" si="2038">AK959</f>
        <v>0</v>
      </c>
      <c r="AL960" s="423">
        <f t="shared" ref="AL960" si="2039">AL959</f>
        <v>0</v>
      </c>
      <c r="AM960" s="310"/>
    </row>
    <row r="961" spans="1:39" ht="15" hidden="1" customHeight="1" outlineLevel="1">
      <c r="A961" s="539"/>
      <c r="B961" s="307"/>
      <c r="C961" s="318"/>
      <c r="D961" s="304"/>
      <c r="E961" s="304"/>
      <c r="F961" s="304"/>
      <c r="G961" s="304"/>
      <c r="H961" s="304"/>
      <c r="I961" s="304"/>
      <c r="J961" s="304"/>
      <c r="K961" s="304"/>
      <c r="L961" s="304"/>
      <c r="M961" s="304"/>
      <c r="N961" s="304"/>
      <c r="O961" s="304"/>
      <c r="P961" s="304"/>
      <c r="Q961" s="304"/>
      <c r="R961" s="304"/>
      <c r="S961" s="304"/>
      <c r="T961" s="304"/>
      <c r="U961" s="304"/>
      <c r="V961" s="304"/>
      <c r="W961" s="304"/>
      <c r="X961" s="304"/>
      <c r="Y961" s="424"/>
      <c r="Z961" s="424"/>
      <c r="AA961" s="424"/>
      <c r="AB961" s="424"/>
      <c r="AC961" s="424"/>
      <c r="AD961" s="424"/>
      <c r="AE961" s="424"/>
      <c r="AF961" s="424"/>
      <c r="AG961" s="424"/>
      <c r="AH961" s="424"/>
      <c r="AI961" s="424"/>
      <c r="AJ961" s="424"/>
      <c r="AK961" s="424"/>
      <c r="AL961" s="424"/>
      <c r="AM961" s="319"/>
    </row>
    <row r="962" spans="1:39" ht="15" hidden="1" customHeight="1" outlineLevel="1">
      <c r="A962" s="539">
        <v>4</v>
      </c>
      <c r="B962" s="527" t="s">
        <v>676</v>
      </c>
      <c r="C962" s="304" t="s">
        <v>25</v>
      </c>
      <c r="D962" s="308"/>
      <c r="E962" s="308"/>
      <c r="F962" s="308"/>
      <c r="G962" s="308"/>
      <c r="H962" s="308"/>
      <c r="I962" s="308"/>
      <c r="J962" s="308"/>
      <c r="K962" s="308"/>
      <c r="L962" s="308"/>
      <c r="M962" s="308"/>
      <c r="N962" s="304"/>
      <c r="O962" s="308"/>
      <c r="P962" s="308"/>
      <c r="Q962" s="308"/>
      <c r="R962" s="308"/>
      <c r="S962" s="308"/>
      <c r="T962" s="308"/>
      <c r="U962" s="308"/>
      <c r="V962" s="308"/>
      <c r="W962" s="308"/>
      <c r="X962" s="308"/>
      <c r="Y962" s="427"/>
      <c r="Z962" s="427"/>
      <c r="AA962" s="427"/>
      <c r="AB962" s="427"/>
      <c r="AC962" s="427"/>
      <c r="AD962" s="427"/>
      <c r="AE962" s="427"/>
      <c r="AF962" s="422"/>
      <c r="AG962" s="422"/>
      <c r="AH962" s="422"/>
      <c r="AI962" s="422"/>
      <c r="AJ962" s="422"/>
      <c r="AK962" s="422"/>
      <c r="AL962" s="422"/>
      <c r="AM962" s="309">
        <f>SUM(Y962:AL962)</f>
        <v>0</v>
      </c>
    </row>
    <row r="963" spans="1:39" ht="15" hidden="1" customHeight="1" outlineLevel="1">
      <c r="A963" s="539"/>
      <c r="B963" s="307" t="s">
        <v>346</v>
      </c>
      <c r="C963" s="304" t="s">
        <v>163</v>
      </c>
      <c r="D963" s="308"/>
      <c r="E963" s="308"/>
      <c r="F963" s="308"/>
      <c r="G963" s="308"/>
      <c r="H963" s="308"/>
      <c r="I963" s="308"/>
      <c r="J963" s="308"/>
      <c r="K963" s="308"/>
      <c r="L963" s="308"/>
      <c r="M963" s="308"/>
      <c r="N963" s="477"/>
      <c r="O963" s="308"/>
      <c r="P963" s="308"/>
      <c r="Q963" s="308"/>
      <c r="R963" s="308"/>
      <c r="S963" s="308"/>
      <c r="T963" s="308"/>
      <c r="U963" s="308"/>
      <c r="V963" s="308"/>
      <c r="W963" s="308"/>
      <c r="X963" s="308"/>
      <c r="Y963" s="423">
        <f>Y962</f>
        <v>0</v>
      </c>
      <c r="Z963" s="423">
        <f t="shared" ref="Z963" si="2040">Z962</f>
        <v>0</v>
      </c>
      <c r="AA963" s="423">
        <f t="shared" ref="AA963" si="2041">AA962</f>
        <v>0</v>
      </c>
      <c r="AB963" s="423">
        <f t="shared" ref="AB963" si="2042">AB962</f>
        <v>0</v>
      </c>
      <c r="AC963" s="423">
        <f t="shared" ref="AC963" si="2043">AC962</f>
        <v>0</v>
      </c>
      <c r="AD963" s="423">
        <f t="shared" ref="AD963" si="2044">AD962</f>
        <v>0</v>
      </c>
      <c r="AE963" s="423">
        <f t="shared" ref="AE963" si="2045">AE962</f>
        <v>0</v>
      </c>
      <c r="AF963" s="423">
        <f t="shared" ref="AF963" si="2046">AF962</f>
        <v>0</v>
      </c>
      <c r="AG963" s="423">
        <f t="shared" ref="AG963" si="2047">AG962</f>
        <v>0</v>
      </c>
      <c r="AH963" s="423">
        <f t="shared" ref="AH963" si="2048">AH962</f>
        <v>0</v>
      </c>
      <c r="AI963" s="423">
        <f t="shared" ref="AI963" si="2049">AI962</f>
        <v>0</v>
      </c>
      <c r="AJ963" s="423">
        <f t="shared" ref="AJ963" si="2050">AJ962</f>
        <v>0</v>
      </c>
      <c r="AK963" s="423">
        <f t="shared" ref="AK963" si="2051">AK962</f>
        <v>0</v>
      </c>
      <c r="AL963" s="423">
        <f t="shared" ref="AL963" si="2052">AL962</f>
        <v>0</v>
      </c>
      <c r="AM963" s="310"/>
    </row>
    <row r="964" spans="1:39" ht="15" hidden="1" customHeight="1" outlineLevel="1">
      <c r="A964" s="539"/>
      <c r="B964" s="307"/>
      <c r="C964" s="318"/>
      <c r="D964" s="317"/>
      <c r="E964" s="317"/>
      <c r="F964" s="317"/>
      <c r="G964" s="317"/>
      <c r="H964" s="317"/>
      <c r="I964" s="317"/>
      <c r="J964" s="317"/>
      <c r="K964" s="317"/>
      <c r="L964" s="317"/>
      <c r="M964" s="317"/>
      <c r="N964" s="304"/>
      <c r="O964" s="317"/>
      <c r="P964" s="317"/>
      <c r="Q964" s="317"/>
      <c r="R964" s="317"/>
      <c r="S964" s="317"/>
      <c r="T964" s="317"/>
      <c r="U964" s="317"/>
      <c r="V964" s="317"/>
      <c r="W964" s="317"/>
      <c r="X964" s="317"/>
      <c r="Y964" s="424"/>
      <c r="Z964" s="424"/>
      <c r="AA964" s="424"/>
      <c r="AB964" s="424"/>
      <c r="AC964" s="424"/>
      <c r="AD964" s="424"/>
      <c r="AE964" s="424"/>
      <c r="AF964" s="424"/>
      <c r="AG964" s="424"/>
      <c r="AH964" s="424"/>
      <c r="AI964" s="424"/>
      <c r="AJ964" s="424"/>
      <c r="AK964" s="424"/>
      <c r="AL964" s="424"/>
      <c r="AM964" s="319"/>
    </row>
    <row r="965" spans="1:39" ht="15" hidden="1" customHeight="1" outlineLevel="1">
      <c r="A965" s="539">
        <v>5</v>
      </c>
      <c r="B965" s="438" t="s">
        <v>98</v>
      </c>
      <c r="C965" s="304" t="s">
        <v>25</v>
      </c>
      <c r="D965" s="308"/>
      <c r="E965" s="308"/>
      <c r="F965" s="308"/>
      <c r="G965" s="308"/>
      <c r="H965" s="308"/>
      <c r="I965" s="308"/>
      <c r="J965" s="308"/>
      <c r="K965" s="308"/>
      <c r="L965" s="308"/>
      <c r="M965" s="308"/>
      <c r="N965" s="304"/>
      <c r="O965" s="308"/>
      <c r="P965" s="308"/>
      <c r="Q965" s="308"/>
      <c r="R965" s="308"/>
      <c r="S965" s="308"/>
      <c r="T965" s="308"/>
      <c r="U965" s="308"/>
      <c r="V965" s="308"/>
      <c r="W965" s="308"/>
      <c r="X965" s="308"/>
      <c r="Y965" s="427"/>
      <c r="Z965" s="427"/>
      <c r="AA965" s="427"/>
      <c r="AB965" s="427"/>
      <c r="AC965" s="427"/>
      <c r="AD965" s="427"/>
      <c r="AE965" s="427"/>
      <c r="AF965" s="422"/>
      <c r="AG965" s="422"/>
      <c r="AH965" s="422"/>
      <c r="AI965" s="422"/>
      <c r="AJ965" s="422"/>
      <c r="AK965" s="422"/>
      <c r="AL965" s="422"/>
      <c r="AM965" s="309">
        <f>SUM(Y965:AL965)</f>
        <v>0</v>
      </c>
    </row>
    <row r="966" spans="1:39" ht="15" hidden="1" customHeight="1" outlineLevel="1">
      <c r="A966" s="539"/>
      <c r="B966" s="307" t="s">
        <v>346</v>
      </c>
      <c r="C966" s="304" t="s">
        <v>163</v>
      </c>
      <c r="D966" s="308"/>
      <c r="E966" s="308"/>
      <c r="F966" s="308"/>
      <c r="G966" s="308"/>
      <c r="H966" s="308"/>
      <c r="I966" s="308"/>
      <c r="J966" s="308"/>
      <c r="K966" s="308"/>
      <c r="L966" s="308"/>
      <c r="M966" s="308"/>
      <c r="N966" s="477"/>
      <c r="O966" s="308"/>
      <c r="P966" s="308"/>
      <c r="Q966" s="308"/>
      <c r="R966" s="308"/>
      <c r="S966" s="308"/>
      <c r="T966" s="308"/>
      <c r="U966" s="308"/>
      <c r="V966" s="308"/>
      <c r="W966" s="308"/>
      <c r="X966" s="308"/>
      <c r="Y966" s="423">
        <f>Y965</f>
        <v>0</v>
      </c>
      <c r="Z966" s="423">
        <f t="shared" ref="Z966" si="2053">Z965</f>
        <v>0</v>
      </c>
      <c r="AA966" s="423">
        <f t="shared" ref="AA966" si="2054">AA965</f>
        <v>0</v>
      </c>
      <c r="AB966" s="423">
        <f t="shared" ref="AB966" si="2055">AB965</f>
        <v>0</v>
      </c>
      <c r="AC966" s="423">
        <f t="shared" ref="AC966" si="2056">AC965</f>
        <v>0</v>
      </c>
      <c r="AD966" s="423">
        <f t="shared" ref="AD966" si="2057">AD965</f>
        <v>0</v>
      </c>
      <c r="AE966" s="423">
        <f t="shared" ref="AE966" si="2058">AE965</f>
        <v>0</v>
      </c>
      <c r="AF966" s="423">
        <f t="shared" ref="AF966" si="2059">AF965</f>
        <v>0</v>
      </c>
      <c r="AG966" s="423">
        <f t="shared" ref="AG966" si="2060">AG965</f>
        <v>0</v>
      </c>
      <c r="AH966" s="423">
        <f t="shared" ref="AH966" si="2061">AH965</f>
        <v>0</v>
      </c>
      <c r="AI966" s="423">
        <f t="shared" ref="AI966" si="2062">AI965</f>
        <v>0</v>
      </c>
      <c r="AJ966" s="423">
        <f t="shared" ref="AJ966" si="2063">AJ965</f>
        <v>0</v>
      </c>
      <c r="AK966" s="423">
        <f t="shared" ref="AK966" si="2064">AK965</f>
        <v>0</v>
      </c>
      <c r="AL966" s="423">
        <f t="shared" ref="AL966" si="2065">AL965</f>
        <v>0</v>
      </c>
      <c r="AM966" s="310"/>
    </row>
    <row r="967" spans="1:39" ht="15" hidden="1" customHeight="1" outlineLevel="1">
      <c r="A967" s="539"/>
      <c r="B967" s="307"/>
      <c r="C967" s="304"/>
      <c r="D967" s="304"/>
      <c r="E967" s="304"/>
      <c r="F967" s="304"/>
      <c r="G967" s="304"/>
      <c r="H967" s="304"/>
      <c r="I967" s="304"/>
      <c r="J967" s="304"/>
      <c r="K967" s="304"/>
      <c r="L967" s="304"/>
      <c r="M967" s="304"/>
      <c r="N967" s="304"/>
      <c r="O967" s="304"/>
      <c r="P967" s="304"/>
      <c r="Q967" s="304"/>
      <c r="R967" s="304"/>
      <c r="S967" s="304"/>
      <c r="T967" s="304"/>
      <c r="U967" s="304"/>
      <c r="V967" s="304"/>
      <c r="W967" s="304"/>
      <c r="X967" s="304"/>
      <c r="Y967" s="432"/>
      <c r="Z967" s="433"/>
      <c r="AA967" s="433"/>
      <c r="AB967" s="433"/>
      <c r="AC967" s="433"/>
      <c r="AD967" s="433"/>
      <c r="AE967" s="433"/>
      <c r="AF967" s="433"/>
      <c r="AG967" s="433"/>
      <c r="AH967" s="433"/>
      <c r="AI967" s="433"/>
      <c r="AJ967" s="433"/>
      <c r="AK967" s="433"/>
      <c r="AL967" s="433"/>
      <c r="AM967" s="310"/>
    </row>
    <row r="968" spans="1:39" ht="15.6" hidden="1" outlineLevel="1">
      <c r="A968" s="539"/>
      <c r="B968" s="331" t="s">
        <v>497</v>
      </c>
      <c r="C968" s="302"/>
      <c r="D968" s="302"/>
      <c r="E968" s="302"/>
      <c r="F968" s="302"/>
      <c r="G968" s="302"/>
      <c r="H968" s="302"/>
      <c r="I968" s="302"/>
      <c r="J968" s="302"/>
      <c r="K968" s="302"/>
      <c r="L968" s="302"/>
      <c r="M968" s="302"/>
      <c r="N968" s="303"/>
      <c r="O968" s="302"/>
      <c r="P968" s="302"/>
      <c r="Q968" s="302"/>
      <c r="R968" s="302"/>
      <c r="S968" s="302"/>
      <c r="T968" s="302"/>
      <c r="U968" s="302"/>
      <c r="V968" s="302"/>
      <c r="W968" s="302"/>
      <c r="X968" s="302"/>
      <c r="Y968" s="426"/>
      <c r="Z968" s="426"/>
      <c r="AA968" s="426"/>
      <c r="AB968" s="426"/>
      <c r="AC968" s="426"/>
      <c r="AD968" s="426"/>
      <c r="AE968" s="426"/>
      <c r="AF968" s="426"/>
      <c r="AG968" s="426"/>
      <c r="AH968" s="426"/>
      <c r="AI968" s="426"/>
      <c r="AJ968" s="426"/>
      <c r="AK968" s="426"/>
      <c r="AL968" s="426"/>
      <c r="AM968" s="305"/>
    </row>
    <row r="969" spans="1:39" ht="15" hidden="1" customHeight="1" outlineLevel="1">
      <c r="A969" s="539">
        <v>6</v>
      </c>
      <c r="B969" s="438" t="s">
        <v>99</v>
      </c>
      <c r="C969" s="304" t="s">
        <v>25</v>
      </c>
      <c r="D969" s="308"/>
      <c r="E969" s="308"/>
      <c r="F969" s="308"/>
      <c r="G969" s="308"/>
      <c r="H969" s="308"/>
      <c r="I969" s="308"/>
      <c r="J969" s="308"/>
      <c r="K969" s="308"/>
      <c r="L969" s="308"/>
      <c r="M969" s="308"/>
      <c r="N969" s="308">
        <v>12</v>
      </c>
      <c r="O969" s="308"/>
      <c r="P969" s="308"/>
      <c r="Q969" s="308"/>
      <c r="R969" s="308"/>
      <c r="S969" s="308"/>
      <c r="T969" s="308"/>
      <c r="U969" s="308"/>
      <c r="V969" s="308"/>
      <c r="W969" s="308"/>
      <c r="X969" s="308"/>
      <c r="Y969" s="427"/>
      <c r="Z969" s="427"/>
      <c r="AA969" s="427"/>
      <c r="AB969" s="427"/>
      <c r="AC969" s="427"/>
      <c r="AD969" s="427"/>
      <c r="AE969" s="427"/>
      <c r="AF969" s="427"/>
      <c r="AG969" s="427"/>
      <c r="AH969" s="427"/>
      <c r="AI969" s="427"/>
      <c r="AJ969" s="427"/>
      <c r="AK969" s="427"/>
      <c r="AL969" s="427"/>
      <c r="AM969" s="309">
        <f>SUM(Y969:AL969)</f>
        <v>0</v>
      </c>
    </row>
    <row r="970" spans="1:39" ht="15" hidden="1" customHeight="1" outlineLevel="1">
      <c r="A970" s="539"/>
      <c r="B970" s="307" t="s">
        <v>346</v>
      </c>
      <c r="C970" s="304" t="s">
        <v>163</v>
      </c>
      <c r="D970" s="308"/>
      <c r="E970" s="308"/>
      <c r="F970" s="308"/>
      <c r="G970" s="308"/>
      <c r="H970" s="308"/>
      <c r="I970" s="308"/>
      <c r="J970" s="308"/>
      <c r="K970" s="308"/>
      <c r="L970" s="308"/>
      <c r="M970" s="308"/>
      <c r="N970" s="308">
        <f>N969</f>
        <v>12</v>
      </c>
      <c r="O970" s="308"/>
      <c r="P970" s="308"/>
      <c r="Q970" s="308"/>
      <c r="R970" s="308"/>
      <c r="S970" s="308"/>
      <c r="T970" s="308"/>
      <c r="U970" s="308"/>
      <c r="V970" s="308"/>
      <c r="W970" s="308"/>
      <c r="X970" s="308"/>
      <c r="Y970" s="423">
        <f>Y969</f>
        <v>0</v>
      </c>
      <c r="Z970" s="423">
        <f t="shared" ref="Z970" si="2066">Z969</f>
        <v>0</v>
      </c>
      <c r="AA970" s="423">
        <f t="shared" ref="AA970" si="2067">AA969</f>
        <v>0</v>
      </c>
      <c r="AB970" s="423">
        <f t="shared" ref="AB970" si="2068">AB969</f>
        <v>0</v>
      </c>
      <c r="AC970" s="423">
        <f t="shared" ref="AC970" si="2069">AC969</f>
        <v>0</v>
      </c>
      <c r="AD970" s="423">
        <f t="shared" ref="AD970" si="2070">AD969</f>
        <v>0</v>
      </c>
      <c r="AE970" s="423">
        <f t="shared" ref="AE970" si="2071">AE969</f>
        <v>0</v>
      </c>
      <c r="AF970" s="423">
        <f t="shared" ref="AF970" si="2072">AF969</f>
        <v>0</v>
      </c>
      <c r="AG970" s="423">
        <f t="shared" ref="AG970" si="2073">AG969</f>
        <v>0</v>
      </c>
      <c r="AH970" s="423">
        <f t="shared" ref="AH970" si="2074">AH969</f>
        <v>0</v>
      </c>
      <c r="AI970" s="423">
        <f t="shared" ref="AI970" si="2075">AI969</f>
        <v>0</v>
      </c>
      <c r="AJ970" s="423">
        <f t="shared" ref="AJ970" si="2076">AJ969</f>
        <v>0</v>
      </c>
      <c r="AK970" s="423">
        <f t="shared" ref="AK970" si="2077">AK969</f>
        <v>0</v>
      </c>
      <c r="AL970" s="423">
        <f t="shared" ref="AL970" si="2078">AL969</f>
        <v>0</v>
      </c>
      <c r="AM970" s="324"/>
    </row>
    <row r="971" spans="1:39" ht="15" hidden="1" customHeight="1" outlineLevel="1">
      <c r="A971" s="539"/>
      <c r="B971" s="323"/>
      <c r="C971" s="325"/>
      <c r="D971" s="304"/>
      <c r="E971" s="304"/>
      <c r="F971" s="304"/>
      <c r="G971" s="304"/>
      <c r="H971" s="304"/>
      <c r="I971" s="304"/>
      <c r="J971" s="304"/>
      <c r="K971" s="304"/>
      <c r="L971" s="304"/>
      <c r="M971" s="304"/>
      <c r="N971" s="304"/>
      <c r="O971" s="304"/>
      <c r="P971" s="304"/>
      <c r="Q971" s="304"/>
      <c r="R971" s="304"/>
      <c r="S971" s="304"/>
      <c r="T971" s="304"/>
      <c r="U971" s="304"/>
      <c r="V971" s="304"/>
      <c r="W971" s="304"/>
      <c r="X971" s="304"/>
      <c r="Y971" s="428"/>
      <c r="Z971" s="428"/>
      <c r="AA971" s="428"/>
      <c r="AB971" s="428"/>
      <c r="AC971" s="428"/>
      <c r="AD971" s="428"/>
      <c r="AE971" s="428"/>
      <c r="AF971" s="428"/>
      <c r="AG971" s="428"/>
      <c r="AH971" s="428"/>
      <c r="AI971" s="428"/>
      <c r="AJ971" s="428"/>
      <c r="AK971" s="428"/>
      <c r="AL971" s="428"/>
      <c r="AM971" s="326"/>
    </row>
    <row r="972" spans="1:39" ht="15" hidden="1" customHeight="1" outlineLevel="1">
      <c r="A972" s="539">
        <v>7</v>
      </c>
      <c r="B972" s="438" t="s">
        <v>100</v>
      </c>
      <c r="C972" s="304" t="s">
        <v>25</v>
      </c>
      <c r="D972" s="308"/>
      <c r="E972" s="308"/>
      <c r="F972" s="308"/>
      <c r="G972" s="308"/>
      <c r="H972" s="308"/>
      <c r="I972" s="308"/>
      <c r="J972" s="308"/>
      <c r="K972" s="308"/>
      <c r="L972" s="308"/>
      <c r="M972" s="308"/>
      <c r="N972" s="308">
        <v>12</v>
      </c>
      <c r="O972" s="308"/>
      <c r="P972" s="308"/>
      <c r="Q972" s="308"/>
      <c r="R972" s="308"/>
      <c r="S972" s="308"/>
      <c r="T972" s="308"/>
      <c r="U972" s="308"/>
      <c r="V972" s="308"/>
      <c r="W972" s="308"/>
      <c r="X972" s="308"/>
      <c r="Y972" s="427"/>
      <c r="Z972" s="427"/>
      <c r="AA972" s="427"/>
      <c r="AB972" s="427"/>
      <c r="AC972" s="427"/>
      <c r="AD972" s="427"/>
      <c r="AE972" s="427"/>
      <c r="AF972" s="427"/>
      <c r="AG972" s="427"/>
      <c r="AH972" s="427"/>
      <c r="AI972" s="427"/>
      <c r="AJ972" s="427"/>
      <c r="AK972" s="427"/>
      <c r="AL972" s="427"/>
      <c r="AM972" s="309">
        <f>SUM(Y972:AL972)</f>
        <v>0</v>
      </c>
    </row>
    <row r="973" spans="1:39" ht="15" hidden="1" customHeight="1" outlineLevel="1">
      <c r="A973" s="539"/>
      <c r="B973" s="307" t="s">
        <v>346</v>
      </c>
      <c r="C973" s="304" t="s">
        <v>163</v>
      </c>
      <c r="D973" s="308"/>
      <c r="E973" s="308"/>
      <c r="F973" s="308"/>
      <c r="G973" s="308"/>
      <c r="H973" s="308"/>
      <c r="I973" s="308"/>
      <c r="J973" s="308"/>
      <c r="K973" s="308"/>
      <c r="L973" s="308"/>
      <c r="M973" s="308"/>
      <c r="N973" s="308">
        <f>N972</f>
        <v>12</v>
      </c>
      <c r="O973" s="308"/>
      <c r="P973" s="308"/>
      <c r="Q973" s="308"/>
      <c r="R973" s="308"/>
      <c r="S973" s="308"/>
      <c r="T973" s="308"/>
      <c r="U973" s="308"/>
      <c r="V973" s="308"/>
      <c r="W973" s="308"/>
      <c r="X973" s="308"/>
      <c r="Y973" s="423">
        <f>Y972</f>
        <v>0</v>
      </c>
      <c r="Z973" s="423">
        <f t="shared" ref="Z973" si="2079">Z972</f>
        <v>0</v>
      </c>
      <c r="AA973" s="423">
        <f t="shared" ref="AA973" si="2080">AA972</f>
        <v>0</v>
      </c>
      <c r="AB973" s="423">
        <f t="shared" ref="AB973" si="2081">AB972</f>
        <v>0</v>
      </c>
      <c r="AC973" s="423">
        <f t="shared" ref="AC973" si="2082">AC972</f>
        <v>0</v>
      </c>
      <c r="AD973" s="423">
        <f t="shared" ref="AD973" si="2083">AD972</f>
        <v>0</v>
      </c>
      <c r="AE973" s="423">
        <f t="shared" ref="AE973" si="2084">AE972</f>
        <v>0</v>
      </c>
      <c r="AF973" s="423">
        <f t="shared" ref="AF973" si="2085">AF972</f>
        <v>0</v>
      </c>
      <c r="AG973" s="423">
        <f t="shared" ref="AG973" si="2086">AG972</f>
        <v>0</v>
      </c>
      <c r="AH973" s="423">
        <f t="shared" ref="AH973" si="2087">AH972</f>
        <v>0</v>
      </c>
      <c r="AI973" s="423">
        <f t="shared" ref="AI973" si="2088">AI972</f>
        <v>0</v>
      </c>
      <c r="AJ973" s="423">
        <f t="shared" ref="AJ973" si="2089">AJ972</f>
        <v>0</v>
      </c>
      <c r="AK973" s="423">
        <f t="shared" ref="AK973" si="2090">AK972</f>
        <v>0</v>
      </c>
      <c r="AL973" s="423">
        <f t="shared" ref="AL973" si="2091">AL972</f>
        <v>0</v>
      </c>
      <c r="AM973" s="324"/>
    </row>
    <row r="974" spans="1:39" ht="15" hidden="1" customHeight="1" outlineLevel="1">
      <c r="A974" s="539"/>
      <c r="B974" s="327"/>
      <c r="C974" s="325"/>
      <c r="D974" s="304"/>
      <c r="E974" s="304"/>
      <c r="F974" s="304"/>
      <c r="G974" s="304"/>
      <c r="H974" s="304"/>
      <c r="I974" s="304"/>
      <c r="J974" s="304"/>
      <c r="K974" s="304"/>
      <c r="L974" s="304"/>
      <c r="M974" s="304"/>
      <c r="N974" s="304"/>
      <c r="O974" s="304"/>
      <c r="P974" s="304"/>
      <c r="Q974" s="304"/>
      <c r="R974" s="304"/>
      <c r="S974" s="304"/>
      <c r="T974" s="304"/>
      <c r="U974" s="304"/>
      <c r="V974" s="304"/>
      <c r="W974" s="304"/>
      <c r="X974" s="304"/>
      <c r="Y974" s="428"/>
      <c r="Z974" s="429"/>
      <c r="AA974" s="428"/>
      <c r="AB974" s="428"/>
      <c r="AC974" s="428"/>
      <c r="AD974" s="428"/>
      <c r="AE974" s="428"/>
      <c r="AF974" s="428"/>
      <c r="AG974" s="428"/>
      <c r="AH974" s="428"/>
      <c r="AI974" s="428"/>
      <c r="AJ974" s="428"/>
      <c r="AK974" s="428"/>
      <c r="AL974" s="428"/>
      <c r="AM974" s="326"/>
    </row>
    <row r="975" spans="1:39" ht="15" hidden="1" customHeight="1" outlineLevel="1">
      <c r="A975" s="539">
        <v>8</v>
      </c>
      <c r="B975" s="438" t="s">
        <v>101</v>
      </c>
      <c r="C975" s="304" t="s">
        <v>25</v>
      </c>
      <c r="D975" s="308"/>
      <c r="E975" s="308"/>
      <c r="F975" s="308"/>
      <c r="G975" s="308"/>
      <c r="H975" s="308"/>
      <c r="I975" s="308"/>
      <c r="J975" s="308"/>
      <c r="K975" s="308"/>
      <c r="L975" s="308"/>
      <c r="M975" s="308"/>
      <c r="N975" s="308">
        <v>12</v>
      </c>
      <c r="O975" s="308"/>
      <c r="P975" s="308"/>
      <c r="Q975" s="308"/>
      <c r="R975" s="308"/>
      <c r="S975" s="308"/>
      <c r="T975" s="308"/>
      <c r="U975" s="308"/>
      <c r="V975" s="308"/>
      <c r="W975" s="308"/>
      <c r="X975" s="308"/>
      <c r="Y975" s="427"/>
      <c r="Z975" s="427"/>
      <c r="AA975" s="427"/>
      <c r="AB975" s="427"/>
      <c r="AC975" s="427"/>
      <c r="AD975" s="427"/>
      <c r="AE975" s="427"/>
      <c r="AF975" s="427"/>
      <c r="AG975" s="427"/>
      <c r="AH975" s="427"/>
      <c r="AI975" s="427"/>
      <c r="AJ975" s="427"/>
      <c r="AK975" s="427"/>
      <c r="AL975" s="427"/>
      <c r="AM975" s="309">
        <f>SUM(Y975:AL975)</f>
        <v>0</v>
      </c>
    </row>
    <row r="976" spans="1:39" ht="15" hidden="1" customHeight="1" outlineLevel="1">
      <c r="A976" s="539"/>
      <c r="B976" s="307" t="s">
        <v>346</v>
      </c>
      <c r="C976" s="304" t="s">
        <v>163</v>
      </c>
      <c r="D976" s="308"/>
      <c r="E976" s="308"/>
      <c r="F976" s="308"/>
      <c r="G976" s="308"/>
      <c r="H976" s="308"/>
      <c r="I976" s="308"/>
      <c r="J976" s="308"/>
      <c r="K976" s="308"/>
      <c r="L976" s="308"/>
      <c r="M976" s="308"/>
      <c r="N976" s="308">
        <f>N975</f>
        <v>12</v>
      </c>
      <c r="O976" s="308"/>
      <c r="P976" s="308"/>
      <c r="Q976" s="308"/>
      <c r="R976" s="308"/>
      <c r="S976" s="308"/>
      <c r="T976" s="308"/>
      <c r="U976" s="308"/>
      <c r="V976" s="308"/>
      <c r="W976" s="308"/>
      <c r="X976" s="308"/>
      <c r="Y976" s="423">
        <f>Y975</f>
        <v>0</v>
      </c>
      <c r="Z976" s="423">
        <f t="shared" ref="Z976" si="2092">Z975</f>
        <v>0</v>
      </c>
      <c r="AA976" s="423">
        <f t="shared" ref="AA976" si="2093">AA975</f>
        <v>0</v>
      </c>
      <c r="AB976" s="423">
        <f t="shared" ref="AB976" si="2094">AB975</f>
        <v>0</v>
      </c>
      <c r="AC976" s="423">
        <f t="shared" ref="AC976" si="2095">AC975</f>
        <v>0</v>
      </c>
      <c r="AD976" s="423">
        <f t="shared" ref="AD976" si="2096">AD975</f>
        <v>0</v>
      </c>
      <c r="AE976" s="423">
        <f t="shared" ref="AE976" si="2097">AE975</f>
        <v>0</v>
      </c>
      <c r="AF976" s="423">
        <f t="shared" ref="AF976" si="2098">AF975</f>
        <v>0</v>
      </c>
      <c r="AG976" s="423">
        <f t="shared" ref="AG976" si="2099">AG975</f>
        <v>0</v>
      </c>
      <c r="AH976" s="423">
        <f t="shared" ref="AH976" si="2100">AH975</f>
        <v>0</v>
      </c>
      <c r="AI976" s="423">
        <f t="shared" ref="AI976" si="2101">AI975</f>
        <v>0</v>
      </c>
      <c r="AJ976" s="423">
        <f t="shared" ref="AJ976" si="2102">AJ975</f>
        <v>0</v>
      </c>
      <c r="AK976" s="423">
        <f t="shared" ref="AK976" si="2103">AK975</f>
        <v>0</v>
      </c>
      <c r="AL976" s="423">
        <f t="shared" ref="AL976" si="2104">AL975</f>
        <v>0</v>
      </c>
      <c r="AM976" s="324"/>
    </row>
    <row r="977" spans="1:39" ht="15" hidden="1" customHeight="1" outlineLevel="1">
      <c r="A977" s="539"/>
      <c r="B977" s="327"/>
      <c r="C977" s="325"/>
      <c r="D977" s="329"/>
      <c r="E977" s="329"/>
      <c r="F977" s="329"/>
      <c r="G977" s="329"/>
      <c r="H977" s="329"/>
      <c r="I977" s="329"/>
      <c r="J977" s="329"/>
      <c r="K977" s="329"/>
      <c r="L977" s="329"/>
      <c r="M977" s="329"/>
      <c r="N977" s="304"/>
      <c r="O977" s="329"/>
      <c r="P977" s="329"/>
      <c r="Q977" s="329"/>
      <c r="R977" s="329"/>
      <c r="S977" s="329"/>
      <c r="T977" s="329"/>
      <c r="U977" s="329"/>
      <c r="V977" s="329"/>
      <c r="W977" s="329"/>
      <c r="X977" s="329"/>
      <c r="Y977" s="428"/>
      <c r="Z977" s="429"/>
      <c r="AA977" s="428"/>
      <c r="AB977" s="428"/>
      <c r="AC977" s="428"/>
      <c r="AD977" s="428"/>
      <c r="AE977" s="428"/>
      <c r="AF977" s="428"/>
      <c r="AG977" s="428"/>
      <c r="AH977" s="428"/>
      <c r="AI977" s="428"/>
      <c r="AJ977" s="428"/>
      <c r="AK977" s="428"/>
      <c r="AL977" s="428"/>
      <c r="AM977" s="326"/>
    </row>
    <row r="978" spans="1:39" ht="15" hidden="1" customHeight="1" outlineLevel="1">
      <c r="A978" s="539">
        <v>9</v>
      </c>
      <c r="B978" s="438" t="s">
        <v>102</v>
      </c>
      <c r="C978" s="304" t="s">
        <v>25</v>
      </c>
      <c r="D978" s="308"/>
      <c r="E978" s="308"/>
      <c r="F978" s="308"/>
      <c r="G978" s="308"/>
      <c r="H978" s="308"/>
      <c r="I978" s="308"/>
      <c r="J978" s="308"/>
      <c r="K978" s="308"/>
      <c r="L978" s="308"/>
      <c r="M978" s="308"/>
      <c r="N978" s="308">
        <v>12</v>
      </c>
      <c r="O978" s="308"/>
      <c r="P978" s="308"/>
      <c r="Q978" s="308"/>
      <c r="R978" s="308"/>
      <c r="S978" s="308"/>
      <c r="T978" s="308"/>
      <c r="U978" s="308"/>
      <c r="V978" s="308"/>
      <c r="W978" s="308"/>
      <c r="X978" s="308"/>
      <c r="Y978" s="427"/>
      <c r="Z978" s="427"/>
      <c r="AA978" s="427"/>
      <c r="AB978" s="427"/>
      <c r="AC978" s="427"/>
      <c r="AD978" s="427"/>
      <c r="AE978" s="427"/>
      <c r="AF978" s="427"/>
      <c r="AG978" s="427"/>
      <c r="AH978" s="427"/>
      <c r="AI978" s="427"/>
      <c r="AJ978" s="427"/>
      <c r="AK978" s="427"/>
      <c r="AL978" s="427"/>
      <c r="AM978" s="309">
        <f>SUM(Y978:AL978)</f>
        <v>0</v>
      </c>
    </row>
    <row r="979" spans="1:39" ht="15" hidden="1" customHeight="1" outlineLevel="1">
      <c r="A979" s="539"/>
      <c r="B979" s="307" t="s">
        <v>346</v>
      </c>
      <c r="C979" s="304" t="s">
        <v>163</v>
      </c>
      <c r="D979" s="308"/>
      <c r="E979" s="308"/>
      <c r="F979" s="308"/>
      <c r="G979" s="308"/>
      <c r="H979" s="308"/>
      <c r="I979" s="308"/>
      <c r="J979" s="308"/>
      <c r="K979" s="308"/>
      <c r="L979" s="308"/>
      <c r="M979" s="308"/>
      <c r="N979" s="308">
        <f>N978</f>
        <v>12</v>
      </c>
      <c r="O979" s="308"/>
      <c r="P979" s="308"/>
      <c r="Q979" s="308"/>
      <c r="R979" s="308"/>
      <c r="S979" s="308"/>
      <c r="T979" s="308"/>
      <c r="U979" s="308"/>
      <c r="V979" s="308"/>
      <c r="W979" s="308"/>
      <c r="X979" s="308"/>
      <c r="Y979" s="423">
        <f>Y978</f>
        <v>0</v>
      </c>
      <c r="Z979" s="423">
        <f t="shared" ref="Z979" si="2105">Z978</f>
        <v>0</v>
      </c>
      <c r="AA979" s="423">
        <f t="shared" ref="AA979" si="2106">AA978</f>
        <v>0</v>
      </c>
      <c r="AB979" s="423">
        <f t="shared" ref="AB979" si="2107">AB978</f>
        <v>0</v>
      </c>
      <c r="AC979" s="423">
        <f t="shared" ref="AC979" si="2108">AC978</f>
        <v>0</v>
      </c>
      <c r="AD979" s="423">
        <f t="shared" ref="AD979" si="2109">AD978</f>
        <v>0</v>
      </c>
      <c r="AE979" s="423">
        <f t="shared" ref="AE979" si="2110">AE978</f>
        <v>0</v>
      </c>
      <c r="AF979" s="423">
        <f t="shared" ref="AF979" si="2111">AF978</f>
        <v>0</v>
      </c>
      <c r="AG979" s="423">
        <f t="shared" ref="AG979" si="2112">AG978</f>
        <v>0</v>
      </c>
      <c r="AH979" s="423">
        <f t="shared" ref="AH979" si="2113">AH978</f>
        <v>0</v>
      </c>
      <c r="AI979" s="423">
        <f t="shared" ref="AI979" si="2114">AI978</f>
        <v>0</v>
      </c>
      <c r="AJ979" s="423">
        <f t="shared" ref="AJ979" si="2115">AJ978</f>
        <v>0</v>
      </c>
      <c r="AK979" s="423">
        <f t="shared" ref="AK979" si="2116">AK978</f>
        <v>0</v>
      </c>
      <c r="AL979" s="423">
        <f t="shared" ref="AL979" si="2117">AL978</f>
        <v>0</v>
      </c>
      <c r="AM979" s="324"/>
    </row>
    <row r="980" spans="1:39" ht="15" hidden="1" customHeight="1" outlineLevel="1">
      <c r="A980" s="539"/>
      <c r="B980" s="327"/>
      <c r="C980" s="325"/>
      <c r="D980" s="329"/>
      <c r="E980" s="329"/>
      <c r="F980" s="329"/>
      <c r="G980" s="329"/>
      <c r="H980" s="329"/>
      <c r="I980" s="329"/>
      <c r="J980" s="329"/>
      <c r="K980" s="329"/>
      <c r="L980" s="329"/>
      <c r="M980" s="329"/>
      <c r="N980" s="304"/>
      <c r="O980" s="329"/>
      <c r="P980" s="329"/>
      <c r="Q980" s="329"/>
      <c r="R980" s="329"/>
      <c r="S980" s="329"/>
      <c r="T980" s="329"/>
      <c r="U980" s="329"/>
      <c r="V980" s="329"/>
      <c r="W980" s="329"/>
      <c r="X980" s="329"/>
      <c r="Y980" s="428"/>
      <c r="Z980" s="428"/>
      <c r="AA980" s="428"/>
      <c r="AB980" s="428"/>
      <c r="AC980" s="428"/>
      <c r="AD980" s="428"/>
      <c r="AE980" s="428"/>
      <c r="AF980" s="428"/>
      <c r="AG980" s="428"/>
      <c r="AH980" s="428"/>
      <c r="AI980" s="428"/>
      <c r="AJ980" s="428"/>
      <c r="AK980" s="428"/>
      <c r="AL980" s="428"/>
      <c r="AM980" s="326"/>
    </row>
    <row r="981" spans="1:39" ht="15" hidden="1" customHeight="1" outlineLevel="1">
      <c r="A981" s="539">
        <v>10</v>
      </c>
      <c r="B981" s="438" t="s">
        <v>103</v>
      </c>
      <c r="C981" s="304" t="s">
        <v>25</v>
      </c>
      <c r="D981" s="308"/>
      <c r="E981" s="308"/>
      <c r="F981" s="308"/>
      <c r="G981" s="308"/>
      <c r="H981" s="308"/>
      <c r="I981" s="308"/>
      <c r="J981" s="308"/>
      <c r="K981" s="308"/>
      <c r="L981" s="308"/>
      <c r="M981" s="308"/>
      <c r="N981" s="308">
        <v>3</v>
      </c>
      <c r="O981" s="308"/>
      <c r="P981" s="308"/>
      <c r="Q981" s="308"/>
      <c r="R981" s="308"/>
      <c r="S981" s="308"/>
      <c r="T981" s="308"/>
      <c r="U981" s="308"/>
      <c r="V981" s="308"/>
      <c r="W981" s="308"/>
      <c r="X981" s="308"/>
      <c r="Y981" s="427"/>
      <c r="Z981" s="427"/>
      <c r="AA981" s="427"/>
      <c r="AB981" s="427"/>
      <c r="AC981" s="427"/>
      <c r="AD981" s="427"/>
      <c r="AE981" s="427"/>
      <c r="AF981" s="427"/>
      <c r="AG981" s="427"/>
      <c r="AH981" s="427"/>
      <c r="AI981" s="427"/>
      <c r="AJ981" s="427"/>
      <c r="AK981" s="427"/>
      <c r="AL981" s="427"/>
      <c r="AM981" s="309">
        <f>SUM(Y981:AL981)</f>
        <v>0</v>
      </c>
    </row>
    <row r="982" spans="1:39" ht="15" hidden="1" customHeight="1" outlineLevel="1">
      <c r="A982" s="539"/>
      <c r="B982" s="307" t="s">
        <v>346</v>
      </c>
      <c r="C982" s="304" t="s">
        <v>163</v>
      </c>
      <c r="D982" s="308"/>
      <c r="E982" s="308"/>
      <c r="F982" s="308"/>
      <c r="G982" s="308"/>
      <c r="H982" s="308"/>
      <c r="I982" s="308"/>
      <c r="J982" s="308"/>
      <c r="K982" s="308"/>
      <c r="L982" s="308"/>
      <c r="M982" s="308"/>
      <c r="N982" s="308">
        <f>N981</f>
        <v>3</v>
      </c>
      <c r="O982" s="308"/>
      <c r="P982" s="308"/>
      <c r="Q982" s="308"/>
      <c r="R982" s="308"/>
      <c r="S982" s="308"/>
      <c r="T982" s="308"/>
      <c r="U982" s="308"/>
      <c r="V982" s="308"/>
      <c r="W982" s="308"/>
      <c r="X982" s="308"/>
      <c r="Y982" s="423">
        <f>Y981</f>
        <v>0</v>
      </c>
      <c r="Z982" s="423">
        <f t="shared" ref="Z982" si="2118">Z981</f>
        <v>0</v>
      </c>
      <c r="AA982" s="423">
        <f t="shared" ref="AA982" si="2119">AA981</f>
        <v>0</v>
      </c>
      <c r="AB982" s="423">
        <f t="shared" ref="AB982" si="2120">AB981</f>
        <v>0</v>
      </c>
      <c r="AC982" s="423">
        <f t="shared" ref="AC982" si="2121">AC981</f>
        <v>0</v>
      </c>
      <c r="AD982" s="423">
        <f t="shared" ref="AD982" si="2122">AD981</f>
        <v>0</v>
      </c>
      <c r="AE982" s="423">
        <f t="shared" ref="AE982" si="2123">AE981</f>
        <v>0</v>
      </c>
      <c r="AF982" s="423">
        <f t="shared" ref="AF982" si="2124">AF981</f>
        <v>0</v>
      </c>
      <c r="AG982" s="423">
        <f t="shared" ref="AG982" si="2125">AG981</f>
        <v>0</v>
      </c>
      <c r="AH982" s="423">
        <f t="shared" ref="AH982" si="2126">AH981</f>
        <v>0</v>
      </c>
      <c r="AI982" s="423">
        <f t="shared" ref="AI982" si="2127">AI981</f>
        <v>0</v>
      </c>
      <c r="AJ982" s="423">
        <f t="shared" ref="AJ982" si="2128">AJ981</f>
        <v>0</v>
      </c>
      <c r="AK982" s="423">
        <f t="shared" ref="AK982" si="2129">AK981</f>
        <v>0</v>
      </c>
      <c r="AL982" s="423">
        <f t="shared" ref="AL982" si="2130">AL981</f>
        <v>0</v>
      </c>
      <c r="AM982" s="324"/>
    </row>
    <row r="983" spans="1:39" ht="15" hidden="1" customHeight="1" outlineLevel="1">
      <c r="A983" s="539"/>
      <c r="B983" s="327"/>
      <c r="C983" s="325"/>
      <c r="D983" s="329"/>
      <c r="E983" s="329"/>
      <c r="F983" s="329"/>
      <c r="G983" s="329"/>
      <c r="H983" s="329"/>
      <c r="I983" s="329"/>
      <c r="J983" s="329"/>
      <c r="K983" s="329"/>
      <c r="L983" s="329"/>
      <c r="M983" s="329"/>
      <c r="N983" s="304"/>
      <c r="O983" s="329"/>
      <c r="P983" s="329"/>
      <c r="Q983" s="329"/>
      <c r="R983" s="329"/>
      <c r="S983" s="329"/>
      <c r="T983" s="329"/>
      <c r="U983" s="329"/>
      <c r="V983" s="329"/>
      <c r="W983" s="329"/>
      <c r="X983" s="329"/>
      <c r="Y983" s="428"/>
      <c r="Z983" s="429"/>
      <c r="AA983" s="428"/>
      <c r="AB983" s="428"/>
      <c r="AC983" s="428"/>
      <c r="AD983" s="428"/>
      <c r="AE983" s="428"/>
      <c r="AF983" s="428"/>
      <c r="AG983" s="428"/>
      <c r="AH983" s="428"/>
      <c r="AI983" s="428"/>
      <c r="AJ983" s="428"/>
      <c r="AK983" s="428"/>
      <c r="AL983" s="428"/>
      <c r="AM983" s="326"/>
    </row>
    <row r="984" spans="1:39" ht="15" hidden="1" customHeight="1" outlineLevel="1">
      <c r="A984" s="539"/>
      <c r="B984" s="301" t="s">
        <v>10</v>
      </c>
      <c r="C984" s="302"/>
      <c r="D984" s="302"/>
      <c r="E984" s="302"/>
      <c r="F984" s="302"/>
      <c r="G984" s="302"/>
      <c r="H984" s="302"/>
      <c r="I984" s="302"/>
      <c r="J984" s="302"/>
      <c r="K984" s="302"/>
      <c r="L984" s="302"/>
      <c r="M984" s="302"/>
      <c r="N984" s="303"/>
      <c r="O984" s="302"/>
      <c r="P984" s="302"/>
      <c r="Q984" s="302"/>
      <c r="R984" s="302"/>
      <c r="S984" s="302"/>
      <c r="T984" s="302"/>
      <c r="U984" s="302"/>
      <c r="V984" s="302"/>
      <c r="W984" s="302"/>
      <c r="X984" s="302"/>
      <c r="Y984" s="426"/>
      <c r="Z984" s="426"/>
      <c r="AA984" s="426"/>
      <c r="AB984" s="426"/>
      <c r="AC984" s="426"/>
      <c r="AD984" s="426"/>
      <c r="AE984" s="426"/>
      <c r="AF984" s="426"/>
      <c r="AG984" s="426"/>
      <c r="AH984" s="426"/>
      <c r="AI984" s="426"/>
      <c r="AJ984" s="426"/>
      <c r="AK984" s="426"/>
      <c r="AL984" s="426"/>
      <c r="AM984" s="305"/>
    </row>
    <row r="985" spans="1:39" ht="15" hidden="1" customHeight="1" outlineLevel="1">
      <c r="A985" s="539">
        <v>11</v>
      </c>
      <c r="B985" s="438" t="s">
        <v>104</v>
      </c>
      <c r="C985" s="304" t="s">
        <v>25</v>
      </c>
      <c r="D985" s="308"/>
      <c r="E985" s="308"/>
      <c r="F985" s="308"/>
      <c r="G985" s="308"/>
      <c r="H985" s="308"/>
      <c r="I985" s="308"/>
      <c r="J985" s="308"/>
      <c r="K985" s="308"/>
      <c r="L985" s="308"/>
      <c r="M985" s="308"/>
      <c r="N985" s="308">
        <v>12</v>
      </c>
      <c r="O985" s="308"/>
      <c r="P985" s="308"/>
      <c r="Q985" s="308"/>
      <c r="R985" s="308"/>
      <c r="S985" s="308"/>
      <c r="T985" s="308"/>
      <c r="U985" s="308"/>
      <c r="V985" s="308"/>
      <c r="W985" s="308"/>
      <c r="X985" s="308"/>
      <c r="Y985" s="436"/>
      <c r="Z985" s="427"/>
      <c r="AA985" s="427"/>
      <c r="AB985" s="427"/>
      <c r="AC985" s="427"/>
      <c r="AD985" s="427"/>
      <c r="AE985" s="427"/>
      <c r="AF985" s="427"/>
      <c r="AG985" s="427"/>
      <c r="AH985" s="427"/>
      <c r="AI985" s="427"/>
      <c r="AJ985" s="427"/>
      <c r="AK985" s="427"/>
      <c r="AL985" s="427"/>
      <c r="AM985" s="309">
        <f>SUM(Y985:AL985)</f>
        <v>0</v>
      </c>
    </row>
    <row r="986" spans="1:39" ht="15" hidden="1" customHeight="1" outlineLevel="1">
      <c r="A986" s="539"/>
      <c r="B986" s="307" t="s">
        <v>346</v>
      </c>
      <c r="C986" s="304" t="s">
        <v>163</v>
      </c>
      <c r="D986" s="308"/>
      <c r="E986" s="308"/>
      <c r="F986" s="308"/>
      <c r="G986" s="308"/>
      <c r="H986" s="308"/>
      <c r="I986" s="308"/>
      <c r="J986" s="308"/>
      <c r="K986" s="308"/>
      <c r="L986" s="308"/>
      <c r="M986" s="308"/>
      <c r="N986" s="308">
        <f>N985</f>
        <v>12</v>
      </c>
      <c r="O986" s="308"/>
      <c r="P986" s="308"/>
      <c r="Q986" s="308"/>
      <c r="R986" s="308"/>
      <c r="S986" s="308"/>
      <c r="T986" s="308"/>
      <c r="U986" s="308"/>
      <c r="V986" s="308"/>
      <c r="W986" s="308"/>
      <c r="X986" s="308"/>
      <c r="Y986" s="423">
        <f>Y985</f>
        <v>0</v>
      </c>
      <c r="Z986" s="423">
        <f t="shared" ref="Z986" si="2131">Z985</f>
        <v>0</v>
      </c>
      <c r="AA986" s="423">
        <f t="shared" ref="AA986" si="2132">AA985</f>
        <v>0</v>
      </c>
      <c r="AB986" s="423">
        <f t="shared" ref="AB986" si="2133">AB985</f>
        <v>0</v>
      </c>
      <c r="AC986" s="423">
        <f t="shared" ref="AC986" si="2134">AC985</f>
        <v>0</v>
      </c>
      <c r="AD986" s="423">
        <f t="shared" ref="AD986" si="2135">AD985</f>
        <v>0</v>
      </c>
      <c r="AE986" s="423">
        <f t="shared" ref="AE986" si="2136">AE985</f>
        <v>0</v>
      </c>
      <c r="AF986" s="423">
        <f t="shared" ref="AF986" si="2137">AF985</f>
        <v>0</v>
      </c>
      <c r="AG986" s="423">
        <f t="shared" ref="AG986" si="2138">AG985</f>
        <v>0</v>
      </c>
      <c r="AH986" s="423">
        <f t="shared" ref="AH986" si="2139">AH985</f>
        <v>0</v>
      </c>
      <c r="AI986" s="423">
        <f t="shared" ref="AI986" si="2140">AI985</f>
        <v>0</v>
      </c>
      <c r="AJ986" s="423">
        <f t="shared" ref="AJ986" si="2141">AJ985</f>
        <v>0</v>
      </c>
      <c r="AK986" s="423">
        <f t="shared" ref="AK986" si="2142">AK985</f>
        <v>0</v>
      </c>
      <c r="AL986" s="423">
        <f t="shared" ref="AL986" si="2143">AL985</f>
        <v>0</v>
      </c>
      <c r="AM986" s="310"/>
    </row>
    <row r="987" spans="1:39" ht="15" hidden="1" customHeight="1" outlineLevel="1">
      <c r="A987" s="539"/>
      <c r="B987" s="328"/>
      <c r="C987" s="318"/>
      <c r="D987" s="304"/>
      <c r="E987" s="304"/>
      <c r="F987" s="304"/>
      <c r="G987" s="304"/>
      <c r="H987" s="304"/>
      <c r="I987" s="304"/>
      <c r="J987" s="304"/>
      <c r="K987" s="304"/>
      <c r="L987" s="304"/>
      <c r="M987" s="304"/>
      <c r="N987" s="304"/>
      <c r="O987" s="304"/>
      <c r="P987" s="304"/>
      <c r="Q987" s="304"/>
      <c r="R987" s="304"/>
      <c r="S987" s="304"/>
      <c r="T987" s="304"/>
      <c r="U987" s="304"/>
      <c r="V987" s="304"/>
      <c r="W987" s="304"/>
      <c r="X987" s="304"/>
      <c r="Y987" s="424"/>
      <c r="Z987" s="431"/>
      <c r="AA987" s="431"/>
      <c r="AB987" s="431"/>
      <c r="AC987" s="431"/>
      <c r="AD987" s="431"/>
      <c r="AE987" s="431"/>
      <c r="AF987" s="431"/>
      <c r="AG987" s="431"/>
      <c r="AH987" s="431"/>
      <c r="AI987" s="431"/>
      <c r="AJ987" s="431"/>
      <c r="AK987" s="431"/>
      <c r="AL987" s="431"/>
      <c r="AM987" s="319"/>
    </row>
    <row r="988" spans="1:39" ht="28.5" hidden="1" customHeight="1" outlineLevel="1">
      <c r="A988" s="539">
        <v>12</v>
      </c>
      <c r="B988" s="438" t="s">
        <v>105</v>
      </c>
      <c r="C988" s="304" t="s">
        <v>25</v>
      </c>
      <c r="D988" s="308"/>
      <c r="E988" s="308"/>
      <c r="F988" s="308"/>
      <c r="G988" s="308"/>
      <c r="H988" s="308"/>
      <c r="I988" s="308"/>
      <c r="J988" s="308"/>
      <c r="K988" s="308"/>
      <c r="L988" s="308"/>
      <c r="M988" s="308"/>
      <c r="N988" s="308">
        <v>12</v>
      </c>
      <c r="O988" s="308"/>
      <c r="P988" s="308"/>
      <c r="Q988" s="308"/>
      <c r="R988" s="308"/>
      <c r="S988" s="308"/>
      <c r="T988" s="308"/>
      <c r="U988" s="308"/>
      <c r="V988" s="308"/>
      <c r="W988" s="308"/>
      <c r="X988" s="308"/>
      <c r="Y988" s="422"/>
      <c r="Z988" s="427"/>
      <c r="AA988" s="427"/>
      <c r="AB988" s="427"/>
      <c r="AC988" s="427"/>
      <c r="AD988" s="427"/>
      <c r="AE988" s="427"/>
      <c r="AF988" s="427"/>
      <c r="AG988" s="427"/>
      <c r="AH988" s="427"/>
      <c r="AI988" s="427"/>
      <c r="AJ988" s="427"/>
      <c r="AK988" s="427"/>
      <c r="AL988" s="427"/>
      <c r="AM988" s="309">
        <f>SUM(Y988:AL988)</f>
        <v>0</v>
      </c>
    </row>
    <row r="989" spans="1:39" ht="15" hidden="1" customHeight="1" outlineLevel="1">
      <c r="A989" s="539"/>
      <c r="B989" s="307" t="s">
        <v>346</v>
      </c>
      <c r="C989" s="304" t="s">
        <v>163</v>
      </c>
      <c r="D989" s="308"/>
      <c r="E989" s="308"/>
      <c r="F989" s="308"/>
      <c r="G989" s="308"/>
      <c r="H989" s="308"/>
      <c r="I989" s="308"/>
      <c r="J989" s="308"/>
      <c r="K989" s="308"/>
      <c r="L989" s="308"/>
      <c r="M989" s="308"/>
      <c r="N989" s="308">
        <f>N988</f>
        <v>12</v>
      </c>
      <c r="O989" s="308"/>
      <c r="P989" s="308"/>
      <c r="Q989" s="308"/>
      <c r="R989" s="308"/>
      <c r="S989" s="308"/>
      <c r="T989" s="308"/>
      <c r="U989" s="308"/>
      <c r="V989" s="308"/>
      <c r="W989" s="308"/>
      <c r="X989" s="308"/>
      <c r="Y989" s="423">
        <f>Y988</f>
        <v>0</v>
      </c>
      <c r="Z989" s="423">
        <f t="shared" ref="Z989" si="2144">Z988</f>
        <v>0</v>
      </c>
      <c r="AA989" s="423">
        <f t="shared" ref="AA989" si="2145">AA988</f>
        <v>0</v>
      </c>
      <c r="AB989" s="423">
        <f t="shared" ref="AB989" si="2146">AB988</f>
        <v>0</v>
      </c>
      <c r="AC989" s="423">
        <f t="shared" ref="AC989" si="2147">AC988</f>
        <v>0</v>
      </c>
      <c r="AD989" s="423">
        <f t="shared" ref="AD989" si="2148">AD988</f>
        <v>0</v>
      </c>
      <c r="AE989" s="423">
        <f t="shared" ref="AE989" si="2149">AE988</f>
        <v>0</v>
      </c>
      <c r="AF989" s="423">
        <f t="shared" ref="AF989" si="2150">AF988</f>
        <v>0</v>
      </c>
      <c r="AG989" s="423">
        <f t="shared" ref="AG989" si="2151">AG988</f>
        <v>0</v>
      </c>
      <c r="AH989" s="423">
        <f t="shared" ref="AH989" si="2152">AH988</f>
        <v>0</v>
      </c>
      <c r="AI989" s="423">
        <f t="shared" ref="AI989" si="2153">AI988</f>
        <v>0</v>
      </c>
      <c r="AJ989" s="423">
        <f t="shared" ref="AJ989" si="2154">AJ988</f>
        <v>0</v>
      </c>
      <c r="AK989" s="423">
        <f t="shared" ref="AK989" si="2155">AK988</f>
        <v>0</v>
      </c>
      <c r="AL989" s="423">
        <f t="shared" ref="AL989" si="2156">AL988</f>
        <v>0</v>
      </c>
      <c r="AM989" s="310"/>
    </row>
    <row r="990" spans="1:39" ht="15" hidden="1" customHeight="1" outlineLevel="1">
      <c r="A990" s="539"/>
      <c r="B990" s="328"/>
      <c r="C990" s="318"/>
      <c r="D990" s="304"/>
      <c r="E990" s="304"/>
      <c r="F990" s="304"/>
      <c r="G990" s="304"/>
      <c r="H990" s="304"/>
      <c r="I990" s="304"/>
      <c r="J990" s="304"/>
      <c r="K990" s="304"/>
      <c r="L990" s="304"/>
      <c r="M990" s="304"/>
      <c r="N990" s="304"/>
      <c r="O990" s="304"/>
      <c r="P990" s="304"/>
      <c r="Q990" s="304"/>
      <c r="R990" s="304"/>
      <c r="S990" s="304"/>
      <c r="T990" s="304"/>
      <c r="U990" s="304"/>
      <c r="V990" s="304"/>
      <c r="W990" s="304"/>
      <c r="X990" s="304"/>
      <c r="Y990" s="432"/>
      <c r="Z990" s="432"/>
      <c r="AA990" s="424"/>
      <c r="AB990" s="424"/>
      <c r="AC990" s="424"/>
      <c r="AD990" s="424"/>
      <c r="AE990" s="424"/>
      <c r="AF990" s="424"/>
      <c r="AG990" s="424"/>
      <c r="AH990" s="424"/>
      <c r="AI990" s="424"/>
      <c r="AJ990" s="424"/>
      <c r="AK990" s="424"/>
      <c r="AL990" s="424"/>
      <c r="AM990" s="319"/>
    </row>
    <row r="991" spans="1:39" ht="15" hidden="1" customHeight="1" outlineLevel="1">
      <c r="A991" s="539">
        <v>13</v>
      </c>
      <c r="B991" s="438" t="s">
        <v>106</v>
      </c>
      <c r="C991" s="304" t="s">
        <v>25</v>
      </c>
      <c r="D991" s="308"/>
      <c r="E991" s="308"/>
      <c r="F991" s="308"/>
      <c r="G991" s="308"/>
      <c r="H991" s="308"/>
      <c r="I991" s="308"/>
      <c r="J991" s="308"/>
      <c r="K991" s="308"/>
      <c r="L991" s="308"/>
      <c r="M991" s="308"/>
      <c r="N991" s="308">
        <v>12</v>
      </c>
      <c r="O991" s="308"/>
      <c r="P991" s="308"/>
      <c r="Q991" s="308"/>
      <c r="R991" s="308"/>
      <c r="S991" s="308"/>
      <c r="T991" s="308"/>
      <c r="U991" s="308"/>
      <c r="V991" s="308"/>
      <c r="W991" s="308"/>
      <c r="X991" s="308"/>
      <c r="Y991" s="422"/>
      <c r="Z991" s="427"/>
      <c r="AA991" s="427"/>
      <c r="AB991" s="427"/>
      <c r="AC991" s="427"/>
      <c r="AD991" s="427"/>
      <c r="AE991" s="427"/>
      <c r="AF991" s="427"/>
      <c r="AG991" s="427"/>
      <c r="AH991" s="427"/>
      <c r="AI991" s="427"/>
      <c r="AJ991" s="427"/>
      <c r="AK991" s="427"/>
      <c r="AL991" s="427"/>
      <c r="AM991" s="309">
        <f>SUM(Y991:AL991)</f>
        <v>0</v>
      </c>
    </row>
    <row r="992" spans="1:39" ht="15" hidden="1" customHeight="1" outlineLevel="1">
      <c r="A992" s="539"/>
      <c r="B992" s="307" t="s">
        <v>346</v>
      </c>
      <c r="C992" s="304" t="s">
        <v>163</v>
      </c>
      <c r="D992" s="308"/>
      <c r="E992" s="308"/>
      <c r="F992" s="308"/>
      <c r="G992" s="308"/>
      <c r="H992" s="308"/>
      <c r="I992" s="308"/>
      <c r="J992" s="308"/>
      <c r="K992" s="308"/>
      <c r="L992" s="308"/>
      <c r="M992" s="308"/>
      <c r="N992" s="308">
        <f>N991</f>
        <v>12</v>
      </c>
      <c r="O992" s="308"/>
      <c r="P992" s="308"/>
      <c r="Q992" s="308"/>
      <c r="R992" s="308"/>
      <c r="S992" s="308"/>
      <c r="T992" s="308"/>
      <c r="U992" s="308"/>
      <c r="V992" s="308"/>
      <c r="W992" s="308"/>
      <c r="X992" s="308"/>
      <c r="Y992" s="423">
        <f>Y991</f>
        <v>0</v>
      </c>
      <c r="Z992" s="423">
        <f t="shared" ref="Z992" si="2157">Z991</f>
        <v>0</v>
      </c>
      <c r="AA992" s="423">
        <f t="shared" ref="AA992" si="2158">AA991</f>
        <v>0</v>
      </c>
      <c r="AB992" s="423">
        <f t="shared" ref="AB992" si="2159">AB991</f>
        <v>0</v>
      </c>
      <c r="AC992" s="423">
        <f t="shared" ref="AC992" si="2160">AC991</f>
        <v>0</v>
      </c>
      <c r="AD992" s="423">
        <f t="shared" ref="AD992" si="2161">AD991</f>
        <v>0</v>
      </c>
      <c r="AE992" s="423">
        <f t="shared" ref="AE992" si="2162">AE991</f>
        <v>0</v>
      </c>
      <c r="AF992" s="423">
        <f t="shared" ref="AF992" si="2163">AF991</f>
        <v>0</v>
      </c>
      <c r="AG992" s="423">
        <f t="shared" ref="AG992" si="2164">AG991</f>
        <v>0</v>
      </c>
      <c r="AH992" s="423">
        <f t="shared" ref="AH992" si="2165">AH991</f>
        <v>0</v>
      </c>
      <c r="AI992" s="423">
        <f t="shared" ref="AI992" si="2166">AI991</f>
        <v>0</v>
      </c>
      <c r="AJ992" s="423">
        <f t="shared" ref="AJ992" si="2167">AJ991</f>
        <v>0</v>
      </c>
      <c r="AK992" s="423">
        <f t="shared" ref="AK992" si="2168">AK991</f>
        <v>0</v>
      </c>
      <c r="AL992" s="423">
        <f t="shared" ref="AL992" si="2169">AL991</f>
        <v>0</v>
      </c>
      <c r="AM992" s="319"/>
    </row>
    <row r="993" spans="1:40" ht="15" hidden="1" customHeight="1" outlineLevel="1">
      <c r="A993" s="539"/>
      <c r="B993" s="328"/>
      <c r="C993" s="318"/>
      <c r="D993" s="304"/>
      <c r="E993" s="304"/>
      <c r="F993" s="304"/>
      <c r="G993" s="304"/>
      <c r="H993" s="304"/>
      <c r="I993" s="304"/>
      <c r="J993" s="304"/>
      <c r="K993" s="304"/>
      <c r="L993" s="304"/>
      <c r="M993" s="304"/>
      <c r="N993" s="304"/>
      <c r="O993" s="304"/>
      <c r="P993" s="304"/>
      <c r="Q993" s="304"/>
      <c r="R993" s="304"/>
      <c r="S993" s="304"/>
      <c r="T993" s="304"/>
      <c r="U993" s="304"/>
      <c r="V993" s="304"/>
      <c r="W993" s="304"/>
      <c r="X993" s="304"/>
      <c r="Y993" s="424"/>
      <c r="Z993" s="424"/>
      <c r="AA993" s="424"/>
      <c r="AB993" s="424"/>
      <c r="AC993" s="424"/>
      <c r="AD993" s="424"/>
      <c r="AE993" s="424"/>
      <c r="AF993" s="424"/>
      <c r="AG993" s="424"/>
      <c r="AH993" s="424"/>
      <c r="AI993" s="424"/>
      <c r="AJ993" s="424"/>
      <c r="AK993" s="424"/>
      <c r="AL993" s="424"/>
      <c r="AM993" s="319"/>
    </row>
    <row r="994" spans="1:40" ht="15" hidden="1" customHeight="1" outlineLevel="1">
      <c r="A994" s="539"/>
      <c r="B994" s="301" t="s">
        <v>107</v>
      </c>
      <c r="C994" s="302"/>
      <c r="D994" s="303"/>
      <c r="E994" s="303"/>
      <c r="F994" s="303"/>
      <c r="G994" s="303"/>
      <c r="H994" s="303"/>
      <c r="I994" s="303"/>
      <c r="J994" s="303"/>
      <c r="K994" s="303"/>
      <c r="L994" s="303"/>
      <c r="M994" s="303"/>
      <c r="N994" s="303"/>
      <c r="O994" s="303"/>
      <c r="P994" s="302"/>
      <c r="Q994" s="302"/>
      <c r="R994" s="302"/>
      <c r="S994" s="302"/>
      <c r="T994" s="302"/>
      <c r="U994" s="302"/>
      <c r="V994" s="302"/>
      <c r="W994" s="302"/>
      <c r="X994" s="302"/>
      <c r="Y994" s="426"/>
      <c r="Z994" s="426"/>
      <c r="AA994" s="426"/>
      <c r="AB994" s="426"/>
      <c r="AC994" s="426"/>
      <c r="AD994" s="426"/>
      <c r="AE994" s="426"/>
      <c r="AF994" s="426"/>
      <c r="AG994" s="426"/>
      <c r="AH994" s="426"/>
      <c r="AI994" s="426"/>
      <c r="AJ994" s="426"/>
      <c r="AK994" s="426"/>
      <c r="AL994" s="426"/>
      <c r="AM994" s="305"/>
    </row>
    <row r="995" spans="1:40" ht="15" hidden="1" customHeight="1" outlineLevel="1">
      <c r="A995" s="539">
        <v>14</v>
      </c>
      <c r="B995" s="328" t="s">
        <v>108</v>
      </c>
      <c r="C995" s="304" t="s">
        <v>25</v>
      </c>
      <c r="D995" s="308"/>
      <c r="E995" s="308"/>
      <c r="F995" s="308"/>
      <c r="G995" s="308"/>
      <c r="H995" s="308"/>
      <c r="I995" s="308"/>
      <c r="J995" s="308"/>
      <c r="K995" s="308"/>
      <c r="L995" s="308"/>
      <c r="M995" s="308"/>
      <c r="N995" s="308">
        <v>12</v>
      </c>
      <c r="O995" s="308"/>
      <c r="P995" s="308"/>
      <c r="Q995" s="308"/>
      <c r="R995" s="308"/>
      <c r="S995" s="308"/>
      <c r="T995" s="308"/>
      <c r="U995" s="308"/>
      <c r="V995" s="308"/>
      <c r="W995" s="308"/>
      <c r="X995" s="308"/>
      <c r="Y995" s="422"/>
      <c r="Z995" s="422"/>
      <c r="AA995" s="422"/>
      <c r="AB995" s="422"/>
      <c r="AC995" s="422"/>
      <c r="AD995" s="422"/>
      <c r="AE995" s="422"/>
      <c r="AF995" s="422"/>
      <c r="AG995" s="422"/>
      <c r="AH995" s="422"/>
      <c r="AI995" s="422"/>
      <c r="AJ995" s="422"/>
      <c r="AK995" s="422"/>
      <c r="AL995" s="422"/>
      <c r="AM995" s="309">
        <f>SUM(Y995:AL995)</f>
        <v>0</v>
      </c>
    </row>
    <row r="996" spans="1:40" ht="15" hidden="1" customHeight="1" outlineLevel="1">
      <c r="A996" s="539"/>
      <c r="B996" s="307" t="s">
        <v>346</v>
      </c>
      <c r="C996" s="304" t="s">
        <v>163</v>
      </c>
      <c r="D996" s="308"/>
      <c r="E996" s="308"/>
      <c r="F996" s="308"/>
      <c r="G996" s="308"/>
      <c r="H996" s="308"/>
      <c r="I996" s="308"/>
      <c r="J996" s="308"/>
      <c r="K996" s="308"/>
      <c r="L996" s="308"/>
      <c r="M996" s="308"/>
      <c r="N996" s="308">
        <f>N995</f>
        <v>12</v>
      </c>
      <c r="O996" s="308"/>
      <c r="P996" s="308"/>
      <c r="Q996" s="308"/>
      <c r="R996" s="308"/>
      <c r="S996" s="308"/>
      <c r="T996" s="308"/>
      <c r="U996" s="308"/>
      <c r="V996" s="308"/>
      <c r="W996" s="308"/>
      <c r="X996" s="308"/>
      <c r="Y996" s="423">
        <f>Y995</f>
        <v>0</v>
      </c>
      <c r="Z996" s="423">
        <f t="shared" ref="Z996" si="2170">Z995</f>
        <v>0</v>
      </c>
      <c r="AA996" s="423">
        <f t="shared" ref="AA996" si="2171">AA995</f>
        <v>0</v>
      </c>
      <c r="AB996" s="423">
        <f t="shared" ref="AB996" si="2172">AB995</f>
        <v>0</v>
      </c>
      <c r="AC996" s="423">
        <f t="shared" ref="AC996" si="2173">AC995</f>
        <v>0</v>
      </c>
      <c r="AD996" s="423">
        <f t="shared" ref="AD996" si="2174">AD995</f>
        <v>0</v>
      </c>
      <c r="AE996" s="423">
        <f t="shared" ref="AE996" si="2175">AE995</f>
        <v>0</v>
      </c>
      <c r="AF996" s="423">
        <f t="shared" ref="AF996" si="2176">AF995</f>
        <v>0</v>
      </c>
      <c r="AG996" s="423">
        <f t="shared" ref="AG996" si="2177">AG995</f>
        <v>0</v>
      </c>
      <c r="AH996" s="423">
        <f t="shared" ref="AH996" si="2178">AH995</f>
        <v>0</v>
      </c>
      <c r="AI996" s="423">
        <f t="shared" ref="AI996" si="2179">AI995</f>
        <v>0</v>
      </c>
      <c r="AJ996" s="423">
        <f t="shared" ref="AJ996" si="2180">AJ995</f>
        <v>0</v>
      </c>
      <c r="AK996" s="423">
        <f t="shared" ref="AK996" si="2181">AK995</f>
        <v>0</v>
      </c>
      <c r="AL996" s="423">
        <f t="shared" ref="AL996" si="2182">AL995</f>
        <v>0</v>
      </c>
      <c r="AM996" s="310"/>
    </row>
    <row r="997" spans="1:40" ht="15" hidden="1" customHeight="1" outlineLevel="1">
      <c r="A997" s="539"/>
      <c r="B997" s="328"/>
      <c r="C997" s="318"/>
      <c r="D997" s="304"/>
      <c r="E997" s="304"/>
      <c r="F997" s="304"/>
      <c r="G997" s="304"/>
      <c r="H997" s="304"/>
      <c r="I997" s="304"/>
      <c r="J997" s="304"/>
      <c r="K997" s="304"/>
      <c r="L997" s="304"/>
      <c r="M997" s="304"/>
      <c r="N997" s="477"/>
      <c r="O997" s="304"/>
      <c r="P997" s="304"/>
      <c r="Q997" s="304"/>
      <c r="R997" s="304"/>
      <c r="S997" s="304"/>
      <c r="T997" s="304"/>
      <c r="U997" s="304"/>
      <c r="V997" s="304"/>
      <c r="W997" s="304"/>
      <c r="X997" s="304"/>
      <c r="Y997" s="424"/>
      <c r="Z997" s="424"/>
      <c r="AA997" s="424"/>
      <c r="AB997" s="424"/>
      <c r="AC997" s="424"/>
      <c r="AD997" s="424"/>
      <c r="AE997" s="424"/>
      <c r="AF997" s="424"/>
      <c r="AG997" s="424"/>
      <c r="AH997" s="424"/>
      <c r="AI997" s="424"/>
      <c r="AJ997" s="424"/>
      <c r="AK997" s="424"/>
      <c r="AL997" s="424"/>
      <c r="AM997" s="314"/>
      <c r="AN997" s="636"/>
    </row>
    <row r="998" spans="1:40" s="322" customFormat="1" ht="15.6" hidden="1" outlineLevel="1">
      <c r="A998" s="539"/>
      <c r="B998" s="301" t="s">
        <v>489</v>
      </c>
      <c r="C998" s="304"/>
      <c r="D998" s="304"/>
      <c r="E998" s="304"/>
      <c r="F998" s="304"/>
      <c r="G998" s="304"/>
      <c r="H998" s="304"/>
      <c r="I998" s="304"/>
      <c r="J998" s="304"/>
      <c r="K998" s="304"/>
      <c r="L998" s="304"/>
      <c r="M998" s="304"/>
      <c r="N998" s="304"/>
      <c r="O998" s="304"/>
      <c r="P998" s="304"/>
      <c r="Q998" s="304"/>
      <c r="R998" s="304"/>
      <c r="S998" s="304"/>
      <c r="T998" s="304"/>
      <c r="U998" s="304"/>
      <c r="V998" s="304"/>
      <c r="W998" s="304"/>
      <c r="X998" s="304"/>
      <c r="Y998" s="424"/>
      <c r="Z998" s="424"/>
      <c r="AA998" s="424"/>
      <c r="AB998" s="424"/>
      <c r="AC998" s="424"/>
      <c r="AD998" s="424"/>
      <c r="AE998" s="428"/>
      <c r="AF998" s="428"/>
      <c r="AG998" s="428"/>
      <c r="AH998" s="428"/>
      <c r="AI998" s="428"/>
      <c r="AJ998" s="428"/>
      <c r="AK998" s="428"/>
      <c r="AL998" s="428"/>
      <c r="AM998" s="524"/>
      <c r="AN998" s="637"/>
    </row>
    <row r="999" spans="1:40" ht="15" hidden="1" outlineLevel="1">
      <c r="A999" s="539">
        <v>15</v>
      </c>
      <c r="B999" s="307" t="s">
        <v>494</v>
      </c>
      <c r="C999" s="304" t="s">
        <v>25</v>
      </c>
      <c r="D999" s="308"/>
      <c r="E999" s="308"/>
      <c r="F999" s="308"/>
      <c r="G999" s="308"/>
      <c r="H999" s="308"/>
      <c r="I999" s="308"/>
      <c r="J999" s="308"/>
      <c r="K999" s="308"/>
      <c r="L999" s="308"/>
      <c r="M999" s="308"/>
      <c r="N999" s="308">
        <v>0</v>
      </c>
      <c r="O999" s="308"/>
      <c r="P999" s="308"/>
      <c r="Q999" s="308"/>
      <c r="R999" s="308"/>
      <c r="S999" s="308"/>
      <c r="T999" s="308"/>
      <c r="U999" s="308"/>
      <c r="V999" s="308"/>
      <c r="W999" s="308"/>
      <c r="X999" s="308"/>
      <c r="Y999" s="422"/>
      <c r="Z999" s="422"/>
      <c r="AA999" s="422"/>
      <c r="AB999" s="422"/>
      <c r="AC999" s="422"/>
      <c r="AD999" s="422"/>
      <c r="AE999" s="422"/>
      <c r="AF999" s="422"/>
      <c r="AG999" s="422"/>
      <c r="AH999" s="422"/>
      <c r="AI999" s="422"/>
      <c r="AJ999" s="422"/>
      <c r="AK999" s="422"/>
      <c r="AL999" s="422"/>
      <c r="AM999" s="638">
        <f>SUM(Y999:AL999)</f>
        <v>0</v>
      </c>
      <c r="AN999" s="636"/>
    </row>
    <row r="1000" spans="1:40" ht="15" hidden="1" outlineLevel="1">
      <c r="A1000" s="539"/>
      <c r="B1000" s="307" t="s">
        <v>342</v>
      </c>
      <c r="C1000" s="304" t="s">
        <v>163</v>
      </c>
      <c r="D1000" s="308"/>
      <c r="E1000" s="308"/>
      <c r="F1000" s="308"/>
      <c r="G1000" s="308"/>
      <c r="H1000" s="308"/>
      <c r="I1000" s="308"/>
      <c r="J1000" s="308"/>
      <c r="K1000" s="308"/>
      <c r="L1000" s="308"/>
      <c r="M1000" s="308"/>
      <c r="N1000" s="308">
        <f>N999</f>
        <v>0</v>
      </c>
      <c r="O1000" s="308"/>
      <c r="P1000" s="308"/>
      <c r="Q1000" s="308"/>
      <c r="R1000" s="308"/>
      <c r="S1000" s="308"/>
      <c r="T1000" s="308"/>
      <c r="U1000" s="308"/>
      <c r="V1000" s="308"/>
      <c r="W1000" s="308"/>
      <c r="X1000" s="308"/>
      <c r="Y1000" s="423">
        <f>Y999</f>
        <v>0</v>
      </c>
      <c r="Z1000" s="423">
        <f>Z999</f>
        <v>0</v>
      </c>
      <c r="AA1000" s="423">
        <f t="shared" ref="AA1000:AL1000" si="2183">AA999</f>
        <v>0</v>
      </c>
      <c r="AB1000" s="423">
        <f t="shared" si="2183"/>
        <v>0</v>
      </c>
      <c r="AC1000" s="423">
        <f t="shared" si="2183"/>
        <v>0</v>
      </c>
      <c r="AD1000" s="423">
        <f>AD999</f>
        <v>0</v>
      </c>
      <c r="AE1000" s="423">
        <f t="shared" si="2183"/>
        <v>0</v>
      </c>
      <c r="AF1000" s="423">
        <f t="shared" si="2183"/>
        <v>0</v>
      </c>
      <c r="AG1000" s="423">
        <f t="shared" si="2183"/>
        <v>0</v>
      </c>
      <c r="AH1000" s="423">
        <f t="shared" si="2183"/>
        <v>0</v>
      </c>
      <c r="AI1000" s="423">
        <f t="shared" si="2183"/>
        <v>0</v>
      </c>
      <c r="AJ1000" s="423">
        <f t="shared" si="2183"/>
        <v>0</v>
      </c>
      <c r="AK1000" s="423">
        <f t="shared" si="2183"/>
        <v>0</v>
      </c>
      <c r="AL1000" s="423">
        <f t="shared" si="2183"/>
        <v>0</v>
      </c>
      <c r="AM1000" s="310"/>
    </row>
    <row r="1001" spans="1:40" ht="15" hidden="1" outlineLevel="1">
      <c r="A1001" s="539"/>
      <c r="B1001" s="328"/>
      <c r="C1001" s="318"/>
      <c r="D1001" s="304"/>
      <c r="E1001" s="304"/>
      <c r="F1001" s="304"/>
      <c r="G1001" s="304"/>
      <c r="H1001" s="304"/>
      <c r="I1001" s="304"/>
      <c r="J1001" s="304"/>
      <c r="K1001" s="304"/>
      <c r="L1001" s="304"/>
      <c r="M1001" s="304"/>
      <c r="N1001" s="304"/>
      <c r="O1001" s="304"/>
      <c r="P1001" s="304"/>
      <c r="Q1001" s="304"/>
      <c r="R1001" s="304"/>
      <c r="S1001" s="304"/>
      <c r="T1001" s="304"/>
      <c r="U1001" s="304"/>
      <c r="V1001" s="304"/>
      <c r="W1001" s="304"/>
      <c r="X1001" s="304"/>
      <c r="Y1001" s="424"/>
      <c r="Z1001" s="424"/>
      <c r="AA1001" s="424"/>
      <c r="AB1001" s="424"/>
      <c r="AC1001" s="424"/>
      <c r="AD1001" s="424"/>
      <c r="AE1001" s="424"/>
      <c r="AF1001" s="424"/>
      <c r="AG1001" s="424"/>
      <c r="AH1001" s="424"/>
      <c r="AI1001" s="424"/>
      <c r="AJ1001" s="424"/>
      <c r="AK1001" s="424"/>
      <c r="AL1001" s="424"/>
      <c r="AM1001" s="319"/>
    </row>
    <row r="1002" spans="1:40" s="296" customFormat="1" ht="15" hidden="1" outlineLevel="1">
      <c r="A1002" s="539">
        <v>16</v>
      </c>
      <c r="B1002" s="336" t="s">
        <v>490</v>
      </c>
      <c r="C1002" s="304" t="s">
        <v>25</v>
      </c>
      <c r="D1002" s="308"/>
      <c r="E1002" s="308"/>
      <c r="F1002" s="308"/>
      <c r="G1002" s="308"/>
      <c r="H1002" s="308"/>
      <c r="I1002" s="308"/>
      <c r="J1002" s="308"/>
      <c r="K1002" s="308"/>
      <c r="L1002" s="308"/>
      <c r="M1002" s="308"/>
      <c r="N1002" s="308">
        <v>0</v>
      </c>
      <c r="O1002" s="308"/>
      <c r="P1002" s="308"/>
      <c r="Q1002" s="308"/>
      <c r="R1002" s="308"/>
      <c r="S1002" s="308"/>
      <c r="T1002" s="308"/>
      <c r="U1002" s="308"/>
      <c r="V1002" s="308"/>
      <c r="W1002" s="308"/>
      <c r="X1002" s="308"/>
      <c r="Y1002" s="422"/>
      <c r="Z1002" s="422"/>
      <c r="AA1002" s="422"/>
      <c r="AB1002" s="422"/>
      <c r="AC1002" s="422"/>
      <c r="AD1002" s="422"/>
      <c r="AE1002" s="422"/>
      <c r="AF1002" s="422"/>
      <c r="AG1002" s="422"/>
      <c r="AH1002" s="422"/>
      <c r="AI1002" s="422"/>
      <c r="AJ1002" s="422"/>
      <c r="AK1002" s="422"/>
      <c r="AL1002" s="422"/>
      <c r="AM1002" s="309">
        <f>SUM(Y1002:AL1002)</f>
        <v>0</v>
      </c>
    </row>
    <row r="1003" spans="1:40" s="296" customFormat="1" ht="15" hidden="1" outlineLevel="1">
      <c r="A1003" s="539"/>
      <c r="B1003" s="307" t="s">
        <v>342</v>
      </c>
      <c r="C1003" s="304" t="s">
        <v>163</v>
      </c>
      <c r="D1003" s="308"/>
      <c r="E1003" s="308"/>
      <c r="F1003" s="308"/>
      <c r="G1003" s="308"/>
      <c r="H1003" s="308"/>
      <c r="I1003" s="308"/>
      <c r="J1003" s="308"/>
      <c r="K1003" s="308"/>
      <c r="L1003" s="308"/>
      <c r="M1003" s="308"/>
      <c r="N1003" s="308">
        <f>N1002</f>
        <v>0</v>
      </c>
      <c r="O1003" s="308"/>
      <c r="P1003" s="308"/>
      <c r="Q1003" s="308"/>
      <c r="R1003" s="308"/>
      <c r="S1003" s="308"/>
      <c r="T1003" s="308"/>
      <c r="U1003" s="308"/>
      <c r="V1003" s="308"/>
      <c r="W1003" s="308"/>
      <c r="X1003" s="308"/>
      <c r="Y1003" s="423">
        <f>Y1002</f>
        <v>0</v>
      </c>
      <c r="Z1003" s="423">
        <f t="shared" ref="Z1003:AK1003" si="2184">Z1002</f>
        <v>0</v>
      </c>
      <c r="AA1003" s="423">
        <f t="shared" si="2184"/>
        <v>0</v>
      </c>
      <c r="AB1003" s="423">
        <f t="shared" si="2184"/>
        <v>0</v>
      </c>
      <c r="AC1003" s="423">
        <f t="shared" si="2184"/>
        <v>0</v>
      </c>
      <c r="AD1003" s="423">
        <f t="shared" si="2184"/>
        <v>0</v>
      </c>
      <c r="AE1003" s="423">
        <f t="shared" si="2184"/>
        <v>0</v>
      </c>
      <c r="AF1003" s="423">
        <f t="shared" si="2184"/>
        <v>0</v>
      </c>
      <c r="AG1003" s="423">
        <f t="shared" si="2184"/>
        <v>0</v>
      </c>
      <c r="AH1003" s="423">
        <f t="shared" si="2184"/>
        <v>0</v>
      </c>
      <c r="AI1003" s="423">
        <f t="shared" si="2184"/>
        <v>0</v>
      </c>
      <c r="AJ1003" s="423">
        <f t="shared" si="2184"/>
        <v>0</v>
      </c>
      <c r="AK1003" s="423">
        <f t="shared" si="2184"/>
        <v>0</v>
      </c>
      <c r="AL1003" s="423">
        <f>AL1002</f>
        <v>0</v>
      </c>
      <c r="AM1003" s="310"/>
    </row>
    <row r="1004" spans="1:40" s="296" customFormat="1" ht="15" hidden="1" outlineLevel="1">
      <c r="A1004" s="539"/>
      <c r="B1004" s="336"/>
      <c r="C1004" s="304"/>
      <c r="D1004" s="304"/>
      <c r="E1004" s="304"/>
      <c r="F1004" s="304"/>
      <c r="G1004" s="304"/>
      <c r="H1004" s="304"/>
      <c r="I1004" s="304"/>
      <c r="J1004" s="304"/>
      <c r="K1004" s="304"/>
      <c r="L1004" s="304"/>
      <c r="M1004" s="304"/>
      <c r="N1004" s="304"/>
      <c r="O1004" s="304"/>
      <c r="P1004" s="304"/>
      <c r="Q1004" s="304"/>
      <c r="R1004" s="304"/>
      <c r="S1004" s="304"/>
      <c r="T1004" s="304"/>
      <c r="U1004" s="304"/>
      <c r="V1004" s="304"/>
      <c r="W1004" s="304"/>
      <c r="X1004" s="304"/>
      <c r="Y1004" s="424"/>
      <c r="Z1004" s="424"/>
      <c r="AA1004" s="424"/>
      <c r="AB1004" s="424"/>
      <c r="AC1004" s="424"/>
      <c r="AD1004" s="424"/>
      <c r="AE1004" s="428"/>
      <c r="AF1004" s="428"/>
      <c r="AG1004" s="428"/>
      <c r="AH1004" s="428"/>
      <c r="AI1004" s="428"/>
      <c r="AJ1004" s="428"/>
      <c r="AK1004" s="428"/>
      <c r="AL1004" s="428"/>
      <c r="AM1004" s="326"/>
    </row>
    <row r="1005" spans="1:40" ht="15.6" hidden="1" outlineLevel="1">
      <c r="A1005" s="539"/>
      <c r="B1005" s="526" t="s">
        <v>495</v>
      </c>
      <c r="C1005" s="332"/>
      <c r="D1005" s="303"/>
      <c r="E1005" s="302"/>
      <c r="F1005" s="302"/>
      <c r="G1005" s="302"/>
      <c r="H1005" s="302"/>
      <c r="I1005" s="302"/>
      <c r="J1005" s="302"/>
      <c r="K1005" s="302"/>
      <c r="L1005" s="302"/>
      <c r="M1005" s="302"/>
      <c r="N1005" s="303"/>
      <c r="O1005" s="302"/>
      <c r="P1005" s="302"/>
      <c r="Q1005" s="302"/>
      <c r="R1005" s="302"/>
      <c r="S1005" s="302"/>
      <c r="T1005" s="302"/>
      <c r="U1005" s="302"/>
      <c r="V1005" s="302"/>
      <c r="W1005" s="302"/>
      <c r="X1005" s="302"/>
      <c r="Y1005" s="426"/>
      <c r="Z1005" s="426"/>
      <c r="AA1005" s="426"/>
      <c r="AB1005" s="426"/>
      <c r="AC1005" s="426"/>
      <c r="AD1005" s="426"/>
      <c r="AE1005" s="426"/>
      <c r="AF1005" s="426"/>
      <c r="AG1005" s="426"/>
      <c r="AH1005" s="426"/>
      <c r="AI1005" s="426"/>
      <c r="AJ1005" s="426"/>
      <c r="AK1005" s="426"/>
      <c r="AL1005" s="426"/>
      <c r="AM1005" s="305"/>
    </row>
    <row r="1006" spans="1:40" ht="15" hidden="1" outlineLevel="1">
      <c r="A1006" s="539">
        <v>17</v>
      </c>
      <c r="B1006" s="438" t="s">
        <v>112</v>
      </c>
      <c r="C1006" s="304" t="s">
        <v>25</v>
      </c>
      <c r="D1006" s="308"/>
      <c r="E1006" s="308"/>
      <c r="F1006" s="308"/>
      <c r="G1006" s="308"/>
      <c r="H1006" s="308"/>
      <c r="I1006" s="308"/>
      <c r="J1006" s="308"/>
      <c r="K1006" s="308"/>
      <c r="L1006" s="308"/>
      <c r="M1006" s="308"/>
      <c r="N1006" s="308">
        <v>12</v>
      </c>
      <c r="O1006" s="308"/>
      <c r="P1006" s="308"/>
      <c r="Q1006" s="308"/>
      <c r="R1006" s="308"/>
      <c r="S1006" s="308"/>
      <c r="T1006" s="308"/>
      <c r="U1006" s="308"/>
      <c r="V1006" s="308"/>
      <c r="W1006" s="308"/>
      <c r="X1006" s="308"/>
      <c r="Y1006" s="436"/>
      <c r="Z1006" s="422"/>
      <c r="AA1006" s="422"/>
      <c r="AB1006" s="422"/>
      <c r="AC1006" s="422"/>
      <c r="AD1006" s="422"/>
      <c r="AE1006" s="422"/>
      <c r="AF1006" s="427"/>
      <c r="AG1006" s="427"/>
      <c r="AH1006" s="427"/>
      <c r="AI1006" s="427"/>
      <c r="AJ1006" s="427"/>
      <c r="AK1006" s="427"/>
      <c r="AL1006" s="427"/>
      <c r="AM1006" s="309">
        <f>SUM(Y1006:AL1006)</f>
        <v>0</v>
      </c>
    </row>
    <row r="1007" spans="1:40" ht="15" hidden="1" outlineLevel="1">
      <c r="A1007" s="539"/>
      <c r="B1007" s="307" t="s">
        <v>342</v>
      </c>
      <c r="C1007" s="304" t="s">
        <v>163</v>
      </c>
      <c r="D1007" s="308"/>
      <c r="E1007" s="308"/>
      <c r="F1007" s="308"/>
      <c r="G1007" s="308"/>
      <c r="H1007" s="308"/>
      <c r="I1007" s="308"/>
      <c r="J1007" s="308"/>
      <c r="K1007" s="308"/>
      <c r="L1007" s="308"/>
      <c r="M1007" s="308"/>
      <c r="N1007" s="308">
        <f>N1006</f>
        <v>12</v>
      </c>
      <c r="O1007" s="308"/>
      <c r="P1007" s="308"/>
      <c r="Q1007" s="308"/>
      <c r="R1007" s="308"/>
      <c r="S1007" s="308"/>
      <c r="T1007" s="308"/>
      <c r="U1007" s="308"/>
      <c r="V1007" s="308"/>
      <c r="W1007" s="308"/>
      <c r="X1007" s="308"/>
      <c r="Y1007" s="423">
        <f>Y1006</f>
        <v>0</v>
      </c>
      <c r="Z1007" s="423">
        <f t="shared" ref="Z1007:AL1007" si="2185">Z1006</f>
        <v>0</v>
      </c>
      <c r="AA1007" s="423">
        <f t="shared" si="2185"/>
        <v>0</v>
      </c>
      <c r="AB1007" s="423">
        <f t="shared" si="2185"/>
        <v>0</v>
      </c>
      <c r="AC1007" s="423">
        <f t="shared" si="2185"/>
        <v>0</v>
      </c>
      <c r="AD1007" s="423">
        <f t="shared" si="2185"/>
        <v>0</v>
      </c>
      <c r="AE1007" s="423">
        <f t="shared" si="2185"/>
        <v>0</v>
      </c>
      <c r="AF1007" s="423">
        <f t="shared" si="2185"/>
        <v>0</v>
      </c>
      <c r="AG1007" s="423">
        <f t="shared" si="2185"/>
        <v>0</v>
      </c>
      <c r="AH1007" s="423">
        <f t="shared" si="2185"/>
        <v>0</v>
      </c>
      <c r="AI1007" s="423">
        <f t="shared" si="2185"/>
        <v>0</v>
      </c>
      <c r="AJ1007" s="423">
        <f t="shared" si="2185"/>
        <v>0</v>
      </c>
      <c r="AK1007" s="423">
        <f t="shared" si="2185"/>
        <v>0</v>
      </c>
      <c r="AL1007" s="423">
        <f t="shared" si="2185"/>
        <v>0</v>
      </c>
      <c r="AM1007" s="319"/>
    </row>
    <row r="1008" spans="1:40" ht="15" hidden="1" outlineLevel="1">
      <c r="A1008" s="539"/>
      <c r="B1008" s="307"/>
      <c r="C1008" s="304"/>
      <c r="D1008" s="304"/>
      <c r="E1008" s="304"/>
      <c r="F1008" s="304"/>
      <c r="G1008" s="304"/>
      <c r="H1008" s="304"/>
      <c r="I1008" s="304"/>
      <c r="J1008" s="304"/>
      <c r="K1008" s="304"/>
      <c r="L1008" s="304"/>
      <c r="M1008" s="304"/>
      <c r="N1008" s="304"/>
      <c r="O1008" s="304"/>
      <c r="P1008" s="304"/>
      <c r="Q1008" s="304"/>
      <c r="R1008" s="304"/>
      <c r="S1008" s="304"/>
      <c r="T1008" s="304"/>
      <c r="U1008" s="304"/>
      <c r="V1008" s="304"/>
      <c r="W1008" s="304"/>
      <c r="X1008" s="304"/>
      <c r="Y1008" s="432"/>
      <c r="Z1008" s="435"/>
      <c r="AA1008" s="435"/>
      <c r="AB1008" s="435"/>
      <c r="AC1008" s="435"/>
      <c r="AD1008" s="435"/>
      <c r="AE1008" s="435"/>
      <c r="AF1008" s="435"/>
      <c r="AG1008" s="435"/>
      <c r="AH1008" s="435"/>
      <c r="AI1008" s="435"/>
      <c r="AJ1008" s="435"/>
      <c r="AK1008" s="435"/>
      <c r="AL1008" s="435"/>
      <c r="AM1008" s="319"/>
    </row>
    <row r="1009" spans="1:39" ht="15" hidden="1" outlineLevel="1">
      <c r="A1009" s="539">
        <v>18</v>
      </c>
      <c r="B1009" s="438" t="s">
        <v>109</v>
      </c>
      <c r="C1009" s="304" t="s">
        <v>25</v>
      </c>
      <c r="D1009" s="308"/>
      <c r="E1009" s="308"/>
      <c r="F1009" s="308"/>
      <c r="G1009" s="308"/>
      <c r="H1009" s="308"/>
      <c r="I1009" s="308"/>
      <c r="J1009" s="308"/>
      <c r="K1009" s="308"/>
      <c r="L1009" s="308"/>
      <c r="M1009" s="308"/>
      <c r="N1009" s="308">
        <v>12</v>
      </c>
      <c r="O1009" s="308"/>
      <c r="P1009" s="308"/>
      <c r="Q1009" s="308"/>
      <c r="R1009" s="308"/>
      <c r="S1009" s="308"/>
      <c r="T1009" s="308"/>
      <c r="U1009" s="308"/>
      <c r="V1009" s="308"/>
      <c r="W1009" s="308"/>
      <c r="X1009" s="308"/>
      <c r="Y1009" s="436"/>
      <c r="Z1009" s="422"/>
      <c r="AA1009" s="422"/>
      <c r="AB1009" s="422"/>
      <c r="AC1009" s="422"/>
      <c r="AD1009" s="422"/>
      <c r="AE1009" s="422"/>
      <c r="AF1009" s="427"/>
      <c r="AG1009" s="427"/>
      <c r="AH1009" s="427"/>
      <c r="AI1009" s="427"/>
      <c r="AJ1009" s="427"/>
      <c r="AK1009" s="427"/>
      <c r="AL1009" s="427"/>
      <c r="AM1009" s="309">
        <f>SUM(Y1009:AL1009)</f>
        <v>0</v>
      </c>
    </row>
    <row r="1010" spans="1:39" ht="15" hidden="1" outlineLevel="1">
      <c r="A1010" s="539"/>
      <c r="B1010" s="307" t="s">
        <v>342</v>
      </c>
      <c r="C1010" s="304" t="s">
        <v>163</v>
      </c>
      <c r="D1010" s="308"/>
      <c r="E1010" s="308"/>
      <c r="F1010" s="308"/>
      <c r="G1010" s="308"/>
      <c r="H1010" s="308"/>
      <c r="I1010" s="308"/>
      <c r="J1010" s="308"/>
      <c r="K1010" s="308"/>
      <c r="L1010" s="308"/>
      <c r="M1010" s="308"/>
      <c r="N1010" s="308">
        <f>N1009</f>
        <v>12</v>
      </c>
      <c r="O1010" s="308"/>
      <c r="P1010" s="308"/>
      <c r="Q1010" s="308"/>
      <c r="R1010" s="308"/>
      <c r="S1010" s="308"/>
      <c r="T1010" s="308"/>
      <c r="U1010" s="308"/>
      <c r="V1010" s="308"/>
      <c r="W1010" s="308"/>
      <c r="X1010" s="308"/>
      <c r="Y1010" s="423">
        <f>Y1009</f>
        <v>0</v>
      </c>
      <c r="Z1010" s="423">
        <f t="shared" ref="Z1010:AL1010" si="2186">Z1009</f>
        <v>0</v>
      </c>
      <c r="AA1010" s="423">
        <f t="shared" si="2186"/>
        <v>0</v>
      </c>
      <c r="AB1010" s="423">
        <f t="shared" si="2186"/>
        <v>0</v>
      </c>
      <c r="AC1010" s="423">
        <f t="shared" si="2186"/>
        <v>0</v>
      </c>
      <c r="AD1010" s="423">
        <f t="shared" si="2186"/>
        <v>0</v>
      </c>
      <c r="AE1010" s="423">
        <f t="shared" si="2186"/>
        <v>0</v>
      </c>
      <c r="AF1010" s="423">
        <f t="shared" si="2186"/>
        <v>0</v>
      </c>
      <c r="AG1010" s="423">
        <f t="shared" si="2186"/>
        <v>0</v>
      </c>
      <c r="AH1010" s="423">
        <f t="shared" si="2186"/>
        <v>0</v>
      </c>
      <c r="AI1010" s="423">
        <f t="shared" si="2186"/>
        <v>0</v>
      </c>
      <c r="AJ1010" s="423">
        <f t="shared" si="2186"/>
        <v>0</v>
      </c>
      <c r="AK1010" s="423">
        <f t="shared" si="2186"/>
        <v>0</v>
      </c>
      <c r="AL1010" s="423">
        <f t="shared" si="2186"/>
        <v>0</v>
      </c>
      <c r="AM1010" s="319"/>
    </row>
    <row r="1011" spans="1:39" ht="15" hidden="1" outlineLevel="1">
      <c r="A1011" s="539"/>
      <c r="B1011" s="334"/>
      <c r="C1011" s="304"/>
      <c r="D1011" s="304"/>
      <c r="E1011" s="304"/>
      <c r="F1011" s="304"/>
      <c r="G1011" s="304"/>
      <c r="H1011" s="304"/>
      <c r="I1011" s="304"/>
      <c r="J1011" s="304"/>
      <c r="K1011" s="304"/>
      <c r="L1011" s="304"/>
      <c r="M1011" s="304"/>
      <c r="N1011" s="304"/>
      <c r="O1011" s="304"/>
      <c r="P1011" s="304"/>
      <c r="Q1011" s="304"/>
      <c r="R1011" s="304"/>
      <c r="S1011" s="304"/>
      <c r="T1011" s="304"/>
      <c r="U1011" s="304"/>
      <c r="V1011" s="304"/>
      <c r="W1011" s="304"/>
      <c r="X1011" s="304"/>
      <c r="Y1011" s="433"/>
      <c r="Z1011" s="434"/>
      <c r="AA1011" s="434"/>
      <c r="AB1011" s="434"/>
      <c r="AC1011" s="434"/>
      <c r="AD1011" s="434"/>
      <c r="AE1011" s="434"/>
      <c r="AF1011" s="434"/>
      <c r="AG1011" s="434"/>
      <c r="AH1011" s="434"/>
      <c r="AI1011" s="434"/>
      <c r="AJ1011" s="434"/>
      <c r="AK1011" s="434"/>
      <c r="AL1011" s="434"/>
      <c r="AM1011" s="310"/>
    </row>
    <row r="1012" spans="1:39" ht="15" hidden="1" outlineLevel="1">
      <c r="A1012" s="539">
        <v>19</v>
      </c>
      <c r="B1012" s="438" t="s">
        <v>111</v>
      </c>
      <c r="C1012" s="304" t="s">
        <v>25</v>
      </c>
      <c r="D1012" s="308"/>
      <c r="E1012" s="308"/>
      <c r="F1012" s="308"/>
      <c r="G1012" s="308"/>
      <c r="H1012" s="308"/>
      <c r="I1012" s="308"/>
      <c r="J1012" s="308"/>
      <c r="K1012" s="308"/>
      <c r="L1012" s="308"/>
      <c r="M1012" s="308"/>
      <c r="N1012" s="308">
        <v>12</v>
      </c>
      <c r="O1012" s="308"/>
      <c r="P1012" s="308"/>
      <c r="Q1012" s="308"/>
      <c r="R1012" s="308"/>
      <c r="S1012" s="308"/>
      <c r="T1012" s="308"/>
      <c r="U1012" s="308"/>
      <c r="V1012" s="308"/>
      <c r="W1012" s="308"/>
      <c r="X1012" s="308"/>
      <c r="Y1012" s="436"/>
      <c r="Z1012" s="422"/>
      <c r="AA1012" s="422"/>
      <c r="AB1012" s="422"/>
      <c r="AC1012" s="422"/>
      <c r="AD1012" s="422"/>
      <c r="AE1012" s="422"/>
      <c r="AF1012" s="427"/>
      <c r="AG1012" s="427"/>
      <c r="AH1012" s="427"/>
      <c r="AI1012" s="427"/>
      <c r="AJ1012" s="427"/>
      <c r="AK1012" s="427"/>
      <c r="AL1012" s="427"/>
      <c r="AM1012" s="309">
        <f>SUM(Y1012:AL1012)</f>
        <v>0</v>
      </c>
    </row>
    <row r="1013" spans="1:39" ht="15" hidden="1" outlineLevel="1">
      <c r="A1013" s="539"/>
      <c r="B1013" s="307" t="s">
        <v>342</v>
      </c>
      <c r="C1013" s="304" t="s">
        <v>163</v>
      </c>
      <c r="D1013" s="308"/>
      <c r="E1013" s="308"/>
      <c r="F1013" s="308"/>
      <c r="G1013" s="308"/>
      <c r="H1013" s="308"/>
      <c r="I1013" s="308"/>
      <c r="J1013" s="308"/>
      <c r="K1013" s="308"/>
      <c r="L1013" s="308"/>
      <c r="M1013" s="308"/>
      <c r="N1013" s="308">
        <f>N1012</f>
        <v>12</v>
      </c>
      <c r="O1013" s="308"/>
      <c r="P1013" s="308"/>
      <c r="Q1013" s="308"/>
      <c r="R1013" s="308"/>
      <c r="S1013" s="308"/>
      <c r="T1013" s="308"/>
      <c r="U1013" s="308"/>
      <c r="V1013" s="308"/>
      <c r="W1013" s="308"/>
      <c r="X1013" s="308"/>
      <c r="Y1013" s="423">
        <f>Y1012</f>
        <v>0</v>
      </c>
      <c r="Z1013" s="423">
        <f t="shared" ref="Z1013:AL1013" si="2187">Z1012</f>
        <v>0</v>
      </c>
      <c r="AA1013" s="423">
        <f t="shared" si="2187"/>
        <v>0</v>
      </c>
      <c r="AB1013" s="423">
        <f t="shared" si="2187"/>
        <v>0</v>
      </c>
      <c r="AC1013" s="423">
        <f t="shared" si="2187"/>
        <v>0</v>
      </c>
      <c r="AD1013" s="423">
        <f t="shared" si="2187"/>
        <v>0</v>
      </c>
      <c r="AE1013" s="423">
        <f t="shared" si="2187"/>
        <v>0</v>
      </c>
      <c r="AF1013" s="423">
        <f t="shared" si="2187"/>
        <v>0</v>
      </c>
      <c r="AG1013" s="423">
        <f t="shared" si="2187"/>
        <v>0</v>
      </c>
      <c r="AH1013" s="423">
        <f t="shared" si="2187"/>
        <v>0</v>
      </c>
      <c r="AI1013" s="423">
        <f t="shared" si="2187"/>
        <v>0</v>
      </c>
      <c r="AJ1013" s="423">
        <f t="shared" si="2187"/>
        <v>0</v>
      </c>
      <c r="AK1013" s="423">
        <f t="shared" si="2187"/>
        <v>0</v>
      </c>
      <c r="AL1013" s="423">
        <f t="shared" si="2187"/>
        <v>0</v>
      </c>
      <c r="AM1013" s="310"/>
    </row>
    <row r="1014" spans="1:39" ht="15" hidden="1" outlineLevel="1">
      <c r="A1014" s="539"/>
      <c r="B1014" s="334"/>
      <c r="C1014" s="304"/>
      <c r="D1014" s="304"/>
      <c r="E1014" s="304"/>
      <c r="F1014" s="304"/>
      <c r="G1014" s="304"/>
      <c r="H1014" s="304"/>
      <c r="I1014" s="304"/>
      <c r="J1014" s="304"/>
      <c r="K1014" s="304"/>
      <c r="L1014" s="304"/>
      <c r="M1014" s="304"/>
      <c r="N1014" s="304"/>
      <c r="O1014" s="304"/>
      <c r="P1014" s="304"/>
      <c r="Q1014" s="304"/>
      <c r="R1014" s="304"/>
      <c r="S1014" s="304"/>
      <c r="T1014" s="304"/>
      <c r="U1014" s="304"/>
      <c r="V1014" s="304"/>
      <c r="W1014" s="304"/>
      <c r="X1014" s="304"/>
      <c r="Y1014" s="424"/>
      <c r="Z1014" s="424"/>
      <c r="AA1014" s="424"/>
      <c r="AB1014" s="424"/>
      <c r="AC1014" s="424"/>
      <c r="AD1014" s="424"/>
      <c r="AE1014" s="424"/>
      <c r="AF1014" s="424"/>
      <c r="AG1014" s="424"/>
      <c r="AH1014" s="424"/>
      <c r="AI1014" s="424"/>
      <c r="AJ1014" s="424"/>
      <c r="AK1014" s="424"/>
      <c r="AL1014" s="424"/>
      <c r="AM1014" s="319"/>
    </row>
    <row r="1015" spans="1:39" ht="15" hidden="1" outlineLevel="1">
      <c r="A1015" s="539">
        <v>20</v>
      </c>
      <c r="B1015" s="438" t="s">
        <v>110</v>
      </c>
      <c r="C1015" s="304" t="s">
        <v>25</v>
      </c>
      <c r="D1015" s="308"/>
      <c r="E1015" s="308"/>
      <c r="F1015" s="308"/>
      <c r="G1015" s="308"/>
      <c r="H1015" s="308"/>
      <c r="I1015" s="308"/>
      <c r="J1015" s="308"/>
      <c r="K1015" s="308"/>
      <c r="L1015" s="308"/>
      <c r="M1015" s="308"/>
      <c r="N1015" s="308">
        <v>12</v>
      </c>
      <c r="O1015" s="308"/>
      <c r="P1015" s="308"/>
      <c r="Q1015" s="308"/>
      <c r="R1015" s="308"/>
      <c r="S1015" s="308"/>
      <c r="T1015" s="308"/>
      <c r="U1015" s="308"/>
      <c r="V1015" s="308"/>
      <c r="W1015" s="308"/>
      <c r="X1015" s="308"/>
      <c r="Y1015" s="436"/>
      <c r="Z1015" s="422"/>
      <c r="AA1015" s="422"/>
      <c r="AB1015" s="422"/>
      <c r="AC1015" s="422"/>
      <c r="AD1015" s="422"/>
      <c r="AE1015" s="422"/>
      <c r="AF1015" s="427"/>
      <c r="AG1015" s="427"/>
      <c r="AH1015" s="427"/>
      <c r="AI1015" s="427"/>
      <c r="AJ1015" s="427"/>
      <c r="AK1015" s="427"/>
      <c r="AL1015" s="427"/>
      <c r="AM1015" s="309">
        <f>SUM(Y1015:AL1015)</f>
        <v>0</v>
      </c>
    </row>
    <row r="1016" spans="1:39" ht="15" hidden="1" outlineLevel="1">
      <c r="A1016" s="539"/>
      <c r="B1016" s="307" t="s">
        <v>342</v>
      </c>
      <c r="C1016" s="304" t="s">
        <v>163</v>
      </c>
      <c r="D1016" s="308"/>
      <c r="E1016" s="308"/>
      <c r="F1016" s="308"/>
      <c r="G1016" s="308"/>
      <c r="H1016" s="308"/>
      <c r="I1016" s="308"/>
      <c r="J1016" s="308"/>
      <c r="K1016" s="308"/>
      <c r="L1016" s="308"/>
      <c r="M1016" s="308"/>
      <c r="N1016" s="308">
        <f>N1015</f>
        <v>12</v>
      </c>
      <c r="O1016" s="308"/>
      <c r="P1016" s="308"/>
      <c r="Q1016" s="308"/>
      <c r="R1016" s="308"/>
      <c r="S1016" s="308"/>
      <c r="T1016" s="308"/>
      <c r="U1016" s="308"/>
      <c r="V1016" s="308"/>
      <c r="W1016" s="308"/>
      <c r="X1016" s="308"/>
      <c r="Y1016" s="423">
        <f t="shared" ref="Y1016:AL1016" si="2188">Y1015</f>
        <v>0</v>
      </c>
      <c r="Z1016" s="423">
        <f t="shared" si="2188"/>
        <v>0</v>
      </c>
      <c r="AA1016" s="423">
        <f t="shared" si="2188"/>
        <v>0</v>
      </c>
      <c r="AB1016" s="423">
        <f t="shared" si="2188"/>
        <v>0</v>
      </c>
      <c r="AC1016" s="423">
        <f t="shared" si="2188"/>
        <v>0</v>
      </c>
      <c r="AD1016" s="423">
        <f t="shared" si="2188"/>
        <v>0</v>
      </c>
      <c r="AE1016" s="423">
        <f t="shared" si="2188"/>
        <v>0</v>
      </c>
      <c r="AF1016" s="423">
        <f t="shared" si="2188"/>
        <v>0</v>
      </c>
      <c r="AG1016" s="423">
        <f t="shared" si="2188"/>
        <v>0</v>
      </c>
      <c r="AH1016" s="423">
        <f t="shared" si="2188"/>
        <v>0</v>
      </c>
      <c r="AI1016" s="423">
        <f t="shared" si="2188"/>
        <v>0</v>
      </c>
      <c r="AJ1016" s="423">
        <f t="shared" si="2188"/>
        <v>0</v>
      </c>
      <c r="AK1016" s="423">
        <f t="shared" si="2188"/>
        <v>0</v>
      </c>
      <c r="AL1016" s="423">
        <f t="shared" si="2188"/>
        <v>0</v>
      </c>
      <c r="AM1016" s="319"/>
    </row>
    <row r="1017" spans="1:39" ht="15.6" hidden="1" outlineLevel="1">
      <c r="A1017" s="539"/>
      <c r="B1017" s="335"/>
      <c r="C1017" s="313"/>
      <c r="D1017" s="304"/>
      <c r="E1017" s="304"/>
      <c r="F1017" s="304"/>
      <c r="G1017" s="304"/>
      <c r="H1017" s="304"/>
      <c r="I1017" s="304"/>
      <c r="J1017" s="304"/>
      <c r="K1017" s="304"/>
      <c r="L1017" s="304"/>
      <c r="M1017" s="304"/>
      <c r="N1017" s="313"/>
      <c r="O1017" s="304"/>
      <c r="P1017" s="304"/>
      <c r="Q1017" s="304"/>
      <c r="R1017" s="304"/>
      <c r="S1017" s="304"/>
      <c r="T1017" s="304"/>
      <c r="U1017" s="304"/>
      <c r="V1017" s="304"/>
      <c r="W1017" s="304"/>
      <c r="X1017" s="304"/>
      <c r="Y1017" s="424"/>
      <c r="Z1017" s="424"/>
      <c r="AA1017" s="424"/>
      <c r="AB1017" s="424"/>
      <c r="AC1017" s="424"/>
      <c r="AD1017" s="424"/>
      <c r="AE1017" s="424"/>
      <c r="AF1017" s="424"/>
      <c r="AG1017" s="424"/>
      <c r="AH1017" s="424"/>
      <c r="AI1017" s="424"/>
      <c r="AJ1017" s="424"/>
      <c r="AK1017" s="424"/>
      <c r="AL1017" s="424"/>
      <c r="AM1017" s="319"/>
    </row>
    <row r="1018" spans="1:39" ht="15.6" hidden="1" outlineLevel="1">
      <c r="A1018" s="539"/>
      <c r="B1018" s="525" t="s">
        <v>502</v>
      </c>
      <c r="C1018" s="304"/>
      <c r="D1018" s="304"/>
      <c r="E1018" s="304"/>
      <c r="F1018" s="304"/>
      <c r="G1018" s="304"/>
      <c r="H1018" s="304"/>
      <c r="I1018" s="304"/>
      <c r="J1018" s="304"/>
      <c r="K1018" s="304"/>
      <c r="L1018" s="304"/>
      <c r="M1018" s="304"/>
      <c r="N1018" s="304"/>
      <c r="O1018" s="304"/>
      <c r="P1018" s="304"/>
      <c r="Q1018" s="304"/>
      <c r="R1018" s="304"/>
      <c r="S1018" s="304"/>
      <c r="T1018" s="304"/>
      <c r="U1018" s="304"/>
      <c r="V1018" s="304"/>
      <c r="W1018" s="304"/>
      <c r="X1018" s="304"/>
      <c r="Y1018" s="432"/>
      <c r="Z1018" s="435"/>
      <c r="AA1018" s="435"/>
      <c r="AB1018" s="435"/>
      <c r="AC1018" s="435"/>
      <c r="AD1018" s="435"/>
      <c r="AE1018" s="435"/>
      <c r="AF1018" s="435"/>
      <c r="AG1018" s="435"/>
      <c r="AH1018" s="435"/>
      <c r="AI1018" s="435"/>
      <c r="AJ1018" s="435"/>
      <c r="AK1018" s="435"/>
      <c r="AL1018" s="435"/>
      <c r="AM1018" s="319"/>
    </row>
    <row r="1019" spans="1:39" ht="15.6" hidden="1" outlineLevel="1">
      <c r="A1019" s="539"/>
      <c r="B1019" s="511" t="s">
        <v>498</v>
      </c>
      <c r="C1019" s="304"/>
      <c r="D1019" s="304"/>
      <c r="E1019" s="304"/>
      <c r="F1019" s="304"/>
      <c r="G1019" s="304"/>
      <c r="H1019" s="304"/>
      <c r="I1019" s="304"/>
      <c r="J1019" s="304"/>
      <c r="K1019" s="304"/>
      <c r="L1019" s="304"/>
      <c r="M1019" s="304"/>
      <c r="N1019" s="304"/>
      <c r="O1019" s="304"/>
      <c r="P1019" s="304"/>
      <c r="Q1019" s="304"/>
      <c r="R1019" s="304"/>
      <c r="S1019" s="304"/>
      <c r="T1019" s="304"/>
      <c r="U1019" s="304"/>
      <c r="V1019" s="304"/>
      <c r="W1019" s="304"/>
      <c r="X1019" s="304"/>
      <c r="Y1019" s="432"/>
      <c r="Z1019" s="435"/>
      <c r="AA1019" s="435"/>
      <c r="AB1019" s="435"/>
      <c r="AC1019" s="435"/>
      <c r="AD1019" s="435"/>
      <c r="AE1019" s="435"/>
      <c r="AF1019" s="435"/>
      <c r="AG1019" s="435"/>
      <c r="AH1019" s="435"/>
      <c r="AI1019" s="435"/>
      <c r="AJ1019" s="435"/>
      <c r="AK1019" s="435"/>
      <c r="AL1019" s="435"/>
      <c r="AM1019" s="319"/>
    </row>
    <row r="1020" spans="1:39" ht="15" hidden="1" customHeight="1" outlineLevel="1">
      <c r="A1020" s="539">
        <v>21</v>
      </c>
      <c r="B1020" s="438" t="s">
        <v>113</v>
      </c>
      <c r="C1020" s="304" t="s">
        <v>25</v>
      </c>
      <c r="D1020" s="308"/>
      <c r="E1020" s="308"/>
      <c r="F1020" s="308"/>
      <c r="G1020" s="308"/>
      <c r="H1020" s="308"/>
      <c r="I1020" s="308"/>
      <c r="J1020" s="308"/>
      <c r="K1020" s="308"/>
      <c r="L1020" s="308"/>
      <c r="M1020" s="308"/>
      <c r="N1020" s="304"/>
      <c r="O1020" s="308"/>
      <c r="P1020" s="308"/>
      <c r="Q1020" s="308"/>
      <c r="R1020" s="308"/>
      <c r="S1020" s="308"/>
      <c r="T1020" s="308"/>
      <c r="U1020" s="308"/>
      <c r="V1020" s="308"/>
      <c r="W1020" s="308"/>
      <c r="X1020" s="308"/>
      <c r="Y1020" s="422"/>
      <c r="Z1020" s="422"/>
      <c r="AA1020" s="422"/>
      <c r="AB1020" s="422"/>
      <c r="AC1020" s="422"/>
      <c r="AD1020" s="422"/>
      <c r="AE1020" s="422"/>
      <c r="AF1020" s="422"/>
      <c r="AG1020" s="422"/>
      <c r="AH1020" s="422"/>
      <c r="AI1020" s="422"/>
      <c r="AJ1020" s="422"/>
      <c r="AK1020" s="422"/>
      <c r="AL1020" s="422"/>
      <c r="AM1020" s="309">
        <f>SUM(Y1020:AL1020)</f>
        <v>0</v>
      </c>
    </row>
    <row r="1021" spans="1:39" ht="15" hidden="1" customHeight="1" outlineLevel="1">
      <c r="A1021" s="539"/>
      <c r="B1021" s="307" t="s">
        <v>346</v>
      </c>
      <c r="C1021" s="304" t="s">
        <v>163</v>
      </c>
      <c r="D1021" s="308"/>
      <c r="E1021" s="308"/>
      <c r="F1021" s="308"/>
      <c r="G1021" s="308"/>
      <c r="H1021" s="308"/>
      <c r="I1021" s="308"/>
      <c r="J1021" s="308"/>
      <c r="K1021" s="308"/>
      <c r="L1021" s="308"/>
      <c r="M1021" s="308"/>
      <c r="N1021" s="304"/>
      <c r="O1021" s="308"/>
      <c r="P1021" s="308"/>
      <c r="Q1021" s="308"/>
      <c r="R1021" s="308"/>
      <c r="S1021" s="308"/>
      <c r="T1021" s="308"/>
      <c r="U1021" s="308"/>
      <c r="V1021" s="308"/>
      <c r="W1021" s="308"/>
      <c r="X1021" s="308"/>
      <c r="Y1021" s="423">
        <f>Y1020</f>
        <v>0</v>
      </c>
      <c r="Z1021" s="423">
        <f t="shared" ref="Z1021" si="2189">Z1020</f>
        <v>0</v>
      </c>
      <c r="AA1021" s="423">
        <f t="shared" ref="AA1021" si="2190">AA1020</f>
        <v>0</v>
      </c>
      <c r="AB1021" s="423">
        <f t="shared" ref="AB1021" si="2191">AB1020</f>
        <v>0</v>
      </c>
      <c r="AC1021" s="423">
        <f t="shared" ref="AC1021" si="2192">AC1020</f>
        <v>0</v>
      </c>
      <c r="AD1021" s="423">
        <f t="shared" ref="AD1021" si="2193">AD1020</f>
        <v>0</v>
      </c>
      <c r="AE1021" s="423">
        <f t="shared" ref="AE1021" si="2194">AE1020</f>
        <v>0</v>
      </c>
      <c r="AF1021" s="423">
        <f t="shared" ref="AF1021" si="2195">AF1020</f>
        <v>0</v>
      </c>
      <c r="AG1021" s="423">
        <f t="shared" ref="AG1021" si="2196">AG1020</f>
        <v>0</v>
      </c>
      <c r="AH1021" s="423">
        <f t="shared" ref="AH1021" si="2197">AH1020</f>
        <v>0</v>
      </c>
      <c r="AI1021" s="423">
        <f t="shared" ref="AI1021" si="2198">AI1020</f>
        <v>0</v>
      </c>
      <c r="AJ1021" s="423">
        <f t="shared" ref="AJ1021" si="2199">AJ1020</f>
        <v>0</v>
      </c>
      <c r="AK1021" s="423">
        <f t="shared" ref="AK1021" si="2200">AK1020</f>
        <v>0</v>
      </c>
      <c r="AL1021" s="423">
        <f t="shared" ref="AL1021" si="2201">AL1020</f>
        <v>0</v>
      </c>
      <c r="AM1021" s="319"/>
    </row>
    <row r="1022" spans="1:39" ht="15" hidden="1" customHeight="1" outlineLevel="1">
      <c r="A1022" s="539"/>
      <c r="B1022" s="307"/>
      <c r="C1022" s="304"/>
      <c r="D1022" s="304"/>
      <c r="E1022" s="304"/>
      <c r="F1022" s="304"/>
      <c r="G1022" s="304"/>
      <c r="H1022" s="304"/>
      <c r="I1022" s="304"/>
      <c r="J1022" s="304"/>
      <c r="K1022" s="304"/>
      <c r="L1022" s="304"/>
      <c r="M1022" s="304"/>
      <c r="N1022" s="304"/>
      <c r="O1022" s="304"/>
      <c r="P1022" s="304"/>
      <c r="Q1022" s="304"/>
      <c r="R1022" s="304"/>
      <c r="S1022" s="304"/>
      <c r="T1022" s="304"/>
      <c r="U1022" s="304"/>
      <c r="V1022" s="304"/>
      <c r="W1022" s="304"/>
      <c r="X1022" s="304"/>
      <c r="Y1022" s="432"/>
      <c r="Z1022" s="435"/>
      <c r="AA1022" s="435"/>
      <c r="AB1022" s="435"/>
      <c r="AC1022" s="435"/>
      <c r="AD1022" s="435"/>
      <c r="AE1022" s="435"/>
      <c r="AF1022" s="435"/>
      <c r="AG1022" s="435"/>
      <c r="AH1022" s="435"/>
      <c r="AI1022" s="435"/>
      <c r="AJ1022" s="435"/>
      <c r="AK1022" s="435"/>
      <c r="AL1022" s="435"/>
      <c r="AM1022" s="319"/>
    </row>
    <row r="1023" spans="1:39" ht="15" hidden="1" customHeight="1" outlineLevel="1">
      <c r="A1023" s="539">
        <v>22</v>
      </c>
      <c r="B1023" s="438" t="s">
        <v>114</v>
      </c>
      <c r="C1023" s="304" t="s">
        <v>25</v>
      </c>
      <c r="D1023" s="308"/>
      <c r="E1023" s="308"/>
      <c r="F1023" s="308"/>
      <c r="G1023" s="308"/>
      <c r="H1023" s="308"/>
      <c r="I1023" s="308"/>
      <c r="J1023" s="308"/>
      <c r="K1023" s="308"/>
      <c r="L1023" s="308"/>
      <c r="M1023" s="308"/>
      <c r="N1023" s="304"/>
      <c r="O1023" s="308"/>
      <c r="P1023" s="308"/>
      <c r="Q1023" s="308"/>
      <c r="R1023" s="308"/>
      <c r="S1023" s="308"/>
      <c r="T1023" s="308"/>
      <c r="U1023" s="308"/>
      <c r="V1023" s="308"/>
      <c r="W1023" s="308"/>
      <c r="X1023" s="308"/>
      <c r="Y1023" s="422"/>
      <c r="Z1023" s="422"/>
      <c r="AA1023" s="422"/>
      <c r="AB1023" s="422"/>
      <c r="AC1023" s="422"/>
      <c r="AD1023" s="422"/>
      <c r="AE1023" s="422"/>
      <c r="AF1023" s="422"/>
      <c r="AG1023" s="422"/>
      <c r="AH1023" s="422"/>
      <c r="AI1023" s="422"/>
      <c r="AJ1023" s="422"/>
      <c r="AK1023" s="422"/>
      <c r="AL1023" s="422"/>
      <c r="AM1023" s="309">
        <f>SUM(Y1023:AL1023)</f>
        <v>0</v>
      </c>
    </row>
    <row r="1024" spans="1:39" ht="15" hidden="1" customHeight="1" outlineLevel="1">
      <c r="A1024" s="539"/>
      <c r="B1024" s="307" t="s">
        <v>346</v>
      </c>
      <c r="C1024" s="304" t="s">
        <v>163</v>
      </c>
      <c r="D1024" s="308"/>
      <c r="E1024" s="308"/>
      <c r="F1024" s="308"/>
      <c r="G1024" s="308"/>
      <c r="H1024" s="308"/>
      <c r="I1024" s="308"/>
      <c r="J1024" s="308"/>
      <c r="K1024" s="308"/>
      <c r="L1024" s="308"/>
      <c r="M1024" s="308"/>
      <c r="N1024" s="304"/>
      <c r="O1024" s="308"/>
      <c r="P1024" s="308"/>
      <c r="Q1024" s="308"/>
      <c r="R1024" s="308"/>
      <c r="S1024" s="308"/>
      <c r="T1024" s="308"/>
      <c r="U1024" s="308"/>
      <c r="V1024" s="308"/>
      <c r="W1024" s="308"/>
      <c r="X1024" s="308"/>
      <c r="Y1024" s="423">
        <f>Y1023</f>
        <v>0</v>
      </c>
      <c r="Z1024" s="423">
        <f t="shared" ref="Z1024" si="2202">Z1023</f>
        <v>0</v>
      </c>
      <c r="AA1024" s="423">
        <f t="shared" ref="AA1024" si="2203">AA1023</f>
        <v>0</v>
      </c>
      <c r="AB1024" s="423">
        <f t="shared" ref="AB1024" si="2204">AB1023</f>
        <v>0</v>
      </c>
      <c r="AC1024" s="423">
        <f t="shared" ref="AC1024" si="2205">AC1023</f>
        <v>0</v>
      </c>
      <c r="AD1024" s="423">
        <f t="shared" ref="AD1024" si="2206">AD1023</f>
        <v>0</v>
      </c>
      <c r="AE1024" s="423">
        <f t="shared" ref="AE1024" si="2207">AE1023</f>
        <v>0</v>
      </c>
      <c r="AF1024" s="423">
        <f t="shared" ref="AF1024" si="2208">AF1023</f>
        <v>0</v>
      </c>
      <c r="AG1024" s="423">
        <f t="shared" ref="AG1024" si="2209">AG1023</f>
        <v>0</v>
      </c>
      <c r="AH1024" s="423">
        <f t="shared" ref="AH1024" si="2210">AH1023</f>
        <v>0</v>
      </c>
      <c r="AI1024" s="423">
        <f t="shared" ref="AI1024" si="2211">AI1023</f>
        <v>0</v>
      </c>
      <c r="AJ1024" s="423">
        <f t="shared" ref="AJ1024" si="2212">AJ1023</f>
        <v>0</v>
      </c>
      <c r="AK1024" s="423">
        <f t="shared" ref="AK1024" si="2213">AK1023</f>
        <v>0</v>
      </c>
      <c r="AL1024" s="423">
        <f t="shared" ref="AL1024" si="2214">AL1023</f>
        <v>0</v>
      </c>
      <c r="AM1024" s="319"/>
    </row>
    <row r="1025" spans="1:39" ht="15" hidden="1" customHeight="1" outlineLevel="1">
      <c r="A1025" s="539"/>
      <c r="B1025" s="307"/>
      <c r="C1025" s="304"/>
      <c r="D1025" s="304"/>
      <c r="E1025" s="304"/>
      <c r="F1025" s="304"/>
      <c r="G1025" s="304"/>
      <c r="H1025" s="304"/>
      <c r="I1025" s="304"/>
      <c r="J1025" s="304"/>
      <c r="K1025" s="304"/>
      <c r="L1025" s="304"/>
      <c r="M1025" s="304"/>
      <c r="N1025" s="304"/>
      <c r="O1025" s="304"/>
      <c r="P1025" s="304"/>
      <c r="Q1025" s="304"/>
      <c r="R1025" s="304"/>
      <c r="S1025" s="304"/>
      <c r="T1025" s="304"/>
      <c r="U1025" s="304"/>
      <c r="V1025" s="304"/>
      <c r="W1025" s="304"/>
      <c r="X1025" s="304"/>
      <c r="Y1025" s="432"/>
      <c r="Z1025" s="435"/>
      <c r="AA1025" s="435"/>
      <c r="AB1025" s="435"/>
      <c r="AC1025" s="435"/>
      <c r="AD1025" s="435"/>
      <c r="AE1025" s="435"/>
      <c r="AF1025" s="435"/>
      <c r="AG1025" s="435"/>
      <c r="AH1025" s="435"/>
      <c r="AI1025" s="435"/>
      <c r="AJ1025" s="435"/>
      <c r="AK1025" s="435"/>
      <c r="AL1025" s="435"/>
      <c r="AM1025" s="319"/>
    </row>
    <row r="1026" spans="1:39" ht="15" hidden="1" customHeight="1" outlineLevel="1">
      <c r="A1026" s="539">
        <v>23</v>
      </c>
      <c r="B1026" s="438" t="s">
        <v>115</v>
      </c>
      <c r="C1026" s="304" t="s">
        <v>25</v>
      </c>
      <c r="D1026" s="308"/>
      <c r="E1026" s="308"/>
      <c r="F1026" s="308"/>
      <c r="G1026" s="308"/>
      <c r="H1026" s="308"/>
      <c r="I1026" s="308"/>
      <c r="J1026" s="308"/>
      <c r="K1026" s="308"/>
      <c r="L1026" s="308"/>
      <c r="M1026" s="308"/>
      <c r="N1026" s="304"/>
      <c r="O1026" s="308"/>
      <c r="P1026" s="308"/>
      <c r="Q1026" s="308"/>
      <c r="R1026" s="308"/>
      <c r="S1026" s="308"/>
      <c r="T1026" s="308"/>
      <c r="U1026" s="308"/>
      <c r="V1026" s="308"/>
      <c r="W1026" s="308"/>
      <c r="X1026" s="308"/>
      <c r="Y1026" s="422"/>
      <c r="Z1026" s="422"/>
      <c r="AA1026" s="422"/>
      <c r="AB1026" s="422"/>
      <c r="AC1026" s="422"/>
      <c r="AD1026" s="422"/>
      <c r="AE1026" s="422"/>
      <c r="AF1026" s="422"/>
      <c r="AG1026" s="422"/>
      <c r="AH1026" s="422"/>
      <c r="AI1026" s="422"/>
      <c r="AJ1026" s="422"/>
      <c r="AK1026" s="422"/>
      <c r="AL1026" s="422"/>
      <c r="AM1026" s="309">
        <f>SUM(Y1026:AL1026)</f>
        <v>0</v>
      </c>
    </row>
    <row r="1027" spans="1:39" ht="15" hidden="1" customHeight="1" outlineLevel="1">
      <c r="A1027" s="539"/>
      <c r="B1027" s="307" t="s">
        <v>346</v>
      </c>
      <c r="C1027" s="304" t="s">
        <v>163</v>
      </c>
      <c r="D1027" s="308"/>
      <c r="E1027" s="308"/>
      <c r="F1027" s="308"/>
      <c r="G1027" s="308"/>
      <c r="H1027" s="308"/>
      <c r="I1027" s="308"/>
      <c r="J1027" s="308"/>
      <c r="K1027" s="308"/>
      <c r="L1027" s="308"/>
      <c r="M1027" s="308"/>
      <c r="N1027" s="304"/>
      <c r="O1027" s="308"/>
      <c r="P1027" s="308"/>
      <c r="Q1027" s="308"/>
      <c r="R1027" s="308"/>
      <c r="S1027" s="308"/>
      <c r="T1027" s="308"/>
      <c r="U1027" s="308"/>
      <c r="V1027" s="308"/>
      <c r="W1027" s="308"/>
      <c r="X1027" s="308"/>
      <c r="Y1027" s="423">
        <f>Y1026</f>
        <v>0</v>
      </c>
      <c r="Z1027" s="423">
        <f t="shared" ref="Z1027" si="2215">Z1026</f>
        <v>0</v>
      </c>
      <c r="AA1027" s="423">
        <f t="shared" ref="AA1027" si="2216">AA1026</f>
        <v>0</v>
      </c>
      <c r="AB1027" s="423">
        <f t="shared" ref="AB1027" si="2217">AB1026</f>
        <v>0</v>
      </c>
      <c r="AC1027" s="423">
        <f t="shared" ref="AC1027" si="2218">AC1026</f>
        <v>0</v>
      </c>
      <c r="AD1027" s="423">
        <f t="shared" ref="AD1027" si="2219">AD1026</f>
        <v>0</v>
      </c>
      <c r="AE1027" s="423">
        <f t="shared" ref="AE1027" si="2220">AE1026</f>
        <v>0</v>
      </c>
      <c r="AF1027" s="423">
        <f t="shared" ref="AF1027" si="2221">AF1026</f>
        <v>0</v>
      </c>
      <c r="AG1027" s="423">
        <f t="shared" ref="AG1027" si="2222">AG1026</f>
        <v>0</v>
      </c>
      <c r="AH1027" s="423">
        <f t="shared" ref="AH1027" si="2223">AH1026</f>
        <v>0</v>
      </c>
      <c r="AI1027" s="423">
        <f t="shared" ref="AI1027" si="2224">AI1026</f>
        <v>0</v>
      </c>
      <c r="AJ1027" s="423">
        <f t="shared" ref="AJ1027" si="2225">AJ1026</f>
        <v>0</v>
      </c>
      <c r="AK1027" s="423">
        <f t="shared" ref="AK1027" si="2226">AK1026</f>
        <v>0</v>
      </c>
      <c r="AL1027" s="423">
        <f t="shared" ref="AL1027" si="2227">AL1026</f>
        <v>0</v>
      </c>
      <c r="AM1027" s="319"/>
    </row>
    <row r="1028" spans="1:39" ht="15" hidden="1" customHeight="1" outlineLevel="1">
      <c r="A1028" s="539"/>
      <c r="B1028" s="440"/>
      <c r="C1028" s="304"/>
      <c r="D1028" s="304"/>
      <c r="E1028" s="304"/>
      <c r="F1028" s="304"/>
      <c r="G1028" s="304"/>
      <c r="H1028" s="304"/>
      <c r="I1028" s="304"/>
      <c r="J1028" s="304"/>
      <c r="K1028" s="304"/>
      <c r="L1028" s="304"/>
      <c r="M1028" s="304"/>
      <c r="N1028" s="304"/>
      <c r="O1028" s="304"/>
      <c r="P1028" s="304"/>
      <c r="Q1028" s="304"/>
      <c r="R1028" s="304"/>
      <c r="S1028" s="304"/>
      <c r="T1028" s="304"/>
      <c r="U1028" s="304"/>
      <c r="V1028" s="304"/>
      <c r="W1028" s="304"/>
      <c r="X1028" s="304"/>
      <c r="Y1028" s="432"/>
      <c r="Z1028" s="435"/>
      <c r="AA1028" s="435"/>
      <c r="AB1028" s="435"/>
      <c r="AC1028" s="435"/>
      <c r="AD1028" s="435"/>
      <c r="AE1028" s="435"/>
      <c r="AF1028" s="435"/>
      <c r="AG1028" s="435"/>
      <c r="AH1028" s="435"/>
      <c r="AI1028" s="435"/>
      <c r="AJ1028" s="435"/>
      <c r="AK1028" s="435"/>
      <c r="AL1028" s="435"/>
      <c r="AM1028" s="319"/>
    </row>
    <row r="1029" spans="1:39" ht="15" hidden="1" customHeight="1" outlineLevel="1">
      <c r="A1029" s="539">
        <v>24</v>
      </c>
      <c r="B1029" s="438" t="s">
        <v>116</v>
      </c>
      <c r="C1029" s="304" t="s">
        <v>25</v>
      </c>
      <c r="D1029" s="308"/>
      <c r="E1029" s="308"/>
      <c r="F1029" s="308"/>
      <c r="G1029" s="308"/>
      <c r="H1029" s="308"/>
      <c r="I1029" s="308"/>
      <c r="J1029" s="308"/>
      <c r="K1029" s="308"/>
      <c r="L1029" s="308"/>
      <c r="M1029" s="308"/>
      <c r="N1029" s="304"/>
      <c r="O1029" s="308"/>
      <c r="P1029" s="308"/>
      <c r="Q1029" s="308"/>
      <c r="R1029" s="308"/>
      <c r="S1029" s="308"/>
      <c r="T1029" s="308"/>
      <c r="U1029" s="308"/>
      <c r="V1029" s="308"/>
      <c r="W1029" s="308"/>
      <c r="X1029" s="308"/>
      <c r="Y1029" s="422"/>
      <c r="Z1029" s="422"/>
      <c r="AA1029" s="422"/>
      <c r="AB1029" s="422"/>
      <c r="AC1029" s="422"/>
      <c r="AD1029" s="422"/>
      <c r="AE1029" s="422"/>
      <c r="AF1029" s="422"/>
      <c r="AG1029" s="422"/>
      <c r="AH1029" s="422"/>
      <c r="AI1029" s="422"/>
      <c r="AJ1029" s="422"/>
      <c r="AK1029" s="422"/>
      <c r="AL1029" s="422"/>
      <c r="AM1029" s="309">
        <f>SUM(Y1029:AL1029)</f>
        <v>0</v>
      </c>
    </row>
    <row r="1030" spans="1:39" ht="15" hidden="1" customHeight="1" outlineLevel="1">
      <c r="A1030" s="539"/>
      <c r="B1030" s="307" t="s">
        <v>346</v>
      </c>
      <c r="C1030" s="304" t="s">
        <v>163</v>
      </c>
      <c r="D1030" s="308"/>
      <c r="E1030" s="308"/>
      <c r="F1030" s="308"/>
      <c r="G1030" s="308"/>
      <c r="H1030" s="308"/>
      <c r="I1030" s="308"/>
      <c r="J1030" s="308"/>
      <c r="K1030" s="308"/>
      <c r="L1030" s="308"/>
      <c r="M1030" s="308"/>
      <c r="N1030" s="304"/>
      <c r="O1030" s="308"/>
      <c r="P1030" s="308"/>
      <c r="Q1030" s="308"/>
      <c r="R1030" s="308"/>
      <c r="S1030" s="308"/>
      <c r="T1030" s="308"/>
      <c r="U1030" s="308"/>
      <c r="V1030" s="308"/>
      <c r="W1030" s="308"/>
      <c r="X1030" s="308"/>
      <c r="Y1030" s="423">
        <f>Y1029</f>
        <v>0</v>
      </c>
      <c r="Z1030" s="423">
        <f t="shared" ref="Z1030" si="2228">Z1029</f>
        <v>0</v>
      </c>
      <c r="AA1030" s="423">
        <f t="shared" ref="AA1030" si="2229">AA1029</f>
        <v>0</v>
      </c>
      <c r="AB1030" s="423">
        <f t="shared" ref="AB1030" si="2230">AB1029</f>
        <v>0</v>
      </c>
      <c r="AC1030" s="423">
        <f t="shared" ref="AC1030" si="2231">AC1029</f>
        <v>0</v>
      </c>
      <c r="AD1030" s="423">
        <f t="shared" ref="AD1030" si="2232">AD1029</f>
        <v>0</v>
      </c>
      <c r="AE1030" s="423">
        <f t="shared" ref="AE1030" si="2233">AE1029</f>
        <v>0</v>
      </c>
      <c r="AF1030" s="423">
        <f t="shared" ref="AF1030" si="2234">AF1029</f>
        <v>0</v>
      </c>
      <c r="AG1030" s="423">
        <f t="shared" ref="AG1030" si="2235">AG1029</f>
        <v>0</v>
      </c>
      <c r="AH1030" s="423">
        <f t="shared" ref="AH1030" si="2236">AH1029</f>
        <v>0</v>
      </c>
      <c r="AI1030" s="423">
        <f t="shared" ref="AI1030" si="2237">AI1029</f>
        <v>0</v>
      </c>
      <c r="AJ1030" s="423">
        <f t="shared" ref="AJ1030" si="2238">AJ1029</f>
        <v>0</v>
      </c>
      <c r="AK1030" s="423">
        <f t="shared" ref="AK1030" si="2239">AK1029</f>
        <v>0</v>
      </c>
      <c r="AL1030" s="423">
        <f t="shared" ref="AL1030" si="2240">AL1029</f>
        <v>0</v>
      </c>
      <c r="AM1030" s="319"/>
    </row>
    <row r="1031" spans="1:39" ht="15" hidden="1" customHeight="1" outlineLevel="1">
      <c r="A1031" s="539"/>
      <c r="B1031" s="307"/>
      <c r="C1031" s="304"/>
      <c r="D1031" s="304"/>
      <c r="E1031" s="304"/>
      <c r="F1031" s="304"/>
      <c r="G1031" s="304"/>
      <c r="H1031" s="304"/>
      <c r="I1031" s="304"/>
      <c r="J1031" s="304"/>
      <c r="K1031" s="304"/>
      <c r="L1031" s="304"/>
      <c r="M1031" s="304"/>
      <c r="N1031" s="304"/>
      <c r="O1031" s="304"/>
      <c r="P1031" s="304"/>
      <c r="Q1031" s="304"/>
      <c r="R1031" s="304"/>
      <c r="S1031" s="304"/>
      <c r="T1031" s="304"/>
      <c r="U1031" s="304"/>
      <c r="V1031" s="304"/>
      <c r="W1031" s="304"/>
      <c r="X1031" s="304"/>
      <c r="Y1031" s="424"/>
      <c r="Z1031" s="435"/>
      <c r="AA1031" s="435"/>
      <c r="AB1031" s="435"/>
      <c r="AC1031" s="435"/>
      <c r="AD1031" s="435"/>
      <c r="AE1031" s="435"/>
      <c r="AF1031" s="435"/>
      <c r="AG1031" s="435"/>
      <c r="AH1031" s="435"/>
      <c r="AI1031" s="435"/>
      <c r="AJ1031" s="435"/>
      <c r="AK1031" s="435"/>
      <c r="AL1031" s="435"/>
      <c r="AM1031" s="319"/>
    </row>
    <row r="1032" spans="1:39" ht="15" hidden="1" customHeight="1" outlineLevel="1">
      <c r="A1032" s="539"/>
      <c r="B1032" s="301" t="s">
        <v>499</v>
      </c>
      <c r="C1032" s="304"/>
      <c r="D1032" s="304"/>
      <c r="E1032" s="304"/>
      <c r="F1032" s="304"/>
      <c r="G1032" s="304"/>
      <c r="H1032" s="304"/>
      <c r="I1032" s="304"/>
      <c r="J1032" s="304"/>
      <c r="K1032" s="304"/>
      <c r="L1032" s="304"/>
      <c r="M1032" s="304"/>
      <c r="N1032" s="304"/>
      <c r="O1032" s="304"/>
      <c r="P1032" s="304"/>
      <c r="Q1032" s="304"/>
      <c r="R1032" s="304"/>
      <c r="S1032" s="304"/>
      <c r="T1032" s="304"/>
      <c r="U1032" s="304"/>
      <c r="V1032" s="304"/>
      <c r="W1032" s="304"/>
      <c r="X1032" s="304"/>
      <c r="Y1032" s="424"/>
      <c r="Z1032" s="435"/>
      <c r="AA1032" s="435"/>
      <c r="AB1032" s="435"/>
      <c r="AC1032" s="435"/>
      <c r="AD1032" s="435"/>
      <c r="AE1032" s="435"/>
      <c r="AF1032" s="435"/>
      <c r="AG1032" s="435"/>
      <c r="AH1032" s="435"/>
      <c r="AI1032" s="435"/>
      <c r="AJ1032" s="435"/>
      <c r="AK1032" s="435"/>
      <c r="AL1032" s="435"/>
      <c r="AM1032" s="319"/>
    </row>
    <row r="1033" spans="1:39" ht="15" hidden="1" customHeight="1" outlineLevel="1">
      <c r="A1033" s="539">
        <v>25</v>
      </c>
      <c r="B1033" s="438" t="s">
        <v>117</v>
      </c>
      <c r="C1033" s="304" t="s">
        <v>25</v>
      </c>
      <c r="D1033" s="308"/>
      <c r="E1033" s="308"/>
      <c r="F1033" s="308"/>
      <c r="G1033" s="308"/>
      <c r="H1033" s="308"/>
      <c r="I1033" s="308"/>
      <c r="J1033" s="308"/>
      <c r="K1033" s="308"/>
      <c r="L1033" s="308"/>
      <c r="M1033" s="308"/>
      <c r="N1033" s="308">
        <v>12</v>
      </c>
      <c r="O1033" s="308"/>
      <c r="P1033" s="308"/>
      <c r="Q1033" s="308"/>
      <c r="R1033" s="308"/>
      <c r="S1033" s="308"/>
      <c r="T1033" s="308"/>
      <c r="U1033" s="308"/>
      <c r="V1033" s="308"/>
      <c r="W1033" s="308"/>
      <c r="X1033" s="308"/>
      <c r="Y1033" s="436"/>
      <c r="Z1033" s="427"/>
      <c r="AA1033" s="427"/>
      <c r="AB1033" s="427"/>
      <c r="AC1033" s="427"/>
      <c r="AD1033" s="427"/>
      <c r="AE1033" s="427"/>
      <c r="AF1033" s="427"/>
      <c r="AG1033" s="427"/>
      <c r="AH1033" s="427"/>
      <c r="AI1033" s="427"/>
      <c r="AJ1033" s="427"/>
      <c r="AK1033" s="427"/>
      <c r="AL1033" s="427"/>
      <c r="AM1033" s="309">
        <f>SUM(Y1033:AL1033)</f>
        <v>0</v>
      </c>
    </row>
    <row r="1034" spans="1:39" ht="15" hidden="1" customHeight="1" outlineLevel="1">
      <c r="A1034" s="539"/>
      <c r="B1034" s="307" t="s">
        <v>346</v>
      </c>
      <c r="C1034" s="304" t="s">
        <v>163</v>
      </c>
      <c r="D1034" s="308"/>
      <c r="E1034" s="308"/>
      <c r="F1034" s="308"/>
      <c r="G1034" s="308"/>
      <c r="H1034" s="308"/>
      <c r="I1034" s="308"/>
      <c r="J1034" s="308"/>
      <c r="K1034" s="308"/>
      <c r="L1034" s="308"/>
      <c r="M1034" s="308"/>
      <c r="N1034" s="308">
        <f>N1033</f>
        <v>12</v>
      </c>
      <c r="O1034" s="308"/>
      <c r="P1034" s="308"/>
      <c r="Q1034" s="308"/>
      <c r="R1034" s="308"/>
      <c r="S1034" s="308"/>
      <c r="T1034" s="308"/>
      <c r="U1034" s="308"/>
      <c r="V1034" s="308"/>
      <c r="W1034" s="308"/>
      <c r="X1034" s="308"/>
      <c r="Y1034" s="423">
        <f>Y1033</f>
        <v>0</v>
      </c>
      <c r="Z1034" s="423">
        <f t="shared" ref="Z1034" si="2241">Z1033</f>
        <v>0</v>
      </c>
      <c r="AA1034" s="423">
        <f t="shared" ref="AA1034" si="2242">AA1033</f>
        <v>0</v>
      </c>
      <c r="AB1034" s="423">
        <f t="shared" ref="AB1034" si="2243">AB1033</f>
        <v>0</v>
      </c>
      <c r="AC1034" s="423">
        <f t="shared" ref="AC1034" si="2244">AC1033</f>
        <v>0</v>
      </c>
      <c r="AD1034" s="423">
        <f t="shared" ref="AD1034" si="2245">AD1033</f>
        <v>0</v>
      </c>
      <c r="AE1034" s="423">
        <f t="shared" ref="AE1034" si="2246">AE1033</f>
        <v>0</v>
      </c>
      <c r="AF1034" s="423">
        <f t="shared" ref="AF1034" si="2247">AF1033</f>
        <v>0</v>
      </c>
      <c r="AG1034" s="423">
        <f t="shared" ref="AG1034" si="2248">AG1033</f>
        <v>0</v>
      </c>
      <c r="AH1034" s="423">
        <f t="shared" ref="AH1034" si="2249">AH1033</f>
        <v>0</v>
      </c>
      <c r="AI1034" s="423">
        <f t="shared" ref="AI1034" si="2250">AI1033</f>
        <v>0</v>
      </c>
      <c r="AJ1034" s="423">
        <f t="shared" ref="AJ1034" si="2251">AJ1033</f>
        <v>0</v>
      </c>
      <c r="AK1034" s="423">
        <f t="shared" ref="AK1034" si="2252">AK1033</f>
        <v>0</v>
      </c>
      <c r="AL1034" s="423">
        <f t="shared" ref="AL1034" si="2253">AL1033</f>
        <v>0</v>
      </c>
      <c r="AM1034" s="319"/>
    </row>
    <row r="1035" spans="1:39" ht="15" hidden="1" customHeight="1" outlineLevel="1">
      <c r="A1035" s="539"/>
      <c r="B1035" s="307"/>
      <c r="C1035" s="304"/>
      <c r="D1035" s="304"/>
      <c r="E1035" s="304"/>
      <c r="F1035" s="304"/>
      <c r="G1035" s="304"/>
      <c r="H1035" s="304"/>
      <c r="I1035" s="304"/>
      <c r="J1035" s="304"/>
      <c r="K1035" s="304"/>
      <c r="L1035" s="304"/>
      <c r="M1035" s="304"/>
      <c r="N1035" s="304"/>
      <c r="O1035" s="304"/>
      <c r="P1035" s="304"/>
      <c r="Q1035" s="304"/>
      <c r="R1035" s="304"/>
      <c r="S1035" s="304"/>
      <c r="T1035" s="304"/>
      <c r="U1035" s="304"/>
      <c r="V1035" s="304"/>
      <c r="W1035" s="304"/>
      <c r="X1035" s="304"/>
      <c r="Y1035" s="424"/>
      <c r="Z1035" s="435"/>
      <c r="AA1035" s="435"/>
      <c r="AB1035" s="435"/>
      <c r="AC1035" s="435"/>
      <c r="AD1035" s="435"/>
      <c r="AE1035" s="435"/>
      <c r="AF1035" s="435"/>
      <c r="AG1035" s="435"/>
      <c r="AH1035" s="435"/>
      <c r="AI1035" s="435"/>
      <c r="AJ1035" s="435"/>
      <c r="AK1035" s="435"/>
      <c r="AL1035" s="435"/>
      <c r="AM1035" s="319"/>
    </row>
    <row r="1036" spans="1:39" ht="15" hidden="1" customHeight="1" outlineLevel="1">
      <c r="A1036" s="539">
        <v>26</v>
      </c>
      <c r="B1036" s="438" t="s">
        <v>118</v>
      </c>
      <c r="C1036" s="304" t="s">
        <v>25</v>
      </c>
      <c r="D1036" s="308"/>
      <c r="E1036" s="308"/>
      <c r="F1036" s="308"/>
      <c r="G1036" s="308"/>
      <c r="H1036" s="308"/>
      <c r="I1036" s="308"/>
      <c r="J1036" s="308"/>
      <c r="K1036" s="308"/>
      <c r="L1036" s="308"/>
      <c r="M1036" s="308"/>
      <c r="N1036" s="308">
        <v>12</v>
      </c>
      <c r="O1036" s="308"/>
      <c r="P1036" s="308"/>
      <c r="Q1036" s="308"/>
      <c r="R1036" s="308"/>
      <c r="S1036" s="308"/>
      <c r="T1036" s="308"/>
      <c r="U1036" s="308"/>
      <c r="V1036" s="308"/>
      <c r="W1036" s="308"/>
      <c r="X1036" s="308"/>
      <c r="Y1036" s="436"/>
      <c r="Z1036" s="427"/>
      <c r="AA1036" s="427"/>
      <c r="AB1036" s="427"/>
      <c r="AC1036" s="427"/>
      <c r="AD1036" s="427"/>
      <c r="AE1036" s="427"/>
      <c r="AF1036" s="427"/>
      <c r="AG1036" s="427"/>
      <c r="AH1036" s="427"/>
      <c r="AI1036" s="427"/>
      <c r="AJ1036" s="427"/>
      <c r="AK1036" s="427"/>
      <c r="AL1036" s="427"/>
      <c r="AM1036" s="309">
        <f>SUM(Y1036:AL1036)</f>
        <v>0</v>
      </c>
    </row>
    <row r="1037" spans="1:39" ht="15" hidden="1" customHeight="1" outlineLevel="1">
      <c r="A1037" s="539"/>
      <c r="B1037" s="307" t="s">
        <v>346</v>
      </c>
      <c r="C1037" s="304" t="s">
        <v>163</v>
      </c>
      <c r="D1037" s="308"/>
      <c r="E1037" s="308"/>
      <c r="F1037" s="308"/>
      <c r="G1037" s="308"/>
      <c r="H1037" s="308"/>
      <c r="I1037" s="308"/>
      <c r="J1037" s="308"/>
      <c r="K1037" s="308"/>
      <c r="L1037" s="308"/>
      <c r="M1037" s="308"/>
      <c r="N1037" s="308">
        <f>N1036</f>
        <v>12</v>
      </c>
      <c r="O1037" s="308"/>
      <c r="P1037" s="308"/>
      <c r="Q1037" s="308"/>
      <c r="R1037" s="308"/>
      <c r="S1037" s="308"/>
      <c r="T1037" s="308"/>
      <c r="U1037" s="308"/>
      <c r="V1037" s="308"/>
      <c r="W1037" s="308"/>
      <c r="X1037" s="308"/>
      <c r="Y1037" s="423">
        <f>Y1036</f>
        <v>0</v>
      </c>
      <c r="Z1037" s="423">
        <f t="shared" ref="Z1037" si="2254">Z1036</f>
        <v>0</v>
      </c>
      <c r="AA1037" s="423">
        <f t="shared" ref="AA1037" si="2255">AA1036</f>
        <v>0</v>
      </c>
      <c r="AB1037" s="423">
        <f t="shared" ref="AB1037" si="2256">AB1036</f>
        <v>0</v>
      </c>
      <c r="AC1037" s="423">
        <f t="shared" ref="AC1037" si="2257">AC1036</f>
        <v>0</v>
      </c>
      <c r="AD1037" s="423">
        <f t="shared" ref="AD1037" si="2258">AD1036</f>
        <v>0</v>
      </c>
      <c r="AE1037" s="423">
        <f t="shared" ref="AE1037" si="2259">AE1036</f>
        <v>0</v>
      </c>
      <c r="AF1037" s="423">
        <f t="shared" ref="AF1037" si="2260">AF1036</f>
        <v>0</v>
      </c>
      <c r="AG1037" s="423">
        <f t="shared" ref="AG1037" si="2261">AG1036</f>
        <v>0</v>
      </c>
      <c r="AH1037" s="423">
        <f t="shared" ref="AH1037" si="2262">AH1036</f>
        <v>0</v>
      </c>
      <c r="AI1037" s="423">
        <f t="shared" ref="AI1037" si="2263">AI1036</f>
        <v>0</v>
      </c>
      <c r="AJ1037" s="423">
        <f t="shared" ref="AJ1037" si="2264">AJ1036</f>
        <v>0</v>
      </c>
      <c r="AK1037" s="423">
        <f t="shared" ref="AK1037" si="2265">AK1036</f>
        <v>0</v>
      </c>
      <c r="AL1037" s="423">
        <f t="shared" ref="AL1037" si="2266">AL1036</f>
        <v>0</v>
      </c>
      <c r="AM1037" s="319"/>
    </row>
    <row r="1038" spans="1:39" ht="15" hidden="1" customHeight="1" outlineLevel="1">
      <c r="A1038" s="539"/>
      <c r="B1038" s="307"/>
      <c r="C1038" s="304"/>
      <c r="D1038" s="304"/>
      <c r="E1038" s="304"/>
      <c r="F1038" s="304"/>
      <c r="G1038" s="304"/>
      <c r="H1038" s="304"/>
      <c r="I1038" s="304"/>
      <c r="J1038" s="304"/>
      <c r="K1038" s="304"/>
      <c r="L1038" s="304"/>
      <c r="M1038" s="304"/>
      <c r="N1038" s="304"/>
      <c r="O1038" s="304"/>
      <c r="P1038" s="304"/>
      <c r="Q1038" s="304"/>
      <c r="R1038" s="304"/>
      <c r="S1038" s="304"/>
      <c r="T1038" s="304"/>
      <c r="U1038" s="304"/>
      <c r="V1038" s="304"/>
      <c r="W1038" s="304"/>
      <c r="X1038" s="304"/>
      <c r="Y1038" s="424"/>
      <c r="Z1038" s="435"/>
      <c r="AA1038" s="435"/>
      <c r="AB1038" s="435"/>
      <c r="AC1038" s="435"/>
      <c r="AD1038" s="435"/>
      <c r="AE1038" s="435"/>
      <c r="AF1038" s="435"/>
      <c r="AG1038" s="435"/>
      <c r="AH1038" s="435"/>
      <c r="AI1038" s="435"/>
      <c r="AJ1038" s="435"/>
      <c r="AK1038" s="435"/>
      <c r="AL1038" s="435"/>
      <c r="AM1038" s="319"/>
    </row>
    <row r="1039" spans="1:39" ht="15" hidden="1" customHeight="1" outlineLevel="1">
      <c r="A1039" s="539">
        <v>27</v>
      </c>
      <c r="B1039" s="438" t="s">
        <v>119</v>
      </c>
      <c r="C1039" s="304" t="s">
        <v>25</v>
      </c>
      <c r="D1039" s="308"/>
      <c r="E1039" s="308"/>
      <c r="F1039" s="308"/>
      <c r="G1039" s="308"/>
      <c r="H1039" s="308"/>
      <c r="I1039" s="308"/>
      <c r="J1039" s="308"/>
      <c r="K1039" s="308"/>
      <c r="L1039" s="308"/>
      <c r="M1039" s="308"/>
      <c r="N1039" s="308">
        <v>12</v>
      </c>
      <c r="O1039" s="308"/>
      <c r="P1039" s="308"/>
      <c r="Q1039" s="308"/>
      <c r="R1039" s="308"/>
      <c r="S1039" s="308"/>
      <c r="T1039" s="308"/>
      <c r="U1039" s="308"/>
      <c r="V1039" s="308"/>
      <c r="W1039" s="308"/>
      <c r="X1039" s="308"/>
      <c r="Y1039" s="436"/>
      <c r="Z1039" s="427"/>
      <c r="AA1039" s="427"/>
      <c r="AB1039" s="427"/>
      <c r="AC1039" s="427"/>
      <c r="AD1039" s="427"/>
      <c r="AE1039" s="427"/>
      <c r="AF1039" s="427"/>
      <c r="AG1039" s="427"/>
      <c r="AH1039" s="427"/>
      <c r="AI1039" s="427"/>
      <c r="AJ1039" s="427"/>
      <c r="AK1039" s="427"/>
      <c r="AL1039" s="427"/>
      <c r="AM1039" s="309">
        <f>SUM(Y1039:AL1039)</f>
        <v>0</v>
      </c>
    </row>
    <row r="1040" spans="1:39" ht="15" hidden="1" customHeight="1" outlineLevel="1">
      <c r="A1040" s="539"/>
      <c r="B1040" s="307" t="s">
        <v>346</v>
      </c>
      <c r="C1040" s="304" t="s">
        <v>163</v>
      </c>
      <c r="D1040" s="308"/>
      <c r="E1040" s="308"/>
      <c r="F1040" s="308"/>
      <c r="G1040" s="308"/>
      <c r="H1040" s="308"/>
      <c r="I1040" s="308"/>
      <c r="J1040" s="308"/>
      <c r="K1040" s="308"/>
      <c r="L1040" s="308"/>
      <c r="M1040" s="308"/>
      <c r="N1040" s="308">
        <f>N1039</f>
        <v>12</v>
      </c>
      <c r="O1040" s="308"/>
      <c r="P1040" s="308"/>
      <c r="Q1040" s="308"/>
      <c r="R1040" s="308"/>
      <c r="S1040" s="308"/>
      <c r="T1040" s="308"/>
      <c r="U1040" s="308"/>
      <c r="V1040" s="308"/>
      <c r="W1040" s="308"/>
      <c r="X1040" s="308"/>
      <c r="Y1040" s="423">
        <f>Y1039</f>
        <v>0</v>
      </c>
      <c r="Z1040" s="423">
        <f t="shared" ref="Z1040" si="2267">Z1039</f>
        <v>0</v>
      </c>
      <c r="AA1040" s="423">
        <f t="shared" ref="AA1040" si="2268">AA1039</f>
        <v>0</v>
      </c>
      <c r="AB1040" s="423">
        <f t="shared" ref="AB1040" si="2269">AB1039</f>
        <v>0</v>
      </c>
      <c r="AC1040" s="423">
        <f t="shared" ref="AC1040" si="2270">AC1039</f>
        <v>0</v>
      </c>
      <c r="AD1040" s="423">
        <f t="shared" ref="AD1040" si="2271">AD1039</f>
        <v>0</v>
      </c>
      <c r="AE1040" s="423">
        <f t="shared" ref="AE1040" si="2272">AE1039</f>
        <v>0</v>
      </c>
      <c r="AF1040" s="423">
        <f t="shared" ref="AF1040" si="2273">AF1039</f>
        <v>0</v>
      </c>
      <c r="AG1040" s="423">
        <f t="shared" ref="AG1040" si="2274">AG1039</f>
        <v>0</v>
      </c>
      <c r="AH1040" s="423">
        <f t="shared" ref="AH1040" si="2275">AH1039</f>
        <v>0</v>
      </c>
      <c r="AI1040" s="423">
        <f t="shared" ref="AI1040" si="2276">AI1039</f>
        <v>0</v>
      </c>
      <c r="AJ1040" s="423">
        <f t="shared" ref="AJ1040" si="2277">AJ1039</f>
        <v>0</v>
      </c>
      <c r="AK1040" s="423">
        <f t="shared" ref="AK1040" si="2278">AK1039</f>
        <v>0</v>
      </c>
      <c r="AL1040" s="423">
        <f t="shared" ref="AL1040" si="2279">AL1039</f>
        <v>0</v>
      </c>
      <c r="AM1040" s="319"/>
    </row>
    <row r="1041" spans="1:39" ht="15" hidden="1" customHeight="1" outlineLevel="1">
      <c r="A1041" s="539"/>
      <c r="B1041" s="307"/>
      <c r="C1041" s="304"/>
      <c r="D1041" s="304"/>
      <c r="E1041" s="304"/>
      <c r="F1041" s="304"/>
      <c r="G1041" s="304"/>
      <c r="H1041" s="304"/>
      <c r="I1041" s="304"/>
      <c r="J1041" s="304"/>
      <c r="K1041" s="304"/>
      <c r="L1041" s="304"/>
      <c r="M1041" s="304"/>
      <c r="N1041" s="304"/>
      <c r="O1041" s="304"/>
      <c r="P1041" s="304"/>
      <c r="Q1041" s="304"/>
      <c r="R1041" s="304"/>
      <c r="S1041" s="304"/>
      <c r="T1041" s="304"/>
      <c r="U1041" s="304"/>
      <c r="V1041" s="304"/>
      <c r="W1041" s="304"/>
      <c r="X1041" s="304"/>
      <c r="Y1041" s="424"/>
      <c r="Z1041" s="435"/>
      <c r="AA1041" s="435"/>
      <c r="AB1041" s="435"/>
      <c r="AC1041" s="435"/>
      <c r="AD1041" s="435"/>
      <c r="AE1041" s="435"/>
      <c r="AF1041" s="435"/>
      <c r="AG1041" s="435"/>
      <c r="AH1041" s="435"/>
      <c r="AI1041" s="435"/>
      <c r="AJ1041" s="435"/>
      <c r="AK1041" s="435"/>
      <c r="AL1041" s="435"/>
      <c r="AM1041" s="319"/>
    </row>
    <row r="1042" spans="1:39" ht="15" hidden="1" customHeight="1" outlineLevel="1">
      <c r="A1042" s="539">
        <v>28</v>
      </c>
      <c r="B1042" s="438" t="s">
        <v>120</v>
      </c>
      <c r="C1042" s="304" t="s">
        <v>25</v>
      </c>
      <c r="D1042" s="308"/>
      <c r="E1042" s="308"/>
      <c r="F1042" s="308"/>
      <c r="G1042" s="308"/>
      <c r="H1042" s="308"/>
      <c r="I1042" s="308"/>
      <c r="J1042" s="308"/>
      <c r="K1042" s="308"/>
      <c r="L1042" s="308"/>
      <c r="M1042" s="308"/>
      <c r="N1042" s="308">
        <v>12</v>
      </c>
      <c r="O1042" s="308"/>
      <c r="P1042" s="308"/>
      <c r="Q1042" s="308"/>
      <c r="R1042" s="308"/>
      <c r="S1042" s="308"/>
      <c r="T1042" s="308"/>
      <c r="U1042" s="308"/>
      <c r="V1042" s="308"/>
      <c r="W1042" s="308"/>
      <c r="X1042" s="308"/>
      <c r="Y1042" s="436"/>
      <c r="Z1042" s="427"/>
      <c r="AA1042" s="427"/>
      <c r="AB1042" s="427"/>
      <c r="AC1042" s="427"/>
      <c r="AD1042" s="427"/>
      <c r="AE1042" s="427"/>
      <c r="AF1042" s="427"/>
      <c r="AG1042" s="427"/>
      <c r="AH1042" s="427"/>
      <c r="AI1042" s="427"/>
      <c r="AJ1042" s="427"/>
      <c r="AK1042" s="427"/>
      <c r="AL1042" s="427"/>
      <c r="AM1042" s="309">
        <f>SUM(Y1042:AL1042)</f>
        <v>0</v>
      </c>
    </row>
    <row r="1043" spans="1:39" ht="15" hidden="1" customHeight="1" outlineLevel="1">
      <c r="A1043" s="539"/>
      <c r="B1043" s="307" t="s">
        <v>346</v>
      </c>
      <c r="C1043" s="304" t="s">
        <v>163</v>
      </c>
      <c r="D1043" s="308"/>
      <c r="E1043" s="308"/>
      <c r="F1043" s="308"/>
      <c r="G1043" s="308"/>
      <c r="H1043" s="308"/>
      <c r="I1043" s="308"/>
      <c r="J1043" s="308"/>
      <c r="K1043" s="308"/>
      <c r="L1043" s="308"/>
      <c r="M1043" s="308"/>
      <c r="N1043" s="308">
        <f>N1042</f>
        <v>12</v>
      </c>
      <c r="O1043" s="308"/>
      <c r="P1043" s="308"/>
      <c r="Q1043" s="308"/>
      <c r="R1043" s="308"/>
      <c r="S1043" s="308"/>
      <c r="T1043" s="308"/>
      <c r="U1043" s="308"/>
      <c r="V1043" s="308"/>
      <c r="W1043" s="308"/>
      <c r="X1043" s="308"/>
      <c r="Y1043" s="423">
        <f>Y1042</f>
        <v>0</v>
      </c>
      <c r="Z1043" s="423">
        <f>Z1042</f>
        <v>0</v>
      </c>
      <c r="AA1043" s="423">
        <f t="shared" ref="AA1043" si="2280">AA1042</f>
        <v>0</v>
      </c>
      <c r="AB1043" s="423">
        <f t="shared" ref="AB1043" si="2281">AB1042</f>
        <v>0</v>
      </c>
      <c r="AC1043" s="423">
        <f t="shared" ref="AC1043" si="2282">AC1042</f>
        <v>0</v>
      </c>
      <c r="AD1043" s="423">
        <f t="shared" ref="AD1043" si="2283">AD1042</f>
        <v>0</v>
      </c>
      <c r="AE1043" s="423">
        <f>AE1042</f>
        <v>0</v>
      </c>
      <c r="AF1043" s="423">
        <f t="shared" ref="AF1043" si="2284">AF1042</f>
        <v>0</v>
      </c>
      <c r="AG1043" s="423">
        <f t="shared" ref="AG1043" si="2285">AG1042</f>
        <v>0</v>
      </c>
      <c r="AH1043" s="423">
        <f t="shared" ref="AH1043" si="2286">AH1042</f>
        <v>0</v>
      </c>
      <c r="AI1043" s="423">
        <f t="shared" ref="AI1043" si="2287">AI1042</f>
        <v>0</v>
      </c>
      <c r="AJ1043" s="423">
        <f t="shared" ref="AJ1043" si="2288">AJ1042</f>
        <v>0</v>
      </c>
      <c r="AK1043" s="423">
        <f t="shared" ref="AK1043" si="2289">AK1042</f>
        <v>0</v>
      </c>
      <c r="AL1043" s="423">
        <f t="shared" ref="AL1043" si="2290">AL1042</f>
        <v>0</v>
      </c>
      <c r="AM1043" s="319"/>
    </row>
    <row r="1044" spans="1:39" ht="15" hidden="1" customHeight="1" outlineLevel="1">
      <c r="A1044" s="539"/>
      <c r="B1044" s="307"/>
      <c r="C1044" s="304"/>
      <c r="D1044" s="304"/>
      <c r="E1044" s="304"/>
      <c r="F1044" s="304"/>
      <c r="G1044" s="304"/>
      <c r="H1044" s="304"/>
      <c r="I1044" s="304"/>
      <c r="J1044" s="304"/>
      <c r="K1044" s="304"/>
      <c r="L1044" s="304"/>
      <c r="M1044" s="304"/>
      <c r="N1044" s="304"/>
      <c r="O1044" s="304"/>
      <c r="P1044" s="304"/>
      <c r="Q1044" s="304"/>
      <c r="R1044" s="304"/>
      <c r="S1044" s="304"/>
      <c r="T1044" s="304"/>
      <c r="U1044" s="304"/>
      <c r="V1044" s="304"/>
      <c r="W1044" s="304"/>
      <c r="X1044" s="304"/>
      <c r="Y1044" s="424"/>
      <c r="Z1044" s="435"/>
      <c r="AA1044" s="435"/>
      <c r="AB1044" s="435"/>
      <c r="AC1044" s="435"/>
      <c r="AD1044" s="435"/>
      <c r="AE1044" s="435"/>
      <c r="AF1044" s="435"/>
      <c r="AG1044" s="435"/>
      <c r="AH1044" s="435"/>
      <c r="AI1044" s="435"/>
      <c r="AJ1044" s="435"/>
      <c r="AK1044" s="435"/>
      <c r="AL1044" s="435"/>
      <c r="AM1044" s="319"/>
    </row>
    <row r="1045" spans="1:39" ht="15" hidden="1" customHeight="1" outlineLevel="1">
      <c r="A1045" s="539">
        <v>29</v>
      </c>
      <c r="B1045" s="438" t="s">
        <v>121</v>
      </c>
      <c r="C1045" s="304" t="s">
        <v>25</v>
      </c>
      <c r="D1045" s="308"/>
      <c r="E1045" s="308"/>
      <c r="F1045" s="308"/>
      <c r="G1045" s="308"/>
      <c r="H1045" s="308"/>
      <c r="I1045" s="308"/>
      <c r="J1045" s="308"/>
      <c r="K1045" s="308"/>
      <c r="L1045" s="308"/>
      <c r="M1045" s="308"/>
      <c r="N1045" s="308">
        <v>3</v>
      </c>
      <c r="O1045" s="308"/>
      <c r="P1045" s="308"/>
      <c r="Q1045" s="308"/>
      <c r="R1045" s="308"/>
      <c r="S1045" s="308"/>
      <c r="T1045" s="308"/>
      <c r="U1045" s="308"/>
      <c r="V1045" s="308"/>
      <c r="W1045" s="308"/>
      <c r="X1045" s="308"/>
      <c r="Y1045" s="436"/>
      <c r="Z1045" s="427"/>
      <c r="AA1045" s="427"/>
      <c r="AB1045" s="427"/>
      <c r="AC1045" s="427"/>
      <c r="AD1045" s="427"/>
      <c r="AE1045" s="427"/>
      <c r="AF1045" s="427"/>
      <c r="AG1045" s="427"/>
      <c r="AH1045" s="427"/>
      <c r="AI1045" s="427"/>
      <c r="AJ1045" s="427"/>
      <c r="AK1045" s="427"/>
      <c r="AL1045" s="427"/>
      <c r="AM1045" s="309">
        <f>SUM(Y1045:AL1045)</f>
        <v>0</v>
      </c>
    </row>
    <row r="1046" spans="1:39" ht="15" hidden="1" customHeight="1" outlineLevel="1">
      <c r="A1046" s="539"/>
      <c r="B1046" s="307" t="s">
        <v>346</v>
      </c>
      <c r="C1046" s="304" t="s">
        <v>163</v>
      </c>
      <c r="D1046" s="308"/>
      <c r="E1046" s="308"/>
      <c r="F1046" s="308"/>
      <c r="G1046" s="308"/>
      <c r="H1046" s="308"/>
      <c r="I1046" s="308"/>
      <c r="J1046" s="308"/>
      <c r="K1046" s="308"/>
      <c r="L1046" s="308"/>
      <c r="M1046" s="308"/>
      <c r="N1046" s="308">
        <f>N1045</f>
        <v>3</v>
      </c>
      <c r="O1046" s="308"/>
      <c r="P1046" s="308"/>
      <c r="Q1046" s="308"/>
      <c r="R1046" s="308"/>
      <c r="S1046" s="308"/>
      <c r="T1046" s="308"/>
      <c r="U1046" s="308"/>
      <c r="V1046" s="308"/>
      <c r="W1046" s="308"/>
      <c r="X1046" s="308"/>
      <c r="Y1046" s="423">
        <f>Y1045</f>
        <v>0</v>
      </c>
      <c r="Z1046" s="423">
        <f t="shared" ref="Z1046" si="2291">Z1045</f>
        <v>0</v>
      </c>
      <c r="AA1046" s="423">
        <f t="shared" ref="AA1046" si="2292">AA1045</f>
        <v>0</v>
      </c>
      <c r="AB1046" s="423">
        <f t="shared" ref="AB1046" si="2293">AB1045</f>
        <v>0</v>
      </c>
      <c r="AC1046" s="423">
        <f t="shared" ref="AC1046" si="2294">AC1045</f>
        <v>0</v>
      </c>
      <c r="AD1046" s="423">
        <f t="shared" ref="AD1046" si="2295">AD1045</f>
        <v>0</v>
      </c>
      <c r="AE1046" s="423">
        <f t="shared" ref="AE1046" si="2296">AE1045</f>
        <v>0</v>
      </c>
      <c r="AF1046" s="423">
        <f t="shared" ref="AF1046" si="2297">AF1045</f>
        <v>0</v>
      </c>
      <c r="AG1046" s="423">
        <f t="shared" ref="AG1046" si="2298">AG1045</f>
        <v>0</v>
      </c>
      <c r="AH1046" s="423">
        <f t="shared" ref="AH1046" si="2299">AH1045</f>
        <v>0</v>
      </c>
      <c r="AI1046" s="423">
        <f t="shared" ref="AI1046" si="2300">AI1045</f>
        <v>0</v>
      </c>
      <c r="AJ1046" s="423">
        <f t="shared" ref="AJ1046" si="2301">AJ1045</f>
        <v>0</v>
      </c>
      <c r="AK1046" s="423">
        <f t="shared" ref="AK1046" si="2302">AK1045</f>
        <v>0</v>
      </c>
      <c r="AL1046" s="423">
        <f t="shared" ref="AL1046" si="2303">AL1045</f>
        <v>0</v>
      </c>
      <c r="AM1046" s="319"/>
    </row>
    <row r="1047" spans="1:39" ht="15" hidden="1" customHeight="1" outlineLevel="1">
      <c r="A1047" s="539"/>
      <c r="B1047" s="307"/>
      <c r="C1047" s="304"/>
      <c r="D1047" s="304"/>
      <c r="E1047" s="304"/>
      <c r="F1047" s="304"/>
      <c r="G1047" s="304"/>
      <c r="H1047" s="304"/>
      <c r="I1047" s="304"/>
      <c r="J1047" s="304"/>
      <c r="K1047" s="304"/>
      <c r="L1047" s="304"/>
      <c r="M1047" s="304"/>
      <c r="N1047" s="304"/>
      <c r="O1047" s="304"/>
      <c r="P1047" s="304"/>
      <c r="Q1047" s="304"/>
      <c r="R1047" s="304"/>
      <c r="S1047" s="304"/>
      <c r="T1047" s="304"/>
      <c r="U1047" s="304"/>
      <c r="V1047" s="304"/>
      <c r="W1047" s="304"/>
      <c r="X1047" s="304"/>
      <c r="Y1047" s="424"/>
      <c r="Z1047" s="435"/>
      <c r="AA1047" s="435"/>
      <c r="AB1047" s="435"/>
      <c r="AC1047" s="435"/>
      <c r="AD1047" s="435"/>
      <c r="AE1047" s="435"/>
      <c r="AF1047" s="435"/>
      <c r="AG1047" s="435"/>
      <c r="AH1047" s="435"/>
      <c r="AI1047" s="435"/>
      <c r="AJ1047" s="435"/>
      <c r="AK1047" s="435"/>
      <c r="AL1047" s="435"/>
      <c r="AM1047" s="319"/>
    </row>
    <row r="1048" spans="1:39" ht="15" hidden="1" customHeight="1" outlineLevel="1">
      <c r="A1048" s="539">
        <v>30</v>
      </c>
      <c r="B1048" s="438" t="s">
        <v>122</v>
      </c>
      <c r="C1048" s="304" t="s">
        <v>25</v>
      </c>
      <c r="D1048" s="308"/>
      <c r="E1048" s="308"/>
      <c r="F1048" s="308"/>
      <c r="G1048" s="308"/>
      <c r="H1048" s="308"/>
      <c r="I1048" s="308"/>
      <c r="J1048" s="308"/>
      <c r="K1048" s="308"/>
      <c r="L1048" s="308"/>
      <c r="M1048" s="308"/>
      <c r="N1048" s="308">
        <v>12</v>
      </c>
      <c r="O1048" s="308"/>
      <c r="P1048" s="308"/>
      <c r="Q1048" s="308"/>
      <c r="R1048" s="308"/>
      <c r="S1048" s="308"/>
      <c r="T1048" s="308"/>
      <c r="U1048" s="308"/>
      <c r="V1048" s="308"/>
      <c r="W1048" s="308"/>
      <c r="X1048" s="308"/>
      <c r="Y1048" s="436"/>
      <c r="Z1048" s="427"/>
      <c r="AA1048" s="427"/>
      <c r="AB1048" s="427"/>
      <c r="AC1048" s="427"/>
      <c r="AD1048" s="427"/>
      <c r="AE1048" s="427"/>
      <c r="AF1048" s="427"/>
      <c r="AG1048" s="427"/>
      <c r="AH1048" s="427"/>
      <c r="AI1048" s="427"/>
      <c r="AJ1048" s="427"/>
      <c r="AK1048" s="427"/>
      <c r="AL1048" s="427"/>
      <c r="AM1048" s="309">
        <f>SUM(Y1048:AL1048)</f>
        <v>0</v>
      </c>
    </row>
    <row r="1049" spans="1:39" ht="15" hidden="1" customHeight="1" outlineLevel="1">
      <c r="A1049" s="539"/>
      <c r="B1049" s="307" t="s">
        <v>346</v>
      </c>
      <c r="C1049" s="304" t="s">
        <v>163</v>
      </c>
      <c r="D1049" s="308"/>
      <c r="E1049" s="308"/>
      <c r="F1049" s="308"/>
      <c r="G1049" s="308"/>
      <c r="H1049" s="308"/>
      <c r="I1049" s="308"/>
      <c r="J1049" s="308"/>
      <c r="K1049" s="308"/>
      <c r="L1049" s="308"/>
      <c r="M1049" s="308"/>
      <c r="N1049" s="308">
        <f>N1048</f>
        <v>12</v>
      </c>
      <c r="O1049" s="308"/>
      <c r="P1049" s="308"/>
      <c r="Q1049" s="308"/>
      <c r="R1049" s="308"/>
      <c r="S1049" s="308"/>
      <c r="T1049" s="308"/>
      <c r="U1049" s="308"/>
      <c r="V1049" s="308"/>
      <c r="W1049" s="308"/>
      <c r="X1049" s="308"/>
      <c r="Y1049" s="423">
        <f>Y1048</f>
        <v>0</v>
      </c>
      <c r="Z1049" s="423">
        <f t="shared" ref="Z1049" si="2304">Z1048</f>
        <v>0</v>
      </c>
      <c r="AA1049" s="423">
        <f t="shared" ref="AA1049" si="2305">AA1048</f>
        <v>0</v>
      </c>
      <c r="AB1049" s="423">
        <f t="shared" ref="AB1049" si="2306">AB1048</f>
        <v>0</v>
      </c>
      <c r="AC1049" s="423">
        <f t="shared" ref="AC1049" si="2307">AC1048</f>
        <v>0</v>
      </c>
      <c r="AD1049" s="423">
        <f t="shared" ref="AD1049" si="2308">AD1048</f>
        <v>0</v>
      </c>
      <c r="AE1049" s="423">
        <f t="shared" ref="AE1049" si="2309">AE1048</f>
        <v>0</v>
      </c>
      <c r="AF1049" s="423">
        <f t="shared" ref="AF1049" si="2310">AF1048</f>
        <v>0</v>
      </c>
      <c r="AG1049" s="423">
        <f t="shared" ref="AG1049" si="2311">AG1048</f>
        <v>0</v>
      </c>
      <c r="AH1049" s="423">
        <f t="shared" ref="AH1049" si="2312">AH1048</f>
        <v>0</v>
      </c>
      <c r="AI1049" s="423">
        <f t="shared" ref="AI1049" si="2313">AI1048</f>
        <v>0</v>
      </c>
      <c r="AJ1049" s="423">
        <f t="shared" ref="AJ1049" si="2314">AJ1048</f>
        <v>0</v>
      </c>
      <c r="AK1049" s="423">
        <f t="shared" ref="AK1049" si="2315">AK1048</f>
        <v>0</v>
      </c>
      <c r="AL1049" s="423">
        <f t="shared" ref="AL1049" si="2316">AL1048</f>
        <v>0</v>
      </c>
      <c r="AM1049" s="319"/>
    </row>
    <row r="1050" spans="1:39" ht="15" hidden="1" customHeight="1" outlineLevel="1">
      <c r="A1050" s="539"/>
      <c r="B1050" s="307"/>
      <c r="C1050" s="304"/>
      <c r="D1050" s="304"/>
      <c r="E1050" s="304"/>
      <c r="F1050" s="304"/>
      <c r="G1050" s="304"/>
      <c r="H1050" s="304"/>
      <c r="I1050" s="304"/>
      <c r="J1050" s="304"/>
      <c r="K1050" s="304"/>
      <c r="L1050" s="304"/>
      <c r="M1050" s="304"/>
      <c r="N1050" s="304"/>
      <c r="O1050" s="304"/>
      <c r="P1050" s="304"/>
      <c r="Q1050" s="304"/>
      <c r="R1050" s="304"/>
      <c r="S1050" s="304"/>
      <c r="T1050" s="304"/>
      <c r="U1050" s="304"/>
      <c r="V1050" s="304"/>
      <c r="W1050" s="304"/>
      <c r="X1050" s="304"/>
      <c r="Y1050" s="424"/>
      <c r="Z1050" s="435"/>
      <c r="AA1050" s="435"/>
      <c r="AB1050" s="435"/>
      <c r="AC1050" s="435"/>
      <c r="AD1050" s="435"/>
      <c r="AE1050" s="435"/>
      <c r="AF1050" s="435"/>
      <c r="AG1050" s="435"/>
      <c r="AH1050" s="435"/>
      <c r="AI1050" s="435"/>
      <c r="AJ1050" s="435"/>
      <c r="AK1050" s="435"/>
      <c r="AL1050" s="435"/>
      <c r="AM1050" s="319"/>
    </row>
    <row r="1051" spans="1:39" ht="15" hidden="1" customHeight="1" outlineLevel="1">
      <c r="A1051" s="539">
        <v>31</v>
      </c>
      <c r="B1051" s="438" t="s">
        <v>123</v>
      </c>
      <c r="C1051" s="304" t="s">
        <v>25</v>
      </c>
      <c r="D1051" s="308"/>
      <c r="E1051" s="308"/>
      <c r="F1051" s="308"/>
      <c r="G1051" s="308"/>
      <c r="H1051" s="308"/>
      <c r="I1051" s="308"/>
      <c r="J1051" s="308"/>
      <c r="K1051" s="308"/>
      <c r="L1051" s="308"/>
      <c r="M1051" s="308"/>
      <c r="N1051" s="308">
        <v>12</v>
      </c>
      <c r="O1051" s="308"/>
      <c r="P1051" s="308"/>
      <c r="Q1051" s="308"/>
      <c r="R1051" s="308"/>
      <c r="S1051" s="308"/>
      <c r="T1051" s="308"/>
      <c r="U1051" s="308"/>
      <c r="V1051" s="308"/>
      <c r="W1051" s="308"/>
      <c r="X1051" s="308"/>
      <c r="Y1051" s="436"/>
      <c r="Z1051" s="427"/>
      <c r="AA1051" s="427"/>
      <c r="AB1051" s="427"/>
      <c r="AC1051" s="427"/>
      <c r="AD1051" s="427"/>
      <c r="AE1051" s="427"/>
      <c r="AF1051" s="427"/>
      <c r="AG1051" s="427"/>
      <c r="AH1051" s="427"/>
      <c r="AI1051" s="427"/>
      <c r="AJ1051" s="427"/>
      <c r="AK1051" s="427"/>
      <c r="AL1051" s="427"/>
      <c r="AM1051" s="309">
        <f>SUM(Y1051:AL1051)</f>
        <v>0</v>
      </c>
    </row>
    <row r="1052" spans="1:39" ht="15" hidden="1" customHeight="1" outlineLevel="1">
      <c r="A1052" s="539"/>
      <c r="B1052" s="307" t="s">
        <v>346</v>
      </c>
      <c r="C1052" s="304" t="s">
        <v>163</v>
      </c>
      <c r="D1052" s="308"/>
      <c r="E1052" s="308"/>
      <c r="F1052" s="308"/>
      <c r="G1052" s="308"/>
      <c r="H1052" s="308"/>
      <c r="I1052" s="308"/>
      <c r="J1052" s="308"/>
      <c r="K1052" s="308"/>
      <c r="L1052" s="308"/>
      <c r="M1052" s="308"/>
      <c r="N1052" s="308">
        <f>N1051</f>
        <v>12</v>
      </c>
      <c r="O1052" s="308"/>
      <c r="P1052" s="308"/>
      <c r="Q1052" s="308"/>
      <c r="R1052" s="308"/>
      <c r="S1052" s="308"/>
      <c r="T1052" s="308"/>
      <c r="U1052" s="308"/>
      <c r="V1052" s="308"/>
      <c r="W1052" s="308"/>
      <c r="X1052" s="308"/>
      <c r="Y1052" s="423">
        <f>Y1051</f>
        <v>0</v>
      </c>
      <c r="Z1052" s="423">
        <f t="shared" ref="Z1052" si="2317">Z1051</f>
        <v>0</v>
      </c>
      <c r="AA1052" s="423">
        <f t="shared" ref="AA1052" si="2318">AA1051</f>
        <v>0</v>
      </c>
      <c r="AB1052" s="423">
        <f t="shared" ref="AB1052" si="2319">AB1051</f>
        <v>0</v>
      </c>
      <c r="AC1052" s="423">
        <f t="shared" ref="AC1052" si="2320">AC1051</f>
        <v>0</v>
      </c>
      <c r="AD1052" s="423">
        <f t="shared" ref="AD1052" si="2321">AD1051</f>
        <v>0</v>
      </c>
      <c r="AE1052" s="423">
        <f t="shared" ref="AE1052" si="2322">AE1051</f>
        <v>0</v>
      </c>
      <c r="AF1052" s="423">
        <f t="shared" ref="AF1052" si="2323">AF1051</f>
        <v>0</v>
      </c>
      <c r="AG1052" s="423">
        <f t="shared" ref="AG1052" si="2324">AG1051</f>
        <v>0</v>
      </c>
      <c r="AH1052" s="423">
        <f t="shared" ref="AH1052" si="2325">AH1051</f>
        <v>0</v>
      </c>
      <c r="AI1052" s="423">
        <f t="shared" ref="AI1052" si="2326">AI1051</f>
        <v>0</v>
      </c>
      <c r="AJ1052" s="423">
        <f t="shared" ref="AJ1052" si="2327">AJ1051</f>
        <v>0</v>
      </c>
      <c r="AK1052" s="423">
        <f t="shared" ref="AK1052" si="2328">AK1051</f>
        <v>0</v>
      </c>
      <c r="AL1052" s="423">
        <f t="shared" ref="AL1052" si="2329">AL1051</f>
        <v>0</v>
      </c>
      <c r="AM1052" s="319"/>
    </row>
    <row r="1053" spans="1:39" ht="15" hidden="1" customHeight="1" outlineLevel="1">
      <c r="A1053" s="539"/>
      <c r="B1053" s="438"/>
      <c r="C1053" s="304"/>
      <c r="D1053" s="304"/>
      <c r="E1053" s="304"/>
      <c r="F1053" s="304"/>
      <c r="G1053" s="304"/>
      <c r="H1053" s="304"/>
      <c r="I1053" s="304"/>
      <c r="J1053" s="304"/>
      <c r="K1053" s="304"/>
      <c r="L1053" s="304"/>
      <c r="M1053" s="304"/>
      <c r="N1053" s="304"/>
      <c r="O1053" s="304"/>
      <c r="P1053" s="304"/>
      <c r="Q1053" s="304"/>
      <c r="R1053" s="304"/>
      <c r="S1053" s="304"/>
      <c r="T1053" s="304"/>
      <c r="U1053" s="304"/>
      <c r="V1053" s="304"/>
      <c r="W1053" s="304"/>
      <c r="X1053" s="304"/>
      <c r="Y1053" s="424"/>
      <c r="Z1053" s="435"/>
      <c r="AA1053" s="435"/>
      <c r="AB1053" s="435"/>
      <c r="AC1053" s="435"/>
      <c r="AD1053" s="435"/>
      <c r="AE1053" s="435"/>
      <c r="AF1053" s="435"/>
      <c r="AG1053" s="435"/>
      <c r="AH1053" s="435"/>
      <c r="AI1053" s="435"/>
      <c r="AJ1053" s="435"/>
      <c r="AK1053" s="435"/>
      <c r="AL1053" s="435"/>
      <c r="AM1053" s="319"/>
    </row>
    <row r="1054" spans="1:39" ht="15" hidden="1" customHeight="1" outlineLevel="1">
      <c r="A1054" s="539">
        <v>32</v>
      </c>
      <c r="B1054" s="438" t="s">
        <v>124</v>
      </c>
      <c r="C1054" s="304" t="s">
        <v>25</v>
      </c>
      <c r="D1054" s="308"/>
      <c r="E1054" s="308"/>
      <c r="F1054" s="308"/>
      <c r="G1054" s="308"/>
      <c r="H1054" s="308"/>
      <c r="I1054" s="308"/>
      <c r="J1054" s="308"/>
      <c r="K1054" s="308"/>
      <c r="L1054" s="308"/>
      <c r="M1054" s="308"/>
      <c r="N1054" s="308">
        <v>12</v>
      </c>
      <c r="O1054" s="308"/>
      <c r="P1054" s="308"/>
      <c r="Q1054" s="308"/>
      <c r="R1054" s="308"/>
      <c r="S1054" s="308"/>
      <c r="T1054" s="308"/>
      <c r="U1054" s="308"/>
      <c r="V1054" s="308"/>
      <c r="W1054" s="308"/>
      <c r="X1054" s="308"/>
      <c r="Y1054" s="436"/>
      <c r="Z1054" s="427"/>
      <c r="AA1054" s="427"/>
      <c r="AB1054" s="427"/>
      <c r="AC1054" s="427"/>
      <c r="AD1054" s="427"/>
      <c r="AE1054" s="427"/>
      <c r="AF1054" s="427"/>
      <c r="AG1054" s="427"/>
      <c r="AH1054" s="427"/>
      <c r="AI1054" s="427"/>
      <c r="AJ1054" s="427"/>
      <c r="AK1054" s="427"/>
      <c r="AL1054" s="427"/>
      <c r="AM1054" s="309">
        <f>SUM(Y1054:AL1054)</f>
        <v>0</v>
      </c>
    </row>
    <row r="1055" spans="1:39" ht="15" hidden="1" customHeight="1" outlineLevel="1">
      <c r="A1055" s="539"/>
      <c r="B1055" s="307" t="s">
        <v>346</v>
      </c>
      <c r="C1055" s="304" t="s">
        <v>163</v>
      </c>
      <c r="D1055" s="308"/>
      <c r="E1055" s="308"/>
      <c r="F1055" s="308"/>
      <c r="G1055" s="308"/>
      <c r="H1055" s="308"/>
      <c r="I1055" s="308"/>
      <c r="J1055" s="308"/>
      <c r="K1055" s="308"/>
      <c r="L1055" s="308"/>
      <c r="M1055" s="308"/>
      <c r="N1055" s="308">
        <f>N1054</f>
        <v>12</v>
      </c>
      <c r="O1055" s="308"/>
      <c r="P1055" s="308"/>
      <c r="Q1055" s="308"/>
      <c r="R1055" s="308"/>
      <c r="S1055" s="308"/>
      <c r="T1055" s="308"/>
      <c r="U1055" s="308"/>
      <c r="V1055" s="308"/>
      <c r="W1055" s="308"/>
      <c r="X1055" s="308"/>
      <c r="Y1055" s="423">
        <f>Y1054</f>
        <v>0</v>
      </c>
      <c r="Z1055" s="423">
        <f t="shared" ref="Z1055" si="2330">Z1054</f>
        <v>0</v>
      </c>
      <c r="AA1055" s="423">
        <f t="shared" ref="AA1055" si="2331">AA1054</f>
        <v>0</v>
      </c>
      <c r="AB1055" s="423">
        <f t="shared" ref="AB1055" si="2332">AB1054</f>
        <v>0</v>
      </c>
      <c r="AC1055" s="423">
        <f t="shared" ref="AC1055" si="2333">AC1054</f>
        <v>0</v>
      </c>
      <c r="AD1055" s="423">
        <f t="shared" ref="AD1055" si="2334">AD1054</f>
        <v>0</v>
      </c>
      <c r="AE1055" s="423">
        <f t="shared" ref="AE1055" si="2335">AE1054</f>
        <v>0</v>
      </c>
      <c r="AF1055" s="423">
        <f t="shared" ref="AF1055" si="2336">AF1054</f>
        <v>0</v>
      </c>
      <c r="AG1055" s="423">
        <f t="shared" ref="AG1055" si="2337">AG1054</f>
        <v>0</v>
      </c>
      <c r="AH1055" s="423">
        <f t="shared" ref="AH1055" si="2338">AH1054</f>
        <v>0</v>
      </c>
      <c r="AI1055" s="423">
        <f t="shared" ref="AI1055" si="2339">AI1054</f>
        <v>0</v>
      </c>
      <c r="AJ1055" s="423">
        <f t="shared" ref="AJ1055" si="2340">AJ1054</f>
        <v>0</v>
      </c>
      <c r="AK1055" s="423">
        <f t="shared" ref="AK1055" si="2341">AK1054</f>
        <v>0</v>
      </c>
      <c r="AL1055" s="423">
        <f t="shared" ref="AL1055" si="2342">AL1054</f>
        <v>0</v>
      </c>
      <c r="AM1055" s="319"/>
    </row>
    <row r="1056" spans="1:39" ht="15" hidden="1" customHeight="1" outlineLevel="1">
      <c r="A1056" s="539"/>
      <c r="B1056" s="438"/>
      <c r="C1056" s="304"/>
      <c r="D1056" s="304"/>
      <c r="E1056" s="304"/>
      <c r="F1056" s="304"/>
      <c r="G1056" s="304"/>
      <c r="H1056" s="304"/>
      <c r="I1056" s="304"/>
      <c r="J1056" s="304"/>
      <c r="K1056" s="304"/>
      <c r="L1056" s="304"/>
      <c r="M1056" s="304"/>
      <c r="N1056" s="304"/>
      <c r="O1056" s="304"/>
      <c r="P1056" s="304"/>
      <c r="Q1056" s="304"/>
      <c r="R1056" s="304"/>
      <c r="S1056" s="304"/>
      <c r="T1056" s="304"/>
      <c r="U1056" s="304"/>
      <c r="V1056" s="304"/>
      <c r="W1056" s="304"/>
      <c r="X1056" s="304"/>
      <c r="Y1056" s="424"/>
      <c r="Z1056" s="435"/>
      <c r="AA1056" s="435"/>
      <c r="AB1056" s="435"/>
      <c r="AC1056" s="435"/>
      <c r="AD1056" s="435"/>
      <c r="AE1056" s="435"/>
      <c r="AF1056" s="435"/>
      <c r="AG1056" s="435"/>
      <c r="AH1056" s="435"/>
      <c r="AI1056" s="435"/>
      <c r="AJ1056" s="435"/>
      <c r="AK1056" s="435"/>
      <c r="AL1056" s="435"/>
      <c r="AM1056" s="319"/>
    </row>
    <row r="1057" spans="1:39" ht="15" hidden="1" customHeight="1" outlineLevel="1">
      <c r="A1057" s="539"/>
      <c r="B1057" s="301" t="s">
        <v>500</v>
      </c>
      <c r="C1057" s="304"/>
      <c r="D1057" s="304"/>
      <c r="E1057" s="304"/>
      <c r="F1057" s="304"/>
      <c r="G1057" s="304"/>
      <c r="H1057" s="304"/>
      <c r="I1057" s="304"/>
      <c r="J1057" s="304"/>
      <c r="K1057" s="304"/>
      <c r="L1057" s="304"/>
      <c r="M1057" s="304"/>
      <c r="N1057" s="304"/>
      <c r="O1057" s="304"/>
      <c r="P1057" s="304"/>
      <c r="Q1057" s="304"/>
      <c r="R1057" s="304"/>
      <c r="S1057" s="304"/>
      <c r="T1057" s="304"/>
      <c r="U1057" s="304"/>
      <c r="V1057" s="304"/>
      <c r="W1057" s="304"/>
      <c r="X1057" s="304"/>
      <c r="Y1057" s="424"/>
      <c r="Z1057" s="435"/>
      <c r="AA1057" s="435"/>
      <c r="AB1057" s="435"/>
      <c r="AC1057" s="435"/>
      <c r="AD1057" s="435"/>
      <c r="AE1057" s="435"/>
      <c r="AF1057" s="435"/>
      <c r="AG1057" s="435"/>
      <c r="AH1057" s="435"/>
      <c r="AI1057" s="435"/>
      <c r="AJ1057" s="435"/>
      <c r="AK1057" s="435"/>
      <c r="AL1057" s="435"/>
      <c r="AM1057" s="319"/>
    </row>
    <row r="1058" spans="1:39" ht="15" hidden="1" customHeight="1" outlineLevel="1">
      <c r="A1058" s="539">
        <v>33</v>
      </c>
      <c r="B1058" s="438" t="s">
        <v>125</v>
      </c>
      <c r="C1058" s="304" t="s">
        <v>25</v>
      </c>
      <c r="D1058" s="308"/>
      <c r="E1058" s="308"/>
      <c r="F1058" s="308"/>
      <c r="G1058" s="308"/>
      <c r="H1058" s="308"/>
      <c r="I1058" s="308"/>
      <c r="J1058" s="308"/>
      <c r="K1058" s="308"/>
      <c r="L1058" s="308"/>
      <c r="M1058" s="308"/>
      <c r="N1058" s="308">
        <v>0</v>
      </c>
      <c r="O1058" s="308"/>
      <c r="P1058" s="308"/>
      <c r="Q1058" s="308"/>
      <c r="R1058" s="308"/>
      <c r="S1058" s="308"/>
      <c r="T1058" s="308"/>
      <c r="U1058" s="308"/>
      <c r="V1058" s="308"/>
      <c r="W1058" s="308"/>
      <c r="X1058" s="308"/>
      <c r="Y1058" s="436"/>
      <c r="Z1058" s="427"/>
      <c r="AA1058" s="427"/>
      <c r="AB1058" s="427"/>
      <c r="AC1058" s="427"/>
      <c r="AD1058" s="427"/>
      <c r="AE1058" s="427"/>
      <c r="AF1058" s="427"/>
      <c r="AG1058" s="427"/>
      <c r="AH1058" s="427"/>
      <c r="AI1058" s="427"/>
      <c r="AJ1058" s="427"/>
      <c r="AK1058" s="427"/>
      <c r="AL1058" s="427"/>
      <c r="AM1058" s="309">
        <f>SUM(Y1058:AL1058)</f>
        <v>0</v>
      </c>
    </row>
    <row r="1059" spans="1:39" ht="15" hidden="1" customHeight="1" outlineLevel="1">
      <c r="A1059" s="539"/>
      <c r="B1059" s="307" t="s">
        <v>346</v>
      </c>
      <c r="C1059" s="304" t="s">
        <v>163</v>
      </c>
      <c r="D1059" s="308"/>
      <c r="E1059" s="308"/>
      <c r="F1059" s="308"/>
      <c r="G1059" s="308"/>
      <c r="H1059" s="308"/>
      <c r="I1059" s="308"/>
      <c r="J1059" s="308"/>
      <c r="K1059" s="308"/>
      <c r="L1059" s="308"/>
      <c r="M1059" s="308"/>
      <c r="N1059" s="308">
        <f>N1058</f>
        <v>0</v>
      </c>
      <c r="O1059" s="308"/>
      <c r="P1059" s="308"/>
      <c r="Q1059" s="308"/>
      <c r="R1059" s="308"/>
      <c r="S1059" s="308"/>
      <c r="T1059" s="308"/>
      <c r="U1059" s="308"/>
      <c r="V1059" s="308"/>
      <c r="W1059" s="308"/>
      <c r="X1059" s="308"/>
      <c r="Y1059" s="423">
        <f>Y1058</f>
        <v>0</v>
      </c>
      <c r="Z1059" s="423">
        <f t="shared" ref="Z1059" si="2343">Z1058</f>
        <v>0</v>
      </c>
      <c r="AA1059" s="423">
        <f t="shared" ref="AA1059" si="2344">AA1058</f>
        <v>0</v>
      </c>
      <c r="AB1059" s="423">
        <f t="shared" ref="AB1059" si="2345">AB1058</f>
        <v>0</v>
      </c>
      <c r="AC1059" s="423">
        <f t="shared" ref="AC1059" si="2346">AC1058</f>
        <v>0</v>
      </c>
      <c r="AD1059" s="423">
        <f t="shared" ref="AD1059" si="2347">AD1058</f>
        <v>0</v>
      </c>
      <c r="AE1059" s="423">
        <f t="shared" ref="AE1059" si="2348">AE1058</f>
        <v>0</v>
      </c>
      <c r="AF1059" s="423">
        <f t="shared" ref="AF1059" si="2349">AF1058</f>
        <v>0</v>
      </c>
      <c r="AG1059" s="423">
        <f t="shared" ref="AG1059" si="2350">AG1058</f>
        <v>0</v>
      </c>
      <c r="AH1059" s="423">
        <f t="shared" ref="AH1059" si="2351">AH1058</f>
        <v>0</v>
      </c>
      <c r="AI1059" s="423">
        <f t="shared" ref="AI1059" si="2352">AI1058</f>
        <v>0</v>
      </c>
      <c r="AJ1059" s="423">
        <f t="shared" ref="AJ1059" si="2353">AJ1058</f>
        <v>0</v>
      </c>
      <c r="AK1059" s="423">
        <f t="shared" ref="AK1059" si="2354">AK1058</f>
        <v>0</v>
      </c>
      <c r="AL1059" s="423">
        <f t="shared" ref="AL1059" si="2355">AL1058</f>
        <v>0</v>
      </c>
      <c r="AM1059" s="319"/>
    </row>
    <row r="1060" spans="1:39" ht="15" hidden="1" customHeight="1" outlineLevel="1">
      <c r="A1060" s="539"/>
      <c r="B1060" s="438"/>
      <c r="C1060" s="304"/>
      <c r="D1060" s="304"/>
      <c r="E1060" s="304"/>
      <c r="F1060" s="304"/>
      <c r="G1060" s="304"/>
      <c r="H1060" s="304"/>
      <c r="I1060" s="304"/>
      <c r="J1060" s="304"/>
      <c r="K1060" s="304"/>
      <c r="L1060" s="304"/>
      <c r="M1060" s="304"/>
      <c r="N1060" s="304"/>
      <c r="O1060" s="304"/>
      <c r="P1060" s="304"/>
      <c r="Q1060" s="304"/>
      <c r="R1060" s="304"/>
      <c r="S1060" s="304"/>
      <c r="T1060" s="304"/>
      <c r="U1060" s="304"/>
      <c r="V1060" s="304"/>
      <c r="W1060" s="304"/>
      <c r="X1060" s="304"/>
      <c r="Y1060" s="424"/>
      <c r="Z1060" s="435"/>
      <c r="AA1060" s="435"/>
      <c r="AB1060" s="435"/>
      <c r="AC1060" s="435"/>
      <c r="AD1060" s="435"/>
      <c r="AE1060" s="435"/>
      <c r="AF1060" s="435"/>
      <c r="AG1060" s="435"/>
      <c r="AH1060" s="435"/>
      <c r="AI1060" s="435"/>
      <c r="AJ1060" s="435"/>
      <c r="AK1060" s="435"/>
      <c r="AL1060" s="435"/>
      <c r="AM1060" s="319"/>
    </row>
    <row r="1061" spans="1:39" ht="15" hidden="1" customHeight="1" outlineLevel="1">
      <c r="A1061" s="539">
        <v>34</v>
      </c>
      <c r="B1061" s="438" t="s">
        <v>126</v>
      </c>
      <c r="C1061" s="304" t="s">
        <v>25</v>
      </c>
      <c r="D1061" s="308"/>
      <c r="E1061" s="308"/>
      <c r="F1061" s="308"/>
      <c r="G1061" s="308"/>
      <c r="H1061" s="308"/>
      <c r="I1061" s="308"/>
      <c r="J1061" s="308"/>
      <c r="K1061" s="308"/>
      <c r="L1061" s="308"/>
      <c r="M1061" s="308"/>
      <c r="N1061" s="308">
        <v>0</v>
      </c>
      <c r="O1061" s="308"/>
      <c r="P1061" s="308"/>
      <c r="Q1061" s="308"/>
      <c r="R1061" s="308"/>
      <c r="S1061" s="308"/>
      <c r="T1061" s="308"/>
      <c r="U1061" s="308"/>
      <c r="V1061" s="308"/>
      <c r="W1061" s="308"/>
      <c r="X1061" s="308"/>
      <c r="Y1061" s="436"/>
      <c r="Z1061" s="427"/>
      <c r="AA1061" s="427"/>
      <c r="AB1061" s="427"/>
      <c r="AC1061" s="427"/>
      <c r="AD1061" s="427"/>
      <c r="AE1061" s="427"/>
      <c r="AF1061" s="427"/>
      <c r="AG1061" s="427"/>
      <c r="AH1061" s="427"/>
      <c r="AI1061" s="427"/>
      <c r="AJ1061" s="427"/>
      <c r="AK1061" s="427"/>
      <c r="AL1061" s="427"/>
      <c r="AM1061" s="309">
        <f>SUM(Y1061:AL1061)</f>
        <v>0</v>
      </c>
    </row>
    <row r="1062" spans="1:39" ht="15" hidden="1" customHeight="1" outlineLevel="1">
      <c r="A1062" s="539"/>
      <c r="B1062" s="307" t="s">
        <v>346</v>
      </c>
      <c r="C1062" s="304" t="s">
        <v>163</v>
      </c>
      <c r="D1062" s="308"/>
      <c r="E1062" s="308"/>
      <c r="F1062" s="308"/>
      <c r="G1062" s="308"/>
      <c r="H1062" s="308"/>
      <c r="I1062" s="308"/>
      <c r="J1062" s="308"/>
      <c r="K1062" s="308"/>
      <c r="L1062" s="308"/>
      <c r="M1062" s="308"/>
      <c r="N1062" s="308">
        <f>N1061</f>
        <v>0</v>
      </c>
      <c r="O1062" s="308"/>
      <c r="P1062" s="308"/>
      <c r="Q1062" s="308"/>
      <c r="R1062" s="308"/>
      <c r="S1062" s="308"/>
      <c r="T1062" s="308"/>
      <c r="U1062" s="308"/>
      <c r="V1062" s="308"/>
      <c r="W1062" s="308"/>
      <c r="X1062" s="308"/>
      <c r="Y1062" s="423">
        <f>Y1061</f>
        <v>0</v>
      </c>
      <c r="Z1062" s="423">
        <f t="shared" ref="Z1062" si="2356">Z1061</f>
        <v>0</v>
      </c>
      <c r="AA1062" s="423">
        <f t="shared" ref="AA1062" si="2357">AA1061</f>
        <v>0</v>
      </c>
      <c r="AB1062" s="423">
        <f t="shared" ref="AB1062" si="2358">AB1061</f>
        <v>0</v>
      </c>
      <c r="AC1062" s="423">
        <f t="shared" ref="AC1062" si="2359">AC1061</f>
        <v>0</v>
      </c>
      <c r="AD1062" s="423">
        <f t="shared" ref="AD1062" si="2360">AD1061</f>
        <v>0</v>
      </c>
      <c r="AE1062" s="423">
        <f t="shared" ref="AE1062" si="2361">AE1061</f>
        <v>0</v>
      </c>
      <c r="AF1062" s="423">
        <f t="shared" ref="AF1062" si="2362">AF1061</f>
        <v>0</v>
      </c>
      <c r="AG1062" s="423">
        <f t="shared" ref="AG1062" si="2363">AG1061</f>
        <v>0</v>
      </c>
      <c r="AH1062" s="423">
        <f t="shared" ref="AH1062" si="2364">AH1061</f>
        <v>0</v>
      </c>
      <c r="AI1062" s="423">
        <f t="shared" ref="AI1062" si="2365">AI1061</f>
        <v>0</v>
      </c>
      <c r="AJ1062" s="423">
        <f t="shared" ref="AJ1062" si="2366">AJ1061</f>
        <v>0</v>
      </c>
      <c r="AK1062" s="423">
        <f t="shared" ref="AK1062" si="2367">AK1061</f>
        <v>0</v>
      </c>
      <c r="AL1062" s="423">
        <f t="shared" ref="AL1062" si="2368">AL1061</f>
        <v>0</v>
      </c>
      <c r="AM1062" s="319"/>
    </row>
    <row r="1063" spans="1:39" ht="15" hidden="1" customHeight="1" outlineLevel="1">
      <c r="A1063" s="539"/>
      <c r="B1063" s="438"/>
      <c r="C1063" s="304"/>
      <c r="D1063" s="304"/>
      <c r="E1063" s="304"/>
      <c r="F1063" s="304"/>
      <c r="G1063" s="304"/>
      <c r="H1063" s="304"/>
      <c r="I1063" s="304"/>
      <c r="J1063" s="304"/>
      <c r="K1063" s="304"/>
      <c r="L1063" s="304"/>
      <c r="M1063" s="304"/>
      <c r="N1063" s="304"/>
      <c r="O1063" s="304"/>
      <c r="P1063" s="304"/>
      <c r="Q1063" s="304"/>
      <c r="R1063" s="304"/>
      <c r="S1063" s="304"/>
      <c r="T1063" s="304"/>
      <c r="U1063" s="304"/>
      <c r="V1063" s="304"/>
      <c r="W1063" s="304"/>
      <c r="X1063" s="304"/>
      <c r="Y1063" s="424"/>
      <c r="Z1063" s="435"/>
      <c r="AA1063" s="435"/>
      <c r="AB1063" s="435"/>
      <c r="AC1063" s="435"/>
      <c r="AD1063" s="435"/>
      <c r="AE1063" s="435"/>
      <c r="AF1063" s="435"/>
      <c r="AG1063" s="435"/>
      <c r="AH1063" s="435"/>
      <c r="AI1063" s="435"/>
      <c r="AJ1063" s="435"/>
      <c r="AK1063" s="435"/>
      <c r="AL1063" s="435"/>
      <c r="AM1063" s="319"/>
    </row>
    <row r="1064" spans="1:39" ht="15" hidden="1" customHeight="1" outlineLevel="1">
      <c r="A1064" s="539">
        <v>35</v>
      </c>
      <c r="B1064" s="438" t="s">
        <v>127</v>
      </c>
      <c r="C1064" s="304" t="s">
        <v>25</v>
      </c>
      <c r="D1064" s="308"/>
      <c r="E1064" s="308"/>
      <c r="F1064" s="308"/>
      <c r="G1064" s="308"/>
      <c r="H1064" s="308"/>
      <c r="I1064" s="308"/>
      <c r="J1064" s="308"/>
      <c r="K1064" s="308"/>
      <c r="L1064" s="308"/>
      <c r="M1064" s="308"/>
      <c r="N1064" s="308">
        <v>0</v>
      </c>
      <c r="O1064" s="308"/>
      <c r="P1064" s="308"/>
      <c r="Q1064" s="308"/>
      <c r="R1064" s="308"/>
      <c r="S1064" s="308"/>
      <c r="T1064" s="308"/>
      <c r="U1064" s="308"/>
      <c r="V1064" s="308"/>
      <c r="W1064" s="308"/>
      <c r="X1064" s="308"/>
      <c r="Y1064" s="436"/>
      <c r="Z1064" s="427"/>
      <c r="AA1064" s="427"/>
      <c r="AB1064" s="427"/>
      <c r="AC1064" s="427"/>
      <c r="AD1064" s="427"/>
      <c r="AE1064" s="427"/>
      <c r="AF1064" s="427"/>
      <c r="AG1064" s="427"/>
      <c r="AH1064" s="427"/>
      <c r="AI1064" s="427"/>
      <c r="AJ1064" s="427"/>
      <c r="AK1064" s="427"/>
      <c r="AL1064" s="427"/>
      <c r="AM1064" s="309">
        <f>SUM(Y1064:AL1064)</f>
        <v>0</v>
      </c>
    </row>
    <row r="1065" spans="1:39" ht="15" hidden="1" customHeight="1" outlineLevel="1">
      <c r="A1065" s="539"/>
      <c r="B1065" s="307" t="s">
        <v>346</v>
      </c>
      <c r="C1065" s="304" t="s">
        <v>163</v>
      </c>
      <c r="D1065" s="308"/>
      <c r="E1065" s="308"/>
      <c r="F1065" s="308"/>
      <c r="G1065" s="308"/>
      <c r="H1065" s="308"/>
      <c r="I1065" s="308"/>
      <c r="J1065" s="308"/>
      <c r="K1065" s="308"/>
      <c r="L1065" s="308"/>
      <c r="M1065" s="308"/>
      <c r="N1065" s="308">
        <f>N1064</f>
        <v>0</v>
      </c>
      <c r="O1065" s="308"/>
      <c r="P1065" s="308"/>
      <c r="Q1065" s="308"/>
      <c r="R1065" s="308"/>
      <c r="S1065" s="308"/>
      <c r="T1065" s="308"/>
      <c r="U1065" s="308"/>
      <c r="V1065" s="308"/>
      <c r="W1065" s="308"/>
      <c r="X1065" s="308"/>
      <c r="Y1065" s="423">
        <f>Y1064</f>
        <v>0</v>
      </c>
      <c r="Z1065" s="423">
        <f t="shared" ref="Z1065" si="2369">Z1064</f>
        <v>0</v>
      </c>
      <c r="AA1065" s="423">
        <f t="shared" ref="AA1065" si="2370">AA1064</f>
        <v>0</v>
      </c>
      <c r="AB1065" s="423">
        <f t="shared" ref="AB1065" si="2371">AB1064</f>
        <v>0</v>
      </c>
      <c r="AC1065" s="423">
        <f t="shared" ref="AC1065" si="2372">AC1064</f>
        <v>0</v>
      </c>
      <c r="AD1065" s="423">
        <f t="shared" ref="AD1065" si="2373">AD1064</f>
        <v>0</v>
      </c>
      <c r="AE1065" s="423">
        <f t="shared" ref="AE1065" si="2374">AE1064</f>
        <v>0</v>
      </c>
      <c r="AF1065" s="423">
        <f t="shared" ref="AF1065" si="2375">AF1064</f>
        <v>0</v>
      </c>
      <c r="AG1065" s="423">
        <f t="shared" ref="AG1065" si="2376">AG1064</f>
        <v>0</v>
      </c>
      <c r="AH1065" s="423">
        <f t="shared" ref="AH1065" si="2377">AH1064</f>
        <v>0</v>
      </c>
      <c r="AI1065" s="423">
        <f t="shared" ref="AI1065" si="2378">AI1064</f>
        <v>0</v>
      </c>
      <c r="AJ1065" s="423">
        <f t="shared" ref="AJ1065" si="2379">AJ1064</f>
        <v>0</v>
      </c>
      <c r="AK1065" s="423">
        <f t="shared" ref="AK1065" si="2380">AK1064</f>
        <v>0</v>
      </c>
      <c r="AL1065" s="423">
        <f t="shared" ref="AL1065" si="2381">AL1064</f>
        <v>0</v>
      </c>
      <c r="AM1065" s="319"/>
    </row>
    <row r="1066" spans="1:39" ht="15" hidden="1" customHeight="1" outlineLevel="1">
      <c r="A1066" s="539"/>
      <c r="B1066" s="441"/>
      <c r="C1066" s="304"/>
      <c r="D1066" s="304"/>
      <c r="E1066" s="304"/>
      <c r="F1066" s="304"/>
      <c r="G1066" s="304"/>
      <c r="H1066" s="304"/>
      <c r="I1066" s="304"/>
      <c r="J1066" s="304"/>
      <c r="K1066" s="304"/>
      <c r="L1066" s="304"/>
      <c r="M1066" s="304"/>
      <c r="N1066" s="304"/>
      <c r="O1066" s="304"/>
      <c r="P1066" s="304"/>
      <c r="Q1066" s="304"/>
      <c r="R1066" s="304"/>
      <c r="S1066" s="304"/>
      <c r="T1066" s="304"/>
      <c r="U1066" s="304"/>
      <c r="V1066" s="304"/>
      <c r="W1066" s="304"/>
      <c r="X1066" s="304"/>
      <c r="Y1066" s="424"/>
      <c r="Z1066" s="435"/>
      <c r="AA1066" s="435"/>
      <c r="AB1066" s="435"/>
      <c r="AC1066" s="435"/>
      <c r="AD1066" s="435"/>
      <c r="AE1066" s="435"/>
      <c r="AF1066" s="435"/>
      <c r="AG1066" s="435"/>
      <c r="AH1066" s="435"/>
      <c r="AI1066" s="435"/>
      <c r="AJ1066" s="435"/>
      <c r="AK1066" s="435"/>
      <c r="AL1066" s="435"/>
      <c r="AM1066" s="319"/>
    </row>
    <row r="1067" spans="1:39" ht="15" hidden="1" customHeight="1" outlineLevel="1">
      <c r="A1067" s="539"/>
      <c r="B1067" s="301" t="s">
        <v>501</v>
      </c>
      <c r="C1067" s="304"/>
      <c r="D1067" s="304"/>
      <c r="E1067" s="304"/>
      <c r="F1067" s="304"/>
      <c r="G1067" s="304"/>
      <c r="H1067" s="304"/>
      <c r="I1067" s="304"/>
      <c r="J1067" s="304"/>
      <c r="K1067" s="304"/>
      <c r="L1067" s="304"/>
      <c r="M1067" s="304"/>
      <c r="N1067" s="304"/>
      <c r="O1067" s="304"/>
      <c r="P1067" s="304"/>
      <c r="Q1067" s="304"/>
      <c r="R1067" s="304"/>
      <c r="S1067" s="304"/>
      <c r="T1067" s="304"/>
      <c r="U1067" s="304"/>
      <c r="V1067" s="304"/>
      <c r="W1067" s="304"/>
      <c r="X1067" s="304"/>
      <c r="Y1067" s="424"/>
      <c r="Z1067" s="435"/>
      <c r="AA1067" s="435"/>
      <c r="AB1067" s="435"/>
      <c r="AC1067" s="435"/>
      <c r="AD1067" s="435"/>
      <c r="AE1067" s="435"/>
      <c r="AF1067" s="435"/>
      <c r="AG1067" s="435"/>
      <c r="AH1067" s="435"/>
      <c r="AI1067" s="435"/>
      <c r="AJ1067" s="435"/>
      <c r="AK1067" s="435"/>
      <c r="AL1067" s="435"/>
      <c r="AM1067" s="319"/>
    </row>
    <row r="1068" spans="1:39" ht="28.5" hidden="1" customHeight="1" outlineLevel="1">
      <c r="A1068" s="539">
        <v>36</v>
      </c>
      <c r="B1068" s="438" t="s">
        <v>128</v>
      </c>
      <c r="C1068" s="304" t="s">
        <v>25</v>
      </c>
      <c r="D1068" s="308"/>
      <c r="E1068" s="308"/>
      <c r="F1068" s="308"/>
      <c r="G1068" s="308"/>
      <c r="H1068" s="308"/>
      <c r="I1068" s="308"/>
      <c r="J1068" s="308"/>
      <c r="K1068" s="308"/>
      <c r="L1068" s="308"/>
      <c r="M1068" s="308"/>
      <c r="N1068" s="308">
        <v>12</v>
      </c>
      <c r="O1068" s="308"/>
      <c r="P1068" s="308"/>
      <c r="Q1068" s="308"/>
      <c r="R1068" s="308"/>
      <c r="S1068" s="308"/>
      <c r="T1068" s="308"/>
      <c r="U1068" s="308"/>
      <c r="V1068" s="308"/>
      <c r="W1068" s="308"/>
      <c r="X1068" s="308"/>
      <c r="Y1068" s="436"/>
      <c r="Z1068" s="427"/>
      <c r="AA1068" s="427"/>
      <c r="AB1068" s="427"/>
      <c r="AC1068" s="427"/>
      <c r="AD1068" s="427"/>
      <c r="AE1068" s="427"/>
      <c r="AF1068" s="427"/>
      <c r="AG1068" s="427"/>
      <c r="AH1068" s="427"/>
      <c r="AI1068" s="427"/>
      <c r="AJ1068" s="427"/>
      <c r="AK1068" s="427"/>
      <c r="AL1068" s="427"/>
      <c r="AM1068" s="309">
        <f>SUM(Y1068:AL1068)</f>
        <v>0</v>
      </c>
    </row>
    <row r="1069" spans="1:39" ht="15" hidden="1" customHeight="1" outlineLevel="1">
      <c r="A1069" s="539"/>
      <c r="B1069" s="307" t="s">
        <v>346</v>
      </c>
      <c r="C1069" s="304" t="s">
        <v>163</v>
      </c>
      <c r="D1069" s="308"/>
      <c r="E1069" s="308"/>
      <c r="F1069" s="308"/>
      <c r="G1069" s="308"/>
      <c r="H1069" s="308"/>
      <c r="I1069" s="308"/>
      <c r="J1069" s="308"/>
      <c r="K1069" s="308"/>
      <c r="L1069" s="308"/>
      <c r="M1069" s="308"/>
      <c r="N1069" s="308">
        <f>N1068</f>
        <v>12</v>
      </c>
      <c r="O1069" s="308"/>
      <c r="P1069" s="308"/>
      <c r="Q1069" s="308"/>
      <c r="R1069" s="308"/>
      <c r="S1069" s="308"/>
      <c r="T1069" s="308"/>
      <c r="U1069" s="308"/>
      <c r="V1069" s="308"/>
      <c r="W1069" s="308"/>
      <c r="X1069" s="308"/>
      <c r="Y1069" s="423">
        <f>Y1068</f>
        <v>0</v>
      </c>
      <c r="Z1069" s="423">
        <f t="shared" ref="Z1069" si="2382">Z1068</f>
        <v>0</v>
      </c>
      <c r="AA1069" s="423">
        <f t="shared" ref="AA1069" si="2383">AA1068</f>
        <v>0</v>
      </c>
      <c r="AB1069" s="423">
        <f t="shared" ref="AB1069" si="2384">AB1068</f>
        <v>0</v>
      </c>
      <c r="AC1069" s="423">
        <f t="shared" ref="AC1069" si="2385">AC1068</f>
        <v>0</v>
      </c>
      <c r="AD1069" s="423">
        <f t="shared" ref="AD1069" si="2386">AD1068</f>
        <v>0</v>
      </c>
      <c r="AE1069" s="423">
        <f t="shared" ref="AE1069" si="2387">AE1068</f>
        <v>0</v>
      </c>
      <c r="AF1069" s="423">
        <f t="shared" ref="AF1069" si="2388">AF1068</f>
        <v>0</v>
      </c>
      <c r="AG1069" s="423">
        <f t="shared" ref="AG1069" si="2389">AG1068</f>
        <v>0</v>
      </c>
      <c r="AH1069" s="423">
        <f t="shared" ref="AH1069" si="2390">AH1068</f>
        <v>0</v>
      </c>
      <c r="AI1069" s="423">
        <f t="shared" ref="AI1069" si="2391">AI1068</f>
        <v>0</v>
      </c>
      <c r="AJ1069" s="423">
        <f t="shared" ref="AJ1069" si="2392">AJ1068</f>
        <v>0</v>
      </c>
      <c r="AK1069" s="423">
        <f t="shared" ref="AK1069" si="2393">AK1068</f>
        <v>0</v>
      </c>
      <c r="AL1069" s="423">
        <f t="shared" ref="AL1069" si="2394">AL1068</f>
        <v>0</v>
      </c>
      <c r="AM1069" s="319"/>
    </row>
    <row r="1070" spans="1:39" ht="15" hidden="1" customHeight="1" outlineLevel="1">
      <c r="A1070" s="539"/>
      <c r="B1070" s="438"/>
      <c r="C1070" s="304"/>
      <c r="D1070" s="304"/>
      <c r="E1070" s="304"/>
      <c r="F1070" s="304"/>
      <c r="G1070" s="304"/>
      <c r="H1070" s="304"/>
      <c r="I1070" s="304"/>
      <c r="J1070" s="304"/>
      <c r="K1070" s="304"/>
      <c r="L1070" s="304"/>
      <c r="M1070" s="304"/>
      <c r="N1070" s="304"/>
      <c r="O1070" s="304"/>
      <c r="P1070" s="304"/>
      <c r="Q1070" s="304"/>
      <c r="R1070" s="304"/>
      <c r="S1070" s="304"/>
      <c r="T1070" s="304"/>
      <c r="U1070" s="304"/>
      <c r="V1070" s="304"/>
      <c r="W1070" s="304"/>
      <c r="X1070" s="304"/>
      <c r="Y1070" s="424"/>
      <c r="Z1070" s="435"/>
      <c r="AA1070" s="435"/>
      <c r="AB1070" s="435"/>
      <c r="AC1070" s="435"/>
      <c r="AD1070" s="435"/>
      <c r="AE1070" s="435"/>
      <c r="AF1070" s="435"/>
      <c r="AG1070" s="435"/>
      <c r="AH1070" s="435"/>
      <c r="AI1070" s="435"/>
      <c r="AJ1070" s="435"/>
      <c r="AK1070" s="435"/>
      <c r="AL1070" s="435"/>
      <c r="AM1070" s="319"/>
    </row>
    <row r="1071" spans="1:39" ht="15" hidden="1" customHeight="1" outlineLevel="1">
      <c r="A1071" s="539">
        <v>37</v>
      </c>
      <c r="B1071" s="438" t="s">
        <v>129</v>
      </c>
      <c r="C1071" s="304" t="s">
        <v>25</v>
      </c>
      <c r="D1071" s="308"/>
      <c r="E1071" s="308"/>
      <c r="F1071" s="308"/>
      <c r="G1071" s="308"/>
      <c r="H1071" s="308"/>
      <c r="I1071" s="308"/>
      <c r="J1071" s="308"/>
      <c r="K1071" s="308"/>
      <c r="L1071" s="308"/>
      <c r="M1071" s="308"/>
      <c r="N1071" s="308">
        <v>12</v>
      </c>
      <c r="O1071" s="308"/>
      <c r="P1071" s="308"/>
      <c r="Q1071" s="308"/>
      <c r="R1071" s="308"/>
      <c r="S1071" s="308"/>
      <c r="T1071" s="308"/>
      <c r="U1071" s="308"/>
      <c r="V1071" s="308"/>
      <c r="W1071" s="308"/>
      <c r="X1071" s="308"/>
      <c r="Y1071" s="436"/>
      <c r="Z1071" s="427"/>
      <c r="AA1071" s="427"/>
      <c r="AB1071" s="427"/>
      <c r="AC1071" s="427"/>
      <c r="AD1071" s="427"/>
      <c r="AE1071" s="427"/>
      <c r="AF1071" s="427"/>
      <c r="AG1071" s="427"/>
      <c r="AH1071" s="427"/>
      <c r="AI1071" s="427"/>
      <c r="AJ1071" s="427"/>
      <c r="AK1071" s="427"/>
      <c r="AL1071" s="427"/>
      <c r="AM1071" s="309">
        <f>SUM(Y1071:AL1071)</f>
        <v>0</v>
      </c>
    </row>
    <row r="1072" spans="1:39" ht="15" hidden="1" customHeight="1" outlineLevel="1">
      <c r="A1072" s="539"/>
      <c r="B1072" s="307" t="s">
        <v>346</v>
      </c>
      <c r="C1072" s="304" t="s">
        <v>163</v>
      </c>
      <c r="D1072" s="308"/>
      <c r="E1072" s="308"/>
      <c r="F1072" s="308"/>
      <c r="G1072" s="308"/>
      <c r="H1072" s="308"/>
      <c r="I1072" s="308"/>
      <c r="J1072" s="308"/>
      <c r="K1072" s="308"/>
      <c r="L1072" s="308"/>
      <c r="M1072" s="308"/>
      <c r="N1072" s="308">
        <f>N1071</f>
        <v>12</v>
      </c>
      <c r="O1072" s="308"/>
      <c r="P1072" s="308"/>
      <c r="Q1072" s="308"/>
      <c r="R1072" s="308"/>
      <c r="S1072" s="308"/>
      <c r="T1072" s="308"/>
      <c r="U1072" s="308"/>
      <c r="V1072" s="308"/>
      <c r="W1072" s="308"/>
      <c r="X1072" s="308"/>
      <c r="Y1072" s="423">
        <f>Y1071</f>
        <v>0</v>
      </c>
      <c r="Z1072" s="423">
        <f t="shared" ref="Z1072" si="2395">Z1071</f>
        <v>0</v>
      </c>
      <c r="AA1072" s="423">
        <f t="shared" ref="AA1072" si="2396">AA1071</f>
        <v>0</v>
      </c>
      <c r="AB1072" s="423">
        <f t="shared" ref="AB1072" si="2397">AB1071</f>
        <v>0</v>
      </c>
      <c r="AC1072" s="423">
        <f t="shared" ref="AC1072" si="2398">AC1071</f>
        <v>0</v>
      </c>
      <c r="AD1072" s="423">
        <f t="shared" ref="AD1072" si="2399">AD1071</f>
        <v>0</v>
      </c>
      <c r="AE1072" s="423">
        <f t="shared" ref="AE1072" si="2400">AE1071</f>
        <v>0</v>
      </c>
      <c r="AF1072" s="423">
        <f t="shared" ref="AF1072" si="2401">AF1071</f>
        <v>0</v>
      </c>
      <c r="AG1072" s="423">
        <f t="shared" ref="AG1072" si="2402">AG1071</f>
        <v>0</v>
      </c>
      <c r="AH1072" s="423">
        <f t="shared" ref="AH1072" si="2403">AH1071</f>
        <v>0</v>
      </c>
      <c r="AI1072" s="423">
        <f t="shared" ref="AI1072" si="2404">AI1071</f>
        <v>0</v>
      </c>
      <c r="AJ1072" s="423">
        <f t="shared" ref="AJ1072" si="2405">AJ1071</f>
        <v>0</v>
      </c>
      <c r="AK1072" s="423">
        <f t="shared" ref="AK1072" si="2406">AK1071</f>
        <v>0</v>
      </c>
      <c r="AL1072" s="423">
        <f t="shared" ref="AL1072" si="2407">AL1071</f>
        <v>0</v>
      </c>
      <c r="AM1072" s="319"/>
    </row>
    <row r="1073" spans="1:39" ht="15" hidden="1" customHeight="1" outlineLevel="1">
      <c r="A1073" s="539"/>
      <c r="B1073" s="438"/>
      <c r="C1073" s="304"/>
      <c r="D1073" s="304"/>
      <c r="E1073" s="304"/>
      <c r="F1073" s="304"/>
      <c r="G1073" s="304"/>
      <c r="H1073" s="304"/>
      <c r="I1073" s="304"/>
      <c r="J1073" s="304"/>
      <c r="K1073" s="304"/>
      <c r="L1073" s="304"/>
      <c r="M1073" s="304"/>
      <c r="N1073" s="304"/>
      <c r="O1073" s="304"/>
      <c r="P1073" s="304"/>
      <c r="Q1073" s="304"/>
      <c r="R1073" s="304"/>
      <c r="S1073" s="304"/>
      <c r="T1073" s="304"/>
      <c r="U1073" s="304"/>
      <c r="V1073" s="304"/>
      <c r="W1073" s="304"/>
      <c r="X1073" s="304"/>
      <c r="Y1073" s="424"/>
      <c r="Z1073" s="435"/>
      <c r="AA1073" s="435"/>
      <c r="AB1073" s="435"/>
      <c r="AC1073" s="435"/>
      <c r="AD1073" s="435"/>
      <c r="AE1073" s="435"/>
      <c r="AF1073" s="435"/>
      <c r="AG1073" s="435"/>
      <c r="AH1073" s="435"/>
      <c r="AI1073" s="435"/>
      <c r="AJ1073" s="435"/>
      <c r="AK1073" s="435"/>
      <c r="AL1073" s="435"/>
      <c r="AM1073" s="319"/>
    </row>
    <row r="1074" spans="1:39" ht="15" hidden="1" customHeight="1" outlineLevel="1">
      <c r="A1074" s="539">
        <v>38</v>
      </c>
      <c r="B1074" s="438" t="s">
        <v>130</v>
      </c>
      <c r="C1074" s="304" t="s">
        <v>25</v>
      </c>
      <c r="D1074" s="308"/>
      <c r="E1074" s="308"/>
      <c r="F1074" s="308"/>
      <c r="G1074" s="308"/>
      <c r="H1074" s="308"/>
      <c r="I1074" s="308"/>
      <c r="J1074" s="308"/>
      <c r="K1074" s="308"/>
      <c r="L1074" s="308"/>
      <c r="M1074" s="308"/>
      <c r="N1074" s="308">
        <v>12</v>
      </c>
      <c r="O1074" s="308"/>
      <c r="P1074" s="308"/>
      <c r="Q1074" s="308"/>
      <c r="R1074" s="308"/>
      <c r="S1074" s="308"/>
      <c r="T1074" s="308"/>
      <c r="U1074" s="308"/>
      <c r="V1074" s="308"/>
      <c r="W1074" s="308"/>
      <c r="X1074" s="308"/>
      <c r="Y1074" s="436"/>
      <c r="Z1074" s="427"/>
      <c r="AA1074" s="427"/>
      <c r="AB1074" s="427"/>
      <c r="AC1074" s="427"/>
      <c r="AD1074" s="427"/>
      <c r="AE1074" s="427"/>
      <c r="AF1074" s="427"/>
      <c r="AG1074" s="427"/>
      <c r="AH1074" s="427"/>
      <c r="AI1074" s="427"/>
      <c r="AJ1074" s="427"/>
      <c r="AK1074" s="427"/>
      <c r="AL1074" s="427"/>
      <c r="AM1074" s="309">
        <f>SUM(Y1074:AL1074)</f>
        <v>0</v>
      </c>
    </row>
    <row r="1075" spans="1:39" ht="15" hidden="1" customHeight="1" outlineLevel="1">
      <c r="A1075" s="539"/>
      <c r="B1075" s="307" t="s">
        <v>346</v>
      </c>
      <c r="C1075" s="304" t="s">
        <v>163</v>
      </c>
      <c r="D1075" s="308"/>
      <c r="E1075" s="308"/>
      <c r="F1075" s="308"/>
      <c r="G1075" s="308"/>
      <c r="H1075" s="308"/>
      <c r="I1075" s="308"/>
      <c r="J1075" s="308"/>
      <c r="K1075" s="308"/>
      <c r="L1075" s="308"/>
      <c r="M1075" s="308"/>
      <c r="N1075" s="308">
        <f>N1074</f>
        <v>12</v>
      </c>
      <c r="O1075" s="308"/>
      <c r="P1075" s="308"/>
      <c r="Q1075" s="308"/>
      <c r="R1075" s="308"/>
      <c r="S1075" s="308"/>
      <c r="T1075" s="308"/>
      <c r="U1075" s="308"/>
      <c r="V1075" s="308"/>
      <c r="W1075" s="308"/>
      <c r="X1075" s="308"/>
      <c r="Y1075" s="423">
        <f>Y1074</f>
        <v>0</v>
      </c>
      <c r="Z1075" s="423">
        <f t="shared" ref="Z1075" si="2408">Z1074</f>
        <v>0</v>
      </c>
      <c r="AA1075" s="423">
        <f t="shared" ref="AA1075" si="2409">AA1074</f>
        <v>0</v>
      </c>
      <c r="AB1075" s="423">
        <f t="shared" ref="AB1075" si="2410">AB1074</f>
        <v>0</v>
      </c>
      <c r="AC1075" s="423">
        <f t="shared" ref="AC1075" si="2411">AC1074</f>
        <v>0</v>
      </c>
      <c r="AD1075" s="423">
        <f t="shared" ref="AD1075" si="2412">AD1074</f>
        <v>0</v>
      </c>
      <c r="AE1075" s="423">
        <f t="shared" ref="AE1075" si="2413">AE1074</f>
        <v>0</v>
      </c>
      <c r="AF1075" s="423">
        <f t="shared" ref="AF1075" si="2414">AF1074</f>
        <v>0</v>
      </c>
      <c r="AG1075" s="423">
        <f t="shared" ref="AG1075" si="2415">AG1074</f>
        <v>0</v>
      </c>
      <c r="AH1075" s="423">
        <f t="shared" ref="AH1075" si="2416">AH1074</f>
        <v>0</v>
      </c>
      <c r="AI1075" s="423">
        <f t="shared" ref="AI1075" si="2417">AI1074</f>
        <v>0</v>
      </c>
      <c r="AJ1075" s="423">
        <f t="shared" ref="AJ1075" si="2418">AJ1074</f>
        <v>0</v>
      </c>
      <c r="AK1075" s="423">
        <f t="shared" ref="AK1075" si="2419">AK1074</f>
        <v>0</v>
      </c>
      <c r="AL1075" s="423">
        <f t="shared" ref="AL1075" si="2420">AL1074</f>
        <v>0</v>
      </c>
      <c r="AM1075" s="319"/>
    </row>
    <row r="1076" spans="1:39" ht="15" hidden="1" customHeight="1" outlineLevel="1">
      <c r="A1076" s="539"/>
      <c r="B1076" s="438"/>
      <c r="C1076" s="304"/>
      <c r="D1076" s="304"/>
      <c r="E1076" s="304"/>
      <c r="F1076" s="304"/>
      <c r="G1076" s="304"/>
      <c r="H1076" s="304"/>
      <c r="I1076" s="304"/>
      <c r="J1076" s="304"/>
      <c r="K1076" s="304"/>
      <c r="L1076" s="304"/>
      <c r="M1076" s="304"/>
      <c r="N1076" s="304"/>
      <c r="O1076" s="304"/>
      <c r="P1076" s="304"/>
      <c r="Q1076" s="304"/>
      <c r="R1076" s="304"/>
      <c r="S1076" s="304"/>
      <c r="T1076" s="304"/>
      <c r="U1076" s="304"/>
      <c r="V1076" s="304"/>
      <c r="W1076" s="304"/>
      <c r="X1076" s="304"/>
      <c r="Y1076" s="424"/>
      <c r="Z1076" s="435"/>
      <c r="AA1076" s="435"/>
      <c r="AB1076" s="435"/>
      <c r="AC1076" s="435"/>
      <c r="AD1076" s="435"/>
      <c r="AE1076" s="435"/>
      <c r="AF1076" s="435"/>
      <c r="AG1076" s="435"/>
      <c r="AH1076" s="435"/>
      <c r="AI1076" s="435"/>
      <c r="AJ1076" s="435"/>
      <c r="AK1076" s="435"/>
      <c r="AL1076" s="435"/>
      <c r="AM1076" s="319"/>
    </row>
    <row r="1077" spans="1:39" ht="15" hidden="1" customHeight="1" outlineLevel="1">
      <c r="A1077" s="539">
        <v>39</v>
      </c>
      <c r="B1077" s="438" t="s">
        <v>131</v>
      </c>
      <c r="C1077" s="304" t="s">
        <v>25</v>
      </c>
      <c r="D1077" s="308"/>
      <c r="E1077" s="308"/>
      <c r="F1077" s="308"/>
      <c r="G1077" s="308"/>
      <c r="H1077" s="308"/>
      <c r="I1077" s="308"/>
      <c r="J1077" s="308"/>
      <c r="K1077" s="308"/>
      <c r="L1077" s="308"/>
      <c r="M1077" s="308"/>
      <c r="N1077" s="308">
        <v>12</v>
      </c>
      <c r="O1077" s="308"/>
      <c r="P1077" s="308"/>
      <c r="Q1077" s="308"/>
      <c r="R1077" s="308"/>
      <c r="S1077" s="308"/>
      <c r="T1077" s="308"/>
      <c r="U1077" s="308"/>
      <c r="V1077" s="308"/>
      <c r="W1077" s="308"/>
      <c r="X1077" s="308"/>
      <c r="Y1077" s="436"/>
      <c r="Z1077" s="427"/>
      <c r="AA1077" s="427"/>
      <c r="AB1077" s="427"/>
      <c r="AC1077" s="427"/>
      <c r="AD1077" s="427"/>
      <c r="AE1077" s="427"/>
      <c r="AF1077" s="427"/>
      <c r="AG1077" s="427"/>
      <c r="AH1077" s="427"/>
      <c r="AI1077" s="427"/>
      <c r="AJ1077" s="427"/>
      <c r="AK1077" s="427"/>
      <c r="AL1077" s="427"/>
      <c r="AM1077" s="309">
        <f>SUM(Y1077:AL1077)</f>
        <v>0</v>
      </c>
    </row>
    <row r="1078" spans="1:39" ht="15" hidden="1" customHeight="1" outlineLevel="1">
      <c r="A1078" s="539"/>
      <c r="B1078" s="307" t="s">
        <v>346</v>
      </c>
      <c r="C1078" s="304" t="s">
        <v>163</v>
      </c>
      <c r="D1078" s="308"/>
      <c r="E1078" s="308"/>
      <c r="F1078" s="308"/>
      <c r="G1078" s="308"/>
      <c r="H1078" s="308"/>
      <c r="I1078" s="308"/>
      <c r="J1078" s="308"/>
      <c r="K1078" s="308"/>
      <c r="L1078" s="308"/>
      <c r="M1078" s="308"/>
      <c r="N1078" s="308">
        <f>N1077</f>
        <v>12</v>
      </c>
      <c r="O1078" s="308"/>
      <c r="P1078" s="308"/>
      <c r="Q1078" s="308"/>
      <c r="R1078" s="308"/>
      <c r="S1078" s="308"/>
      <c r="T1078" s="308"/>
      <c r="U1078" s="308"/>
      <c r="V1078" s="308"/>
      <c r="W1078" s="308"/>
      <c r="X1078" s="308"/>
      <c r="Y1078" s="423">
        <f>Y1077</f>
        <v>0</v>
      </c>
      <c r="Z1078" s="423">
        <f t="shared" ref="Z1078" si="2421">Z1077</f>
        <v>0</v>
      </c>
      <c r="AA1078" s="423">
        <f t="shared" ref="AA1078" si="2422">AA1077</f>
        <v>0</v>
      </c>
      <c r="AB1078" s="423">
        <f t="shared" ref="AB1078" si="2423">AB1077</f>
        <v>0</v>
      </c>
      <c r="AC1078" s="423">
        <f t="shared" ref="AC1078" si="2424">AC1077</f>
        <v>0</v>
      </c>
      <c r="AD1078" s="423">
        <f t="shared" ref="AD1078" si="2425">AD1077</f>
        <v>0</v>
      </c>
      <c r="AE1078" s="423">
        <f t="shared" ref="AE1078" si="2426">AE1077</f>
        <v>0</v>
      </c>
      <c r="AF1078" s="423">
        <f t="shared" ref="AF1078" si="2427">AF1077</f>
        <v>0</v>
      </c>
      <c r="AG1078" s="423">
        <f t="shared" ref="AG1078" si="2428">AG1077</f>
        <v>0</v>
      </c>
      <c r="AH1078" s="423">
        <f t="shared" ref="AH1078" si="2429">AH1077</f>
        <v>0</v>
      </c>
      <c r="AI1078" s="423">
        <f t="shared" ref="AI1078" si="2430">AI1077</f>
        <v>0</v>
      </c>
      <c r="AJ1078" s="423">
        <f t="shared" ref="AJ1078" si="2431">AJ1077</f>
        <v>0</v>
      </c>
      <c r="AK1078" s="423">
        <f t="shared" ref="AK1078" si="2432">AK1077</f>
        <v>0</v>
      </c>
      <c r="AL1078" s="423">
        <f t="shared" ref="AL1078" si="2433">AL1077</f>
        <v>0</v>
      </c>
      <c r="AM1078" s="319"/>
    </row>
    <row r="1079" spans="1:39" ht="15" hidden="1" customHeight="1" outlineLevel="1">
      <c r="A1079" s="539"/>
      <c r="B1079" s="438"/>
      <c r="C1079" s="304"/>
      <c r="D1079" s="304"/>
      <c r="E1079" s="304"/>
      <c r="F1079" s="304"/>
      <c r="G1079" s="304"/>
      <c r="H1079" s="304"/>
      <c r="I1079" s="304"/>
      <c r="J1079" s="304"/>
      <c r="K1079" s="304"/>
      <c r="L1079" s="304"/>
      <c r="M1079" s="304"/>
      <c r="N1079" s="304"/>
      <c r="O1079" s="304"/>
      <c r="P1079" s="304"/>
      <c r="Q1079" s="304"/>
      <c r="R1079" s="304"/>
      <c r="S1079" s="304"/>
      <c r="T1079" s="304"/>
      <c r="U1079" s="304"/>
      <c r="V1079" s="304"/>
      <c r="W1079" s="304"/>
      <c r="X1079" s="304"/>
      <c r="Y1079" s="424"/>
      <c r="Z1079" s="435"/>
      <c r="AA1079" s="435"/>
      <c r="AB1079" s="435"/>
      <c r="AC1079" s="435"/>
      <c r="AD1079" s="435"/>
      <c r="AE1079" s="435"/>
      <c r="AF1079" s="435"/>
      <c r="AG1079" s="435"/>
      <c r="AH1079" s="435"/>
      <c r="AI1079" s="435"/>
      <c r="AJ1079" s="435"/>
      <c r="AK1079" s="435"/>
      <c r="AL1079" s="435"/>
      <c r="AM1079" s="319"/>
    </row>
    <row r="1080" spans="1:39" ht="15" hidden="1" customHeight="1" outlineLevel="1">
      <c r="A1080" s="539">
        <v>40</v>
      </c>
      <c r="B1080" s="438" t="s">
        <v>132</v>
      </c>
      <c r="C1080" s="304" t="s">
        <v>25</v>
      </c>
      <c r="D1080" s="308"/>
      <c r="E1080" s="308"/>
      <c r="F1080" s="308"/>
      <c r="G1080" s="308"/>
      <c r="H1080" s="308"/>
      <c r="I1080" s="308"/>
      <c r="J1080" s="308"/>
      <c r="K1080" s="308"/>
      <c r="L1080" s="308"/>
      <c r="M1080" s="308"/>
      <c r="N1080" s="308">
        <v>12</v>
      </c>
      <c r="O1080" s="308"/>
      <c r="P1080" s="308"/>
      <c r="Q1080" s="308"/>
      <c r="R1080" s="308"/>
      <c r="S1080" s="308"/>
      <c r="T1080" s="308"/>
      <c r="U1080" s="308"/>
      <c r="V1080" s="308"/>
      <c r="W1080" s="308"/>
      <c r="X1080" s="308"/>
      <c r="Y1080" s="436"/>
      <c r="Z1080" s="427"/>
      <c r="AA1080" s="427"/>
      <c r="AB1080" s="427"/>
      <c r="AC1080" s="427"/>
      <c r="AD1080" s="427"/>
      <c r="AE1080" s="427"/>
      <c r="AF1080" s="427"/>
      <c r="AG1080" s="427"/>
      <c r="AH1080" s="427"/>
      <c r="AI1080" s="427"/>
      <c r="AJ1080" s="427"/>
      <c r="AK1080" s="427"/>
      <c r="AL1080" s="427"/>
      <c r="AM1080" s="309">
        <f>SUM(Y1080:AL1080)</f>
        <v>0</v>
      </c>
    </row>
    <row r="1081" spans="1:39" ht="15" hidden="1" customHeight="1" outlineLevel="1">
      <c r="A1081" s="539"/>
      <c r="B1081" s="307" t="s">
        <v>346</v>
      </c>
      <c r="C1081" s="304" t="s">
        <v>163</v>
      </c>
      <c r="D1081" s="308"/>
      <c r="E1081" s="308"/>
      <c r="F1081" s="308"/>
      <c r="G1081" s="308"/>
      <c r="H1081" s="308"/>
      <c r="I1081" s="308"/>
      <c r="J1081" s="308"/>
      <c r="K1081" s="308"/>
      <c r="L1081" s="308"/>
      <c r="M1081" s="308"/>
      <c r="N1081" s="308">
        <f>N1080</f>
        <v>12</v>
      </c>
      <c r="O1081" s="308"/>
      <c r="P1081" s="308"/>
      <c r="Q1081" s="308"/>
      <c r="R1081" s="308"/>
      <c r="S1081" s="308"/>
      <c r="T1081" s="308"/>
      <c r="U1081" s="308"/>
      <c r="V1081" s="308"/>
      <c r="W1081" s="308"/>
      <c r="X1081" s="308"/>
      <c r="Y1081" s="423">
        <f>Y1080</f>
        <v>0</v>
      </c>
      <c r="Z1081" s="423">
        <f t="shared" ref="Z1081" si="2434">Z1080</f>
        <v>0</v>
      </c>
      <c r="AA1081" s="423">
        <f t="shared" ref="AA1081" si="2435">AA1080</f>
        <v>0</v>
      </c>
      <c r="AB1081" s="423">
        <f t="shared" ref="AB1081" si="2436">AB1080</f>
        <v>0</v>
      </c>
      <c r="AC1081" s="423">
        <f t="shared" ref="AC1081" si="2437">AC1080</f>
        <v>0</v>
      </c>
      <c r="AD1081" s="423">
        <f t="shared" ref="AD1081" si="2438">AD1080</f>
        <v>0</v>
      </c>
      <c r="AE1081" s="423">
        <f t="shared" ref="AE1081" si="2439">AE1080</f>
        <v>0</v>
      </c>
      <c r="AF1081" s="423">
        <f t="shared" ref="AF1081" si="2440">AF1080</f>
        <v>0</v>
      </c>
      <c r="AG1081" s="423">
        <f t="shared" ref="AG1081" si="2441">AG1080</f>
        <v>0</v>
      </c>
      <c r="AH1081" s="423">
        <f t="shared" ref="AH1081" si="2442">AH1080</f>
        <v>0</v>
      </c>
      <c r="AI1081" s="423">
        <f t="shared" ref="AI1081" si="2443">AI1080</f>
        <v>0</v>
      </c>
      <c r="AJ1081" s="423">
        <f t="shared" ref="AJ1081" si="2444">AJ1080</f>
        <v>0</v>
      </c>
      <c r="AK1081" s="423">
        <f t="shared" ref="AK1081" si="2445">AK1080</f>
        <v>0</v>
      </c>
      <c r="AL1081" s="423">
        <f t="shared" ref="AL1081" si="2446">AL1080</f>
        <v>0</v>
      </c>
      <c r="AM1081" s="319"/>
    </row>
    <row r="1082" spans="1:39" ht="15" hidden="1" customHeight="1" outlineLevel="1">
      <c r="A1082" s="539"/>
      <c r="B1082" s="438"/>
      <c r="C1082" s="304"/>
      <c r="D1082" s="304"/>
      <c r="E1082" s="304"/>
      <c r="F1082" s="304"/>
      <c r="G1082" s="304"/>
      <c r="H1082" s="304"/>
      <c r="I1082" s="304"/>
      <c r="J1082" s="304"/>
      <c r="K1082" s="304"/>
      <c r="L1082" s="304"/>
      <c r="M1082" s="304"/>
      <c r="N1082" s="304"/>
      <c r="O1082" s="304"/>
      <c r="P1082" s="304"/>
      <c r="Q1082" s="304"/>
      <c r="R1082" s="304"/>
      <c r="S1082" s="304"/>
      <c r="T1082" s="304"/>
      <c r="U1082" s="304"/>
      <c r="V1082" s="304"/>
      <c r="W1082" s="304"/>
      <c r="X1082" s="304"/>
      <c r="Y1082" s="424"/>
      <c r="Z1082" s="435"/>
      <c r="AA1082" s="435"/>
      <c r="AB1082" s="435"/>
      <c r="AC1082" s="435"/>
      <c r="AD1082" s="435"/>
      <c r="AE1082" s="435"/>
      <c r="AF1082" s="435"/>
      <c r="AG1082" s="435"/>
      <c r="AH1082" s="435"/>
      <c r="AI1082" s="435"/>
      <c r="AJ1082" s="435"/>
      <c r="AK1082" s="435"/>
      <c r="AL1082" s="435"/>
      <c r="AM1082" s="319"/>
    </row>
    <row r="1083" spans="1:39" ht="28.5" hidden="1" customHeight="1" outlineLevel="1">
      <c r="A1083" s="539">
        <v>41</v>
      </c>
      <c r="B1083" s="438" t="s">
        <v>133</v>
      </c>
      <c r="C1083" s="304" t="s">
        <v>25</v>
      </c>
      <c r="D1083" s="308"/>
      <c r="E1083" s="308"/>
      <c r="F1083" s="308"/>
      <c r="G1083" s="308"/>
      <c r="H1083" s="308"/>
      <c r="I1083" s="308"/>
      <c r="J1083" s="308"/>
      <c r="K1083" s="308"/>
      <c r="L1083" s="308"/>
      <c r="M1083" s="308"/>
      <c r="N1083" s="308">
        <v>12</v>
      </c>
      <c r="O1083" s="308"/>
      <c r="P1083" s="308"/>
      <c r="Q1083" s="308"/>
      <c r="R1083" s="308"/>
      <c r="S1083" s="308"/>
      <c r="T1083" s="308"/>
      <c r="U1083" s="308"/>
      <c r="V1083" s="308"/>
      <c r="W1083" s="308"/>
      <c r="X1083" s="308"/>
      <c r="Y1083" s="436"/>
      <c r="Z1083" s="427"/>
      <c r="AA1083" s="427"/>
      <c r="AB1083" s="427"/>
      <c r="AC1083" s="427"/>
      <c r="AD1083" s="427"/>
      <c r="AE1083" s="427"/>
      <c r="AF1083" s="427"/>
      <c r="AG1083" s="427"/>
      <c r="AH1083" s="427"/>
      <c r="AI1083" s="427"/>
      <c r="AJ1083" s="427"/>
      <c r="AK1083" s="427"/>
      <c r="AL1083" s="427"/>
      <c r="AM1083" s="309">
        <f>SUM(Y1083:AL1083)</f>
        <v>0</v>
      </c>
    </row>
    <row r="1084" spans="1:39" ht="15" hidden="1" customHeight="1" outlineLevel="1">
      <c r="A1084" s="539"/>
      <c r="B1084" s="307" t="s">
        <v>346</v>
      </c>
      <c r="C1084" s="304" t="s">
        <v>163</v>
      </c>
      <c r="D1084" s="308"/>
      <c r="E1084" s="308"/>
      <c r="F1084" s="308"/>
      <c r="G1084" s="308"/>
      <c r="H1084" s="308"/>
      <c r="I1084" s="308"/>
      <c r="J1084" s="308"/>
      <c r="K1084" s="308"/>
      <c r="L1084" s="308"/>
      <c r="M1084" s="308"/>
      <c r="N1084" s="308">
        <f>N1083</f>
        <v>12</v>
      </c>
      <c r="O1084" s="308"/>
      <c r="P1084" s="308"/>
      <c r="Q1084" s="308"/>
      <c r="R1084" s="308"/>
      <c r="S1084" s="308"/>
      <c r="T1084" s="308"/>
      <c r="U1084" s="308"/>
      <c r="V1084" s="308"/>
      <c r="W1084" s="308"/>
      <c r="X1084" s="308"/>
      <c r="Y1084" s="423">
        <f>Y1083</f>
        <v>0</v>
      </c>
      <c r="Z1084" s="423">
        <f t="shared" ref="Z1084" si="2447">Z1083</f>
        <v>0</v>
      </c>
      <c r="AA1084" s="423">
        <f t="shared" ref="AA1084" si="2448">AA1083</f>
        <v>0</v>
      </c>
      <c r="AB1084" s="423">
        <f t="shared" ref="AB1084" si="2449">AB1083</f>
        <v>0</v>
      </c>
      <c r="AC1084" s="423">
        <f t="shared" ref="AC1084" si="2450">AC1083</f>
        <v>0</v>
      </c>
      <c r="AD1084" s="423">
        <f t="shared" ref="AD1084" si="2451">AD1083</f>
        <v>0</v>
      </c>
      <c r="AE1084" s="423">
        <f t="shared" ref="AE1084" si="2452">AE1083</f>
        <v>0</v>
      </c>
      <c r="AF1084" s="423">
        <f t="shared" ref="AF1084" si="2453">AF1083</f>
        <v>0</v>
      </c>
      <c r="AG1084" s="423">
        <f t="shared" ref="AG1084" si="2454">AG1083</f>
        <v>0</v>
      </c>
      <c r="AH1084" s="423">
        <f t="shared" ref="AH1084" si="2455">AH1083</f>
        <v>0</v>
      </c>
      <c r="AI1084" s="423">
        <f t="shared" ref="AI1084" si="2456">AI1083</f>
        <v>0</v>
      </c>
      <c r="AJ1084" s="423">
        <f t="shared" ref="AJ1084" si="2457">AJ1083</f>
        <v>0</v>
      </c>
      <c r="AK1084" s="423">
        <f t="shared" ref="AK1084" si="2458">AK1083</f>
        <v>0</v>
      </c>
      <c r="AL1084" s="423">
        <f t="shared" ref="AL1084" si="2459">AL1083</f>
        <v>0</v>
      </c>
      <c r="AM1084" s="319"/>
    </row>
    <row r="1085" spans="1:39" ht="15" hidden="1" customHeight="1" outlineLevel="1">
      <c r="A1085" s="539"/>
      <c r="B1085" s="438"/>
      <c r="C1085" s="304"/>
      <c r="D1085" s="304"/>
      <c r="E1085" s="304"/>
      <c r="F1085" s="304"/>
      <c r="G1085" s="304"/>
      <c r="H1085" s="304"/>
      <c r="I1085" s="304"/>
      <c r="J1085" s="304"/>
      <c r="K1085" s="304"/>
      <c r="L1085" s="304"/>
      <c r="M1085" s="304"/>
      <c r="N1085" s="304"/>
      <c r="O1085" s="304"/>
      <c r="P1085" s="304"/>
      <c r="Q1085" s="304"/>
      <c r="R1085" s="304"/>
      <c r="S1085" s="304"/>
      <c r="T1085" s="304"/>
      <c r="U1085" s="304"/>
      <c r="V1085" s="304"/>
      <c r="W1085" s="304"/>
      <c r="X1085" s="304"/>
      <c r="Y1085" s="424"/>
      <c r="Z1085" s="435"/>
      <c r="AA1085" s="435"/>
      <c r="AB1085" s="435"/>
      <c r="AC1085" s="435"/>
      <c r="AD1085" s="435"/>
      <c r="AE1085" s="435"/>
      <c r="AF1085" s="435"/>
      <c r="AG1085" s="435"/>
      <c r="AH1085" s="435"/>
      <c r="AI1085" s="435"/>
      <c r="AJ1085" s="435"/>
      <c r="AK1085" s="435"/>
      <c r="AL1085" s="435"/>
      <c r="AM1085" s="319"/>
    </row>
    <row r="1086" spans="1:39" ht="28.5" hidden="1" customHeight="1" outlineLevel="1">
      <c r="A1086" s="539">
        <v>42</v>
      </c>
      <c r="B1086" s="438" t="s">
        <v>134</v>
      </c>
      <c r="C1086" s="304" t="s">
        <v>25</v>
      </c>
      <c r="D1086" s="308"/>
      <c r="E1086" s="308"/>
      <c r="F1086" s="308"/>
      <c r="G1086" s="308"/>
      <c r="H1086" s="308"/>
      <c r="I1086" s="308"/>
      <c r="J1086" s="308"/>
      <c r="K1086" s="308"/>
      <c r="L1086" s="308"/>
      <c r="M1086" s="308"/>
      <c r="N1086" s="304"/>
      <c r="O1086" s="308"/>
      <c r="P1086" s="308"/>
      <c r="Q1086" s="308"/>
      <c r="R1086" s="308"/>
      <c r="S1086" s="308"/>
      <c r="T1086" s="308"/>
      <c r="U1086" s="308"/>
      <c r="V1086" s="308"/>
      <c r="W1086" s="308"/>
      <c r="X1086" s="308"/>
      <c r="Y1086" s="436"/>
      <c r="Z1086" s="427"/>
      <c r="AA1086" s="427"/>
      <c r="AB1086" s="427"/>
      <c r="AC1086" s="427"/>
      <c r="AD1086" s="427"/>
      <c r="AE1086" s="427"/>
      <c r="AF1086" s="427"/>
      <c r="AG1086" s="427"/>
      <c r="AH1086" s="427"/>
      <c r="AI1086" s="427"/>
      <c r="AJ1086" s="427"/>
      <c r="AK1086" s="427"/>
      <c r="AL1086" s="427"/>
      <c r="AM1086" s="309">
        <f>SUM(Y1086:AL1086)</f>
        <v>0</v>
      </c>
    </row>
    <row r="1087" spans="1:39" ht="15" hidden="1" customHeight="1" outlineLevel="1">
      <c r="A1087" s="539"/>
      <c r="B1087" s="307" t="s">
        <v>346</v>
      </c>
      <c r="C1087" s="304" t="s">
        <v>163</v>
      </c>
      <c r="D1087" s="308"/>
      <c r="E1087" s="308"/>
      <c r="F1087" s="308"/>
      <c r="G1087" s="308"/>
      <c r="H1087" s="308"/>
      <c r="I1087" s="308"/>
      <c r="J1087" s="308"/>
      <c r="K1087" s="308"/>
      <c r="L1087" s="308"/>
      <c r="M1087" s="308"/>
      <c r="N1087" s="477"/>
      <c r="O1087" s="308"/>
      <c r="P1087" s="308"/>
      <c r="Q1087" s="308"/>
      <c r="R1087" s="308"/>
      <c r="S1087" s="308"/>
      <c r="T1087" s="308"/>
      <c r="U1087" s="308"/>
      <c r="V1087" s="308"/>
      <c r="W1087" s="308"/>
      <c r="X1087" s="308"/>
      <c r="Y1087" s="423">
        <f>Y1086</f>
        <v>0</v>
      </c>
      <c r="Z1087" s="423">
        <f t="shared" ref="Z1087" si="2460">Z1086</f>
        <v>0</v>
      </c>
      <c r="AA1087" s="423">
        <f t="shared" ref="AA1087" si="2461">AA1086</f>
        <v>0</v>
      </c>
      <c r="AB1087" s="423">
        <f t="shared" ref="AB1087" si="2462">AB1086</f>
        <v>0</v>
      </c>
      <c r="AC1087" s="423">
        <f t="shared" ref="AC1087" si="2463">AC1086</f>
        <v>0</v>
      </c>
      <c r="AD1087" s="423">
        <f t="shared" ref="AD1087" si="2464">AD1086</f>
        <v>0</v>
      </c>
      <c r="AE1087" s="423">
        <f t="shared" ref="AE1087" si="2465">AE1086</f>
        <v>0</v>
      </c>
      <c r="AF1087" s="423">
        <f t="shared" ref="AF1087" si="2466">AF1086</f>
        <v>0</v>
      </c>
      <c r="AG1087" s="423">
        <f t="shared" ref="AG1087" si="2467">AG1086</f>
        <v>0</v>
      </c>
      <c r="AH1087" s="423">
        <f t="shared" ref="AH1087" si="2468">AH1086</f>
        <v>0</v>
      </c>
      <c r="AI1087" s="423">
        <f t="shared" ref="AI1087" si="2469">AI1086</f>
        <v>0</v>
      </c>
      <c r="AJ1087" s="423">
        <f t="shared" ref="AJ1087" si="2470">AJ1086</f>
        <v>0</v>
      </c>
      <c r="AK1087" s="423">
        <f t="shared" ref="AK1087" si="2471">AK1086</f>
        <v>0</v>
      </c>
      <c r="AL1087" s="423">
        <f t="shared" ref="AL1087" si="2472">AL1086</f>
        <v>0</v>
      </c>
      <c r="AM1087" s="319"/>
    </row>
    <row r="1088" spans="1:39" ht="15" hidden="1" customHeight="1" outlineLevel="1">
      <c r="A1088" s="539"/>
      <c r="B1088" s="438"/>
      <c r="C1088" s="304"/>
      <c r="D1088" s="304"/>
      <c r="E1088" s="304"/>
      <c r="F1088" s="304"/>
      <c r="G1088" s="304"/>
      <c r="H1088" s="304"/>
      <c r="I1088" s="304"/>
      <c r="J1088" s="304"/>
      <c r="K1088" s="304"/>
      <c r="L1088" s="304"/>
      <c r="M1088" s="304"/>
      <c r="N1088" s="304"/>
      <c r="O1088" s="304"/>
      <c r="P1088" s="304"/>
      <c r="Q1088" s="304"/>
      <c r="R1088" s="304"/>
      <c r="S1088" s="304"/>
      <c r="T1088" s="304"/>
      <c r="U1088" s="304"/>
      <c r="V1088" s="304"/>
      <c r="W1088" s="304"/>
      <c r="X1088" s="304"/>
      <c r="Y1088" s="424"/>
      <c r="Z1088" s="435"/>
      <c r="AA1088" s="435"/>
      <c r="AB1088" s="435"/>
      <c r="AC1088" s="435"/>
      <c r="AD1088" s="435"/>
      <c r="AE1088" s="435"/>
      <c r="AF1088" s="435"/>
      <c r="AG1088" s="435"/>
      <c r="AH1088" s="435"/>
      <c r="AI1088" s="435"/>
      <c r="AJ1088" s="435"/>
      <c r="AK1088" s="435"/>
      <c r="AL1088" s="435"/>
      <c r="AM1088" s="319"/>
    </row>
    <row r="1089" spans="1:39" ht="15" hidden="1" customHeight="1" outlineLevel="1">
      <c r="A1089" s="539">
        <v>43</v>
      </c>
      <c r="B1089" s="438" t="s">
        <v>135</v>
      </c>
      <c r="C1089" s="304" t="s">
        <v>25</v>
      </c>
      <c r="D1089" s="308"/>
      <c r="E1089" s="308"/>
      <c r="F1089" s="308"/>
      <c r="G1089" s="308"/>
      <c r="H1089" s="308"/>
      <c r="I1089" s="308"/>
      <c r="J1089" s="308"/>
      <c r="K1089" s="308"/>
      <c r="L1089" s="308"/>
      <c r="M1089" s="308"/>
      <c r="N1089" s="308">
        <v>12</v>
      </c>
      <c r="O1089" s="308"/>
      <c r="P1089" s="308"/>
      <c r="Q1089" s="308"/>
      <c r="R1089" s="308"/>
      <c r="S1089" s="308"/>
      <c r="T1089" s="308"/>
      <c r="U1089" s="308"/>
      <c r="V1089" s="308"/>
      <c r="W1089" s="308"/>
      <c r="X1089" s="308"/>
      <c r="Y1089" s="436"/>
      <c r="Z1089" s="427"/>
      <c r="AA1089" s="427"/>
      <c r="AB1089" s="427"/>
      <c r="AC1089" s="427"/>
      <c r="AD1089" s="427"/>
      <c r="AE1089" s="427"/>
      <c r="AF1089" s="427"/>
      <c r="AG1089" s="427"/>
      <c r="AH1089" s="427"/>
      <c r="AI1089" s="427"/>
      <c r="AJ1089" s="427"/>
      <c r="AK1089" s="427"/>
      <c r="AL1089" s="427"/>
      <c r="AM1089" s="309">
        <f>SUM(Y1089:AL1089)</f>
        <v>0</v>
      </c>
    </row>
    <row r="1090" spans="1:39" ht="15" hidden="1" customHeight="1" outlineLevel="1">
      <c r="A1090" s="539"/>
      <c r="B1090" s="307" t="s">
        <v>346</v>
      </c>
      <c r="C1090" s="304" t="s">
        <v>163</v>
      </c>
      <c r="D1090" s="308"/>
      <c r="E1090" s="308"/>
      <c r="F1090" s="308"/>
      <c r="G1090" s="308"/>
      <c r="H1090" s="308"/>
      <c r="I1090" s="308"/>
      <c r="J1090" s="308"/>
      <c r="K1090" s="308"/>
      <c r="L1090" s="308"/>
      <c r="M1090" s="308"/>
      <c r="N1090" s="308">
        <f>N1089</f>
        <v>12</v>
      </c>
      <c r="O1090" s="308"/>
      <c r="P1090" s="308"/>
      <c r="Q1090" s="308"/>
      <c r="R1090" s="308"/>
      <c r="S1090" s="308"/>
      <c r="T1090" s="308"/>
      <c r="U1090" s="308"/>
      <c r="V1090" s="308"/>
      <c r="W1090" s="308"/>
      <c r="X1090" s="308"/>
      <c r="Y1090" s="423">
        <f>Y1089</f>
        <v>0</v>
      </c>
      <c r="Z1090" s="423">
        <f t="shared" ref="Z1090" si="2473">Z1089</f>
        <v>0</v>
      </c>
      <c r="AA1090" s="423">
        <f t="shared" ref="AA1090" si="2474">AA1089</f>
        <v>0</v>
      </c>
      <c r="AB1090" s="423">
        <f t="shared" ref="AB1090" si="2475">AB1089</f>
        <v>0</v>
      </c>
      <c r="AC1090" s="423">
        <f t="shared" ref="AC1090" si="2476">AC1089</f>
        <v>0</v>
      </c>
      <c r="AD1090" s="423">
        <f t="shared" ref="AD1090" si="2477">AD1089</f>
        <v>0</v>
      </c>
      <c r="AE1090" s="423">
        <f t="shared" ref="AE1090" si="2478">AE1089</f>
        <v>0</v>
      </c>
      <c r="AF1090" s="423">
        <f t="shared" ref="AF1090" si="2479">AF1089</f>
        <v>0</v>
      </c>
      <c r="AG1090" s="423">
        <f t="shared" ref="AG1090" si="2480">AG1089</f>
        <v>0</v>
      </c>
      <c r="AH1090" s="423">
        <f t="shared" ref="AH1090" si="2481">AH1089</f>
        <v>0</v>
      </c>
      <c r="AI1090" s="423">
        <f t="shared" ref="AI1090" si="2482">AI1089</f>
        <v>0</v>
      </c>
      <c r="AJ1090" s="423">
        <f t="shared" ref="AJ1090" si="2483">AJ1089</f>
        <v>0</v>
      </c>
      <c r="AK1090" s="423">
        <f t="shared" ref="AK1090" si="2484">AK1089</f>
        <v>0</v>
      </c>
      <c r="AL1090" s="423">
        <f t="shared" ref="AL1090" si="2485">AL1089</f>
        <v>0</v>
      </c>
      <c r="AM1090" s="319"/>
    </row>
    <row r="1091" spans="1:39" ht="15" hidden="1" customHeight="1" outlineLevel="1">
      <c r="A1091" s="539"/>
      <c r="B1091" s="438"/>
      <c r="C1091" s="304"/>
      <c r="D1091" s="304"/>
      <c r="E1091" s="304"/>
      <c r="F1091" s="304"/>
      <c r="G1091" s="304"/>
      <c r="H1091" s="304"/>
      <c r="I1091" s="304"/>
      <c r="J1091" s="304"/>
      <c r="K1091" s="304"/>
      <c r="L1091" s="304"/>
      <c r="M1091" s="304"/>
      <c r="N1091" s="304"/>
      <c r="O1091" s="304"/>
      <c r="P1091" s="304"/>
      <c r="Q1091" s="304"/>
      <c r="R1091" s="304"/>
      <c r="S1091" s="304"/>
      <c r="T1091" s="304"/>
      <c r="U1091" s="304"/>
      <c r="V1091" s="304"/>
      <c r="W1091" s="304"/>
      <c r="X1091" s="304"/>
      <c r="Y1091" s="424"/>
      <c r="Z1091" s="435"/>
      <c r="AA1091" s="435"/>
      <c r="AB1091" s="435"/>
      <c r="AC1091" s="435"/>
      <c r="AD1091" s="435"/>
      <c r="AE1091" s="435"/>
      <c r="AF1091" s="435"/>
      <c r="AG1091" s="435"/>
      <c r="AH1091" s="435"/>
      <c r="AI1091" s="435"/>
      <c r="AJ1091" s="435"/>
      <c r="AK1091" s="435"/>
      <c r="AL1091" s="435"/>
      <c r="AM1091" s="319"/>
    </row>
    <row r="1092" spans="1:39" ht="28.5" hidden="1" customHeight="1" outlineLevel="1">
      <c r="A1092" s="539">
        <v>44</v>
      </c>
      <c r="B1092" s="438" t="s">
        <v>136</v>
      </c>
      <c r="C1092" s="304" t="s">
        <v>25</v>
      </c>
      <c r="D1092" s="308"/>
      <c r="E1092" s="308"/>
      <c r="F1092" s="308"/>
      <c r="G1092" s="308"/>
      <c r="H1092" s="308"/>
      <c r="I1092" s="308"/>
      <c r="J1092" s="308"/>
      <c r="K1092" s="308"/>
      <c r="L1092" s="308"/>
      <c r="M1092" s="308"/>
      <c r="N1092" s="308">
        <v>12</v>
      </c>
      <c r="O1092" s="308"/>
      <c r="P1092" s="308"/>
      <c r="Q1092" s="308"/>
      <c r="R1092" s="308"/>
      <c r="S1092" s="308"/>
      <c r="T1092" s="308"/>
      <c r="U1092" s="308"/>
      <c r="V1092" s="308"/>
      <c r="W1092" s="308"/>
      <c r="X1092" s="308"/>
      <c r="Y1092" s="436"/>
      <c r="Z1092" s="427"/>
      <c r="AA1092" s="427"/>
      <c r="AB1092" s="427"/>
      <c r="AC1092" s="427"/>
      <c r="AD1092" s="427"/>
      <c r="AE1092" s="427"/>
      <c r="AF1092" s="427"/>
      <c r="AG1092" s="427"/>
      <c r="AH1092" s="427"/>
      <c r="AI1092" s="427"/>
      <c r="AJ1092" s="427"/>
      <c r="AK1092" s="427"/>
      <c r="AL1092" s="427"/>
      <c r="AM1092" s="309">
        <f>SUM(Y1092:AL1092)</f>
        <v>0</v>
      </c>
    </row>
    <row r="1093" spans="1:39" ht="15" hidden="1" customHeight="1" outlineLevel="1">
      <c r="A1093" s="539"/>
      <c r="B1093" s="307" t="s">
        <v>346</v>
      </c>
      <c r="C1093" s="304" t="s">
        <v>163</v>
      </c>
      <c r="D1093" s="308"/>
      <c r="E1093" s="308"/>
      <c r="F1093" s="308"/>
      <c r="G1093" s="308"/>
      <c r="H1093" s="308"/>
      <c r="I1093" s="308"/>
      <c r="J1093" s="308"/>
      <c r="K1093" s="308"/>
      <c r="L1093" s="308"/>
      <c r="M1093" s="308"/>
      <c r="N1093" s="308">
        <f>N1092</f>
        <v>12</v>
      </c>
      <c r="O1093" s="308"/>
      <c r="P1093" s="308"/>
      <c r="Q1093" s="308"/>
      <c r="R1093" s="308"/>
      <c r="S1093" s="308"/>
      <c r="T1093" s="308"/>
      <c r="U1093" s="308"/>
      <c r="V1093" s="308"/>
      <c r="W1093" s="308"/>
      <c r="X1093" s="308"/>
      <c r="Y1093" s="423">
        <f>Y1092</f>
        <v>0</v>
      </c>
      <c r="Z1093" s="423">
        <f t="shared" ref="Z1093" si="2486">Z1092</f>
        <v>0</v>
      </c>
      <c r="AA1093" s="423">
        <f t="shared" ref="AA1093" si="2487">AA1092</f>
        <v>0</v>
      </c>
      <c r="AB1093" s="423">
        <f t="shared" ref="AB1093" si="2488">AB1092</f>
        <v>0</v>
      </c>
      <c r="AC1093" s="423">
        <f t="shared" ref="AC1093" si="2489">AC1092</f>
        <v>0</v>
      </c>
      <c r="AD1093" s="423">
        <f t="shared" ref="AD1093" si="2490">AD1092</f>
        <v>0</v>
      </c>
      <c r="AE1093" s="423">
        <f t="shared" ref="AE1093" si="2491">AE1092</f>
        <v>0</v>
      </c>
      <c r="AF1093" s="423">
        <f t="shared" ref="AF1093" si="2492">AF1092</f>
        <v>0</v>
      </c>
      <c r="AG1093" s="423">
        <f t="shared" ref="AG1093" si="2493">AG1092</f>
        <v>0</v>
      </c>
      <c r="AH1093" s="423">
        <f t="shared" ref="AH1093" si="2494">AH1092</f>
        <v>0</v>
      </c>
      <c r="AI1093" s="423">
        <f t="shared" ref="AI1093" si="2495">AI1092</f>
        <v>0</v>
      </c>
      <c r="AJ1093" s="423">
        <f t="shared" ref="AJ1093" si="2496">AJ1092</f>
        <v>0</v>
      </c>
      <c r="AK1093" s="423">
        <f t="shared" ref="AK1093" si="2497">AK1092</f>
        <v>0</v>
      </c>
      <c r="AL1093" s="423">
        <f t="shared" ref="AL1093" si="2498">AL1092</f>
        <v>0</v>
      </c>
      <c r="AM1093" s="319"/>
    </row>
    <row r="1094" spans="1:39" ht="15" hidden="1" customHeight="1" outlineLevel="1">
      <c r="A1094" s="539"/>
      <c r="B1094" s="438"/>
      <c r="C1094" s="304"/>
      <c r="D1094" s="304"/>
      <c r="E1094" s="304"/>
      <c r="F1094" s="304"/>
      <c r="G1094" s="304"/>
      <c r="H1094" s="304"/>
      <c r="I1094" s="304"/>
      <c r="J1094" s="304"/>
      <c r="K1094" s="304"/>
      <c r="L1094" s="304"/>
      <c r="M1094" s="304"/>
      <c r="N1094" s="304"/>
      <c r="O1094" s="304"/>
      <c r="P1094" s="304"/>
      <c r="Q1094" s="304"/>
      <c r="R1094" s="304"/>
      <c r="S1094" s="304"/>
      <c r="T1094" s="304"/>
      <c r="U1094" s="304"/>
      <c r="V1094" s="304"/>
      <c r="W1094" s="304"/>
      <c r="X1094" s="304"/>
      <c r="Y1094" s="424"/>
      <c r="Z1094" s="435"/>
      <c r="AA1094" s="435"/>
      <c r="AB1094" s="435"/>
      <c r="AC1094" s="435"/>
      <c r="AD1094" s="435"/>
      <c r="AE1094" s="435"/>
      <c r="AF1094" s="435"/>
      <c r="AG1094" s="435"/>
      <c r="AH1094" s="435"/>
      <c r="AI1094" s="435"/>
      <c r="AJ1094" s="435"/>
      <c r="AK1094" s="435"/>
      <c r="AL1094" s="435"/>
      <c r="AM1094" s="319"/>
    </row>
    <row r="1095" spans="1:39" ht="32.4" hidden="1" customHeight="1" outlineLevel="1">
      <c r="A1095" s="539">
        <v>45</v>
      </c>
      <c r="B1095" s="438" t="s">
        <v>137</v>
      </c>
      <c r="C1095" s="304" t="s">
        <v>25</v>
      </c>
      <c r="D1095" s="308"/>
      <c r="E1095" s="308"/>
      <c r="F1095" s="308"/>
      <c r="G1095" s="308"/>
      <c r="H1095" s="308"/>
      <c r="I1095" s="308"/>
      <c r="J1095" s="308"/>
      <c r="K1095" s="308"/>
      <c r="L1095" s="308"/>
      <c r="M1095" s="308"/>
      <c r="N1095" s="308">
        <v>12</v>
      </c>
      <c r="O1095" s="308"/>
      <c r="P1095" s="308"/>
      <c r="Q1095" s="308"/>
      <c r="R1095" s="308"/>
      <c r="S1095" s="308"/>
      <c r="T1095" s="308"/>
      <c r="U1095" s="308"/>
      <c r="V1095" s="308"/>
      <c r="W1095" s="308"/>
      <c r="X1095" s="308"/>
      <c r="Y1095" s="436"/>
      <c r="Z1095" s="427"/>
      <c r="AA1095" s="427"/>
      <c r="AB1095" s="427"/>
      <c r="AC1095" s="427"/>
      <c r="AD1095" s="427"/>
      <c r="AE1095" s="427"/>
      <c r="AF1095" s="427"/>
      <c r="AG1095" s="427"/>
      <c r="AH1095" s="427"/>
      <c r="AI1095" s="427"/>
      <c r="AJ1095" s="427"/>
      <c r="AK1095" s="427"/>
      <c r="AL1095" s="427"/>
      <c r="AM1095" s="309">
        <f>SUM(Y1095:AL1095)</f>
        <v>0</v>
      </c>
    </row>
    <row r="1096" spans="1:39" ht="15" hidden="1" customHeight="1" outlineLevel="1">
      <c r="A1096" s="539"/>
      <c r="B1096" s="307" t="s">
        <v>346</v>
      </c>
      <c r="C1096" s="304" t="s">
        <v>163</v>
      </c>
      <c r="D1096" s="308"/>
      <c r="E1096" s="308"/>
      <c r="F1096" s="308"/>
      <c r="G1096" s="308"/>
      <c r="H1096" s="308"/>
      <c r="I1096" s="308"/>
      <c r="J1096" s="308"/>
      <c r="K1096" s="308"/>
      <c r="L1096" s="308"/>
      <c r="M1096" s="308"/>
      <c r="N1096" s="308">
        <f>N1095</f>
        <v>12</v>
      </c>
      <c r="O1096" s="308"/>
      <c r="P1096" s="308"/>
      <c r="Q1096" s="308"/>
      <c r="R1096" s="308"/>
      <c r="S1096" s="308"/>
      <c r="T1096" s="308"/>
      <c r="U1096" s="308"/>
      <c r="V1096" s="308"/>
      <c r="W1096" s="308"/>
      <c r="X1096" s="308"/>
      <c r="Y1096" s="423">
        <f>Y1095</f>
        <v>0</v>
      </c>
      <c r="Z1096" s="423">
        <f t="shared" ref="Z1096" si="2499">Z1095</f>
        <v>0</v>
      </c>
      <c r="AA1096" s="423">
        <f t="shared" ref="AA1096" si="2500">AA1095</f>
        <v>0</v>
      </c>
      <c r="AB1096" s="423">
        <f t="shared" ref="AB1096" si="2501">AB1095</f>
        <v>0</v>
      </c>
      <c r="AC1096" s="423">
        <f t="shared" ref="AC1096" si="2502">AC1095</f>
        <v>0</v>
      </c>
      <c r="AD1096" s="423">
        <f t="shared" ref="AD1096" si="2503">AD1095</f>
        <v>0</v>
      </c>
      <c r="AE1096" s="423">
        <f t="shared" ref="AE1096" si="2504">AE1095</f>
        <v>0</v>
      </c>
      <c r="AF1096" s="423">
        <f t="shared" ref="AF1096" si="2505">AF1095</f>
        <v>0</v>
      </c>
      <c r="AG1096" s="423">
        <f t="shared" ref="AG1096" si="2506">AG1095</f>
        <v>0</v>
      </c>
      <c r="AH1096" s="423">
        <f t="shared" ref="AH1096" si="2507">AH1095</f>
        <v>0</v>
      </c>
      <c r="AI1096" s="423">
        <f t="shared" ref="AI1096" si="2508">AI1095</f>
        <v>0</v>
      </c>
      <c r="AJ1096" s="423">
        <f t="shared" ref="AJ1096" si="2509">AJ1095</f>
        <v>0</v>
      </c>
      <c r="AK1096" s="423">
        <f t="shared" ref="AK1096" si="2510">AK1095</f>
        <v>0</v>
      </c>
      <c r="AL1096" s="423">
        <f t="shared" ref="AL1096" si="2511">AL1095</f>
        <v>0</v>
      </c>
      <c r="AM1096" s="319"/>
    </row>
    <row r="1097" spans="1:39" ht="15" hidden="1" customHeight="1" outlineLevel="1">
      <c r="A1097" s="539"/>
      <c r="B1097" s="438"/>
      <c r="C1097" s="304"/>
      <c r="D1097" s="304"/>
      <c r="E1097" s="304"/>
      <c r="F1097" s="304"/>
      <c r="G1097" s="304"/>
      <c r="H1097" s="304"/>
      <c r="I1097" s="304"/>
      <c r="J1097" s="304"/>
      <c r="K1097" s="304"/>
      <c r="L1097" s="304"/>
      <c r="M1097" s="304"/>
      <c r="N1097" s="304"/>
      <c r="O1097" s="304"/>
      <c r="P1097" s="304"/>
      <c r="Q1097" s="304"/>
      <c r="R1097" s="304"/>
      <c r="S1097" s="304"/>
      <c r="T1097" s="304"/>
      <c r="U1097" s="304"/>
      <c r="V1097" s="304"/>
      <c r="W1097" s="304"/>
      <c r="X1097" s="304"/>
      <c r="Y1097" s="424"/>
      <c r="Z1097" s="435"/>
      <c r="AA1097" s="435"/>
      <c r="AB1097" s="435"/>
      <c r="AC1097" s="435"/>
      <c r="AD1097" s="435"/>
      <c r="AE1097" s="435"/>
      <c r="AF1097" s="435"/>
      <c r="AG1097" s="435"/>
      <c r="AH1097" s="435"/>
      <c r="AI1097" s="435"/>
      <c r="AJ1097" s="435"/>
      <c r="AK1097" s="435"/>
      <c r="AL1097" s="435"/>
      <c r="AM1097" s="319"/>
    </row>
    <row r="1098" spans="1:39" ht="32.1" hidden="1" customHeight="1" outlineLevel="1">
      <c r="A1098" s="539">
        <v>46</v>
      </c>
      <c r="B1098" s="438" t="s">
        <v>138</v>
      </c>
      <c r="C1098" s="304" t="s">
        <v>25</v>
      </c>
      <c r="D1098" s="308"/>
      <c r="E1098" s="308"/>
      <c r="F1098" s="308"/>
      <c r="G1098" s="308"/>
      <c r="H1098" s="308"/>
      <c r="I1098" s="308"/>
      <c r="J1098" s="308"/>
      <c r="K1098" s="308"/>
      <c r="L1098" s="308"/>
      <c r="M1098" s="308"/>
      <c r="N1098" s="308">
        <v>12</v>
      </c>
      <c r="O1098" s="308"/>
      <c r="P1098" s="308"/>
      <c r="Q1098" s="308"/>
      <c r="R1098" s="308"/>
      <c r="S1098" s="308"/>
      <c r="T1098" s="308"/>
      <c r="U1098" s="308"/>
      <c r="V1098" s="308"/>
      <c r="W1098" s="308"/>
      <c r="X1098" s="308"/>
      <c r="Y1098" s="436"/>
      <c r="Z1098" s="427"/>
      <c r="AA1098" s="427"/>
      <c r="AB1098" s="427"/>
      <c r="AC1098" s="427"/>
      <c r="AD1098" s="427"/>
      <c r="AE1098" s="427"/>
      <c r="AF1098" s="427"/>
      <c r="AG1098" s="427"/>
      <c r="AH1098" s="427"/>
      <c r="AI1098" s="427"/>
      <c r="AJ1098" s="427"/>
      <c r="AK1098" s="427"/>
      <c r="AL1098" s="427"/>
      <c r="AM1098" s="309">
        <f>SUM(Y1098:AL1098)</f>
        <v>0</v>
      </c>
    </row>
    <row r="1099" spans="1:39" ht="15" hidden="1" customHeight="1" outlineLevel="1">
      <c r="A1099" s="539"/>
      <c r="B1099" s="307" t="s">
        <v>346</v>
      </c>
      <c r="C1099" s="304" t="s">
        <v>163</v>
      </c>
      <c r="D1099" s="308"/>
      <c r="E1099" s="308"/>
      <c r="F1099" s="308"/>
      <c r="G1099" s="308"/>
      <c r="H1099" s="308"/>
      <c r="I1099" s="308"/>
      <c r="J1099" s="308"/>
      <c r="K1099" s="308"/>
      <c r="L1099" s="308"/>
      <c r="M1099" s="308"/>
      <c r="N1099" s="308">
        <f>N1098</f>
        <v>12</v>
      </c>
      <c r="O1099" s="308"/>
      <c r="P1099" s="308"/>
      <c r="Q1099" s="308"/>
      <c r="R1099" s="308"/>
      <c r="S1099" s="308"/>
      <c r="T1099" s="308"/>
      <c r="U1099" s="308"/>
      <c r="V1099" s="308"/>
      <c r="W1099" s="308"/>
      <c r="X1099" s="308"/>
      <c r="Y1099" s="423">
        <f>Y1098</f>
        <v>0</v>
      </c>
      <c r="Z1099" s="423">
        <f t="shared" ref="Z1099" si="2512">Z1098</f>
        <v>0</v>
      </c>
      <c r="AA1099" s="423">
        <f t="shared" ref="AA1099" si="2513">AA1098</f>
        <v>0</v>
      </c>
      <c r="AB1099" s="423">
        <f t="shared" ref="AB1099" si="2514">AB1098</f>
        <v>0</v>
      </c>
      <c r="AC1099" s="423">
        <f t="shared" ref="AC1099" si="2515">AC1098</f>
        <v>0</v>
      </c>
      <c r="AD1099" s="423">
        <f t="shared" ref="AD1099" si="2516">AD1098</f>
        <v>0</v>
      </c>
      <c r="AE1099" s="423">
        <f t="shared" ref="AE1099" si="2517">AE1098</f>
        <v>0</v>
      </c>
      <c r="AF1099" s="423">
        <f t="shared" ref="AF1099" si="2518">AF1098</f>
        <v>0</v>
      </c>
      <c r="AG1099" s="423">
        <f t="shared" ref="AG1099" si="2519">AG1098</f>
        <v>0</v>
      </c>
      <c r="AH1099" s="423">
        <f t="shared" ref="AH1099" si="2520">AH1098</f>
        <v>0</v>
      </c>
      <c r="AI1099" s="423">
        <f t="shared" ref="AI1099" si="2521">AI1098</f>
        <v>0</v>
      </c>
      <c r="AJ1099" s="423">
        <f t="shared" ref="AJ1099" si="2522">AJ1098</f>
        <v>0</v>
      </c>
      <c r="AK1099" s="423">
        <f t="shared" ref="AK1099" si="2523">AK1098</f>
        <v>0</v>
      </c>
      <c r="AL1099" s="423">
        <f t="shared" ref="AL1099" si="2524">AL1098</f>
        <v>0</v>
      </c>
      <c r="AM1099" s="319"/>
    </row>
    <row r="1100" spans="1:39" ht="15" hidden="1" customHeight="1" outlineLevel="1">
      <c r="A1100" s="539"/>
      <c r="B1100" s="438"/>
      <c r="C1100" s="304"/>
      <c r="D1100" s="304"/>
      <c r="E1100" s="304"/>
      <c r="F1100" s="304"/>
      <c r="G1100" s="304"/>
      <c r="H1100" s="304"/>
      <c r="I1100" s="304"/>
      <c r="J1100" s="304"/>
      <c r="K1100" s="304"/>
      <c r="L1100" s="304"/>
      <c r="M1100" s="304"/>
      <c r="N1100" s="304"/>
      <c r="O1100" s="304"/>
      <c r="P1100" s="304"/>
      <c r="Q1100" s="304"/>
      <c r="R1100" s="304"/>
      <c r="S1100" s="304"/>
      <c r="T1100" s="304"/>
      <c r="U1100" s="304"/>
      <c r="V1100" s="304"/>
      <c r="W1100" s="304"/>
      <c r="X1100" s="304"/>
      <c r="Y1100" s="424"/>
      <c r="Z1100" s="435"/>
      <c r="AA1100" s="435"/>
      <c r="AB1100" s="435"/>
      <c r="AC1100" s="435"/>
      <c r="AD1100" s="435"/>
      <c r="AE1100" s="435"/>
      <c r="AF1100" s="435"/>
      <c r="AG1100" s="435"/>
      <c r="AH1100" s="435"/>
      <c r="AI1100" s="435"/>
      <c r="AJ1100" s="435"/>
      <c r="AK1100" s="435"/>
      <c r="AL1100" s="435"/>
      <c r="AM1100" s="319"/>
    </row>
    <row r="1101" spans="1:39" ht="35.4" hidden="1" customHeight="1" outlineLevel="1">
      <c r="A1101" s="539">
        <v>47</v>
      </c>
      <c r="B1101" s="438" t="s">
        <v>139</v>
      </c>
      <c r="C1101" s="304" t="s">
        <v>25</v>
      </c>
      <c r="D1101" s="308"/>
      <c r="E1101" s="308"/>
      <c r="F1101" s="308"/>
      <c r="G1101" s="308"/>
      <c r="H1101" s="308"/>
      <c r="I1101" s="308"/>
      <c r="J1101" s="308"/>
      <c r="K1101" s="308"/>
      <c r="L1101" s="308"/>
      <c r="M1101" s="308"/>
      <c r="N1101" s="308">
        <v>12</v>
      </c>
      <c r="O1101" s="308"/>
      <c r="P1101" s="308"/>
      <c r="Q1101" s="308"/>
      <c r="R1101" s="308"/>
      <c r="S1101" s="308"/>
      <c r="T1101" s="308"/>
      <c r="U1101" s="308"/>
      <c r="V1101" s="308"/>
      <c r="W1101" s="308"/>
      <c r="X1101" s="308"/>
      <c r="Y1101" s="436"/>
      <c r="Z1101" s="427"/>
      <c r="AA1101" s="427"/>
      <c r="AB1101" s="427"/>
      <c r="AC1101" s="427"/>
      <c r="AD1101" s="427"/>
      <c r="AE1101" s="427"/>
      <c r="AF1101" s="427"/>
      <c r="AG1101" s="427"/>
      <c r="AH1101" s="427"/>
      <c r="AI1101" s="427"/>
      <c r="AJ1101" s="427"/>
      <c r="AK1101" s="427"/>
      <c r="AL1101" s="427"/>
      <c r="AM1101" s="309">
        <f>SUM(Y1101:AL1101)</f>
        <v>0</v>
      </c>
    </row>
    <row r="1102" spans="1:39" ht="15" hidden="1" customHeight="1" outlineLevel="1">
      <c r="A1102" s="539"/>
      <c r="B1102" s="307" t="s">
        <v>346</v>
      </c>
      <c r="C1102" s="304" t="s">
        <v>163</v>
      </c>
      <c r="D1102" s="308"/>
      <c r="E1102" s="308"/>
      <c r="F1102" s="308"/>
      <c r="G1102" s="308"/>
      <c r="H1102" s="308"/>
      <c r="I1102" s="308"/>
      <c r="J1102" s="308"/>
      <c r="K1102" s="308"/>
      <c r="L1102" s="308"/>
      <c r="M1102" s="308"/>
      <c r="N1102" s="308">
        <f>N1101</f>
        <v>12</v>
      </c>
      <c r="O1102" s="308"/>
      <c r="P1102" s="308"/>
      <c r="Q1102" s="308"/>
      <c r="R1102" s="308"/>
      <c r="S1102" s="308"/>
      <c r="T1102" s="308"/>
      <c r="U1102" s="308"/>
      <c r="V1102" s="308"/>
      <c r="W1102" s="308"/>
      <c r="X1102" s="308"/>
      <c r="Y1102" s="423">
        <f>Y1101</f>
        <v>0</v>
      </c>
      <c r="Z1102" s="423">
        <f t="shared" ref="Z1102" si="2525">Z1101</f>
        <v>0</v>
      </c>
      <c r="AA1102" s="423">
        <f t="shared" ref="AA1102" si="2526">AA1101</f>
        <v>0</v>
      </c>
      <c r="AB1102" s="423">
        <f t="shared" ref="AB1102" si="2527">AB1101</f>
        <v>0</v>
      </c>
      <c r="AC1102" s="423">
        <f t="shared" ref="AC1102" si="2528">AC1101</f>
        <v>0</v>
      </c>
      <c r="AD1102" s="423">
        <f t="shared" ref="AD1102" si="2529">AD1101</f>
        <v>0</v>
      </c>
      <c r="AE1102" s="423">
        <f t="shared" ref="AE1102" si="2530">AE1101</f>
        <v>0</v>
      </c>
      <c r="AF1102" s="423">
        <f t="shared" ref="AF1102" si="2531">AF1101</f>
        <v>0</v>
      </c>
      <c r="AG1102" s="423">
        <f t="shared" ref="AG1102" si="2532">AG1101</f>
        <v>0</v>
      </c>
      <c r="AH1102" s="423">
        <f t="shared" ref="AH1102" si="2533">AH1101</f>
        <v>0</v>
      </c>
      <c r="AI1102" s="423">
        <f t="shared" ref="AI1102" si="2534">AI1101</f>
        <v>0</v>
      </c>
      <c r="AJ1102" s="423">
        <f t="shared" ref="AJ1102" si="2535">AJ1101</f>
        <v>0</v>
      </c>
      <c r="AK1102" s="423">
        <f t="shared" ref="AK1102" si="2536">AK1101</f>
        <v>0</v>
      </c>
      <c r="AL1102" s="423">
        <f t="shared" ref="AL1102" si="2537">AL1101</f>
        <v>0</v>
      </c>
      <c r="AM1102" s="319"/>
    </row>
    <row r="1103" spans="1:39" ht="15" hidden="1" customHeight="1" outlineLevel="1">
      <c r="A1103" s="539"/>
      <c r="B1103" s="438"/>
      <c r="C1103" s="304"/>
      <c r="D1103" s="304"/>
      <c r="E1103" s="304"/>
      <c r="F1103" s="304"/>
      <c r="G1103" s="304"/>
      <c r="H1103" s="304"/>
      <c r="I1103" s="304"/>
      <c r="J1103" s="304"/>
      <c r="K1103" s="304"/>
      <c r="L1103" s="304"/>
      <c r="M1103" s="304"/>
      <c r="N1103" s="304"/>
      <c r="O1103" s="304"/>
      <c r="P1103" s="304"/>
      <c r="Q1103" s="304"/>
      <c r="R1103" s="304"/>
      <c r="S1103" s="304"/>
      <c r="T1103" s="304"/>
      <c r="U1103" s="304"/>
      <c r="V1103" s="304"/>
      <c r="W1103" s="304"/>
      <c r="X1103" s="304"/>
      <c r="Y1103" s="424"/>
      <c r="Z1103" s="435"/>
      <c r="AA1103" s="435"/>
      <c r="AB1103" s="435"/>
      <c r="AC1103" s="435"/>
      <c r="AD1103" s="435"/>
      <c r="AE1103" s="435"/>
      <c r="AF1103" s="435"/>
      <c r="AG1103" s="435"/>
      <c r="AH1103" s="435"/>
      <c r="AI1103" s="435"/>
      <c r="AJ1103" s="435"/>
      <c r="AK1103" s="435"/>
      <c r="AL1103" s="435"/>
      <c r="AM1103" s="319"/>
    </row>
    <row r="1104" spans="1:39" ht="39.75" hidden="1" customHeight="1" outlineLevel="1">
      <c r="A1104" s="539">
        <v>48</v>
      </c>
      <c r="B1104" s="438" t="s">
        <v>140</v>
      </c>
      <c r="C1104" s="304" t="s">
        <v>25</v>
      </c>
      <c r="D1104" s="308"/>
      <c r="E1104" s="308"/>
      <c r="F1104" s="308"/>
      <c r="G1104" s="308"/>
      <c r="H1104" s="308"/>
      <c r="I1104" s="308"/>
      <c r="J1104" s="308"/>
      <c r="K1104" s="308"/>
      <c r="L1104" s="308"/>
      <c r="M1104" s="308"/>
      <c r="N1104" s="308">
        <v>12</v>
      </c>
      <c r="O1104" s="308"/>
      <c r="P1104" s="308"/>
      <c r="Q1104" s="308"/>
      <c r="R1104" s="308"/>
      <c r="S1104" s="308"/>
      <c r="T1104" s="308"/>
      <c r="U1104" s="308"/>
      <c r="V1104" s="308"/>
      <c r="W1104" s="308"/>
      <c r="X1104" s="308"/>
      <c r="Y1104" s="436"/>
      <c r="Z1104" s="427"/>
      <c r="AA1104" s="427"/>
      <c r="AB1104" s="427"/>
      <c r="AC1104" s="427"/>
      <c r="AD1104" s="427"/>
      <c r="AE1104" s="427"/>
      <c r="AF1104" s="427"/>
      <c r="AG1104" s="427"/>
      <c r="AH1104" s="427"/>
      <c r="AI1104" s="427"/>
      <c r="AJ1104" s="427"/>
      <c r="AK1104" s="427"/>
      <c r="AL1104" s="427"/>
      <c r="AM1104" s="309">
        <f>SUM(Y1104:AL1104)</f>
        <v>0</v>
      </c>
    </row>
    <row r="1105" spans="1:39" ht="15" hidden="1" customHeight="1" outlineLevel="1">
      <c r="A1105" s="539"/>
      <c r="B1105" s="307" t="s">
        <v>346</v>
      </c>
      <c r="C1105" s="304" t="s">
        <v>163</v>
      </c>
      <c r="D1105" s="308"/>
      <c r="E1105" s="308"/>
      <c r="F1105" s="308"/>
      <c r="G1105" s="308"/>
      <c r="H1105" s="308"/>
      <c r="I1105" s="308"/>
      <c r="J1105" s="308"/>
      <c r="K1105" s="308"/>
      <c r="L1105" s="308"/>
      <c r="M1105" s="308"/>
      <c r="N1105" s="308">
        <f>N1104</f>
        <v>12</v>
      </c>
      <c r="O1105" s="308"/>
      <c r="P1105" s="308"/>
      <c r="Q1105" s="308"/>
      <c r="R1105" s="308"/>
      <c r="S1105" s="308"/>
      <c r="T1105" s="308"/>
      <c r="U1105" s="308"/>
      <c r="V1105" s="308"/>
      <c r="W1105" s="308"/>
      <c r="X1105" s="308"/>
      <c r="Y1105" s="423">
        <f>Y1104</f>
        <v>0</v>
      </c>
      <c r="Z1105" s="423">
        <f t="shared" ref="Z1105" si="2538">Z1104</f>
        <v>0</v>
      </c>
      <c r="AA1105" s="423">
        <f t="shared" ref="AA1105" si="2539">AA1104</f>
        <v>0</v>
      </c>
      <c r="AB1105" s="423">
        <f t="shared" ref="AB1105" si="2540">AB1104</f>
        <v>0</v>
      </c>
      <c r="AC1105" s="423">
        <f t="shared" ref="AC1105" si="2541">AC1104</f>
        <v>0</v>
      </c>
      <c r="AD1105" s="423">
        <f t="shared" ref="AD1105" si="2542">AD1104</f>
        <v>0</v>
      </c>
      <c r="AE1105" s="423">
        <f t="shared" ref="AE1105" si="2543">AE1104</f>
        <v>0</v>
      </c>
      <c r="AF1105" s="423">
        <f t="shared" ref="AF1105" si="2544">AF1104</f>
        <v>0</v>
      </c>
      <c r="AG1105" s="423">
        <f t="shared" ref="AG1105" si="2545">AG1104</f>
        <v>0</v>
      </c>
      <c r="AH1105" s="423">
        <f t="shared" ref="AH1105" si="2546">AH1104</f>
        <v>0</v>
      </c>
      <c r="AI1105" s="423">
        <f t="shared" ref="AI1105" si="2547">AI1104</f>
        <v>0</v>
      </c>
      <c r="AJ1105" s="423">
        <f t="shared" ref="AJ1105" si="2548">AJ1104</f>
        <v>0</v>
      </c>
      <c r="AK1105" s="423">
        <f t="shared" ref="AK1105" si="2549">AK1104</f>
        <v>0</v>
      </c>
      <c r="AL1105" s="423">
        <f t="shared" ref="AL1105" si="2550">AL1104</f>
        <v>0</v>
      </c>
      <c r="AM1105" s="319"/>
    </row>
    <row r="1106" spans="1:39" ht="15" hidden="1" customHeight="1" outlineLevel="1">
      <c r="A1106" s="539"/>
      <c r="B1106" s="438"/>
      <c r="C1106" s="304"/>
      <c r="D1106" s="304"/>
      <c r="E1106" s="304"/>
      <c r="F1106" s="304"/>
      <c r="G1106" s="304"/>
      <c r="H1106" s="304"/>
      <c r="I1106" s="304"/>
      <c r="J1106" s="304"/>
      <c r="K1106" s="304"/>
      <c r="L1106" s="304"/>
      <c r="M1106" s="304"/>
      <c r="N1106" s="304"/>
      <c r="O1106" s="304"/>
      <c r="P1106" s="304"/>
      <c r="Q1106" s="304"/>
      <c r="R1106" s="304"/>
      <c r="S1106" s="304"/>
      <c r="T1106" s="304"/>
      <c r="U1106" s="304"/>
      <c r="V1106" s="304"/>
      <c r="W1106" s="304"/>
      <c r="X1106" s="304"/>
      <c r="Y1106" s="424"/>
      <c r="Z1106" s="435"/>
      <c r="AA1106" s="435"/>
      <c r="AB1106" s="435"/>
      <c r="AC1106" s="435"/>
      <c r="AD1106" s="435"/>
      <c r="AE1106" s="435"/>
      <c r="AF1106" s="435"/>
      <c r="AG1106" s="435"/>
      <c r="AH1106" s="435"/>
      <c r="AI1106" s="435"/>
      <c r="AJ1106" s="435"/>
      <c r="AK1106" s="435"/>
      <c r="AL1106" s="435"/>
      <c r="AM1106" s="319"/>
    </row>
    <row r="1107" spans="1:39" ht="33" hidden="1" customHeight="1" outlineLevel="1">
      <c r="A1107" s="539">
        <v>49</v>
      </c>
      <c r="B1107" s="438" t="s">
        <v>141</v>
      </c>
      <c r="C1107" s="304" t="s">
        <v>25</v>
      </c>
      <c r="D1107" s="308"/>
      <c r="E1107" s="308"/>
      <c r="F1107" s="308"/>
      <c r="G1107" s="308"/>
      <c r="H1107" s="308"/>
      <c r="I1107" s="308"/>
      <c r="J1107" s="308"/>
      <c r="K1107" s="308"/>
      <c r="L1107" s="308"/>
      <c r="M1107" s="308"/>
      <c r="N1107" s="308">
        <v>12</v>
      </c>
      <c r="O1107" s="308"/>
      <c r="P1107" s="308"/>
      <c r="Q1107" s="308"/>
      <c r="R1107" s="308"/>
      <c r="S1107" s="308"/>
      <c r="T1107" s="308"/>
      <c r="U1107" s="308"/>
      <c r="V1107" s="308"/>
      <c r="W1107" s="308"/>
      <c r="X1107" s="308"/>
      <c r="Y1107" s="436"/>
      <c r="Z1107" s="427"/>
      <c r="AA1107" s="427"/>
      <c r="AB1107" s="427"/>
      <c r="AC1107" s="427"/>
      <c r="AD1107" s="427"/>
      <c r="AE1107" s="427"/>
      <c r="AF1107" s="427"/>
      <c r="AG1107" s="427"/>
      <c r="AH1107" s="427"/>
      <c r="AI1107" s="427"/>
      <c r="AJ1107" s="427"/>
      <c r="AK1107" s="427"/>
      <c r="AL1107" s="427"/>
      <c r="AM1107" s="309">
        <f>SUM(Y1107:AL1107)</f>
        <v>0</v>
      </c>
    </row>
    <row r="1108" spans="1:39" ht="15" hidden="1" customHeight="1" outlineLevel="1">
      <c r="A1108" s="539"/>
      <c r="B1108" s="307" t="s">
        <v>346</v>
      </c>
      <c r="C1108" s="304" t="s">
        <v>163</v>
      </c>
      <c r="D1108" s="308"/>
      <c r="E1108" s="308"/>
      <c r="F1108" s="308"/>
      <c r="G1108" s="308"/>
      <c r="H1108" s="308"/>
      <c r="I1108" s="308"/>
      <c r="J1108" s="308"/>
      <c r="K1108" s="308"/>
      <c r="L1108" s="308"/>
      <c r="M1108" s="308"/>
      <c r="N1108" s="308">
        <f>N1107</f>
        <v>12</v>
      </c>
      <c r="O1108" s="308"/>
      <c r="P1108" s="308"/>
      <c r="Q1108" s="308"/>
      <c r="R1108" s="308"/>
      <c r="S1108" s="308"/>
      <c r="T1108" s="308"/>
      <c r="U1108" s="308"/>
      <c r="V1108" s="308"/>
      <c r="W1108" s="308"/>
      <c r="X1108" s="308"/>
      <c r="Y1108" s="423">
        <f>Y1107</f>
        <v>0</v>
      </c>
      <c r="Z1108" s="423">
        <f t="shared" ref="Z1108" si="2551">Z1107</f>
        <v>0</v>
      </c>
      <c r="AA1108" s="423">
        <f t="shared" ref="AA1108" si="2552">AA1107</f>
        <v>0</v>
      </c>
      <c r="AB1108" s="423">
        <f t="shared" ref="AB1108" si="2553">AB1107</f>
        <v>0</v>
      </c>
      <c r="AC1108" s="423">
        <f t="shared" ref="AC1108" si="2554">AC1107</f>
        <v>0</v>
      </c>
      <c r="AD1108" s="423">
        <f t="shared" ref="AD1108" si="2555">AD1107</f>
        <v>0</v>
      </c>
      <c r="AE1108" s="423">
        <f t="shared" ref="AE1108" si="2556">AE1107</f>
        <v>0</v>
      </c>
      <c r="AF1108" s="423">
        <f t="shared" ref="AF1108" si="2557">AF1107</f>
        <v>0</v>
      </c>
      <c r="AG1108" s="423">
        <f t="shared" ref="AG1108" si="2558">AG1107</f>
        <v>0</v>
      </c>
      <c r="AH1108" s="423">
        <f t="shared" ref="AH1108" si="2559">AH1107</f>
        <v>0</v>
      </c>
      <c r="AI1108" s="423">
        <f t="shared" ref="AI1108" si="2560">AI1107</f>
        <v>0</v>
      </c>
      <c r="AJ1108" s="423">
        <f t="shared" ref="AJ1108" si="2561">AJ1107</f>
        <v>0</v>
      </c>
      <c r="AK1108" s="423">
        <f t="shared" ref="AK1108" si="2562">AK1107</f>
        <v>0</v>
      </c>
      <c r="AL1108" s="423">
        <f t="shared" ref="AL1108" si="2563">AL1107</f>
        <v>0</v>
      </c>
      <c r="AM1108" s="319"/>
    </row>
    <row r="1109" spans="1:39" ht="15" hidden="1" customHeight="1" outlineLevel="1">
      <c r="A1109" s="539"/>
      <c r="B1109" s="307"/>
      <c r="C1109" s="318"/>
      <c r="D1109" s="304"/>
      <c r="E1109" s="304"/>
      <c r="F1109" s="304"/>
      <c r="G1109" s="304"/>
      <c r="H1109" s="304"/>
      <c r="I1109" s="304"/>
      <c r="J1109" s="304"/>
      <c r="K1109" s="304"/>
      <c r="L1109" s="304"/>
      <c r="M1109" s="304"/>
      <c r="N1109" s="304"/>
      <c r="O1109" s="304"/>
      <c r="P1109" s="304"/>
      <c r="Q1109" s="304"/>
      <c r="R1109" s="304"/>
      <c r="S1109" s="304"/>
      <c r="T1109" s="304"/>
      <c r="U1109" s="304"/>
      <c r="V1109" s="304"/>
      <c r="W1109" s="304"/>
      <c r="X1109" s="304"/>
      <c r="Y1109" s="314"/>
      <c r="Z1109" s="314"/>
      <c r="AA1109" s="314"/>
      <c r="AB1109" s="314"/>
      <c r="AC1109" s="314"/>
      <c r="AD1109" s="314"/>
      <c r="AE1109" s="314"/>
      <c r="AF1109" s="314"/>
      <c r="AG1109" s="314"/>
      <c r="AH1109" s="314"/>
      <c r="AI1109" s="314"/>
      <c r="AJ1109" s="314"/>
      <c r="AK1109" s="314"/>
      <c r="AL1109" s="314"/>
      <c r="AM1109" s="319"/>
    </row>
    <row r="1110" spans="1:39" ht="15.6" collapsed="1">
      <c r="B1110" s="339" t="s">
        <v>347</v>
      </c>
      <c r="C1110" s="341"/>
      <c r="D1110" s="341">
        <f>SUM(D953:D1108)</f>
        <v>0</v>
      </c>
      <c r="E1110" s="341"/>
      <c r="F1110" s="341"/>
      <c r="G1110" s="341"/>
      <c r="H1110" s="341"/>
      <c r="I1110" s="341"/>
      <c r="J1110" s="341"/>
      <c r="K1110" s="341"/>
      <c r="L1110" s="341"/>
      <c r="M1110" s="341"/>
      <c r="N1110" s="341"/>
      <c r="O1110" s="341">
        <f>SUM(O953:O1108)</f>
        <v>0</v>
      </c>
      <c r="P1110" s="341"/>
      <c r="Q1110" s="341"/>
      <c r="R1110" s="341"/>
      <c r="S1110" s="341"/>
      <c r="T1110" s="341"/>
      <c r="U1110" s="341"/>
      <c r="V1110" s="341"/>
      <c r="W1110" s="341"/>
      <c r="X1110" s="341"/>
      <c r="Y1110" s="341">
        <f>IF(Y951="kWh",SUMPRODUCT(D953:D1108,Y953:Y1108))</f>
        <v>0</v>
      </c>
      <c r="Z1110" s="341">
        <f>IF(Z951="kWh",SUMPRODUCT(D953:D1108,Z953:Z1108))</f>
        <v>0</v>
      </c>
      <c r="AA1110" s="341">
        <f>IF(AA951="kw",SUMPRODUCT(N953:N1108,O953:O1108,AA953:AA1108),SUMPRODUCT(D953:D1108,AA953:AA1108))</f>
        <v>0</v>
      </c>
      <c r="AB1110" s="341">
        <f>IF(AB951="kw",SUMPRODUCT(N953:N1108,O953:O1108,AB953:AB1108),SUMPRODUCT(D953:D1108,AB953:AB1108))</f>
        <v>0</v>
      </c>
      <c r="AC1110" s="341">
        <f>IF(AC951="kw",SUMPRODUCT(N953:N1108,O953:O1108,AC953:AC1108),SUMPRODUCT(D953:D1108,AC953:AC1108))</f>
        <v>0</v>
      </c>
      <c r="AD1110" s="341">
        <f>IF(AD951="kw",SUMPRODUCT(N953:N1108,O953:O1108,AD953:AD1108),SUMPRODUCT(D953:D1108,AD953:AD1108))</f>
        <v>0</v>
      </c>
      <c r="AE1110" s="341">
        <f>IF(AE951="kw",SUMPRODUCT(N953:N1108,O953:O1108,AE953:AE1108),SUMPRODUCT(D953:D1108,AE953:AE1108))</f>
        <v>0</v>
      </c>
      <c r="AF1110" s="341">
        <f>IF(AF951="kw",SUMPRODUCT(N953:N1108,O953:O1108,AF953:AF1108),SUMPRODUCT(D953:D1108,AF953:AF1108))</f>
        <v>0</v>
      </c>
      <c r="AG1110" s="341">
        <f>IF(AG951="kw",SUMPRODUCT(N953:N1108,O953:O1108,AG953:AG1108),SUMPRODUCT(D953:D1108,AG953:AG1108))</f>
        <v>0</v>
      </c>
      <c r="AH1110" s="341">
        <f>IF(AH951="kw",SUMPRODUCT(N953:N1108,O953:O1108,AH953:AH1108),SUMPRODUCT(D953:D1108,AH953:AH1108))</f>
        <v>0</v>
      </c>
      <c r="AI1110" s="341">
        <f>IF(AI951="kw",SUMPRODUCT(N953:N1108,O953:O1108,AI953:AI1108),SUMPRODUCT(D953:D1108,AI953:AI1108))</f>
        <v>0</v>
      </c>
      <c r="AJ1110" s="341">
        <f>IF(AJ951="kw",SUMPRODUCT(N953:N1108,O953:O1108,AJ953:AJ1108),SUMPRODUCT(D953:D1108,AJ953:AJ1108))</f>
        <v>0</v>
      </c>
      <c r="AK1110" s="341">
        <f>IF(AK951="kw",SUMPRODUCT(N953:N1108,O953:O1108,AK953:AK1108),SUMPRODUCT(D953:D1108,AK953:AK1108))</f>
        <v>0</v>
      </c>
      <c r="AL1110" s="341">
        <f>IF(AL951="kw",SUMPRODUCT(N953:N1108,O953:O1108,AL953:AL1108),SUMPRODUCT(D953:D1108,AL953:AL1108))</f>
        <v>0</v>
      </c>
      <c r="AM1110" s="342"/>
    </row>
    <row r="1111" spans="1:39" ht="15.6">
      <c r="B1111" s="403" t="s">
        <v>348</v>
      </c>
      <c r="C1111" s="404"/>
      <c r="D1111" s="404"/>
      <c r="E1111" s="404"/>
      <c r="F1111" s="404"/>
      <c r="G1111" s="404"/>
      <c r="H1111" s="404"/>
      <c r="I1111" s="404"/>
      <c r="J1111" s="404"/>
      <c r="K1111" s="404"/>
      <c r="L1111" s="404"/>
      <c r="M1111" s="404"/>
      <c r="N1111" s="404"/>
      <c r="O1111" s="404"/>
      <c r="P1111" s="404"/>
      <c r="Q1111" s="404"/>
      <c r="R1111" s="404"/>
      <c r="S1111" s="404"/>
      <c r="T1111" s="404"/>
      <c r="U1111" s="404"/>
      <c r="V1111" s="404"/>
      <c r="W1111" s="404"/>
      <c r="X1111" s="404"/>
      <c r="Y1111" s="404">
        <f>HLOOKUP(Y767,'2. LRAMVA Threshold'!$B$42:$Q$53,12,FALSE)</f>
        <v>0</v>
      </c>
      <c r="Z1111" s="404">
        <f>HLOOKUP(Z767,'2. LRAMVA Threshold'!$B$42:$Q$53,12,FALSE)</f>
        <v>0</v>
      </c>
      <c r="AA1111" s="404">
        <f>HLOOKUP(AA767,'2. LRAMVA Threshold'!$B$42:$Q$53,12,FALSE)</f>
        <v>0</v>
      </c>
      <c r="AB1111" s="404">
        <f>HLOOKUP(AB767,'2. LRAMVA Threshold'!$B$42:$Q$53,12,FALSE)</f>
        <v>0</v>
      </c>
      <c r="AC1111" s="404">
        <f>HLOOKUP(AC767,'2. LRAMVA Threshold'!$B$42:$Q$53,12,FALSE)</f>
        <v>0</v>
      </c>
      <c r="AD1111" s="404">
        <f>HLOOKUP(AD767,'2. LRAMVA Threshold'!$B$42:$Q$53,12,FALSE)</f>
        <v>0</v>
      </c>
      <c r="AE1111" s="404">
        <f>HLOOKUP(AE767,'2. LRAMVA Threshold'!$B$42:$Q$53,12,FALSE)</f>
        <v>0</v>
      </c>
      <c r="AF1111" s="404">
        <f>HLOOKUP(AF767,'2. LRAMVA Threshold'!$B$42:$Q$53,12,FALSE)</f>
        <v>0</v>
      </c>
      <c r="AG1111" s="404">
        <f>HLOOKUP(AG767,'2. LRAMVA Threshold'!$B$42:$Q$53,12,FALSE)</f>
        <v>0</v>
      </c>
      <c r="AH1111" s="404">
        <f>HLOOKUP(AH767,'2. LRAMVA Threshold'!$B$42:$Q$53,12,FALSE)</f>
        <v>0</v>
      </c>
      <c r="AI1111" s="404">
        <f>HLOOKUP(AI767,'2. LRAMVA Threshold'!$B$42:$Q$53,12,FALSE)</f>
        <v>0</v>
      </c>
      <c r="AJ1111" s="404">
        <f>HLOOKUP(AJ767,'2. LRAMVA Threshold'!$B$42:$Q$53,12,FALSE)</f>
        <v>0</v>
      </c>
      <c r="AK1111" s="404">
        <f>HLOOKUP(AK767,'2. LRAMVA Threshold'!$B$42:$Q$53,12,FALSE)</f>
        <v>0</v>
      </c>
      <c r="AL1111" s="404">
        <f>HLOOKUP(AL767,'2. LRAMVA Threshold'!$B$42:$Q$53,12,FALSE)</f>
        <v>0</v>
      </c>
      <c r="AM1111" s="452"/>
    </row>
    <row r="1112" spans="1:39" ht="15">
      <c r="B1112" s="406"/>
      <c r="C1112" s="442"/>
      <c r="D1112" s="443"/>
      <c r="E1112" s="443"/>
      <c r="F1112" s="443"/>
      <c r="G1112" s="443"/>
      <c r="H1112" s="443"/>
      <c r="I1112" s="443"/>
      <c r="J1112" s="443"/>
      <c r="K1112" s="443"/>
      <c r="L1112" s="443"/>
      <c r="M1112" s="443"/>
      <c r="N1112" s="443"/>
      <c r="O1112" s="444"/>
      <c r="P1112" s="443"/>
      <c r="Q1112" s="443"/>
      <c r="R1112" s="443"/>
      <c r="S1112" s="445"/>
      <c r="T1112" s="445"/>
      <c r="U1112" s="445"/>
      <c r="V1112" s="445"/>
      <c r="W1112" s="443"/>
      <c r="X1112" s="443"/>
      <c r="Y1112" s="446"/>
      <c r="Z1112" s="446"/>
      <c r="AA1112" s="446"/>
      <c r="AB1112" s="446"/>
      <c r="AC1112" s="446"/>
      <c r="AD1112" s="446"/>
      <c r="AE1112" s="446"/>
      <c r="AF1112" s="411"/>
      <c r="AG1112" s="411"/>
      <c r="AH1112" s="411"/>
      <c r="AI1112" s="411"/>
      <c r="AJ1112" s="411"/>
      <c r="AK1112" s="411"/>
      <c r="AL1112" s="411"/>
      <c r="AM1112" s="412"/>
    </row>
    <row r="1113" spans="1:39" ht="15">
      <c r="B1113" s="336" t="s">
        <v>349</v>
      </c>
      <c r="C1113" s="350"/>
      <c r="D1113" s="350"/>
      <c r="E1113" s="388"/>
      <c r="F1113" s="388"/>
      <c r="G1113" s="388"/>
      <c r="H1113" s="388"/>
      <c r="I1113" s="388"/>
      <c r="J1113" s="388"/>
      <c r="K1113" s="388"/>
      <c r="L1113" s="388"/>
      <c r="M1113" s="388"/>
      <c r="N1113" s="388"/>
      <c r="O1113" s="304"/>
      <c r="P1113" s="352"/>
      <c r="Q1113" s="352"/>
      <c r="R1113" s="352"/>
      <c r="S1113" s="351"/>
      <c r="T1113" s="351"/>
      <c r="U1113" s="351"/>
      <c r="V1113" s="351"/>
      <c r="W1113" s="352"/>
      <c r="X1113" s="352"/>
      <c r="Y1113" s="353">
        <f>HLOOKUP(Y$35,'3.  Distribution Rates'!$C$122:$P$133,12,FALSE)</f>
        <v>0</v>
      </c>
      <c r="Z1113" s="353">
        <f>HLOOKUP(Z$35,'3.  Distribution Rates'!$C$122:$P$133,12,FALSE)</f>
        <v>1.0500000000000001E-2</v>
      </c>
      <c r="AA1113" s="353">
        <f>HLOOKUP(AA$35,'3.  Distribution Rates'!$C$122:$P$133,12,FALSE)</f>
        <v>3.9681000000000002</v>
      </c>
      <c r="AB1113" s="353">
        <f>HLOOKUP(AB$35,'3.  Distribution Rates'!$C$122:$P$133,12,FALSE)</f>
        <v>3.5695999999999999</v>
      </c>
      <c r="AC1113" s="353">
        <f>HLOOKUP(AC$35,'3.  Distribution Rates'!$C$122:$P$133,12,FALSE)</f>
        <v>5.5999999999999999E-3</v>
      </c>
      <c r="AD1113" s="353">
        <f>HLOOKUP(AD$35,'3.  Distribution Rates'!$C$122:$P$133,12,FALSE)</f>
        <v>36.929499999999997</v>
      </c>
      <c r="AE1113" s="353">
        <f>HLOOKUP(AE$35,'3.  Distribution Rates'!$C$122:$P$133,12,FALSE)</f>
        <v>1.5966</v>
      </c>
      <c r="AF1113" s="353">
        <f>HLOOKUP(AF$35,'3.  Distribution Rates'!$C$122:$P$133,12,FALSE)</f>
        <v>0</v>
      </c>
      <c r="AG1113" s="353">
        <f>HLOOKUP(AG$35,'3.  Distribution Rates'!$C$122:$P$133,12,FALSE)</f>
        <v>0</v>
      </c>
      <c r="AH1113" s="353">
        <f>HLOOKUP(AH$35,'3.  Distribution Rates'!$C$122:$P$133,12,FALSE)</f>
        <v>0</v>
      </c>
      <c r="AI1113" s="353">
        <f>HLOOKUP(AI$35,'3.  Distribution Rates'!$C$122:$P$133,12,FALSE)</f>
        <v>0</v>
      </c>
      <c r="AJ1113" s="353">
        <f>HLOOKUP(AJ$35,'3.  Distribution Rates'!$C$122:$P$133,12,FALSE)</f>
        <v>0</v>
      </c>
      <c r="AK1113" s="353">
        <f>HLOOKUP(AK$35,'3.  Distribution Rates'!$C$122:$P$133,12,FALSE)</f>
        <v>0</v>
      </c>
      <c r="AL1113" s="353">
        <f>HLOOKUP(AL$35,'3.  Distribution Rates'!$C$122:$P$133,12,FALSE)</f>
        <v>0</v>
      </c>
      <c r="AM1113" s="454"/>
    </row>
    <row r="1114" spans="1:39" ht="15">
      <c r="B1114" s="336" t="s">
        <v>353</v>
      </c>
      <c r="C1114" s="357"/>
      <c r="D1114" s="322"/>
      <c r="E1114" s="292"/>
      <c r="F1114" s="292"/>
      <c r="G1114" s="292"/>
      <c r="H1114" s="292"/>
      <c r="I1114" s="292"/>
      <c r="J1114" s="292"/>
      <c r="K1114" s="292"/>
      <c r="L1114" s="292"/>
      <c r="M1114" s="292"/>
      <c r="N1114" s="292"/>
      <c r="O1114" s="304"/>
      <c r="P1114" s="292"/>
      <c r="Q1114" s="292"/>
      <c r="R1114" s="292"/>
      <c r="S1114" s="322"/>
      <c r="T1114" s="322"/>
      <c r="U1114" s="322"/>
      <c r="V1114" s="322"/>
      <c r="W1114" s="292"/>
      <c r="X1114" s="292"/>
      <c r="Y1114" s="390">
        <f>'4.  2011-2014 LRAM'!Y143*Y1113</f>
        <v>0</v>
      </c>
      <c r="Z1114" s="390">
        <f>'4.  2011-2014 LRAM'!Z143*Z1113</f>
        <v>0</v>
      </c>
      <c r="AA1114" s="390">
        <f>'4.  2011-2014 LRAM'!AA143*AA1113</f>
        <v>0</v>
      </c>
      <c r="AB1114" s="390">
        <f>'4.  2011-2014 LRAM'!AB143*AB1113</f>
        <v>0</v>
      </c>
      <c r="AC1114" s="390">
        <f>'4.  2011-2014 LRAM'!AC143*AC1113</f>
        <v>0</v>
      </c>
      <c r="AD1114" s="390">
        <f>'4.  2011-2014 LRAM'!AD143*AD1113</f>
        <v>0</v>
      </c>
      <c r="AE1114" s="390">
        <f>'4.  2011-2014 LRAM'!AE143*AE1113</f>
        <v>0</v>
      </c>
      <c r="AF1114" s="390">
        <f>'4.  2011-2014 LRAM'!AF143*AF1113</f>
        <v>0</v>
      </c>
      <c r="AG1114" s="390">
        <f>'4.  2011-2014 LRAM'!AG143*AG1113</f>
        <v>0</v>
      </c>
      <c r="AH1114" s="390">
        <f>'4.  2011-2014 LRAM'!AH143*AH1113</f>
        <v>0</v>
      </c>
      <c r="AI1114" s="390">
        <f>'4.  2011-2014 LRAM'!AI143*AI1113</f>
        <v>0</v>
      </c>
      <c r="AJ1114" s="390">
        <f>'4.  2011-2014 LRAM'!AJ143*AJ1113</f>
        <v>0</v>
      </c>
      <c r="AK1114" s="390">
        <f>'4.  2011-2014 LRAM'!AK143*AK1113</f>
        <v>0</v>
      </c>
      <c r="AL1114" s="390">
        <f>'4.  2011-2014 LRAM'!AL143*AL1113</f>
        <v>0</v>
      </c>
      <c r="AM1114" s="635">
        <f t="shared" ref="AM1114:AM1123" si="2564">SUM(Y1114:AL1114)</f>
        <v>0</v>
      </c>
    </row>
    <row r="1115" spans="1:39" ht="15">
      <c r="B1115" s="336" t="s">
        <v>354</v>
      </c>
      <c r="C1115" s="357"/>
      <c r="D1115" s="322"/>
      <c r="E1115" s="292"/>
      <c r="F1115" s="292"/>
      <c r="G1115" s="292"/>
      <c r="H1115" s="292"/>
      <c r="I1115" s="292"/>
      <c r="J1115" s="292"/>
      <c r="K1115" s="292"/>
      <c r="L1115" s="292"/>
      <c r="M1115" s="292"/>
      <c r="N1115" s="292"/>
      <c r="O1115" s="304"/>
      <c r="P1115" s="292"/>
      <c r="Q1115" s="292"/>
      <c r="R1115" s="292"/>
      <c r="S1115" s="322"/>
      <c r="T1115" s="322"/>
      <c r="U1115" s="322"/>
      <c r="V1115" s="322"/>
      <c r="W1115" s="292"/>
      <c r="X1115" s="292"/>
      <c r="Y1115" s="390">
        <f>'4.  2011-2014 LRAM'!Y272*Y1113</f>
        <v>0</v>
      </c>
      <c r="Z1115" s="390">
        <f>'4.  2011-2014 LRAM'!Z272*Z1113</f>
        <v>0</v>
      </c>
      <c r="AA1115" s="390">
        <f>'4.  2011-2014 LRAM'!AA272*AA1113</f>
        <v>0</v>
      </c>
      <c r="AB1115" s="390">
        <f>'4.  2011-2014 LRAM'!AB272*AB1113</f>
        <v>0</v>
      </c>
      <c r="AC1115" s="390">
        <f>'4.  2011-2014 LRAM'!AC272*AC1113</f>
        <v>0</v>
      </c>
      <c r="AD1115" s="390">
        <f>'4.  2011-2014 LRAM'!AD272*AD1113</f>
        <v>0</v>
      </c>
      <c r="AE1115" s="390">
        <f>'4.  2011-2014 LRAM'!AE272*AE1113</f>
        <v>0</v>
      </c>
      <c r="AF1115" s="390">
        <f>'4.  2011-2014 LRAM'!AF272*AF1113</f>
        <v>0</v>
      </c>
      <c r="AG1115" s="390">
        <f>'4.  2011-2014 LRAM'!AG272*AG1113</f>
        <v>0</v>
      </c>
      <c r="AH1115" s="390">
        <f>'4.  2011-2014 LRAM'!AH272*AH1113</f>
        <v>0</v>
      </c>
      <c r="AI1115" s="390">
        <f>'4.  2011-2014 LRAM'!AI272*AI1113</f>
        <v>0</v>
      </c>
      <c r="AJ1115" s="390">
        <f>'4.  2011-2014 LRAM'!AJ272*AJ1113</f>
        <v>0</v>
      </c>
      <c r="AK1115" s="390">
        <f>'4.  2011-2014 LRAM'!AK272*AK1113</f>
        <v>0</v>
      </c>
      <c r="AL1115" s="390">
        <f>'4.  2011-2014 LRAM'!AL272*AL1113</f>
        <v>0</v>
      </c>
      <c r="AM1115" s="635">
        <f t="shared" si="2564"/>
        <v>0</v>
      </c>
    </row>
    <row r="1116" spans="1:39" ht="15">
      <c r="B1116" s="336" t="s">
        <v>355</v>
      </c>
      <c r="C1116" s="357"/>
      <c r="D1116" s="322"/>
      <c r="E1116" s="292"/>
      <c r="F1116" s="292"/>
      <c r="G1116" s="292"/>
      <c r="H1116" s="292"/>
      <c r="I1116" s="292"/>
      <c r="J1116" s="292"/>
      <c r="K1116" s="292"/>
      <c r="L1116" s="292"/>
      <c r="M1116" s="292"/>
      <c r="N1116" s="292"/>
      <c r="O1116" s="304"/>
      <c r="P1116" s="292"/>
      <c r="Q1116" s="292"/>
      <c r="R1116" s="292"/>
      <c r="S1116" s="322"/>
      <c r="T1116" s="322"/>
      <c r="U1116" s="322"/>
      <c r="V1116" s="322"/>
      <c r="W1116" s="292"/>
      <c r="X1116" s="292"/>
      <c r="Y1116" s="390">
        <f>'4.  2011-2014 LRAM'!Y401*Y1113</f>
        <v>0</v>
      </c>
      <c r="Z1116" s="390">
        <f>'4.  2011-2014 LRAM'!Z401*Z1113</f>
        <v>0</v>
      </c>
      <c r="AA1116" s="390">
        <f>'4.  2011-2014 LRAM'!AA401*AA1113</f>
        <v>0</v>
      </c>
      <c r="AB1116" s="390">
        <f>'4.  2011-2014 LRAM'!AB401*AB1113</f>
        <v>0</v>
      </c>
      <c r="AC1116" s="390">
        <f>'4.  2011-2014 LRAM'!AC401*AC1113</f>
        <v>0</v>
      </c>
      <c r="AD1116" s="390">
        <f>'4.  2011-2014 LRAM'!AD401*AD1113</f>
        <v>0</v>
      </c>
      <c r="AE1116" s="390">
        <f>'4.  2011-2014 LRAM'!AE401*AE1113</f>
        <v>0</v>
      </c>
      <c r="AF1116" s="390">
        <f>'4.  2011-2014 LRAM'!AF401*AF1113</f>
        <v>0</v>
      </c>
      <c r="AG1116" s="390">
        <f>'4.  2011-2014 LRAM'!AG401*AG1113</f>
        <v>0</v>
      </c>
      <c r="AH1116" s="390">
        <f>'4.  2011-2014 LRAM'!AH401*AH1113</f>
        <v>0</v>
      </c>
      <c r="AI1116" s="390">
        <f>'4.  2011-2014 LRAM'!AI401*AI1113</f>
        <v>0</v>
      </c>
      <c r="AJ1116" s="390">
        <f>'4.  2011-2014 LRAM'!AJ401*AJ1113</f>
        <v>0</v>
      </c>
      <c r="AK1116" s="390">
        <f>'4.  2011-2014 LRAM'!AK401*AK1113</f>
        <v>0</v>
      </c>
      <c r="AL1116" s="390">
        <f>'4.  2011-2014 LRAM'!AL401*AL1113</f>
        <v>0</v>
      </c>
      <c r="AM1116" s="635">
        <f t="shared" si="2564"/>
        <v>0</v>
      </c>
    </row>
    <row r="1117" spans="1:39" ht="15">
      <c r="B1117" s="336" t="s">
        <v>356</v>
      </c>
      <c r="C1117" s="357"/>
      <c r="D1117" s="322"/>
      <c r="E1117" s="292"/>
      <c r="F1117" s="292"/>
      <c r="G1117" s="292"/>
      <c r="H1117" s="292"/>
      <c r="I1117" s="292"/>
      <c r="J1117" s="292"/>
      <c r="K1117" s="292"/>
      <c r="L1117" s="292"/>
      <c r="M1117" s="292"/>
      <c r="N1117" s="292"/>
      <c r="O1117" s="304"/>
      <c r="P1117" s="292"/>
      <c r="Q1117" s="292"/>
      <c r="R1117" s="292"/>
      <c r="S1117" s="322"/>
      <c r="T1117" s="322"/>
      <c r="U1117" s="322"/>
      <c r="V1117" s="322"/>
      <c r="W1117" s="292"/>
      <c r="X1117" s="292"/>
      <c r="Y1117" s="390">
        <f>'4.  2011-2014 LRAM'!Y531*Y1113</f>
        <v>0</v>
      </c>
      <c r="Z1117" s="390">
        <f>'4.  2011-2014 LRAM'!Z531*Z1113</f>
        <v>0</v>
      </c>
      <c r="AA1117" s="390">
        <f>'4.  2011-2014 LRAM'!AA531*AA1113</f>
        <v>0</v>
      </c>
      <c r="AB1117" s="390">
        <f>'4.  2011-2014 LRAM'!AB531*AB1113</f>
        <v>0</v>
      </c>
      <c r="AC1117" s="390">
        <f>'4.  2011-2014 LRAM'!AC531*AC1113</f>
        <v>0</v>
      </c>
      <c r="AD1117" s="390">
        <f>'4.  2011-2014 LRAM'!AD531*AD1113</f>
        <v>0</v>
      </c>
      <c r="AE1117" s="390">
        <f>'4.  2011-2014 LRAM'!AE531*AE1113</f>
        <v>0</v>
      </c>
      <c r="AF1117" s="390">
        <f>'4.  2011-2014 LRAM'!AF531*AF1113</f>
        <v>0</v>
      </c>
      <c r="AG1117" s="390">
        <f>'4.  2011-2014 LRAM'!AG531*AG1113</f>
        <v>0</v>
      </c>
      <c r="AH1117" s="390">
        <f>'4.  2011-2014 LRAM'!AH531*AH1113</f>
        <v>0</v>
      </c>
      <c r="AI1117" s="390">
        <f>'4.  2011-2014 LRAM'!AI531*AI1113</f>
        <v>0</v>
      </c>
      <c r="AJ1117" s="390">
        <f>'4.  2011-2014 LRAM'!AJ531*AJ1113</f>
        <v>0</v>
      </c>
      <c r="AK1117" s="390">
        <f>'4.  2011-2014 LRAM'!AK531*AK1113</f>
        <v>0</v>
      </c>
      <c r="AL1117" s="390">
        <f>'4.  2011-2014 LRAM'!AL531*AL1113</f>
        <v>0</v>
      </c>
      <c r="AM1117" s="635">
        <f t="shared" si="2564"/>
        <v>0</v>
      </c>
    </row>
    <row r="1118" spans="1:39" ht="15">
      <c r="B1118" s="336" t="s">
        <v>357</v>
      </c>
      <c r="C1118" s="357"/>
      <c r="D1118" s="322"/>
      <c r="E1118" s="292"/>
      <c r="F1118" s="292"/>
      <c r="G1118" s="292"/>
      <c r="H1118" s="292"/>
      <c r="I1118" s="292"/>
      <c r="J1118" s="292"/>
      <c r="K1118" s="292"/>
      <c r="L1118" s="292"/>
      <c r="M1118" s="292"/>
      <c r="N1118" s="292"/>
      <c r="O1118" s="304"/>
      <c r="P1118" s="292"/>
      <c r="Q1118" s="292"/>
      <c r="R1118" s="292"/>
      <c r="S1118" s="322"/>
      <c r="T1118" s="322"/>
      <c r="U1118" s="322"/>
      <c r="V1118" s="322"/>
      <c r="W1118" s="292"/>
      <c r="X1118" s="292"/>
      <c r="Y1118" s="390">
        <f t="shared" ref="Y1118:AL1118" si="2565">Y212*Y1113</f>
        <v>0</v>
      </c>
      <c r="Z1118" s="390">
        <f t="shared" si="2565"/>
        <v>15567.313598088584</v>
      </c>
      <c r="AA1118" s="390">
        <f t="shared" si="2565"/>
        <v>7528.3196496942346</v>
      </c>
      <c r="AB1118" s="390">
        <f t="shared" si="2565"/>
        <v>6977.5020480197027</v>
      </c>
      <c r="AC1118" s="390">
        <f t="shared" si="2565"/>
        <v>0</v>
      </c>
      <c r="AD1118" s="390">
        <f t="shared" si="2565"/>
        <v>0</v>
      </c>
      <c r="AE1118" s="390">
        <f t="shared" si="2565"/>
        <v>606.30890109120037</v>
      </c>
      <c r="AF1118" s="390">
        <f t="shared" si="2565"/>
        <v>0</v>
      </c>
      <c r="AG1118" s="390">
        <f t="shared" si="2565"/>
        <v>0</v>
      </c>
      <c r="AH1118" s="390">
        <f t="shared" si="2565"/>
        <v>0</v>
      </c>
      <c r="AI1118" s="390">
        <f t="shared" si="2565"/>
        <v>0</v>
      </c>
      <c r="AJ1118" s="390">
        <f t="shared" si="2565"/>
        <v>0</v>
      </c>
      <c r="AK1118" s="390">
        <f t="shared" si="2565"/>
        <v>0</v>
      </c>
      <c r="AL1118" s="390">
        <f t="shared" si="2565"/>
        <v>0</v>
      </c>
      <c r="AM1118" s="635">
        <f t="shared" si="2564"/>
        <v>30679.444196893721</v>
      </c>
    </row>
    <row r="1119" spans="1:39" ht="15">
      <c r="B1119" s="336" t="s">
        <v>358</v>
      </c>
      <c r="C1119" s="357"/>
      <c r="D1119" s="322"/>
      <c r="E1119" s="292"/>
      <c r="F1119" s="292"/>
      <c r="G1119" s="292"/>
      <c r="H1119" s="292"/>
      <c r="I1119" s="292"/>
      <c r="J1119" s="292"/>
      <c r="K1119" s="292"/>
      <c r="L1119" s="292"/>
      <c r="M1119" s="292"/>
      <c r="N1119" s="292"/>
      <c r="O1119" s="304"/>
      <c r="P1119" s="292"/>
      <c r="Q1119" s="292"/>
      <c r="R1119" s="292"/>
      <c r="S1119" s="322"/>
      <c r="T1119" s="322"/>
      <c r="U1119" s="322"/>
      <c r="V1119" s="322"/>
      <c r="W1119" s="292"/>
      <c r="X1119" s="292"/>
      <c r="Y1119" s="390">
        <f t="shared" ref="Y1119:AL1119" si="2566">Y395*Y1113</f>
        <v>0</v>
      </c>
      <c r="Z1119" s="390">
        <f t="shared" si="2566"/>
        <v>3226.7669991354537</v>
      </c>
      <c r="AA1119" s="390">
        <f t="shared" si="2566"/>
        <v>189.32641804858076</v>
      </c>
      <c r="AB1119" s="390">
        <f t="shared" si="2566"/>
        <v>855.38760770825866</v>
      </c>
      <c r="AC1119" s="390">
        <f t="shared" si="2566"/>
        <v>0</v>
      </c>
      <c r="AD1119" s="390">
        <f t="shared" si="2566"/>
        <v>0</v>
      </c>
      <c r="AE1119" s="390">
        <f t="shared" si="2566"/>
        <v>5706.1236863807999</v>
      </c>
      <c r="AF1119" s="390">
        <f t="shared" si="2566"/>
        <v>0</v>
      </c>
      <c r="AG1119" s="390">
        <f t="shared" si="2566"/>
        <v>0</v>
      </c>
      <c r="AH1119" s="390">
        <f t="shared" si="2566"/>
        <v>0</v>
      </c>
      <c r="AI1119" s="390">
        <f t="shared" si="2566"/>
        <v>0</v>
      </c>
      <c r="AJ1119" s="390">
        <f t="shared" si="2566"/>
        <v>0</v>
      </c>
      <c r="AK1119" s="390">
        <f t="shared" si="2566"/>
        <v>0</v>
      </c>
      <c r="AL1119" s="390">
        <f t="shared" si="2566"/>
        <v>0</v>
      </c>
      <c r="AM1119" s="635">
        <f t="shared" si="2564"/>
        <v>9977.6047112730921</v>
      </c>
    </row>
    <row r="1120" spans="1:39" ht="15">
      <c r="B1120" s="336" t="s">
        <v>359</v>
      </c>
      <c r="C1120" s="357"/>
      <c r="D1120" s="322"/>
      <c r="E1120" s="292"/>
      <c r="F1120" s="292"/>
      <c r="G1120" s="292"/>
      <c r="H1120" s="292"/>
      <c r="I1120" s="292"/>
      <c r="J1120" s="292"/>
      <c r="K1120" s="292"/>
      <c r="L1120" s="292"/>
      <c r="M1120" s="292"/>
      <c r="N1120" s="292"/>
      <c r="O1120" s="304"/>
      <c r="P1120" s="292"/>
      <c r="Q1120" s="292"/>
      <c r="R1120" s="292"/>
      <c r="S1120" s="322"/>
      <c r="T1120" s="322"/>
      <c r="U1120" s="322"/>
      <c r="V1120" s="322"/>
      <c r="W1120" s="292"/>
      <c r="X1120" s="292"/>
      <c r="Y1120" s="390">
        <f t="shared" ref="Y1120:AL1120" si="2567">Y578*Y1113</f>
        <v>0</v>
      </c>
      <c r="Z1120" s="390">
        <f t="shared" si="2567"/>
        <v>12952.663653741418</v>
      </c>
      <c r="AA1120" s="390">
        <f t="shared" si="2567"/>
        <v>10179.18598464</v>
      </c>
      <c r="AB1120" s="390">
        <f t="shared" si="2567"/>
        <v>6610.9448908799995</v>
      </c>
      <c r="AC1120" s="390">
        <f t="shared" si="2567"/>
        <v>0</v>
      </c>
      <c r="AD1120" s="390">
        <f t="shared" si="2567"/>
        <v>0</v>
      </c>
      <c r="AE1120" s="390">
        <f t="shared" si="2567"/>
        <v>364.45787455680045</v>
      </c>
      <c r="AF1120" s="390">
        <f t="shared" si="2567"/>
        <v>0</v>
      </c>
      <c r="AG1120" s="390">
        <f t="shared" si="2567"/>
        <v>0</v>
      </c>
      <c r="AH1120" s="390">
        <f t="shared" si="2567"/>
        <v>0</v>
      </c>
      <c r="AI1120" s="390">
        <f t="shared" si="2567"/>
        <v>0</v>
      </c>
      <c r="AJ1120" s="390">
        <f t="shared" si="2567"/>
        <v>0</v>
      </c>
      <c r="AK1120" s="390">
        <f t="shared" si="2567"/>
        <v>0</v>
      </c>
      <c r="AL1120" s="390">
        <f t="shared" si="2567"/>
        <v>0</v>
      </c>
      <c r="AM1120" s="635">
        <f t="shared" si="2564"/>
        <v>30107.25240381822</v>
      </c>
    </row>
    <row r="1121" spans="2:39" ht="15">
      <c r="B1121" s="336" t="s">
        <v>360</v>
      </c>
      <c r="C1121" s="357"/>
      <c r="D1121" s="322"/>
      <c r="E1121" s="292"/>
      <c r="F1121" s="292"/>
      <c r="G1121" s="292"/>
      <c r="H1121" s="292"/>
      <c r="I1121" s="292"/>
      <c r="J1121" s="292"/>
      <c r="K1121" s="292"/>
      <c r="L1121" s="292"/>
      <c r="M1121" s="292"/>
      <c r="N1121" s="292"/>
      <c r="O1121" s="304"/>
      <c r="P1121" s="292"/>
      <c r="Q1121" s="292"/>
      <c r="R1121" s="292"/>
      <c r="S1121" s="322"/>
      <c r="T1121" s="322"/>
      <c r="U1121" s="322"/>
      <c r="V1121" s="322"/>
      <c r="W1121" s="292"/>
      <c r="X1121" s="292"/>
      <c r="Y1121" s="390">
        <f t="shared" ref="Y1121:AL1121" si="2568">Y761*Y1113</f>
        <v>0</v>
      </c>
      <c r="Z1121" s="390">
        <f t="shared" si="2568"/>
        <v>3329.8858841633619</v>
      </c>
      <c r="AA1121" s="390">
        <f t="shared" si="2568"/>
        <v>4764.057833522842</v>
      </c>
      <c r="AB1121" s="390">
        <f t="shared" si="2568"/>
        <v>3624.3455245190621</v>
      </c>
      <c r="AC1121" s="390">
        <f t="shared" si="2568"/>
        <v>0</v>
      </c>
      <c r="AD1121" s="390">
        <f t="shared" si="2568"/>
        <v>0</v>
      </c>
      <c r="AE1121" s="390">
        <f t="shared" si="2568"/>
        <v>0</v>
      </c>
      <c r="AF1121" s="390">
        <f t="shared" si="2568"/>
        <v>0</v>
      </c>
      <c r="AG1121" s="390">
        <f t="shared" si="2568"/>
        <v>0</v>
      </c>
      <c r="AH1121" s="390">
        <f t="shared" si="2568"/>
        <v>0</v>
      </c>
      <c r="AI1121" s="390">
        <f t="shared" si="2568"/>
        <v>0</v>
      </c>
      <c r="AJ1121" s="390">
        <f t="shared" si="2568"/>
        <v>0</v>
      </c>
      <c r="AK1121" s="390">
        <f t="shared" si="2568"/>
        <v>0</v>
      </c>
      <c r="AL1121" s="390">
        <f t="shared" si="2568"/>
        <v>0</v>
      </c>
      <c r="AM1121" s="635">
        <f t="shared" si="2564"/>
        <v>11718.289242205266</v>
      </c>
    </row>
    <row r="1122" spans="2:39" ht="15">
      <c r="B1122" s="336" t="s">
        <v>361</v>
      </c>
      <c r="C1122" s="357"/>
      <c r="D1122" s="322"/>
      <c r="E1122" s="292"/>
      <c r="F1122" s="292"/>
      <c r="G1122" s="292"/>
      <c r="H1122" s="292"/>
      <c r="I1122" s="292"/>
      <c r="J1122" s="292"/>
      <c r="K1122" s="292"/>
      <c r="L1122" s="292"/>
      <c r="M1122" s="292"/>
      <c r="N1122" s="292"/>
      <c r="O1122" s="304"/>
      <c r="P1122" s="292"/>
      <c r="Q1122" s="292"/>
      <c r="R1122" s="292"/>
      <c r="S1122" s="322"/>
      <c r="T1122" s="322"/>
      <c r="U1122" s="322"/>
      <c r="V1122" s="322"/>
      <c r="W1122" s="292"/>
      <c r="X1122" s="292"/>
      <c r="Y1122" s="390">
        <f t="shared" ref="Y1122:AL1122" si="2569">Y944*Y1113</f>
        <v>0</v>
      </c>
      <c r="Z1122" s="390">
        <f t="shared" si="2569"/>
        <v>567.84926728295818</v>
      </c>
      <c r="AA1122" s="390">
        <f t="shared" si="2569"/>
        <v>768.85001552471135</v>
      </c>
      <c r="AB1122" s="390">
        <f t="shared" si="2569"/>
        <v>543.93609535326505</v>
      </c>
      <c r="AC1122" s="390">
        <f t="shared" si="2569"/>
        <v>0</v>
      </c>
      <c r="AD1122" s="390">
        <f t="shared" si="2569"/>
        <v>0</v>
      </c>
      <c r="AE1122" s="390">
        <f t="shared" si="2569"/>
        <v>0</v>
      </c>
      <c r="AF1122" s="390">
        <f t="shared" si="2569"/>
        <v>0</v>
      </c>
      <c r="AG1122" s="390">
        <f t="shared" si="2569"/>
        <v>0</v>
      </c>
      <c r="AH1122" s="390">
        <f t="shared" si="2569"/>
        <v>0</v>
      </c>
      <c r="AI1122" s="390">
        <f t="shared" si="2569"/>
        <v>0</v>
      </c>
      <c r="AJ1122" s="390">
        <f t="shared" si="2569"/>
        <v>0</v>
      </c>
      <c r="AK1122" s="390">
        <f t="shared" si="2569"/>
        <v>0</v>
      </c>
      <c r="AL1122" s="390">
        <f t="shared" si="2569"/>
        <v>0</v>
      </c>
      <c r="AM1122" s="635">
        <f t="shared" si="2564"/>
        <v>1880.6353781609346</v>
      </c>
    </row>
    <row r="1123" spans="2:39" ht="15">
      <c r="B1123" s="336" t="s">
        <v>362</v>
      </c>
      <c r="C1123" s="357"/>
      <c r="D1123" s="322"/>
      <c r="E1123" s="292"/>
      <c r="F1123" s="292"/>
      <c r="G1123" s="292"/>
      <c r="H1123" s="292"/>
      <c r="I1123" s="292"/>
      <c r="J1123" s="292"/>
      <c r="K1123" s="292"/>
      <c r="L1123" s="292"/>
      <c r="M1123" s="292"/>
      <c r="N1123" s="292"/>
      <c r="O1123" s="304"/>
      <c r="P1123" s="292"/>
      <c r="Q1123" s="292"/>
      <c r="R1123" s="292"/>
      <c r="S1123" s="322"/>
      <c r="T1123" s="322"/>
      <c r="U1123" s="322"/>
      <c r="V1123" s="322"/>
      <c r="W1123" s="292"/>
      <c r="X1123" s="292"/>
      <c r="Y1123" s="390">
        <f>Y1110*Y1113</f>
        <v>0</v>
      </c>
      <c r="Z1123" s="390">
        <f>Z1110*Z1113</f>
        <v>0</v>
      </c>
      <c r="AA1123" s="390">
        <f t="shared" ref="AA1123:AL1123" si="2570">AA1110*AA1113</f>
        <v>0</v>
      </c>
      <c r="AB1123" s="390">
        <f t="shared" si="2570"/>
        <v>0</v>
      </c>
      <c r="AC1123" s="390">
        <f t="shared" si="2570"/>
        <v>0</v>
      </c>
      <c r="AD1123" s="390">
        <f t="shared" si="2570"/>
        <v>0</v>
      </c>
      <c r="AE1123" s="390">
        <f t="shared" si="2570"/>
        <v>0</v>
      </c>
      <c r="AF1123" s="390">
        <f t="shared" si="2570"/>
        <v>0</v>
      </c>
      <c r="AG1123" s="390">
        <f t="shared" si="2570"/>
        <v>0</v>
      </c>
      <c r="AH1123" s="390">
        <f t="shared" si="2570"/>
        <v>0</v>
      </c>
      <c r="AI1123" s="390">
        <f t="shared" si="2570"/>
        <v>0</v>
      </c>
      <c r="AJ1123" s="390">
        <f t="shared" si="2570"/>
        <v>0</v>
      </c>
      <c r="AK1123" s="390">
        <f t="shared" si="2570"/>
        <v>0</v>
      </c>
      <c r="AL1123" s="390">
        <f t="shared" si="2570"/>
        <v>0</v>
      </c>
      <c r="AM1123" s="635">
        <f t="shared" si="2564"/>
        <v>0</v>
      </c>
    </row>
    <row r="1124" spans="2:39" ht="15.6">
      <c r="B1124" s="361" t="s">
        <v>352</v>
      </c>
      <c r="C1124" s="357"/>
      <c r="D1124" s="348"/>
      <c r="E1124" s="346"/>
      <c r="F1124" s="346"/>
      <c r="G1124" s="346"/>
      <c r="H1124" s="346"/>
      <c r="I1124" s="346"/>
      <c r="J1124" s="346"/>
      <c r="K1124" s="346"/>
      <c r="L1124" s="346"/>
      <c r="M1124" s="346"/>
      <c r="N1124" s="346"/>
      <c r="O1124" s="313"/>
      <c r="P1124" s="346"/>
      <c r="Q1124" s="346"/>
      <c r="R1124" s="346"/>
      <c r="S1124" s="348"/>
      <c r="T1124" s="348"/>
      <c r="U1124" s="348"/>
      <c r="V1124" s="348"/>
      <c r="W1124" s="346"/>
      <c r="X1124" s="346"/>
      <c r="Y1124" s="358">
        <f>SUM(Y1114:Y1123)</f>
        <v>0</v>
      </c>
      <c r="Z1124" s="358">
        <f t="shared" ref="Z1124:AE1124" si="2571">SUM(Z1114:Z1123)</f>
        <v>35644.47940241178</v>
      </c>
      <c r="AA1124" s="358">
        <f t="shared" si="2571"/>
        <v>23429.73990143037</v>
      </c>
      <c r="AB1124" s="358">
        <f t="shared" si="2571"/>
        <v>18612.116166480286</v>
      </c>
      <c r="AC1124" s="358">
        <f t="shared" si="2571"/>
        <v>0</v>
      </c>
      <c r="AD1124" s="358">
        <f t="shared" si="2571"/>
        <v>0</v>
      </c>
      <c r="AE1124" s="358">
        <f t="shared" si="2571"/>
        <v>6676.8904620288004</v>
      </c>
      <c r="AF1124" s="358">
        <f>SUM(AF1114:AF1123)</f>
        <v>0</v>
      </c>
      <c r="AG1124" s="358">
        <f t="shared" ref="AG1124:AL1124" si="2572">SUM(AG1114:AG1123)</f>
        <v>0</v>
      </c>
      <c r="AH1124" s="358">
        <f t="shared" si="2572"/>
        <v>0</v>
      </c>
      <c r="AI1124" s="358">
        <f t="shared" si="2572"/>
        <v>0</v>
      </c>
      <c r="AJ1124" s="358">
        <f t="shared" si="2572"/>
        <v>0</v>
      </c>
      <c r="AK1124" s="358">
        <f t="shared" si="2572"/>
        <v>0</v>
      </c>
      <c r="AL1124" s="358">
        <f t="shared" si="2572"/>
        <v>0</v>
      </c>
      <c r="AM1124" s="419">
        <f>SUM(AM1114:AM1123)</f>
        <v>84363.225932351241</v>
      </c>
    </row>
    <row r="1125" spans="2:39" ht="15.6">
      <c r="B1125" s="361" t="s">
        <v>351</v>
      </c>
      <c r="C1125" s="357"/>
      <c r="D1125" s="362"/>
      <c r="E1125" s="346"/>
      <c r="F1125" s="346"/>
      <c r="G1125" s="346"/>
      <c r="H1125" s="346"/>
      <c r="I1125" s="346"/>
      <c r="J1125" s="346"/>
      <c r="K1125" s="346"/>
      <c r="L1125" s="346"/>
      <c r="M1125" s="346"/>
      <c r="N1125" s="346"/>
      <c r="O1125" s="313"/>
      <c r="P1125" s="346"/>
      <c r="Q1125" s="346"/>
      <c r="R1125" s="346"/>
      <c r="S1125" s="348"/>
      <c r="T1125" s="348"/>
      <c r="U1125" s="348"/>
      <c r="V1125" s="348"/>
      <c r="W1125" s="346"/>
      <c r="X1125" s="346"/>
      <c r="Y1125" s="359">
        <f>Y1111*Y1113</f>
        <v>0</v>
      </c>
      <c r="Z1125" s="359">
        <f t="shared" ref="Z1125:AE1125" si="2573">Z1111*Z1113</f>
        <v>0</v>
      </c>
      <c r="AA1125" s="359">
        <f>AA1111*AA1113</f>
        <v>0</v>
      </c>
      <c r="AB1125" s="359">
        <f t="shared" si="2573"/>
        <v>0</v>
      </c>
      <c r="AC1125" s="359">
        <f t="shared" si="2573"/>
        <v>0</v>
      </c>
      <c r="AD1125" s="359">
        <f t="shared" si="2573"/>
        <v>0</v>
      </c>
      <c r="AE1125" s="359">
        <f t="shared" si="2573"/>
        <v>0</v>
      </c>
      <c r="AF1125" s="359">
        <f t="shared" ref="AF1125:AL1125" si="2574">AF1111*AF1113</f>
        <v>0</v>
      </c>
      <c r="AG1125" s="359">
        <f t="shared" si="2574"/>
        <v>0</v>
      </c>
      <c r="AH1125" s="359">
        <f t="shared" si="2574"/>
        <v>0</v>
      </c>
      <c r="AI1125" s="359">
        <f t="shared" si="2574"/>
        <v>0</v>
      </c>
      <c r="AJ1125" s="359">
        <f t="shared" si="2574"/>
        <v>0</v>
      </c>
      <c r="AK1125" s="359">
        <f t="shared" si="2574"/>
        <v>0</v>
      </c>
      <c r="AL1125" s="359">
        <f t="shared" si="2574"/>
        <v>0</v>
      </c>
      <c r="AM1125" s="419">
        <f>SUM(Y1125:AL1125)</f>
        <v>0</v>
      </c>
    </row>
    <row r="1126" spans="2:39" ht="15.6">
      <c r="B1126" s="361" t="s">
        <v>350</v>
      </c>
      <c r="C1126" s="357"/>
      <c r="D1126" s="362"/>
      <c r="E1126" s="346"/>
      <c r="F1126" s="346"/>
      <c r="G1126" s="346"/>
      <c r="H1126" s="346"/>
      <c r="I1126" s="346"/>
      <c r="J1126" s="346"/>
      <c r="K1126" s="346"/>
      <c r="L1126" s="346"/>
      <c r="M1126" s="346"/>
      <c r="N1126" s="346"/>
      <c r="O1126" s="313"/>
      <c r="P1126" s="346"/>
      <c r="Q1126" s="346"/>
      <c r="R1126" s="346"/>
      <c r="S1126" s="362"/>
      <c r="T1126" s="362"/>
      <c r="U1126" s="362"/>
      <c r="V1126" s="362"/>
      <c r="W1126" s="346"/>
      <c r="X1126" s="346"/>
      <c r="Y1126" s="363"/>
      <c r="Z1126" s="363"/>
      <c r="AA1126" s="363"/>
      <c r="AB1126" s="363"/>
      <c r="AC1126" s="363"/>
      <c r="AD1126" s="363"/>
      <c r="AE1126" s="363"/>
      <c r="AF1126" s="363"/>
      <c r="AG1126" s="363"/>
      <c r="AH1126" s="363"/>
      <c r="AI1126" s="363"/>
      <c r="AJ1126" s="363"/>
      <c r="AK1126" s="363"/>
      <c r="AL1126" s="363"/>
      <c r="AM1126" s="419">
        <f>AM1124-AM1125</f>
        <v>84363.225932351241</v>
      </c>
    </row>
    <row r="1127" spans="2:39" ht="15">
      <c r="B1127" s="393"/>
      <c r="C1127" s="455"/>
      <c r="D1127" s="455"/>
      <c r="E1127" s="456"/>
      <c r="F1127" s="456"/>
      <c r="G1127" s="456"/>
      <c r="H1127" s="456"/>
      <c r="I1127" s="456"/>
      <c r="J1127" s="456"/>
      <c r="K1127" s="456"/>
      <c r="L1127" s="456"/>
      <c r="M1127" s="456"/>
      <c r="N1127" s="456"/>
      <c r="O1127" s="457"/>
      <c r="P1127" s="456"/>
      <c r="Q1127" s="456"/>
      <c r="R1127" s="456"/>
      <c r="S1127" s="455"/>
      <c r="T1127" s="458"/>
      <c r="U1127" s="455"/>
      <c r="V1127" s="455"/>
      <c r="W1127" s="456"/>
      <c r="X1127" s="456"/>
      <c r="Y1127" s="459"/>
      <c r="Z1127" s="459"/>
      <c r="AA1127" s="459"/>
      <c r="AB1127" s="459"/>
      <c r="AC1127" s="459"/>
      <c r="AD1127" s="459"/>
      <c r="AE1127" s="459"/>
      <c r="AF1127" s="459"/>
      <c r="AG1127" s="459"/>
      <c r="AH1127" s="459"/>
      <c r="AI1127" s="459"/>
      <c r="AJ1127" s="459"/>
      <c r="AK1127" s="459"/>
      <c r="AL1127" s="459"/>
      <c r="AM1127" s="398"/>
    </row>
    <row r="1128" spans="2:39" ht="19.5" customHeight="1">
      <c r="B1128" s="380" t="s">
        <v>586</v>
      </c>
      <c r="C1128" s="399"/>
      <c r="D1128" s="400"/>
      <c r="E1128" s="400"/>
      <c r="F1128" s="400"/>
      <c r="G1128" s="400"/>
      <c r="H1128" s="400"/>
      <c r="I1128" s="400"/>
      <c r="J1128" s="400"/>
      <c r="K1128" s="400"/>
      <c r="L1128" s="400"/>
      <c r="M1128" s="400"/>
      <c r="N1128" s="400"/>
      <c r="O1128" s="400"/>
      <c r="P1128" s="400"/>
      <c r="Q1128" s="400"/>
      <c r="R1128" s="400"/>
      <c r="S1128" s="383"/>
      <c r="T1128" s="384"/>
      <c r="U1128" s="400"/>
      <c r="V1128" s="400"/>
      <c r="W1128" s="400"/>
      <c r="X1128" s="400"/>
      <c r="Y1128" s="421"/>
      <c r="Z1128" s="421"/>
      <c r="AA1128" s="421"/>
      <c r="AB1128" s="421"/>
      <c r="AC1128" s="421"/>
      <c r="AD1128" s="421"/>
      <c r="AE1128" s="421"/>
      <c r="AF1128" s="421"/>
      <c r="AG1128" s="421"/>
      <c r="AH1128" s="421"/>
      <c r="AI1128" s="421"/>
      <c r="AJ1128" s="421"/>
      <c r="AK1128" s="421"/>
      <c r="AL1128" s="421"/>
      <c r="AM1128" s="401"/>
    </row>
    <row r="1130" spans="2:39">
      <c r="B1130" s="596"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505" right="0.70866141732283505" top="0.74803149606299202" bottom="0.74803149606299202" header="0.31496062992126" footer="0.31496062992126"/>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B238"/>
  <sheetViews>
    <sheetView topLeftCell="A121" zoomScale="60" zoomScaleNormal="60" workbookViewId="0">
      <selection activeCell="W132" sqref="W132"/>
    </sheetView>
  </sheetViews>
  <sheetFormatPr defaultColWidth="9" defaultRowHeight="14.4"/>
  <cols>
    <col min="1" max="1" width="4.5546875" style="25" customWidth="1"/>
    <col min="2" max="2" width="19.5546875" style="24" customWidth="1"/>
    <col min="3" max="3" width="31" style="25" customWidth="1"/>
    <col min="4" max="4" width="5" style="25" customWidth="1"/>
    <col min="5" max="5" width="14.44140625" style="25" customWidth="1"/>
    <col min="6" max="6" width="15" style="25" customWidth="1"/>
    <col min="7" max="7" width="11.44140625" style="25" customWidth="1"/>
    <col min="8" max="8" width="13" style="31" customWidth="1"/>
    <col min="9" max="10" width="14" style="25" customWidth="1"/>
    <col min="11" max="11" width="18" style="25" customWidth="1"/>
    <col min="12" max="12" width="19" style="25" customWidth="1"/>
    <col min="13" max="13" width="17" style="25" customWidth="1"/>
    <col min="14" max="14" width="16" style="25" customWidth="1"/>
    <col min="15" max="16" width="14.5546875" style="25" customWidth="1"/>
    <col min="17" max="17" width="14" style="25" customWidth="1"/>
    <col min="18" max="18" width="15.5546875" style="25" customWidth="1"/>
    <col min="19" max="19" width="14" style="25" customWidth="1"/>
    <col min="20" max="22" width="15" style="25" customWidth="1"/>
    <col min="23" max="23" width="13.44140625" style="25" customWidth="1"/>
    <col min="24" max="24" width="4" style="25" customWidth="1"/>
    <col min="25" max="16384" width="9" style="25"/>
  </cols>
  <sheetData>
    <row r="1" spans="1:28" ht="153" customHeight="1">
      <c r="E1" s="14"/>
      <c r="G1" s="14"/>
      <c r="I1" s="14"/>
      <c r="J1" s="14"/>
      <c r="K1" s="14"/>
      <c r="L1" s="14"/>
      <c r="M1" s="14"/>
      <c r="N1" s="14"/>
      <c r="O1" s="14"/>
      <c r="W1" s="14"/>
      <c r="X1" s="14"/>
      <c r="Y1" s="14"/>
      <c r="Z1" s="14"/>
      <c r="AA1" s="14"/>
    </row>
    <row r="3" spans="1:28" ht="14.25" customHeight="1" thickBot="1">
      <c r="B3" s="36"/>
      <c r="C3" s="69"/>
      <c r="D3" s="69"/>
      <c r="E3" s="70"/>
      <c r="F3" s="70"/>
      <c r="G3" s="70"/>
      <c r="H3" s="70"/>
      <c r="I3" s="70"/>
      <c r="J3" s="70"/>
      <c r="K3" s="70"/>
      <c r="L3" s="70"/>
      <c r="M3" s="70"/>
      <c r="N3" s="70"/>
      <c r="O3" s="70"/>
      <c r="P3" s="70"/>
      <c r="Q3" s="70"/>
      <c r="R3" s="70"/>
      <c r="S3" s="70"/>
      <c r="T3" s="70"/>
      <c r="U3" s="70"/>
      <c r="V3" s="70"/>
      <c r="W3" s="70"/>
      <c r="Z3" s="15"/>
    </row>
    <row r="4" spans="1:28" s="22" customFormat="1" ht="30" customHeight="1" thickBot="1">
      <c r="B4" s="132" t="s">
        <v>171</v>
      </c>
      <c r="C4" s="139" t="s">
        <v>175</v>
      </c>
      <c r="D4" s="30"/>
      <c r="E4" s="30"/>
      <c r="F4" s="30"/>
      <c r="G4" s="190"/>
      <c r="H4" s="191"/>
      <c r="I4" s="192"/>
      <c r="J4" s="192"/>
      <c r="K4" s="192"/>
      <c r="L4" s="192"/>
      <c r="M4" s="192"/>
      <c r="N4" s="190"/>
      <c r="O4" s="190"/>
      <c r="P4" s="190"/>
      <c r="Q4" s="190"/>
      <c r="R4" s="190"/>
      <c r="S4" s="190"/>
      <c r="T4" s="190"/>
      <c r="U4" s="190"/>
      <c r="V4" s="190"/>
      <c r="W4" s="193"/>
    </row>
    <row r="5" spans="1:28" s="22" customFormat="1" ht="25.5" customHeight="1" thickBot="1">
      <c r="B5" s="61"/>
      <c r="C5" s="142" t="s">
        <v>172</v>
      </c>
      <c r="D5" s="190"/>
      <c r="E5" s="190"/>
      <c r="F5" s="30"/>
      <c r="G5" s="190"/>
      <c r="H5" s="191"/>
      <c r="I5" s="192"/>
      <c r="J5" s="192"/>
      <c r="K5" s="192"/>
      <c r="L5" s="192"/>
      <c r="M5" s="192"/>
      <c r="N5" s="190"/>
      <c r="O5" s="190"/>
      <c r="P5" s="190"/>
      <c r="Q5" s="190"/>
      <c r="R5" s="190"/>
      <c r="S5" s="190"/>
      <c r="T5" s="190"/>
      <c r="U5" s="190"/>
      <c r="V5" s="190"/>
      <c r="W5" s="30"/>
    </row>
    <row r="6" spans="1:28" s="22" customFormat="1" ht="31.5" customHeight="1" thickBot="1">
      <c r="B6" s="101"/>
      <c r="C6" s="616" t="s">
        <v>550</v>
      </c>
      <c r="D6" s="190"/>
      <c r="E6" s="190"/>
      <c r="F6" s="30"/>
      <c r="G6" s="190"/>
      <c r="H6" s="191"/>
      <c r="I6" s="192"/>
      <c r="J6" s="192"/>
      <c r="K6" s="192"/>
      <c r="L6" s="192"/>
      <c r="M6" s="192"/>
      <c r="N6" s="190"/>
      <c r="O6" s="190"/>
      <c r="P6" s="190"/>
      <c r="Q6" s="190"/>
      <c r="R6" s="190"/>
      <c r="S6" s="190"/>
      <c r="T6" s="190"/>
      <c r="U6" s="190"/>
      <c r="V6" s="190"/>
      <c r="W6" s="30"/>
    </row>
    <row r="7" spans="1:28" s="22" customFormat="1" ht="25.35" customHeight="1">
      <c r="B7" s="101"/>
      <c r="C7" s="190"/>
      <c r="D7" s="190"/>
      <c r="E7" s="190"/>
      <c r="F7" s="30"/>
      <c r="G7" s="190"/>
      <c r="H7" s="191"/>
      <c r="I7" s="192"/>
      <c r="J7" s="192"/>
      <c r="K7" s="192"/>
      <c r="L7" s="192"/>
      <c r="M7" s="192"/>
      <c r="N7" s="190"/>
      <c r="O7" s="190"/>
      <c r="P7" s="190"/>
      <c r="Q7" s="190"/>
      <c r="R7" s="190"/>
      <c r="S7" s="190"/>
      <c r="T7" s="190"/>
      <c r="U7" s="190"/>
      <c r="V7" s="190"/>
      <c r="W7" s="30"/>
    </row>
    <row r="8" spans="1:28" s="22" customFormat="1" ht="36" customHeight="1">
      <c r="A8" s="39"/>
      <c r="B8" s="129" t="s">
        <v>504</v>
      </c>
      <c r="C8" s="914" t="s">
        <v>663</v>
      </c>
      <c r="D8" s="914"/>
      <c r="E8" s="914"/>
      <c r="F8" s="914"/>
      <c r="G8" s="914"/>
      <c r="H8" s="914"/>
      <c r="I8" s="914"/>
      <c r="J8" s="914"/>
      <c r="K8" s="914"/>
      <c r="L8" s="914"/>
      <c r="M8" s="914"/>
      <c r="N8" s="914"/>
      <c r="O8" s="914"/>
      <c r="P8" s="914"/>
      <c r="Q8" s="914"/>
      <c r="R8" s="914"/>
      <c r="S8" s="914"/>
      <c r="T8" s="118"/>
      <c r="U8" s="118"/>
      <c r="V8" s="118"/>
      <c r="W8" s="118"/>
    </row>
    <row r="9" spans="1:28" s="22" customFormat="1" ht="47.1" customHeight="1">
      <c r="B9" s="68"/>
      <c r="C9" s="876" t="s">
        <v>674</v>
      </c>
      <c r="D9" s="876"/>
      <c r="E9" s="876"/>
      <c r="F9" s="876"/>
      <c r="G9" s="876"/>
      <c r="H9" s="876"/>
      <c r="I9" s="876"/>
      <c r="J9" s="876"/>
      <c r="K9" s="876"/>
      <c r="L9" s="876"/>
      <c r="M9" s="876"/>
      <c r="N9" s="876"/>
      <c r="O9" s="876"/>
      <c r="P9" s="876"/>
      <c r="Q9" s="876"/>
      <c r="R9" s="876"/>
      <c r="S9" s="876"/>
      <c r="T9" s="118"/>
      <c r="U9" s="118"/>
      <c r="V9" s="118"/>
      <c r="W9" s="118"/>
    </row>
    <row r="10" spans="1:28" s="22" customFormat="1" ht="38.1" customHeight="1">
      <c r="B10" s="101"/>
      <c r="C10" s="892" t="s">
        <v>675</v>
      </c>
      <c r="D10" s="876"/>
      <c r="E10" s="876"/>
      <c r="F10" s="876"/>
      <c r="G10" s="876"/>
      <c r="H10" s="876"/>
      <c r="I10" s="876"/>
      <c r="J10" s="876"/>
      <c r="K10" s="876"/>
      <c r="L10" s="876"/>
      <c r="M10" s="876"/>
      <c r="N10" s="876"/>
      <c r="O10" s="876"/>
      <c r="P10" s="876"/>
      <c r="Q10" s="876"/>
      <c r="R10" s="876"/>
      <c r="S10" s="876"/>
      <c r="T10" s="101"/>
      <c r="U10" s="101"/>
      <c r="V10" s="101"/>
    </row>
    <row r="11" spans="1:28" ht="32.4" customHeight="1">
      <c r="B11" s="36"/>
      <c r="C11" s="36"/>
      <c r="D11" s="58"/>
      <c r="E11" s="37"/>
      <c r="F11" s="37"/>
      <c r="G11" s="37"/>
      <c r="H11" s="70"/>
      <c r="I11" s="56"/>
      <c r="J11" s="56"/>
      <c r="K11" s="56"/>
      <c r="L11" s="56"/>
      <c r="M11" s="56"/>
      <c r="N11" s="37"/>
      <c r="O11" s="37"/>
      <c r="P11" s="37"/>
      <c r="Q11" s="37"/>
      <c r="R11" s="37"/>
      <c r="S11" s="37"/>
      <c r="T11" s="37"/>
      <c r="U11" s="37"/>
      <c r="V11" s="37"/>
      <c r="W11" s="37"/>
      <c r="Y11" s="22"/>
      <c r="Z11" s="22"/>
      <c r="AA11" s="22"/>
      <c r="AB11" s="22"/>
    </row>
    <row r="12" spans="1:28" s="63" customFormat="1" ht="17.25" customHeight="1">
      <c r="B12" s="913" t="s">
        <v>235</v>
      </c>
      <c r="C12" s="913"/>
      <c r="D12" s="194"/>
      <c r="E12" s="195" t="s">
        <v>236</v>
      </c>
      <c r="F12" s="64"/>
      <c r="G12" s="64"/>
      <c r="H12" s="57"/>
      <c r="I12" s="64"/>
      <c r="K12" s="598" t="s">
        <v>534</v>
      </c>
      <c r="L12" s="65"/>
      <c r="M12" s="65"/>
      <c r="N12" s="65"/>
      <c r="O12" s="65"/>
      <c r="P12" s="65"/>
      <c r="Q12" s="65"/>
      <c r="R12" s="65"/>
      <c r="S12" s="65"/>
      <c r="T12" s="65"/>
      <c r="U12" s="65"/>
      <c r="V12" s="65"/>
      <c r="W12" s="65"/>
      <c r="Y12" s="22"/>
      <c r="Z12" s="22"/>
      <c r="AA12" s="22"/>
      <c r="AB12" s="22"/>
    </row>
    <row r="13" spans="1:28" s="15" customFormat="1" ht="11.25" customHeight="1">
      <c r="B13" s="34"/>
      <c r="E13" s="21"/>
      <c r="F13" s="21"/>
      <c r="G13" s="14"/>
      <c r="H13" s="31"/>
      <c r="I13" s="14"/>
      <c r="J13" s="14"/>
      <c r="K13" s="14"/>
      <c r="L13" s="14"/>
      <c r="M13" s="14"/>
      <c r="N13" s="14"/>
      <c r="O13" s="14"/>
      <c r="P13" s="25"/>
      <c r="Q13" s="25"/>
      <c r="R13" s="25"/>
      <c r="S13" s="25"/>
      <c r="T13" s="25"/>
      <c r="U13" s="25"/>
      <c r="V13" s="25"/>
      <c r="W13" s="14"/>
      <c r="Y13" s="22"/>
      <c r="Z13" s="22"/>
      <c r="AA13" s="22"/>
      <c r="AB13" s="22"/>
    </row>
    <row r="14" spans="1:28" s="22" customFormat="1" ht="63" customHeight="1">
      <c r="B14" s="214" t="s">
        <v>63</v>
      </c>
      <c r="C14" s="215" t="s">
        <v>471</v>
      </c>
      <c r="D14" s="216"/>
      <c r="E14" s="217" t="s">
        <v>62</v>
      </c>
      <c r="F14" s="217" t="s">
        <v>493</v>
      </c>
      <c r="G14" s="217" t="s">
        <v>63</v>
      </c>
      <c r="H14" s="217" t="s">
        <v>64</v>
      </c>
      <c r="I14" s="217" t="str">
        <f>'1.  LRAMVA Summary'!D52</f>
        <v>Residential</v>
      </c>
      <c r="J14" s="217" t="str">
        <f>'1.  LRAMVA Summary'!E52</f>
        <v>GS&lt;50 kW</v>
      </c>
      <c r="K14" s="217" t="str">
        <f>'1.  LRAMVA Summary'!F52</f>
        <v>GS 50 - 999 kW</v>
      </c>
      <c r="L14" s="217" t="str">
        <f>'1.  LRAMVA Summary'!G52</f>
        <v>GS 1,000 - 4,999 kW</v>
      </c>
      <c r="M14" s="217" t="str">
        <f>'1.  LRAMVA Summary'!H52</f>
        <v>USL</v>
      </c>
      <c r="N14" s="217" t="str">
        <f>'1.  LRAMVA Summary'!I52</f>
        <v>Sentinel Lighting</v>
      </c>
      <c r="O14" s="217" t="str">
        <f>'1.  LRAMVA Summary'!J52</f>
        <v>Street Lighting</v>
      </c>
      <c r="P14" s="217" t="str">
        <f>'1.  LRAMVA Summary'!K52</f>
        <v/>
      </c>
      <c r="Q14" s="217" t="str">
        <f>'1.  LRAMVA Summary'!L52</f>
        <v/>
      </c>
      <c r="R14" s="217" t="str">
        <f>'1.  LRAMVA Summary'!M52</f>
        <v/>
      </c>
      <c r="S14" s="217" t="str">
        <f>'1.  LRAMVA Summary'!N52</f>
        <v/>
      </c>
      <c r="T14" s="217" t="str">
        <f>'1.  LRAMVA Summary'!O52</f>
        <v/>
      </c>
      <c r="U14" s="217" t="str">
        <f>'1.  LRAMVA Summary'!P52</f>
        <v/>
      </c>
      <c r="V14" s="217" t="str">
        <f>'1.  LRAMVA Summary'!Q52</f>
        <v/>
      </c>
      <c r="W14" s="217" t="str">
        <f>'1.  LRAMVA Summary'!R52</f>
        <v>Total</v>
      </c>
    </row>
    <row r="15" spans="1:28" s="22" customFormat="1">
      <c r="B15" s="218" t="s">
        <v>44</v>
      </c>
      <c r="C15" s="218">
        <v>1.47E-2</v>
      </c>
      <c r="D15" s="219"/>
      <c r="E15" s="220">
        <v>40544</v>
      </c>
      <c r="F15" s="221">
        <v>2011</v>
      </c>
      <c r="G15" s="222" t="s">
        <v>65</v>
      </c>
      <c r="H15" s="223">
        <f>C$15/12</f>
        <v>1.225E-3</v>
      </c>
      <c r="I15" s="224">
        <f>SUM('1.  LRAMVA Summary'!D$54:D$55)*(MONTH($E15)-1)/12*$H15</f>
        <v>0</v>
      </c>
      <c r="J15" s="224">
        <f>SUM('1.  LRAMVA Summary'!E$54:E$55)*(MONTH($E15)-1)/12*$H15</f>
        <v>0</v>
      </c>
      <c r="K15" s="224">
        <f>SUM('1.  LRAMVA Summary'!F$54:F$55)*(MONTH($E15)-1)/12*$H15</f>
        <v>0</v>
      </c>
      <c r="L15" s="224">
        <f>SUM('1.  LRAMVA Summary'!G$54:G$55)*(MONTH($E15)-1)/12*$H15</f>
        <v>0</v>
      </c>
      <c r="M15" s="224">
        <f>SUM('1.  LRAMVA Summary'!H$54:H$55)*(MONTH($E15)-1)/12*$H15</f>
        <v>0</v>
      </c>
      <c r="N15" s="224">
        <f>SUM('1.  LRAMVA Summary'!I$54:I$55)*(MONTH($E15)-1)/12*$H15</f>
        <v>0</v>
      </c>
      <c r="O15" s="224">
        <f>SUM('1.  LRAMVA Summary'!J$54:J$55)*(MONTH($E15)-1)/12*$H15</f>
        <v>0</v>
      </c>
      <c r="P15" s="224">
        <f>SUM('1.  LRAMVA Summary'!K$54:K$55)*(MONTH($E15)-1)/12*$H15</f>
        <v>0</v>
      </c>
      <c r="Q15" s="224">
        <f>SUM('1.  LRAMVA Summary'!L$54:L$55)*(MONTH($E15)-1)/12*$H15</f>
        <v>0</v>
      </c>
      <c r="R15" s="224">
        <f>SUM('1.  LRAMVA Summary'!M$54:M$55)*(MONTH($E15)-1)/12*$H15</f>
        <v>0</v>
      </c>
      <c r="S15" s="224">
        <f>SUM('1.  LRAMVA Summary'!N$54:N$55)*(MONTH($E15)-1)/12*$H15</f>
        <v>0</v>
      </c>
      <c r="T15" s="224">
        <f>SUM('1.  LRAMVA Summary'!O$54:O$55)*(MONTH($E15)-1)/12*$H15</f>
        <v>0</v>
      </c>
      <c r="U15" s="224">
        <f>SUM('1.  LRAMVA Summary'!P$54:P$55)*(MONTH($E15)-1)/12*$H15</f>
        <v>0</v>
      </c>
      <c r="V15" s="224">
        <f>SUM('1.  LRAMVA Summary'!Q$54:Q$55)*(MONTH($E15)-1)/12*$H15</f>
        <v>0</v>
      </c>
      <c r="W15" s="225">
        <f>SUM(I15:V15)</f>
        <v>0</v>
      </c>
    </row>
    <row r="16" spans="1:28" s="22" customFormat="1">
      <c r="B16" s="226" t="s">
        <v>45</v>
      </c>
      <c r="C16" s="226">
        <v>1.47E-2</v>
      </c>
      <c r="D16" s="219"/>
      <c r="E16" s="220">
        <v>40575</v>
      </c>
      <c r="F16" s="221">
        <v>2011</v>
      </c>
      <c r="G16" s="222" t="s">
        <v>65</v>
      </c>
      <c r="H16" s="223">
        <f>C$15/12</f>
        <v>1.225E-3</v>
      </c>
      <c r="I16" s="224">
        <f>SUM('1.  LRAMVA Summary'!D$54:D$55)*(MONTH($E16)-1)/12*$H16</f>
        <v>0</v>
      </c>
      <c r="J16" s="224">
        <f>SUM('1.  LRAMVA Summary'!E$54:E$55)*(MONTH($E16)-1)/12*$H16</f>
        <v>0</v>
      </c>
      <c r="K16" s="224">
        <f>SUM('1.  LRAMVA Summary'!F$54:F$55)*(MONTH($E16)-1)/12*$H16</f>
        <v>0</v>
      </c>
      <c r="L16" s="224">
        <f>SUM('1.  LRAMVA Summary'!G$54:G$55)*(MONTH($E16)-1)/12*$H16</f>
        <v>0</v>
      </c>
      <c r="M16" s="224">
        <f>SUM('1.  LRAMVA Summary'!H$54:H$55)*(MONTH($E16)-1)/12*$H16</f>
        <v>0</v>
      </c>
      <c r="N16" s="224">
        <f>SUM('1.  LRAMVA Summary'!I$54:I$55)*(MONTH($E16)-1)/12*$H16</f>
        <v>0</v>
      </c>
      <c r="O16" s="224">
        <f>SUM('1.  LRAMVA Summary'!J$54:J$55)*(MONTH($E16)-1)/12*$H16</f>
        <v>0</v>
      </c>
      <c r="P16" s="224">
        <f>SUM('1.  LRAMVA Summary'!K$54:K$55)*(MONTH($E16)-1)/12*$H16</f>
        <v>0</v>
      </c>
      <c r="Q16" s="224">
        <f>SUM('1.  LRAMVA Summary'!L$54:L$55)*(MONTH($E16)-1)/12*$H16</f>
        <v>0</v>
      </c>
      <c r="R16" s="224">
        <f>SUM('1.  LRAMVA Summary'!M$54:M$55)*(MONTH($E16)-1)/12*$H16</f>
        <v>0</v>
      </c>
      <c r="S16" s="224">
        <f>SUM('1.  LRAMVA Summary'!N$54:N$55)*(MONTH($E16)-1)/12*$H16</f>
        <v>0</v>
      </c>
      <c r="T16" s="224">
        <f>SUM('1.  LRAMVA Summary'!O$54:O$55)*(MONTH($E16)-1)/12*$H16</f>
        <v>0</v>
      </c>
      <c r="U16" s="224">
        <f>SUM('1.  LRAMVA Summary'!P$54:P$55)*(MONTH($E16)-1)/12*$H16</f>
        <v>0</v>
      </c>
      <c r="V16" s="224">
        <f>SUM('1.  LRAMVA Summary'!Q$54:Q$55)*(MONTH($E16)-1)/12*$H16</f>
        <v>0</v>
      </c>
      <c r="W16" s="225">
        <f t="shared" ref="W16:W25" si="0">SUM(I16:V16)</f>
        <v>0</v>
      </c>
    </row>
    <row r="17" spans="2:23" s="22" customFormat="1">
      <c r="B17" s="226" t="s">
        <v>46</v>
      </c>
      <c r="C17" s="226">
        <v>1.47E-2</v>
      </c>
      <c r="D17" s="219"/>
      <c r="E17" s="220">
        <v>40603</v>
      </c>
      <c r="F17" s="221">
        <v>2011</v>
      </c>
      <c r="G17" s="222" t="s">
        <v>65</v>
      </c>
      <c r="H17" s="223">
        <f>C$15/12</f>
        <v>1.225E-3</v>
      </c>
      <c r="I17" s="224">
        <f>SUM('1.  LRAMVA Summary'!D$54:D$55)*(MONTH($E17)-1)/12*$H17</f>
        <v>0</v>
      </c>
      <c r="J17" s="224">
        <f>SUM('1.  LRAMVA Summary'!E$54:E$55)*(MONTH($E17)-1)/12*$H17</f>
        <v>0</v>
      </c>
      <c r="K17" s="224">
        <f>SUM('1.  LRAMVA Summary'!F$54:F$55)*(MONTH($E17)-1)/12*$H17</f>
        <v>0</v>
      </c>
      <c r="L17" s="224">
        <f>SUM('1.  LRAMVA Summary'!G$54:G$55)*(MONTH($E17)-1)/12*$H17</f>
        <v>0</v>
      </c>
      <c r="M17" s="224">
        <f>SUM('1.  LRAMVA Summary'!H$54:H$55)*(MONTH($E17)-1)/12*$H17</f>
        <v>0</v>
      </c>
      <c r="N17" s="224">
        <f>SUM('1.  LRAMVA Summary'!I$54:I$55)*(MONTH($E17)-1)/12*$H17</f>
        <v>0</v>
      </c>
      <c r="O17" s="224">
        <f>SUM('1.  LRAMVA Summary'!J$54:J$55)*(MONTH($E17)-1)/12*$H17</f>
        <v>0</v>
      </c>
      <c r="P17" s="224">
        <f>SUM('1.  LRAMVA Summary'!K$54:K$55)*(MONTH($E17)-1)/12*$H17</f>
        <v>0</v>
      </c>
      <c r="Q17" s="224">
        <f>SUM('1.  LRAMVA Summary'!L$54:L$55)*(MONTH($E17)-1)/12*$H17</f>
        <v>0</v>
      </c>
      <c r="R17" s="224">
        <f>SUM('1.  LRAMVA Summary'!M$54:M$55)*(MONTH($E17)-1)/12*$H17</f>
        <v>0</v>
      </c>
      <c r="S17" s="224">
        <f>SUM('1.  LRAMVA Summary'!N$54:N$55)*(MONTH($E17)-1)/12*$H17</f>
        <v>0</v>
      </c>
      <c r="T17" s="224">
        <f>SUM('1.  LRAMVA Summary'!O$54:O$55)*(MONTH($E17)-1)/12*$H17</f>
        <v>0</v>
      </c>
      <c r="U17" s="224">
        <f>SUM('1.  LRAMVA Summary'!P$54:P$55)*(MONTH($E17)-1)/12*$H17</f>
        <v>0</v>
      </c>
      <c r="V17" s="224">
        <f>SUM('1.  LRAMVA Summary'!Q$54:Q$55)*(MONTH($E17)-1)/12*$H17</f>
        <v>0</v>
      </c>
      <c r="W17" s="225">
        <f>SUM(I17:V17)</f>
        <v>0</v>
      </c>
    </row>
    <row r="18" spans="2:23" s="22" customFormat="1">
      <c r="B18" s="226" t="s">
        <v>47</v>
      </c>
      <c r="C18" s="226">
        <v>1.47E-2</v>
      </c>
      <c r="D18" s="219"/>
      <c r="E18" s="227">
        <v>40634</v>
      </c>
      <c r="F18" s="221">
        <v>2011</v>
      </c>
      <c r="G18" s="228" t="s">
        <v>66</v>
      </c>
      <c r="H18" s="223">
        <f>C$16/12</f>
        <v>1.225E-3</v>
      </c>
      <c r="I18" s="224">
        <f>SUM('1.  LRAMVA Summary'!D$54:D$55)*(MONTH($E18)-1)/12*$H18</f>
        <v>0</v>
      </c>
      <c r="J18" s="224">
        <f>SUM('1.  LRAMVA Summary'!E$54:E$55)*(MONTH($E18)-1)/12*$H18</f>
        <v>0</v>
      </c>
      <c r="K18" s="224">
        <f>SUM('1.  LRAMVA Summary'!F$54:F$55)*(MONTH($E18)-1)/12*$H18</f>
        <v>0</v>
      </c>
      <c r="L18" s="224">
        <f>SUM('1.  LRAMVA Summary'!G$54:G$55)*(MONTH($E18)-1)/12*$H18</f>
        <v>0</v>
      </c>
      <c r="M18" s="224">
        <f>SUM('1.  LRAMVA Summary'!H$54:H$55)*(MONTH($E18)-1)/12*$H18</f>
        <v>0</v>
      </c>
      <c r="N18" s="224">
        <f>SUM('1.  LRAMVA Summary'!I$54:I$55)*(MONTH($E18)-1)/12*$H18</f>
        <v>0</v>
      </c>
      <c r="O18" s="224">
        <f>SUM('1.  LRAMVA Summary'!J$54:J$55)*(MONTH($E18)-1)/12*$H18</f>
        <v>0</v>
      </c>
      <c r="P18" s="224">
        <f>SUM('1.  LRAMVA Summary'!K$54:K$55)*(MONTH($E18)-1)/12*$H18</f>
        <v>0</v>
      </c>
      <c r="Q18" s="224">
        <f>SUM('1.  LRAMVA Summary'!L$54:L$55)*(MONTH($E18)-1)/12*$H18</f>
        <v>0</v>
      </c>
      <c r="R18" s="224">
        <f>SUM('1.  LRAMVA Summary'!M$54:M$55)*(MONTH($E18)-1)/12*$H18</f>
        <v>0</v>
      </c>
      <c r="S18" s="224">
        <f>SUM('1.  LRAMVA Summary'!N$54:N$55)*(MONTH($E18)-1)/12*$H18</f>
        <v>0</v>
      </c>
      <c r="T18" s="224">
        <f>SUM('1.  LRAMVA Summary'!O$54:O$55)*(MONTH($E18)-1)/12*$H18</f>
        <v>0</v>
      </c>
      <c r="U18" s="224">
        <f>SUM('1.  LRAMVA Summary'!P$54:P$55)*(MONTH($E18)-1)/12*$H18</f>
        <v>0</v>
      </c>
      <c r="V18" s="224">
        <f>SUM('1.  LRAMVA Summary'!Q$54:Q$55)*(MONTH($E18)-1)/12*$H18</f>
        <v>0</v>
      </c>
      <c r="W18" s="225">
        <f>SUM(I18:V18)</f>
        <v>0</v>
      </c>
    </row>
    <row r="19" spans="2:23" s="22" customFormat="1">
      <c r="B19" s="226" t="s">
        <v>48</v>
      </c>
      <c r="C19" s="226">
        <v>1.47E-2</v>
      </c>
      <c r="D19" s="219"/>
      <c r="E19" s="227">
        <v>40664</v>
      </c>
      <c r="F19" s="221">
        <v>2011</v>
      </c>
      <c r="G19" s="228" t="s">
        <v>66</v>
      </c>
      <c r="H19" s="223">
        <f>C$16/12</f>
        <v>1.225E-3</v>
      </c>
      <c r="I19" s="224">
        <f>SUM('1.  LRAMVA Summary'!D$54:D$55)*(MONTH($E19)-1)/12*$H19</f>
        <v>0</v>
      </c>
      <c r="J19" s="224">
        <f>SUM('1.  LRAMVA Summary'!E$54:E$55)*(MONTH($E19)-1)/12*$H19</f>
        <v>0</v>
      </c>
      <c r="K19" s="224">
        <f>SUM('1.  LRAMVA Summary'!F$54:F$55)*(MONTH($E19)-1)/12*$H19</f>
        <v>0</v>
      </c>
      <c r="L19" s="224">
        <f>SUM('1.  LRAMVA Summary'!G$54:G$55)*(MONTH($E19)-1)/12*$H19</f>
        <v>0</v>
      </c>
      <c r="M19" s="224">
        <f>SUM('1.  LRAMVA Summary'!H$54:H$55)*(MONTH($E19)-1)/12*$H19</f>
        <v>0</v>
      </c>
      <c r="N19" s="224">
        <f>SUM('1.  LRAMVA Summary'!I$54:I$55)*(MONTH($E19)-1)/12*$H19</f>
        <v>0</v>
      </c>
      <c r="O19" s="224">
        <f>SUM('1.  LRAMVA Summary'!J$54:J$55)*(MONTH($E19)-1)/12*$H19</f>
        <v>0</v>
      </c>
      <c r="P19" s="224">
        <f>SUM('1.  LRAMVA Summary'!K$54:K$55)*(MONTH($E19)-1)/12*$H19</f>
        <v>0</v>
      </c>
      <c r="Q19" s="224">
        <f>SUM('1.  LRAMVA Summary'!L$54:L$55)*(MONTH($E19)-1)/12*$H19</f>
        <v>0</v>
      </c>
      <c r="R19" s="224">
        <f>SUM('1.  LRAMVA Summary'!M$54:M$55)*(MONTH($E19)-1)/12*$H19</f>
        <v>0</v>
      </c>
      <c r="S19" s="224">
        <f>SUM('1.  LRAMVA Summary'!N$54:N$55)*(MONTH($E19)-1)/12*$H19</f>
        <v>0</v>
      </c>
      <c r="T19" s="224">
        <f>SUM('1.  LRAMVA Summary'!O$54:O$55)*(MONTH($E19)-1)/12*$H19</f>
        <v>0</v>
      </c>
      <c r="U19" s="224">
        <f>SUM('1.  LRAMVA Summary'!P$54:P$55)*(MONTH($E19)-1)/12*$H19</f>
        <v>0</v>
      </c>
      <c r="V19" s="224">
        <f>SUM('1.  LRAMVA Summary'!Q$54:Q$55)*(MONTH($E19)-1)/12*$H19</f>
        <v>0</v>
      </c>
      <c r="W19" s="225">
        <f t="shared" si="0"/>
        <v>0</v>
      </c>
    </row>
    <row r="20" spans="2:23" s="22" customFormat="1">
      <c r="B20" s="226" t="s">
        <v>49</v>
      </c>
      <c r="C20" s="226">
        <v>1.47E-2</v>
      </c>
      <c r="D20" s="219"/>
      <c r="E20" s="227">
        <v>40695</v>
      </c>
      <c r="F20" s="221">
        <v>2011</v>
      </c>
      <c r="G20" s="228" t="s">
        <v>66</v>
      </c>
      <c r="H20" s="223">
        <f>C$16/12</f>
        <v>1.225E-3</v>
      </c>
      <c r="I20" s="224">
        <f>SUM('1.  LRAMVA Summary'!D$54:D$55)*(MONTH($E20)-1)/12*$H20</f>
        <v>0</v>
      </c>
      <c r="J20" s="224">
        <f>SUM('1.  LRAMVA Summary'!E$54:E$55)*(MONTH($E20)-1)/12*$H20</f>
        <v>0</v>
      </c>
      <c r="K20" s="224">
        <f>SUM('1.  LRAMVA Summary'!F$54:F$55)*(MONTH($E20)-1)/12*$H20</f>
        <v>0</v>
      </c>
      <c r="L20" s="224">
        <f>SUM('1.  LRAMVA Summary'!G$54:G$55)*(MONTH($E20)-1)/12*$H20</f>
        <v>0</v>
      </c>
      <c r="M20" s="224">
        <f>SUM('1.  LRAMVA Summary'!H$54:H$55)*(MONTH($E20)-1)/12*$H20</f>
        <v>0</v>
      </c>
      <c r="N20" s="224">
        <f>SUM('1.  LRAMVA Summary'!I$54:I$55)*(MONTH($E20)-1)/12*$H20</f>
        <v>0</v>
      </c>
      <c r="O20" s="224">
        <f>SUM('1.  LRAMVA Summary'!J$54:J$55)*(MONTH($E20)-1)/12*$H20</f>
        <v>0</v>
      </c>
      <c r="P20" s="224">
        <f>SUM('1.  LRAMVA Summary'!K$54:K$55)*(MONTH($E20)-1)/12*$H20</f>
        <v>0</v>
      </c>
      <c r="Q20" s="224">
        <f>SUM('1.  LRAMVA Summary'!L$54:L$55)*(MONTH($E20)-1)/12*$H20</f>
        <v>0</v>
      </c>
      <c r="R20" s="224">
        <f>SUM('1.  LRAMVA Summary'!M$54:M$55)*(MONTH($E20)-1)/12*$H20</f>
        <v>0</v>
      </c>
      <c r="S20" s="224">
        <f>SUM('1.  LRAMVA Summary'!N$54:N$55)*(MONTH($E20)-1)/12*$H20</f>
        <v>0</v>
      </c>
      <c r="T20" s="224">
        <f>SUM('1.  LRAMVA Summary'!O$54:O$55)*(MONTH($E20)-1)/12*$H20</f>
        <v>0</v>
      </c>
      <c r="U20" s="224">
        <f>SUM('1.  LRAMVA Summary'!P$54:P$55)*(MONTH($E20)-1)/12*$H20</f>
        <v>0</v>
      </c>
      <c r="V20" s="224">
        <f>SUM('1.  LRAMVA Summary'!Q$54:Q$55)*(MONTH($E20)-1)/12*$H20</f>
        <v>0</v>
      </c>
      <c r="W20" s="225">
        <f t="shared" si="0"/>
        <v>0</v>
      </c>
    </row>
    <row r="21" spans="2:23" s="22" customFormat="1">
      <c r="B21" s="226" t="s">
        <v>50</v>
      </c>
      <c r="C21" s="226">
        <v>1.47E-2</v>
      </c>
      <c r="D21" s="219"/>
      <c r="E21" s="227">
        <v>40725</v>
      </c>
      <c r="F21" s="221">
        <v>2011</v>
      </c>
      <c r="G21" s="228" t="s">
        <v>68</v>
      </c>
      <c r="H21" s="223">
        <f>C$17/12</f>
        <v>1.225E-3</v>
      </c>
      <c r="I21" s="224">
        <f>SUM('1.  LRAMVA Summary'!D$54:D$55)*(MONTH($E21)-1)/12*$H21</f>
        <v>0</v>
      </c>
      <c r="J21" s="224">
        <f>SUM('1.  LRAMVA Summary'!E$54:E$55)*(MONTH($E21)-1)/12*$H21</f>
        <v>0</v>
      </c>
      <c r="K21" s="224">
        <f>SUM('1.  LRAMVA Summary'!F$54:F$55)*(MONTH($E21)-1)/12*$H21</f>
        <v>0</v>
      </c>
      <c r="L21" s="224">
        <f>SUM('1.  LRAMVA Summary'!G$54:G$55)*(MONTH($E21)-1)/12*$H21</f>
        <v>0</v>
      </c>
      <c r="M21" s="224">
        <f>SUM('1.  LRAMVA Summary'!H$54:H$55)*(MONTH($E21)-1)/12*$H21</f>
        <v>0</v>
      </c>
      <c r="N21" s="224">
        <f>SUM('1.  LRAMVA Summary'!I$54:I$55)*(MONTH($E21)-1)/12*$H21</f>
        <v>0</v>
      </c>
      <c r="O21" s="224">
        <f>SUM('1.  LRAMVA Summary'!J$54:J$55)*(MONTH($E21)-1)/12*$H21</f>
        <v>0</v>
      </c>
      <c r="P21" s="224">
        <f>SUM('1.  LRAMVA Summary'!K$54:K$55)*(MONTH($E21)-1)/12*$H21</f>
        <v>0</v>
      </c>
      <c r="Q21" s="224">
        <f>SUM('1.  LRAMVA Summary'!L$54:L$55)*(MONTH($E21)-1)/12*$H21</f>
        <v>0</v>
      </c>
      <c r="R21" s="224">
        <f>SUM('1.  LRAMVA Summary'!M$54:M$55)*(MONTH($E21)-1)/12*$H21</f>
        <v>0</v>
      </c>
      <c r="S21" s="224">
        <f>SUM('1.  LRAMVA Summary'!N$54:N$55)*(MONTH($E21)-1)/12*$H21</f>
        <v>0</v>
      </c>
      <c r="T21" s="224">
        <f>SUM('1.  LRAMVA Summary'!O$54:O$55)*(MONTH($E21)-1)/12*$H21</f>
        <v>0</v>
      </c>
      <c r="U21" s="224">
        <f>SUM('1.  LRAMVA Summary'!P$54:P$55)*(MONTH($E21)-1)/12*$H21</f>
        <v>0</v>
      </c>
      <c r="V21" s="224">
        <f>SUM('1.  LRAMVA Summary'!Q$54:Q$55)*(MONTH($E21)-1)/12*$H21</f>
        <v>0</v>
      </c>
      <c r="W21" s="225">
        <f t="shared" si="0"/>
        <v>0</v>
      </c>
    </row>
    <row r="22" spans="2:23" s="22" customFormat="1">
      <c r="B22" s="226" t="s">
        <v>51</v>
      </c>
      <c r="C22" s="226">
        <v>1.47E-2</v>
      </c>
      <c r="D22" s="219"/>
      <c r="E22" s="227">
        <v>40756</v>
      </c>
      <c r="F22" s="221">
        <v>2011</v>
      </c>
      <c r="G22" s="228" t="s">
        <v>68</v>
      </c>
      <c r="H22" s="223">
        <f>C$17/12</f>
        <v>1.225E-3</v>
      </c>
      <c r="I22" s="224">
        <f>SUM('1.  LRAMVA Summary'!D$54:D$55)*(MONTH($E22)-1)/12*$H22</f>
        <v>0</v>
      </c>
      <c r="J22" s="224">
        <f>SUM('1.  LRAMVA Summary'!E$54:E$55)*(MONTH($E22)-1)/12*$H22</f>
        <v>0</v>
      </c>
      <c r="K22" s="224">
        <f>SUM('1.  LRAMVA Summary'!F$54:F$55)*(MONTH($E22)-1)/12*$H22</f>
        <v>0</v>
      </c>
      <c r="L22" s="224">
        <f>SUM('1.  LRAMVA Summary'!G$54:G$55)*(MONTH($E22)-1)/12*$H22</f>
        <v>0</v>
      </c>
      <c r="M22" s="224">
        <f>SUM('1.  LRAMVA Summary'!H$54:H$55)*(MONTH($E22)-1)/12*$H22</f>
        <v>0</v>
      </c>
      <c r="N22" s="224">
        <f>SUM('1.  LRAMVA Summary'!I$54:I$55)*(MONTH($E22)-1)/12*$H22</f>
        <v>0</v>
      </c>
      <c r="O22" s="224">
        <f>SUM('1.  LRAMVA Summary'!J$54:J$55)*(MONTH($E22)-1)/12*$H22</f>
        <v>0</v>
      </c>
      <c r="P22" s="224">
        <f>SUM('1.  LRAMVA Summary'!K$54:K$55)*(MONTH($E22)-1)/12*$H22</f>
        <v>0</v>
      </c>
      <c r="Q22" s="224">
        <f>SUM('1.  LRAMVA Summary'!L$54:L$55)*(MONTH($E22)-1)/12*$H22</f>
        <v>0</v>
      </c>
      <c r="R22" s="224">
        <f>SUM('1.  LRAMVA Summary'!M$54:M$55)*(MONTH($E22)-1)/12*$H22</f>
        <v>0</v>
      </c>
      <c r="S22" s="224">
        <f>SUM('1.  LRAMVA Summary'!N$54:N$55)*(MONTH($E22)-1)/12*$H22</f>
        <v>0</v>
      </c>
      <c r="T22" s="224">
        <f>SUM('1.  LRAMVA Summary'!O$54:O$55)*(MONTH($E22)-1)/12*$H22</f>
        <v>0</v>
      </c>
      <c r="U22" s="224">
        <f>SUM('1.  LRAMVA Summary'!P$54:P$55)*(MONTH($E22)-1)/12*$H22</f>
        <v>0</v>
      </c>
      <c r="V22" s="224">
        <f>SUM('1.  LRAMVA Summary'!Q$54:Q$55)*(MONTH($E22)-1)/12*$H22</f>
        <v>0</v>
      </c>
      <c r="W22" s="225">
        <f t="shared" si="0"/>
        <v>0</v>
      </c>
    </row>
    <row r="23" spans="2:23" s="22" customFormat="1">
      <c r="B23" s="226" t="s">
        <v>52</v>
      </c>
      <c r="C23" s="226">
        <v>1.47E-2</v>
      </c>
      <c r="D23" s="219"/>
      <c r="E23" s="227">
        <v>40787</v>
      </c>
      <c r="F23" s="221">
        <v>2011</v>
      </c>
      <c r="G23" s="228" t="s">
        <v>68</v>
      </c>
      <c r="H23" s="223">
        <f>C$17/12</f>
        <v>1.225E-3</v>
      </c>
      <c r="I23" s="224">
        <f>SUM('1.  LRAMVA Summary'!D$54:D$55)*(MONTH($E23)-1)/12*$H23</f>
        <v>0</v>
      </c>
      <c r="J23" s="224">
        <f>SUM('1.  LRAMVA Summary'!E$54:E$55)*(MONTH($E23)-1)/12*$H23</f>
        <v>0</v>
      </c>
      <c r="K23" s="224">
        <f>SUM('1.  LRAMVA Summary'!F$54:F$55)*(MONTH($E23)-1)/12*$H23</f>
        <v>0</v>
      </c>
      <c r="L23" s="224">
        <f>SUM('1.  LRAMVA Summary'!G$54:G$55)*(MONTH($E23)-1)/12*$H23</f>
        <v>0</v>
      </c>
      <c r="M23" s="224">
        <f>SUM('1.  LRAMVA Summary'!H$54:H$55)*(MONTH($E23)-1)/12*$H23</f>
        <v>0</v>
      </c>
      <c r="N23" s="224">
        <f>SUM('1.  LRAMVA Summary'!I$54:I$55)*(MONTH($E23)-1)/12*$H23</f>
        <v>0</v>
      </c>
      <c r="O23" s="224">
        <f>SUM('1.  LRAMVA Summary'!J$54:J$55)*(MONTH($E23)-1)/12*$H23</f>
        <v>0</v>
      </c>
      <c r="P23" s="224">
        <f>SUM('1.  LRAMVA Summary'!K$54:K$55)*(MONTH($E23)-1)/12*$H23</f>
        <v>0</v>
      </c>
      <c r="Q23" s="224">
        <f>SUM('1.  LRAMVA Summary'!L$54:L$55)*(MONTH($E23)-1)/12*$H23</f>
        <v>0</v>
      </c>
      <c r="R23" s="224">
        <f>SUM('1.  LRAMVA Summary'!M$54:M$55)*(MONTH($E23)-1)/12*$H23</f>
        <v>0</v>
      </c>
      <c r="S23" s="224">
        <f>SUM('1.  LRAMVA Summary'!N$54:N$55)*(MONTH($E23)-1)/12*$H23</f>
        <v>0</v>
      </c>
      <c r="T23" s="224">
        <f>SUM('1.  LRAMVA Summary'!O$54:O$55)*(MONTH($E23)-1)/12*$H23</f>
        <v>0</v>
      </c>
      <c r="U23" s="224">
        <f>SUM('1.  LRAMVA Summary'!P$54:P$55)*(MONTH($E23)-1)/12*$H23</f>
        <v>0</v>
      </c>
      <c r="V23" s="224">
        <f>SUM('1.  LRAMVA Summary'!Q$54:Q$55)*(MONTH($E23)-1)/12*$H23</f>
        <v>0</v>
      </c>
      <c r="W23" s="225">
        <f t="shared" si="0"/>
        <v>0</v>
      </c>
    </row>
    <row r="24" spans="2:23" s="22" customFormat="1">
      <c r="B24" s="226" t="s">
        <v>53</v>
      </c>
      <c r="C24" s="226">
        <v>1.47E-2</v>
      </c>
      <c r="D24" s="219"/>
      <c r="E24" s="227">
        <v>40817</v>
      </c>
      <c r="F24" s="221">
        <v>2011</v>
      </c>
      <c r="G24" s="228" t="s">
        <v>69</v>
      </c>
      <c r="H24" s="223">
        <f>C$18/12</f>
        <v>1.225E-3</v>
      </c>
      <c r="I24" s="224">
        <f>SUM('1.  LRAMVA Summary'!D$54:D$55)*(MONTH($E24)-1)/12*$H24</f>
        <v>0</v>
      </c>
      <c r="J24" s="224">
        <f>SUM('1.  LRAMVA Summary'!E$54:E$55)*(MONTH($E24)-1)/12*$H24</f>
        <v>0</v>
      </c>
      <c r="K24" s="224">
        <f>SUM('1.  LRAMVA Summary'!F$54:F$55)*(MONTH($E24)-1)/12*$H24</f>
        <v>0</v>
      </c>
      <c r="L24" s="224">
        <f>SUM('1.  LRAMVA Summary'!G$54:G$55)*(MONTH($E24)-1)/12*$H24</f>
        <v>0</v>
      </c>
      <c r="M24" s="224">
        <f>SUM('1.  LRAMVA Summary'!H$54:H$55)*(MONTH($E24)-1)/12*$H24</f>
        <v>0</v>
      </c>
      <c r="N24" s="224">
        <f>SUM('1.  LRAMVA Summary'!I$54:I$55)*(MONTH($E24)-1)/12*$H24</f>
        <v>0</v>
      </c>
      <c r="O24" s="224">
        <f>SUM('1.  LRAMVA Summary'!J$54:J$55)*(MONTH($E24)-1)/12*$H24</f>
        <v>0</v>
      </c>
      <c r="P24" s="224">
        <f>SUM('1.  LRAMVA Summary'!K$54:K$55)*(MONTH($E24)-1)/12*$H24</f>
        <v>0</v>
      </c>
      <c r="Q24" s="224">
        <f>SUM('1.  LRAMVA Summary'!L$54:L$55)*(MONTH($E24)-1)/12*$H24</f>
        <v>0</v>
      </c>
      <c r="R24" s="224">
        <f>SUM('1.  LRAMVA Summary'!M$54:M$55)*(MONTH($E24)-1)/12*$H24</f>
        <v>0</v>
      </c>
      <c r="S24" s="224">
        <f>SUM('1.  LRAMVA Summary'!N$54:N$55)*(MONTH($E24)-1)/12*$H24</f>
        <v>0</v>
      </c>
      <c r="T24" s="224">
        <f>SUM('1.  LRAMVA Summary'!O$54:O$55)*(MONTH($E24)-1)/12*$H24</f>
        <v>0</v>
      </c>
      <c r="U24" s="224">
        <f>SUM('1.  LRAMVA Summary'!P$54:P$55)*(MONTH($E24)-1)/12*$H24</f>
        <v>0</v>
      </c>
      <c r="V24" s="224">
        <f>SUM('1.  LRAMVA Summary'!Q$54:Q$55)*(MONTH($E24)-1)/12*$H24</f>
        <v>0</v>
      </c>
      <c r="W24" s="225">
        <f t="shared" si="0"/>
        <v>0</v>
      </c>
    </row>
    <row r="25" spans="2:23" s="22" customFormat="1">
      <c r="B25" s="226" t="s">
        <v>54</v>
      </c>
      <c r="C25" s="226">
        <v>1.47E-2</v>
      </c>
      <c r="D25" s="219"/>
      <c r="E25" s="227">
        <v>40848</v>
      </c>
      <c r="F25" s="221">
        <v>2011</v>
      </c>
      <c r="G25" s="228" t="s">
        <v>69</v>
      </c>
      <c r="H25" s="223">
        <f>C$18/12</f>
        <v>1.225E-3</v>
      </c>
      <c r="I25" s="224">
        <f>SUM('1.  LRAMVA Summary'!D$54:D$55)*(MONTH($E25)-1)/12*$H25</f>
        <v>0</v>
      </c>
      <c r="J25" s="224">
        <f>SUM('1.  LRAMVA Summary'!E$54:E$55)*(MONTH($E25)-1)/12*$H25</f>
        <v>0</v>
      </c>
      <c r="K25" s="224">
        <f>SUM('1.  LRAMVA Summary'!F$54:F$55)*(MONTH($E25)-1)/12*$H25</f>
        <v>0</v>
      </c>
      <c r="L25" s="224">
        <f>SUM('1.  LRAMVA Summary'!G$54:G$55)*(MONTH($E25)-1)/12*$H25</f>
        <v>0</v>
      </c>
      <c r="M25" s="224">
        <f>SUM('1.  LRAMVA Summary'!H$54:H$55)*(MONTH($E25)-1)/12*$H25</f>
        <v>0</v>
      </c>
      <c r="N25" s="224">
        <f>SUM('1.  LRAMVA Summary'!I$54:I$55)*(MONTH($E25)-1)/12*$H25</f>
        <v>0</v>
      </c>
      <c r="O25" s="224">
        <f>SUM('1.  LRAMVA Summary'!J$54:J$55)*(MONTH($E25)-1)/12*$H25</f>
        <v>0</v>
      </c>
      <c r="P25" s="224">
        <f>SUM('1.  LRAMVA Summary'!K$54:K$55)*(MONTH($E25)-1)/12*$H25</f>
        <v>0</v>
      </c>
      <c r="Q25" s="224">
        <f>SUM('1.  LRAMVA Summary'!L$54:L$55)*(MONTH($E25)-1)/12*$H25</f>
        <v>0</v>
      </c>
      <c r="R25" s="224">
        <f>SUM('1.  LRAMVA Summary'!M$54:M$55)*(MONTH($E25)-1)/12*$H25</f>
        <v>0</v>
      </c>
      <c r="S25" s="224">
        <f>SUM('1.  LRAMVA Summary'!N$54:N$55)*(MONTH($E25)-1)/12*$H25</f>
        <v>0</v>
      </c>
      <c r="T25" s="224">
        <f>SUM('1.  LRAMVA Summary'!O$54:O$55)*(MONTH($E25)-1)/12*$H25</f>
        <v>0</v>
      </c>
      <c r="U25" s="224">
        <f>SUM('1.  LRAMVA Summary'!P$54:P$55)*(MONTH($E25)-1)/12*$H25</f>
        <v>0</v>
      </c>
      <c r="V25" s="224">
        <f>SUM('1.  LRAMVA Summary'!Q$54:Q$55)*(MONTH($E25)-1)/12*$H25</f>
        <v>0</v>
      </c>
      <c r="W25" s="225">
        <f t="shared" si="0"/>
        <v>0</v>
      </c>
    </row>
    <row r="26" spans="2:23" s="22" customFormat="1">
      <c r="B26" s="226" t="s">
        <v>55</v>
      </c>
      <c r="C26" s="226">
        <v>1.47E-2</v>
      </c>
      <c r="D26" s="219"/>
      <c r="E26" s="227">
        <v>40878</v>
      </c>
      <c r="F26" s="221">
        <v>2011</v>
      </c>
      <c r="G26" s="228" t="s">
        <v>69</v>
      </c>
      <c r="H26" s="223">
        <f>C$18/12</f>
        <v>1.225E-3</v>
      </c>
      <c r="I26" s="224">
        <f>SUM('1.  LRAMVA Summary'!D$54:D$55)*(MONTH($E26)-1)/12*$H26</f>
        <v>0</v>
      </c>
      <c r="J26" s="224">
        <f>SUM('1.  LRAMVA Summary'!E$54:E$55)*(MONTH($E26)-1)/12*$H26</f>
        <v>0</v>
      </c>
      <c r="K26" s="224">
        <f>SUM('1.  LRAMVA Summary'!F$54:F$55)*(MONTH($E26)-1)/12*$H26</f>
        <v>0</v>
      </c>
      <c r="L26" s="224">
        <f>SUM('1.  LRAMVA Summary'!G$54:G$55)*(MONTH($E26)-1)/12*$H26</f>
        <v>0</v>
      </c>
      <c r="M26" s="224">
        <f>SUM('1.  LRAMVA Summary'!H$54:H$55)*(MONTH($E26)-1)/12*$H26</f>
        <v>0</v>
      </c>
      <c r="N26" s="224">
        <f>SUM('1.  LRAMVA Summary'!I$54:I$55)*(MONTH($E26)-1)/12*$H26</f>
        <v>0</v>
      </c>
      <c r="O26" s="224">
        <f>SUM('1.  LRAMVA Summary'!J$54:J$55)*(MONTH($E26)-1)/12*$H26</f>
        <v>0</v>
      </c>
      <c r="P26" s="224">
        <f>SUM('1.  LRAMVA Summary'!K$54:K$55)*(MONTH($E26)-1)/12*$H26</f>
        <v>0</v>
      </c>
      <c r="Q26" s="224">
        <f>SUM('1.  LRAMVA Summary'!L$54:L$55)*(MONTH($E26)-1)/12*$H26</f>
        <v>0</v>
      </c>
      <c r="R26" s="224">
        <f>SUM('1.  LRAMVA Summary'!M$54:M$55)*(MONTH($E26)-1)/12*$H26</f>
        <v>0</v>
      </c>
      <c r="S26" s="224">
        <f>SUM('1.  LRAMVA Summary'!N$54:N$55)*(MONTH($E26)-1)/12*$H26</f>
        <v>0</v>
      </c>
      <c r="T26" s="224">
        <f>SUM('1.  LRAMVA Summary'!O$54:O$55)*(MONTH($E26)-1)/12*$H26</f>
        <v>0</v>
      </c>
      <c r="U26" s="224">
        <f>SUM('1.  LRAMVA Summary'!P$54:P$55)*(MONTH($E26)-1)/12*$H26</f>
        <v>0</v>
      </c>
      <c r="V26" s="224">
        <f>SUM('1.  LRAMVA Summary'!Q$54:Q$55)*(MONTH($E26)-1)/12*$H26</f>
        <v>0</v>
      </c>
      <c r="W26" s="225">
        <f>SUM(I26:V26)</f>
        <v>0</v>
      </c>
    </row>
    <row r="27" spans="2:23" s="22" customFormat="1" ht="15" thickBot="1">
      <c r="B27" s="226" t="s">
        <v>56</v>
      </c>
      <c r="C27" s="226">
        <v>1.47E-2</v>
      </c>
      <c r="D27" s="219"/>
      <c r="E27" s="229" t="s">
        <v>460</v>
      </c>
      <c r="F27" s="229"/>
      <c r="G27" s="230"/>
      <c r="H27" s="231"/>
      <c r="I27" s="232">
        <f>SUM(I15:I26)</f>
        <v>0</v>
      </c>
      <c r="J27" s="232">
        <f t="shared" ref="J27:O27" si="1">SUM(J15:J26)</f>
        <v>0</v>
      </c>
      <c r="K27" s="232">
        <f t="shared" si="1"/>
        <v>0</v>
      </c>
      <c r="L27" s="232">
        <f t="shared" si="1"/>
        <v>0</v>
      </c>
      <c r="M27" s="232">
        <f t="shared" si="1"/>
        <v>0</v>
      </c>
      <c r="N27" s="232">
        <f t="shared" si="1"/>
        <v>0</v>
      </c>
      <c r="O27" s="232">
        <f t="shared" si="1"/>
        <v>0</v>
      </c>
      <c r="P27" s="232">
        <f t="shared" ref="P27:V27" si="2">SUM(P15:P26)</f>
        <v>0</v>
      </c>
      <c r="Q27" s="232">
        <f t="shared" si="2"/>
        <v>0</v>
      </c>
      <c r="R27" s="232">
        <f t="shared" si="2"/>
        <v>0</v>
      </c>
      <c r="S27" s="232">
        <f t="shared" si="2"/>
        <v>0</v>
      </c>
      <c r="T27" s="232">
        <f t="shared" si="2"/>
        <v>0</v>
      </c>
      <c r="U27" s="232">
        <f t="shared" si="2"/>
        <v>0</v>
      </c>
      <c r="V27" s="232">
        <f t="shared" si="2"/>
        <v>0</v>
      </c>
      <c r="W27" s="232">
        <f>SUM(W15:W26)</f>
        <v>0</v>
      </c>
    </row>
    <row r="28" spans="2:23" s="22" customFormat="1" ht="15" thickTop="1">
      <c r="B28" s="226" t="s">
        <v>57</v>
      </c>
      <c r="C28" s="226">
        <v>1.47E-2</v>
      </c>
      <c r="D28" s="219"/>
      <c r="E28" s="233" t="s">
        <v>67</v>
      </c>
      <c r="F28" s="233"/>
      <c r="G28" s="234"/>
      <c r="H28" s="235"/>
      <c r="I28" s="236"/>
      <c r="J28" s="236"/>
      <c r="K28" s="236"/>
      <c r="L28" s="236"/>
      <c r="M28" s="236"/>
      <c r="N28" s="236"/>
      <c r="O28" s="236"/>
      <c r="P28" s="236"/>
      <c r="Q28" s="236"/>
      <c r="R28" s="236"/>
      <c r="S28" s="236"/>
      <c r="T28" s="236"/>
      <c r="U28" s="236"/>
      <c r="V28" s="236"/>
      <c r="W28" s="237"/>
    </row>
    <row r="29" spans="2:23" s="22" customFormat="1">
      <c r="B29" s="226" t="s">
        <v>58</v>
      </c>
      <c r="C29" s="226">
        <v>1.47E-2</v>
      </c>
      <c r="D29" s="219"/>
      <c r="E29" s="238" t="s">
        <v>424</v>
      </c>
      <c r="F29" s="238"/>
      <c r="G29" s="239"/>
      <c r="H29" s="240"/>
      <c r="I29" s="241">
        <f>I27+I28</f>
        <v>0</v>
      </c>
      <c r="J29" s="241">
        <f t="shared" ref="J29:M29" si="3">J27+J28</f>
        <v>0</v>
      </c>
      <c r="K29" s="241">
        <f t="shared" si="3"/>
        <v>0</v>
      </c>
      <c r="L29" s="241">
        <f t="shared" si="3"/>
        <v>0</v>
      </c>
      <c r="M29" s="241">
        <f t="shared" si="3"/>
        <v>0</v>
      </c>
      <c r="N29" s="241">
        <f>N27+N28</f>
        <v>0</v>
      </c>
      <c r="O29" s="241">
        <f>O27+O28</f>
        <v>0</v>
      </c>
      <c r="P29" s="241">
        <f t="shared" ref="P29:V29" si="4">P27+P28</f>
        <v>0</v>
      </c>
      <c r="Q29" s="241">
        <f t="shared" si="4"/>
        <v>0</v>
      </c>
      <c r="R29" s="241">
        <f t="shared" si="4"/>
        <v>0</v>
      </c>
      <c r="S29" s="241">
        <f t="shared" si="4"/>
        <v>0</v>
      </c>
      <c r="T29" s="241">
        <f t="shared" si="4"/>
        <v>0</v>
      </c>
      <c r="U29" s="241">
        <f t="shared" si="4"/>
        <v>0</v>
      </c>
      <c r="V29" s="241">
        <f t="shared" si="4"/>
        <v>0</v>
      </c>
      <c r="W29" s="241">
        <f>W27+W28</f>
        <v>0</v>
      </c>
    </row>
    <row r="30" spans="2:23" s="22" customFormat="1">
      <c r="B30" s="226" t="s">
        <v>59</v>
      </c>
      <c r="C30" s="226">
        <v>1.47E-2</v>
      </c>
      <c r="D30" s="219"/>
      <c r="E30" s="227">
        <v>40909</v>
      </c>
      <c r="F30" s="227" t="s">
        <v>178</v>
      </c>
      <c r="G30" s="228" t="s">
        <v>65</v>
      </c>
      <c r="H30" s="242">
        <f>C$19/12</f>
        <v>1.225E-3</v>
      </c>
      <c r="I30" s="243">
        <f>(SUM('1.  LRAMVA Summary'!D$54:D$56)+SUM('1.  LRAMVA Summary'!D$57:D$58)*(MONTH($E30)-1)/12)*$H30</f>
        <v>0</v>
      </c>
      <c r="J30" s="243">
        <f>(SUM('1.  LRAMVA Summary'!E$54:E$56)+SUM('1.  LRAMVA Summary'!E$57:E$58)*(MONTH($E30)-1)/12)*$H30</f>
        <v>0</v>
      </c>
      <c r="K30" s="243">
        <f>(SUM('1.  LRAMVA Summary'!F$54:F$56)+SUM('1.  LRAMVA Summary'!F$57:F$58)*(MONTH($E30)-1)/12)*$H30</f>
        <v>0</v>
      </c>
      <c r="L30" s="243">
        <f>(SUM('1.  LRAMVA Summary'!G$54:G$56)+SUM('1.  LRAMVA Summary'!G$57:G$58)*(MONTH($E30)-1)/12)*$H30</f>
        <v>0</v>
      </c>
      <c r="M30" s="243">
        <f>(SUM('1.  LRAMVA Summary'!H$54:H$56)+SUM('1.  LRAMVA Summary'!H$57:H$58)*(MONTH($E30)-1)/12)*$H30</f>
        <v>0</v>
      </c>
      <c r="N30" s="243">
        <f>(SUM('1.  LRAMVA Summary'!I$54:I$56)+SUM('1.  LRAMVA Summary'!I$57:I$58)*(MONTH($E30)-1)/12)*$H30</f>
        <v>0</v>
      </c>
      <c r="O30" s="243">
        <f>(SUM('1.  LRAMVA Summary'!J$54:J$56)+SUM('1.  LRAMVA Summary'!J$57:J$58)*(MONTH($E30)-1)/12)*$H30</f>
        <v>0</v>
      </c>
      <c r="P30" s="243">
        <f>(SUM('1.  LRAMVA Summary'!K$54:K$56)+SUM('1.  LRAMVA Summary'!K$57:K$58)*(MONTH($E30)-1)/12)*$H30</f>
        <v>0</v>
      </c>
      <c r="Q30" s="243">
        <f>(SUM('1.  LRAMVA Summary'!L$54:L$56)+SUM('1.  LRAMVA Summary'!L$57:L$58)*(MONTH($E30)-1)/12)*$H30</f>
        <v>0</v>
      </c>
      <c r="R30" s="243">
        <f>(SUM('1.  LRAMVA Summary'!M$54:M$56)+SUM('1.  LRAMVA Summary'!M$57:M$58)*(MONTH($E30)-1)/12)*$H30</f>
        <v>0</v>
      </c>
      <c r="S30" s="243">
        <f>(SUM('1.  LRAMVA Summary'!N$54:N$56)+SUM('1.  LRAMVA Summary'!N$57:N$58)*(MONTH($E30)-1)/12)*$H30</f>
        <v>0</v>
      </c>
      <c r="T30" s="243">
        <f>(SUM('1.  LRAMVA Summary'!O$54:O$56)+SUM('1.  LRAMVA Summary'!O$57:O$58)*(MONTH($E30)-1)/12)*$H30</f>
        <v>0</v>
      </c>
      <c r="U30" s="243">
        <f>(SUM('1.  LRAMVA Summary'!P$54:P$56)+SUM('1.  LRAMVA Summary'!P$57:P$58)*(MONTH($E30)-1)/12)*$H30</f>
        <v>0</v>
      </c>
      <c r="V30" s="243">
        <f>(SUM('1.  LRAMVA Summary'!Q$54:Q$56)+SUM('1.  LRAMVA Summary'!Q$57:Q$58)*(MONTH($E30)-1)/12)*$H30</f>
        <v>0</v>
      </c>
      <c r="W30" s="244">
        <f>SUM(I30:V30)</f>
        <v>0</v>
      </c>
    </row>
    <row r="31" spans="2:23" s="22" customFormat="1">
      <c r="B31" s="226" t="s">
        <v>60</v>
      </c>
      <c r="C31" s="226">
        <v>1.47E-2</v>
      </c>
      <c r="D31" s="219"/>
      <c r="E31" s="227">
        <v>40940</v>
      </c>
      <c r="F31" s="227" t="s">
        <v>178</v>
      </c>
      <c r="G31" s="228" t="s">
        <v>65</v>
      </c>
      <c r="H31" s="242">
        <f>C$19/12</f>
        <v>1.225E-3</v>
      </c>
      <c r="I31" s="243">
        <f>(SUM('1.  LRAMVA Summary'!D$54:D$56)+SUM('1.  LRAMVA Summary'!D$57:D$58)*(MONTH($E31)-1)/12)*$H31</f>
        <v>0</v>
      </c>
      <c r="J31" s="243">
        <f>(SUM('1.  LRAMVA Summary'!E$54:E$56)+SUM('1.  LRAMVA Summary'!E$57:E$58)*(MONTH($E31)-1)/12)*$H31</f>
        <v>0</v>
      </c>
      <c r="K31" s="243">
        <f>(SUM('1.  LRAMVA Summary'!F$54:F$56)+SUM('1.  LRAMVA Summary'!F$57:F$58)*(MONTH($E31)-1)/12)*$H31</f>
        <v>0</v>
      </c>
      <c r="L31" s="243">
        <f>(SUM('1.  LRAMVA Summary'!G$54:G$56)+SUM('1.  LRAMVA Summary'!G$57:G$58)*(MONTH($E31)-1)/12)*$H31</f>
        <v>0</v>
      </c>
      <c r="M31" s="243">
        <f>(SUM('1.  LRAMVA Summary'!H$54:H$56)+SUM('1.  LRAMVA Summary'!H$57:H$58)*(MONTH($E31)-1)/12)*$H31</f>
        <v>0</v>
      </c>
      <c r="N31" s="243">
        <f>(SUM('1.  LRAMVA Summary'!I$54:I$56)+SUM('1.  LRAMVA Summary'!I$57:I$58)*(MONTH($E31)-1)/12)*$H31</f>
        <v>0</v>
      </c>
      <c r="O31" s="243">
        <f>(SUM('1.  LRAMVA Summary'!J$54:J$56)+SUM('1.  LRAMVA Summary'!J$57:J$58)*(MONTH($E31)-1)/12)*$H31</f>
        <v>0</v>
      </c>
      <c r="P31" s="243">
        <f>(SUM('1.  LRAMVA Summary'!K$54:K$56)+SUM('1.  LRAMVA Summary'!K$57:K$58)*(MONTH($E31)-1)/12)*$H31</f>
        <v>0</v>
      </c>
      <c r="Q31" s="243">
        <f>(SUM('1.  LRAMVA Summary'!L$54:L$56)+SUM('1.  LRAMVA Summary'!L$57:L$58)*(MONTH($E31)-1)/12)*$H31</f>
        <v>0</v>
      </c>
      <c r="R31" s="243">
        <f>(SUM('1.  LRAMVA Summary'!M$54:M$56)+SUM('1.  LRAMVA Summary'!M$57:M$58)*(MONTH($E31)-1)/12)*$H31</f>
        <v>0</v>
      </c>
      <c r="S31" s="243">
        <f>(SUM('1.  LRAMVA Summary'!N$54:N$56)+SUM('1.  LRAMVA Summary'!N$57:N$58)*(MONTH($E31)-1)/12)*$H31</f>
        <v>0</v>
      </c>
      <c r="T31" s="243">
        <f>(SUM('1.  LRAMVA Summary'!O$54:O$56)+SUM('1.  LRAMVA Summary'!O$57:O$58)*(MONTH($E31)-1)/12)*$H31</f>
        <v>0</v>
      </c>
      <c r="U31" s="243">
        <f>(SUM('1.  LRAMVA Summary'!P$54:P$56)+SUM('1.  LRAMVA Summary'!P$57:P$58)*(MONTH($E31)-1)/12)*$H31</f>
        <v>0</v>
      </c>
      <c r="V31" s="243">
        <f>(SUM('1.  LRAMVA Summary'!Q$54:Q$56)+SUM('1.  LRAMVA Summary'!Q$57:Q$58)*(MONTH($E31)-1)/12)*$H31</f>
        <v>0</v>
      </c>
      <c r="W31" s="244">
        <f t="shared" ref="W31:W40" si="5">SUM(I31:V31)</f>
        <v>0</v>
      </c>
    </row>
    <row r="32" spans="2:23" s="22" customFormat="1">
      <c r="B32" s="226" t="s">
        <v>61</v>
      </c>
      <c r="C32" s="226">
        <v>1.0999999999999999E-2</v>
      </c>
      <c r="D32" s="219"/>
      <c r="E32" s="227">
        <v>40969</v>
      </c>
      <c r="F32" s="227" t="s">
        <v>178</v>
      </c>
      <c r="G32" s="228" t="s">
        <v>65</v>
      </c>
      <c r="H32" s="242">
        <f>C$19/12</f>
        <v>1.225E-3</v>
      </c>
      <c r="I32" s="243">
        <f>(SUM('1.  LRAMVA Summary'!D$54:D$56)+SUM('1.  LRAMVA Summary'!D$57:D$58)*(MONTH($E32)-1)/12)*$H32</f>
        <v>0</v>
      </c>
      <c r="J32" s="243">
        <f>(SUM('1.  LRAMVA Summary'!E$54:E$56)+SUM('1.  LRAMVA Summary'!E$57:E$58)*(MONTH($E32)-1)/12)*$H32</f>
        <v>0</v>
      </c>
      <c r="K32" s="243">
        <f>(SUM('1.  LRAMVA Summary'!F$54:F$56)+SUM('1.  LRAMVA Summary'!F$57:F$58)*(MONTH($E32)-1)/12)*$H32</f>
        <v>0</v>
      </c>
      <c r="L32" s="243">
        <f>(SUM('1.  LRAMVA Summary'!G$54:G$56)+SUM('1.  LRAMVA Summary'!G$57:G$58)*(MONTH($E32)-1)/12)*$H32</f>
        <v>0</v>
      </c>
      <c r="M32" s="243">
        <f>(SUM('1.  LRAMVA Summary'!H$54:H$56)+SUM('1.  LRAMVA Summary'!H$57:H$58)*(MONTH($E32)-1)/12)*$H32</f>
        <v>0</v>
      </c>
      <c r="N32" s="243">
        <f>(SUM('1.  LRAMVA Summary'!I$54:I$56)+SUM('1.  LRAMVA Summary'!I$57:I$58)*(MONTH($E32)-1)/12)*$H32</f>
        <v>0</v>
      </c>
      <c r="O32" s="243">
        <f>(SUM('1.  LRAMVA Summary'!J$54:J$56)+SUM('1.  LRAMVA Summary'!J$57:J$58)*(MONTH($E32)-1)/12)*$H32</f>
        <v>0</v>
      </c>
      <c r="P32" s="243">
        <f>(SUM('1.  LRAMVA Summary'!K$54:K$56)+SUM('1.  LRAMVA Summary'!K$57:K$58)*(MONTH($E32)-1)/12)*$H32</f>
        <v>0</v>
      </c>
      <c r="Q32" s="243">
        <f>(SUM('1.  LRAMVA Summary'!L$54:L$56)+SUM('1.  LRAMVA Summary'!L$57:L$58)*(MONTH($E32)-1)/12)*$H32</f>
        <v>0</v>
      </c>
      <c r="R32" s="243">
        <f>(SUM('1.  LRAMVA Summary'!M$54:M$56)+SUM('1.  LRAMVA Summary'!M$57:M$58)*(MONTH($E32)-1)/12)*$H32</f>
        <v>0</v>
      </c>
      <c r="S32" s="243">
        <f>(SUM('1.  LRAMVA Summary'!N$54:N$56)+SUM('1.  LRAMVA Summary'!N$57:N$58)*(MONTH($E32)-1)/12)*$H32</f>
        <v>0</v>
      </c>
      <c r="T32" s="243">
        <f>(SUM('1.  LRAMVA Summary'!O$54:O$56)+SUM('1.  LRAMVA Summary'!O$57:O$58)*(MONTH($E32)-1)/12)*$H32</f>
        <v>0</v>
      </c>
      <c r="U32" s="243">
        <f>(SUM('1.  LRAMVA Summary'!P$54:P$56)+SUM('1.  LRAMVA Summary'!P$57:P$58)*(MONTH($E32)-1)/12)*$H32</f>
        <v>0</v>
      </c>
      <c r="V32" s="243">
        <f>(SUM('1.  LRAMVA Summary'!Q$54:Q$56)+SUM('1.  LRAMVA Summary'!Q$57:Q$58)*(MONTH($E32)-1)/12)*$H32</f>
        <v>0</v>
      </c>
      <c r="W32" s="244">
        <f t="shared" si="5"/>
        <v>0</v>
      </c>
    </row>
    <row r="33" spans="2:23" s="22" customFormat="1">
      <c r="B33" s="226" t="s">
        <v>176</v>
      </c>
      <c r="C33" s="226">
        <v>1.0999999999999999E-2</v>
      </c>
      <c r="D33" s="219"/>
      <c r="E33" s="227">
        <v>41000</v>
      </c>
      <c r="F33" s="227" t="s">
        <v>178</v>
      </c>
      <c r="G33" s="228" t="s">
        <v>66</v>
      </c>
      <c r="H33" s="245">
        <f>C$20/12</f>
        <v>1.225E-3</v>
      </c>
      <c r="I33" s="243">
        <f>(SUM('1.  LRAMVA Summary'!D$54:D$56)+SUM('1.  LRAMVA Summary'!D$57:D$58)*(MONTH($E33)-1)/12)*$H33</f>
        <v>0</v>
      </c>
      <c r="J33" s="243">
        <f>(SUM('1.  LRAMVA Summary'!E$54:E$56)+SUM('1.  LRAMVA Summary'!E$57:E$58)*(MONTH($E33)-1)/12)*$H33</f>
        <v>0</v>
      </c>
      <c r="K33" s="243">
        <f>(SUM('1.  LRAMVA Summary'!F$54:F$56)+SUM('1.  LRAMVA Summary'!F$57:F$58)*(MONTH($E33)-1)/12)*$H33</f>
        <v>0</v>
      </c>
      <c r="L33" s="243">
        <f>(SUM('1.  LRAMVA Summary'!G$54:G$56)+SUM('1.  LRAMVA Summary'!G$57:G$58)*(MONTH($E33)-1)/12)*$H33</f>
        <v>0</v>
      </c>
      <c r="M33" s="243">
        <f>(SUM('1.  LRAMVA Summary'!H$54:H$56)+SUM('1.  LRAMVA Summary'!H$57:H$58)*(MONTH($E33)-1)/12)*$H33</f>
        <v>0</v>
      </c>
      <c r="N33" s="243">
        <f>(SUM('1.  LRAMVA Summary'!I$54:I$56)+SUM('1.  LRAMVA Summary'!I$57:I$58)*(MONTH($E33)-1)/12)*$H33</f>
        <v>0</v>
      </c>
      <c r="O33" s="243">
        <f>(SUM('1.  LRAMVA Summary'!J$54:J$56)+SUM('1.  LRAMVA Summary'!J$57:J$58)*(MONTH($E33)-1)/12)*$H33</f>
        <v>0</v>
      </c>
      <c r="P33" s="243">
        <f>(SUM('1.  LRAMVA Summary'!K$54:K$56)+SUM('1.  LRAMVA Summary'!K$57:K$58)*(MONTH($E33)-1)/12)*$H33</f>
        <v>0</v>
      </c>
      <c r="Q33" s="243">
        <f>(SUM('1.  LRAMVA Summary'!L$54:L$56)+SUM('1.  LRAMVA Summary'!L$57:L$58)*(MONTH($E33)-1)/12)*$H33</f>
        <v>0</v>
      </c>
      <c r="R33" s="243">
        <f>(SUM('1.  LRAMVA Summary'!M$54:M$56)+SUM('1.  LRAMVA Summary'!M$57:M$58)*(MONTH($E33)-1)/12)*$H33</f>
        <v>0</v>
      </c>
      <c r="S33" s="243">
        <f>(SUM('1.  LRAMVA Summary'!N$54:N$56)+SUM('1.  LRAMVA Summary'!N$57:N$58)*(MONTH($E33)-1)/12)*$H33</f>
        <v>0</v>
      </c>
      <c r="T33" s="243">
        <f>(SUM('1.  LRAMVA Summary'!O$54:O$56)+SUM('1.  LRAMVA Summary'!O$57:O$58)*(MONTH($E33)-1)/12)*$H33</f>
        <v>0</v>
      </c>
      <c r="U33" s="243">
        <f>(SUM('1.  LRAMVA Summary'!P$54:P$56)+SUM('1.  LRAMVA Summary'!P$57:P$58)*(MONTH($E33)-1)/12)*$H33</f>
        <v>0</v>
      </c>
      <c r="V33" s="243">
        <f>(SUM('1.  LRAMVA Summary'!Q$54:Q$56)+SUM('1.  LRAMVA Summary'!Q$57:Q$58)*(MONTH($E33)-1)/12)*$H33</f>
        <v>0</v>
      </c>
      <c r="W33" s="244">
        <f t="shared" si="5"/>
        <v>0</v>
      </c>
    </row>
    <row r="34" spans="2:23" s="22" customFormat="1">
      <c r="B34" s="226" t="s">
        <v>177</v>
      </c>
      <c r="C34" s="226">
        <v>1.0999999999999999E-2</v>
      </c>
      <c r="D34" s="219"/>
      <c r="E34" s="227">
        <v>41030</v>
      </c>
      <c r="F34" s="227" t="s">
        <v>178</v>
      </c>
      <c r="G34" s="228" t="s">
        <v>66</v>
      </c>
      <c r="H34" s="242">
        <f>C$20/12</f>
        <v>1.225E-3</v>
      </c>
      <c r="I34" s="243">
        <f>(SUM('1.  LRAMVA Summary'!D$54:D$56)+SUM('1.  LRAMVA Summary'!D$57:D$58)*(MONTH($E34)-1)/12)*$H34</f>
        <v>0</v>
      </c>
      <c r="J34" s="243">
        <f>(SUM('1.  LRAMVA Summary'!E$54:E$56)+SUM('1.  LRAMVA Summary'!E$57:E$58)*(MONTH($E34)-1)/12)*$H34</f>
        <v>0</v>
      </c>
      <c r="K34" s="243">
        <f>(SUM('1.  LRAMVA Summary'!F$54:F$56)+SUM('1.  LRAMVA Summary'!F$57:F$58)*(MONTH($E34)-1)/12)*$H34</f>
        <v>0</v>
      </c>
      <c r="L34" s="243">
        <f>(SUM('1.  LRAMVA Summary'!G$54:G$56)+SUM('1.  LRAMVA Summary'!G$57:G$58)*(MONTH($E34)-1)/12)*$H34</f>
        <v>0</v>
      </c>
      <c r="M34" s="243">
        <f>(SUM('1.  LRAMVA Summary'!H$54:H$56)+SUM('1.  LRAMVA Summary'!H$57:H$58)*(MONTH($E34)-1)/12)*$H34</f>
        <v>0</v>
      </c>
      <c r="N34" s="243">
        <f>(SUM('1.  LRAMVA Summary'!I$54:I$56)+SUM('1.  LRAMVA Summary'!I$57:I$58)*(MONTH($E34)-1)/12)*$H34</f>
        <v>0</v>
      </c>
      <c r="O34" s="243">
        <f>(SUM('1.  LRAMVA Summary'!J$54:J$56)+SUM('1.  LRAMVA Summary'!J$57:J$58)*(MONTH($E34)-1)/12)*$H34</f>
        <v>0</v>
      </c>
      <c r="P34" s="243">
        <f>(SUM('1.  LRAMVA Summary'!K$54:K$56)+SUM('1.  LRAMVA Summary'!K$57:K$58)*(MONTH($E34)-1)/12)*$H34</f>
        <v>0</v>
      </c>
      <c r="Q34" s="243">
        <f>(SUM('1.  LRAMVA Summary'!L$54:L$56)+SUM('1.  LRAMVA Summary'!L$57:L$58)*(MONTH($E34)-1)/12)*$H34</f>
        <v>0</v>
      </c>
      <c r="R34" s="243">
        <f>(SUM('1.  LRAMVA Summary'!M$54:M$56)+SUM('1.  LRAMVA Summary'!M$57:M$58)*(MONTH($E34)-1)/12)*$H34</f>
        <v>0</v>
      </c>
      <c r="S34" s="243">
        <f>(SUM('1.  LRAMVA Summary'!N$54:N$56)+SUM('1.  LRAMVA Summary'!N$57:N$58)*(MONTH($E34)-1)/12)*$H34</f>
        <v>0</v>
      </c>
      <c r="T34" s="243">
        <f>(SUM('1.  LRAMVA Summary'!O$54:O$56)+SUM('1.  LRAMVA Summary'!O$57:O$58)*(MONTH($E34)-1)/12)*$H34</f>
        <v>0</v>
      </c>
      <c r="U34" s="243">
        <f>(SUM('1.  LRAMVA Summary'!P$54:P$56)+SUM('1.  LRAMVA Summary'!P$57:P$58)*(MONTH($E34)-1)/12)*$H34</f>
        <v>0</v>
      </c>
      <c r="V34" s="243">
        <f>(SUM('1.  LRAMVA Summary'!Q$54:Q$56)+SUM('1.  LRAMVA Summary'!Q$57:Q$58)*(MONTH($E34)-1)/12)*$H34</f>
        <v>0</v>
      </c>
      <c r="W34" s="244">
        <f t="shared" si="5"/>
        <v>0</v>
      </c>
    </row>
    <row r="35" spans="2:23" s="22" customFormat="1">
      <c r="B35" s="226" t="s">
        <v>73</v>
      </c>
      <c r="C35" s="226">
        <v>1.0999999999999999E-2</v>
      </c>
      <c r="D35" s="219"/>
      <c r="E35" s="227">
        <v>41061</v>
      </c>
      <c r="F35" s="227" t="s">
        <v>178</v>
      </c>
      <c r="G35" s="228" t="s">
        <v>66</v>
      </c>
      <c r="H35" s="242">
        <f>C$20/12</f>
        <v>1.225E-3</v>
      </c>
      <c r="I35" s="243">
        <f>(SUM('1.  LRAMVA Summary'!D$54:D$56)+SUM('1.  LRAMVA Summary'!D$57:D$58)*(MONTH($E35)-1)/12)*$H35</f>
        <v>0</v>
      </c>
      <c r="J35" s="243">
        <f>(SUM('1.  LRAMVA Summary'!E$54:E$56)+SUM('1.  LRAMVA Summary'!E$57:E$58)*(MONTH($E35)-1)/12)*$H35</f>
        <v>0</v>
      </c>
      <c r="K35" s="243">
        <f>(SUM('1.  LRAMVA Summary'!F$54:F$56)+SUM('1.  LRAMVA Summary'!F$57:F$58)*(MONTH($E35)-1)/12)*$H35</f>
        <v>0</v>
      </c>
      <c r="L35" s="243">
        <f>(SUM('1.  LRAMVA Summary'!G$54:G$56)+SUM('1.  LRAMVA Summary'!G$57:G$58)*(MONTH($E35)-1)/12)*$H35</f>
        <v>0</v>
      </c>
      <c r="M35" s="243">
        <f>(SUM('1.  LRAMVA Summary'!H$54:H$56)+SUM('1.  LRAMVA Summary'!H$57:H$58)*(MONTH($E35)-1)/12)*$H35</f>
        <v>0</v>
      </c>
      <c r="N35" s="243">
        <f>(SUM('1.  LRAMVA Summary'!I$54:I$56)+SUM('1.  LRAMVA Summary'!I$57:I$58)*(MONTH($E35)-1)/12)*$H35</f>
        <v>0</v>
      </c>
      <c r="O35" s="243">
        <f>(SUM('1.  LRAMVA Summary'!J$54:J$56)+SUM('1.  LRAMVA Summary'!J$57:J$58)*(MONTH($E35)-1)/12)*$H35</f>
        <v>0</v>
      </c>
      <c r="P35" s="243">
        <f>(SUM('1.  LRAMVA Summary'!K$54:K$56)+SUM('1.  LRAMVA Summary'!K$57:K$58)*(MONTH($E35)-1)/12)*$H35</f>
        <v>0</v>
      </c>
      <c r="Q35" s="243">
        <f>(SUM('1.  LRAMVA Summary'!L$54:L$56)+SUM('1.  LRAMVA Summary'!L$57:L$58)*(MONTH($E35)-1)/12)*$H35</f>
        <v>0</v>
      </c>
      <c r="R35" s="243">
        <f>(SUM('1.  LRAMVA Summary'!M$54:M$56)+SUM('1.  LRAMVA Summary'!M$57:M$58)*(MONTH($E35)-1)/12)*$H35</f>
        <v>0</v>
      </c>
      <c r="S35" s="243">
        <f>(SUM('1.  LRAMVA Summary'!N$54:N$56)+SUM('1.  LRAMVA Summary'!N$57:N$58)*(MONTH($E35)-1)/12)*$H35</f>
        <v>0</v>
      </c>
      <c r="T35" s="243">
        <f>(SUM('1.  LRAMVA Summary'!O$54:O$56)+SUM('1.  LRAMVA Summary'!O$57:O$58)*(MONTH($E35)-1)/12)*$H35</f>
        <v>0</v>
      </c>
      <c r="U35" s="243">
        <f>(SUM('1.  LRAMVA Summary'!P$54:P$56)+SUM('1.  LRAMVA Summary'!P$57:P$58)*(MONTH($E35)-1)/12)*$H35</f>
        <v>0</v>
      </c>
      <c r="V35" s="243">
        <f>(SUM('1.  LRAMVA Summary'!Q$54:Q$56)+SUM('1.  LRAMVA Summary'!Q$57:Q$58)*(MONTH($E35)-1)/12)*$H35</f>
        <v>0</v>
      </c>
      <c r="W35" s="244">
        <f t="shared" si="5"/>
        <v>0</v>
      </c>
    </row>
    <row r="36" spans="2:23" s="22" customFormat="1">
      <c r="B36" s="226" t="s">
        <v>74</v>
      </c>
      <c r="C36" s="226">
        <v>1.0999999999999999E-2</v>
      </c>
      <c r="D36" s="219"/>
      <c r="E36" s="227">
        <v>41091</v>
      </c>
      <c r="F36" s="227" t="s">
        <v>178</v>
      </c>
      <c r="G36" s="228" t="s">
        <v>68</v>
      </c>
      <c r="H36" s="245">
        <f>C$21/12</f>
        <v>1.225E-3</v>
      </c>
      <c r="I36" s="243">
        <f>(SUM('1.  LRAMVA Summary'!D$54:D$56)+SUM('1.  LRAMVA Summary'!D$57:D$58)*(MONTH($E36)-1)/12)*$H36</f>
        <v>0</v>
      </c>
      <c r="J36" s="243">
        <f>(SUM('1.  LRAMVA Summary'!E$54:E$56)+SUM('1.  LRAMVA Summary'!E$57:E$58)*(MONTH($E36)-1)/12)*$H36</f>
        <v>0</v>
      </c>
      <c r="K36" s="243">
        <f>(SUM('1.  LRAMVA Summary'!F$54:F$56)+SUM('1.  LRAMVA Summary'!F$57:F$58)*(MONTH($E36)-1)/12)*$H36</f>
        <v>0</v>
      </c>
      <c r="L36" s="243">
        <f>(SUM('1.  LRAMVA Summary'!G$54:G$56)+SUM('1.  LRAMVA Summary'!G$57:G$58)*(MONTH($E36)-1)/12)*$H36</f>
        <v>0</v>
      </c>
      <c r="M36" s="243">
        <f>(SUM('1.  LRAMVA Summary'!H$54:H$56)+SUM('1.  LRAMVA Summary'!H$57:H$58)*(MONTH($E36)-1)/12)*$H36</f>
        <v>0</v>
      </c>
      <c r="N36" s="243">
        <f>(SUM('1.  LRAMVA Summary'!I$54:I$56)+SUM('1.  LRAMVA Summary'!I$57:I$58)*(MONTH($E36)-1)/12)*$H36</f>
        <v>0</v>
      </c>
      <c r="O36" s="243">
        <f>(SUM('1.  LRAMVA Summary'!J$54:J$56)+SUM('1.  LRAMVA Summary'!J$57:J$58)*(MONTH($E36)-1)/12)*$H36</f>
        <v>0</v>
      </c>
      <c r="P36" s="243">
        <f>(SUM('1.  LRAMVA Summary'!K$54:K$56)+SUM('1.  LRAMVA Summary'!K$57:K$58)*(MONTH($E36)-1)/12)*$H36</f>
        <v>0</v>
      </c>
      <c r="Q36" s="243">
        <f>(SUM('1.  LRAMVA Summary'!L$54:L$56)+SUM('1.  LRAMVA Summary'!L$57:L$58)*(MONTH($E36)-1)/12)*$H36</f>
        <v>0</v>
      </c>
      <c r="R36" s="243">
        <f>(SUM('1.  LRAMVA Summary'!M$54:M$56)+SUM('1.  LRAMVA Summary'!M$57:M$58)*(MONTH($E36)-1)/12)*$H36</f>
        <v>0</v>
      </c>
      <c r="S36" s="243">
        <f>(SUM('1.  LRAMVA Summary'!N$54:N$56)+SUM('1.  LRAMVA Summary'!N$57:N$58)*(MONTH($E36)-1)/12)*$H36</f>
        <v>0</v>
      </c>
      <c r="T36" s="243">
        <f>(SUM('1.  LRAMVA Summary'!O$54:O$56)+SUM('1.  LRAMVA Summary'!O$57:O$58)*(MONTH($E36)-1)/12)*$H36</f>
        <v>0</v>
      </c>
      <c r="U36" s="243">
        <f>(SUM('1.  LRAMVA Summary'!P$54:P$56)+SUM('1.  LRAMVA Summary'!P$57:P$58)*(MONTH($E36)-1)/12)*$H36</f>
        <v>0</v>
      </c>
      <c r="V36" s="243">
        <f>(SUM('1.  LRAMVA Summary'!Q$54:Q$56)+SUM('1.  LRAMVA Summary'!Q$57:Q$58)*(MONTH($E36)-1)/12)*$H36</f>
        <v>0</v>
      </c>
      <c r="W36" s="244">
        <f t="shared" si="5"/>
        <v>0</v>
      </c>
    </row>
    <row r="37" spans="2:23" s="22" customFormat="1">
      <c r="B37" s="226" t="s">
        <v>75</v>
      </c>
      <c r="C37" s="226">
        <v>1.0999999999999999E-2</v>
      </c>
      <c r="D37" s="219"/>
      <c r="E37" s="227">
        <v>41122</v>
      </c>
      <c r="F37" s="227" t="s">
        <v>178</v>
      </c>
      <c r="G37" s="228" t="s">
        <v>68</v>
      </c>
      <c r="H37" s="242">
        <f>C$21/12</f>
        <v>1.225E-3</v>
      </c>
      <c r="I37" s="243">
        <f>(SUM('1.  LRAMVA Summary'!D$54:D$56)+SUM('1.  LRAMVA Summary'!D$57:D$58)*(MONTH($E37)-1)/12)*$H37</f>
        <v>0</v>
      </c>
      <c r="J37" s="243">
        <f>(SUM('1.  LRAMVA Summary'!E$54:E$56)+SUM('1.  LRAMVA Summary'!E$57:E$58)*(MONTH($E37)-1)/12)*$H37</f>
        <v>0</v>
      </c>
      <c r="K37" s="243">
        <f>(SUM('1.  LRAMVA Summary'!F$54:F$56)+SUM('1.  LRAMVA Summary'!F$57:F$58)*(MONTH($E37)-1)/12)*$H37</f>
        <v>0</v>
      </c>
      <c r="L37" s="243">
        <f>(SUM('1.  LRAMVA Summary'!G$54:G$56)+SUM('1.  LRAMVA Summary'!G$57:G$58)*(MONTH($E37)-1)/12)*$H37</f>
        <v>0</v>
      </c>
      <c r="M37" s="243">
        <f>(SUM('1.  LRAMVA Summary'!H$54:H$56)+SUM('1.  LRAMVA Summary'!H$57:H$58)*(MONTH($E37)-1)/12)*$H37</f>
        <v>0</v>
      </c>
      <c r="N37" s="243">
        <f>(SUM('1.  LRAMVA Summary'!I$54:I$56)+SUM('1.  LRAMVA Summary'!I$57:I$58)*(MONTH($E37)-1)/12)*$H37</f>
        <v>0</v>
      </c>
      <c r="O37" s="243">
        <f>(SUM('1.  LRAMVA Summary'!J$54:J$56)+SUM('1.  LRAMVA Summary'!J$57:J$58)*(MONTH($E37)-1)/12)*$H37</f>
        <v>0</v>
      </c>
      <c r="P37" s="243">
        <f>(SUM('1.  LRAMVA Summary'!K$54:K$56)+SUM('1.  LRAMVA Summary'!K$57:K$58)*(MONTH($E37)-1)/12)*$H37</f>
        <v>0</v>
      </c>
      <c r="Q37" s="243">
        <f>(SUM('1.  LRAMVA Summary'!L$54:L$56)+SUM('1.  LRAMVA Summary'!L$57:L$58)*(MONTH($E37)-1)/12)*$H37</f>
        <v>0</v>
      </c>
      <c r="R37" s="243">
        <f>(SUM('1.  LRAMVA Summary'!M$54:M$56)+SUM('1.  LRAMVA Summary'!M$57:M$58)*(MONTH($E37)-1)/12)*$H37</f>
        <v>0</v>
      </c>
      <c r="S37" s="243">
        <f>(SUM('1.  LRAMVA Summary'!N$54:N$56)+SUM('1.  LRAMVA Summary'!N$57:N$58)*(MONTH($E37)-1)/12)*$H37</f>
        <v>0</v>
      </c>
      <c r="T37" s="243">
        <f>(SUM('1.  LRAMVA Summary'!O$54:O$56)+SUM('1.  LRAMVA Summary'!O$57:O$58)*(MONTH($E37)-1)/12)*$H37</f>
        <v>0</v>
      </c>
      <c r="U37" s="243">
        <f>(SUM('1.  LRAMVA Summary'!P$54:P$56)+SUM('1.  LRAMVA Summary'!P$57:P$58)*(MONTH($E37)-1)/12)*$H37</f>
        <v>0</v>
      </c>
      <c r="V37" s="243">
        <f>(SUM('1.  LRAMVA Summary'!Q$54:Q$56)+SUM('1.  LRAMVA Summary'!Q$57:Q$58)*(MONTH($E37)-1)/12)*$H37</f>
        <v>0</v>
      </c>
      <c r="W37" s="244">
        <f t="shared" si="5"/>
        <v>0</v>
      </c>
    </row>
    <row r="38" spans="2:23" s="22" customFormat="1">
      <c r="B38" s="226" t="s">
        <v>76</v>
      </c>
      <c r="C38" s="226">
        <v>1.0999999999999999E-2</v>
      </c>
      <c r="D38" s="219"/>
      <c r="E38" s="227">
        <v>41153</v>
      </c>
      <c r="F38" s="227" t="s">
        <v>178</v>
      </c>
      <c r="G38" s="228" t="s">
        <v>68</v>
      </c>
      <c r="H38" s="242">
        <f>C$21/12</f>
        <v>1.225E-3</v>
      </c>
      <c r="I38" s="243">
        <f>(SUM('1.  LRAMVA Summary'!D$54:D$56)+SUM('1.  LRAMVA Summary'!D$57:D$58)*(MONTH($E38)-1)/12)*$H38</f>
        <v>0</v>
      </c>
      <c r="J38" s="243">
        <f>(SUM('1.  LRAMVA Summary'!E$54:E$56)+SUM('1.  LRAMVA Summary'!E$57:E$58)*(MONTH($E38)-1)/12)*$H38</f>
        <v>0</v>
      </c>
      <c r="K38" s="243">
        <f>(SUM('1.  LRAMVA Summary'!F$54:F$56)+SUM('1.  LRAMVA Summary'!F$57:F$58)*(MONTH($E38)-1)/12)*$H38</f>
        <v>0</v>
      </c>
      <c r="L38" s="243">
        <f>(SUM('1.  LRAMVA Summary'!G$54:G$56)+SUM('1.  LRAMVA Summary'!G$57:G$58)*(MONTH($E38)-1)/12)*$H38</f>
        <v>0</v>
      </c>
      <c r="M38" s="243">
        <f>(SUM('1.  LRAMVA Summary'!H$54:H$56)+SUM('1.  LRAMVA Summary'!H$57:H$58)*(MONTH($E38)-1)/12)*$H38</f>
        <v>0</v>
      </c>
      <c r="N38" s="243">
        <f>(SUM('1.  LRAMVA Summary'!I$54:I$56)+SUM('1.  LRAMVA Summary'!I$57:I$58)*(MONTH($E38)-1)/12)*$H38</f>
        <v>0</v>
      </c>
      <c r="O38" s="243">
        <f>(SUM('1.  LRAMVA Summary'!J$54:J$56)+SUM('1.  LRAMVA Summary'!J$57:J$58)*(MONTH($E38)-1)/12)*$H38</f>
        <v>0</v>
      </c>
      <c r="P38" s="243">
        <f>(SUM('1.  LRAMVA Summary'!K$54:K$56)+SUM('1.  LRAMVA Summary'!K$57:K$58)*(MONTH($E38)-1)/12)*$H38</f>
        <v>0</v>
      </c>
      <c r="Q38" s="243">
        <f>(SUM('1.  LRAMVA Summary'!L$54:L$56)+SUM('1.  LRAMVA Summary'!L$57:L$58)*(MONTH($E38)-1)/12)*$H38</f>
        <v>0</v>
      </c>
      <c r="R38" s="243">
        <f>(SUM('1.  LRAMVA Summary'!M$54:M$56)+SUM('1.  LRAMVA Summary'!M$57:M$58)*(MONTH($E38)-1)/12)*$H38</f>
        <v>0</v>
      </c>
      <c r="S38" s="243">
        <f>(SUM('1.  LRAMVA Summary'!N$54:N$56)+SUM('1.  LRAMVA Summary'!N$57:N$58)*(MONTH($E38)-1)/12)*$H38</f>
        <v>0</v>
      </c>
      <c r="T38" s="243">
        <f>(SUM('1.  LRAMVA Summary'!O$54:O$56)+SUM('1.  LRAMVA Summary'!O$57:O$58)*(MONTH($E38)-1)/12)*$H38</f>
        <v>0</v>
      </c>
      <c r="U38" s="243">
        <f>(SUM('1.  LRAMVA Summary'!P$54:P$56)+SUM('1.  LRAMVA Summary'!P$57:P$58)*(MONTH($E38)-1)/12)*$H38</f>
        <v>0</v>
      </c>
      <c r="V38" s="243">
        <f>(SUM('1.  LRAMVA Summary'!Q$54:Q$56)+SUM('1.  LRAMVA Summary'!Q$57:Q$58)*(MONTH($E38)-1)/12)*$H38</f>
        <v>0</v>
      </c>
      <c r="W38" s="244">
        <f t="shared" si="5"/>
        <v>0</v>
      </c>
    </row>
    <row r="39" spans="2:23" s="22" customFormat="1">
      <c r="B39" s="226" t="s">
        <v>77</v>
      </c>
      <c r="C39" s="226">
        <v>1.0999999999999999E-2</v>
      </c>
      <c r="D39" s="219"/>
      <c r="E39" s="227">
        <v>41183</v>
      </c>
      <c r="F39" s="227" t="s">
        <v>178</v>
      </c>
      <c r="G39" s="228" t="s">
        <v>69</v>
      </c>
      <c r="H39" s="245">
        <f>C$22/12</f>
        <v>1.225E-3</v>
      </c>
      <c r="I39" s="243">
        <f>(SUM('1.  LRAMVA Summary'!D$54:D$56)+SUM('1.  LRAMVA Summary'!D$57:D$58)*(MONTH($E39)-1)/12)*$H39</f>
        <v>0</v>
      </c>
      <c r="J39" s="243">
        <f>(SUM('1.  LRAMVA Summary'!E$54:E$56)+SUM('1.  LRAMVA Summary'!E$57:E$58)*(MONTH($E39)-1)/12)*$H39</f>
        <v>0</v>
      </c>
      <c r="K39" s="243">
        <f>(SUM('1.  LRAMVA Summary'!F$54:F$56)+SUM('1.  LRAMVA Summary'!F$57:F$58)*(MONTH($E39)-1)/12)*$H39</f>
        <v>0</v>
      </c>
      <c r="L39" s="243">
        <f>(SUM('1.  LRAMVA Summary'!G$54:G$56)+SUM('1.  LRAMVA Summary'!G$57:G$58)*(MONTH($E39)-1)/12)*$H39</f>
        <v>0</v>
      </c>
      <c r="M39" s="243">
        <f>(SUM('1.  LRAMVA Summary'!H$54:H$56)+SUM('1.  LRAMVA Summary'!H$57:H$58)*(MONTH($E39)-1)/12)*$H39</f>
        <v>0</v>
      </c>
      <c r="N39" s="243">
        <f>(SUM('1.  LRAMVA Summary'!I$54:I$56)+SUM('1.  LRAMVA Summary'!I$57:I$58)*(MONTH($E39)-1)/12)*$H39</f>
        <v>0</v>
      </c>
      <c r="O39" s="243">
        <f>(SUM('1.  LRAMVA Summary'!J$54:J$56)+SUM('1.  LRAMVA Summary'!J$57:J$58)*(MONTH($E39)-1)/12)*$H39</f>
        <v>0</v>
      </c>
      <c r="P39" s="243">
        <f>(SUM('1.  LRAMVA Summary'!K$54:K$56)+SUM('1.  LRAMVA Summary'!K$57:K$58)*(MONTH($E39)-1)/12)*$H39</f>
        <v>0</v>
      </c>
      <c r="Q39" s="243">
        <f>(SUM('1.  LRAMVA Summary'!L$54:L$56)+SUM('1.  LRAMVA Summary'!L$57:L$58)*(MONTH($E39)-1)/12)*$H39</f>
        <v>0</v>
      </c>
      <c r="R39" s="243">
        <f>(SUM('1.  LRAMVA Summary'!M$54:M$56)+SUM('1.  LRAMVA Summary'!M$57:M$58)*(MONTH($E39)-1)/12)*$H39</f>
        <v>0</v>
      </c>
      <c r="S39" s="243">
        <f>(SUM('1.  LRAMVA Summary'!N$54:N$56)+SUM('1.  LRAMVA Summary'!N$57:N$58)*(MONTH($E39)-1)/12)*$H39</f>
        <v>0</v>
      </c>
      <c r="T39" s="243">
        <f>(SUM('1.  LRAMVA Summary'!O$54:O$56)+SUM('1.  LRAMVA Summary'!O$57:O$58)*(MONTH($E39)-1)/12)*$H39</f>
        <v>0</v>
      </c>
      <c r="U39" s="243">
        <f>(SUM('1.  LRAMVA Summary'!P$54:P$56)+SUM('1.  LRAMVA Summary'!P$57:P$58)*(MONTH($E39)-1)/12)*$H39</f>
        <v>0</v>
      </c>
      <c r="V39" s="243">
        <f>(SUM('1.  LRAMVA Summary'!Q$54:Q$56)+SUM('1.  LRAMVA Summary'!Q$57:Q$58)*(MONTH($E39)-1)/12)*$H39</f>
        <v>0</v>
      </c>
      <c r="W39" s="244">
        <f t="shared" si="5"/>
        <v>0</v>
      </c>
    </row>
    <row r="40" spans="2:23" s="22" customFormat="1">
      <c r="B40" s="226" t="s">
        <v>78</v>
      </c>
      <c r="C40" s="725">
        <v>1.0999999999999999E-2</v>
      </c>
      <c r="D40" s="219"/>
      <c r="E40" s="227">
        <v>41214</v>
      </c>
      <c r="F40" s="227" t="s">
        <v>178</v>
      </c>
      <c r="G40" s="228" t="s">
        <v>69</v>
      </c>
      <c r="H40" s="242">
        <f>C$22/12</f>
        <v>1.225E-3</v>
      </c>
      <c r="I40" s="243">
        <f>(SUM('1.  LRAMVA Summary'!D$54:D$56)+SUM('1.  LRAMVA Summary'!D$57:D$58)*(MONTH($E40)-1)/12)*$H40</f>
        <v>0</v>
      </c>
      <c r="J40" s="243">
        <f>(SUM('1.  LRAMVA Summary'!E$54:E$56)+SUM('1.  LRAMVA Summary'!E$57:E$58)*(MONTH($E40)-1)/12)*$H40</f>
        <v>0</v>
      </c>
      <c r="K40" s="243">
        <f>(SUM('1.  LRAMVA Summary'!F$54:F$56)+SUM('1.  LRAMVA Summary'!F$57:F$58)*(MONTH($E40)-1)/12)*$H40</f>
        <v>0</v>
      </c>
      <c r="L40" s="243">
        <f>(SUM('1.  LRAMVA Summary'!G$54:G$56)+SUM('1.  LRAMVA Summary'!G$57:G$58)*(MONTH($E40)-1)/12)*$H40</f>
        <v>0</v>
      </c>
      <c r="M40" s="243">
        <f>(SUM('1.  LRAMVA Summary'!H$54:H$56)+SUM('1.  LRAMVA Summary'!H$57:H$58)*(MONTH($E40)-1)/12)*$H40</f>
        <v>0</v>
      </c>
      <c r="N40" s="243">
        <f>(SUM('1.  LRAMVA Summary'!I$54:I$56)+SUM('1.  LRAMVA Summary'!I$57:I$58)*(MONTH($E40)-1)/12)*$H40</f>
        <v>0</v>
      </c>
      <c r="O40" s="243">
        <f>(SUM('1.  LRAMVA Summary'!J$54:J$56)+SUM('1.  LRAMVA Summary'!J$57:J$58)*(MONTH($E40)-1)/12)*$H40</f>
        <v>0</v>
      </c>
      <c r="P40" s="243">
        <f>(SUM('1.  LRAMVA Summary'!K$54:K$56)+SUM('1.  LRAMVA Summary'!K$57:K$58)*(MONTH($E40)-1)/12)*$H40</f>
        <v>0</v>
      </c>
      <c r="Q40" s="243">
        <f>(SUM('1.  LRAMVA Summary'!L$54:L$56)+SUM('1.  LRAMVA Summary'!L$57:L$58)*(MONTH($E40)-1)/12)*$H40</f>
        <v>0</v>
      </c>
      <c r="R40" s="243">
        <f>(SUM('1.  LRAMVA Summary'!M$54:M$56)+SUM('1.  LRAMVA Summary'!M$57:M$58)*(MONTH($E40)-1)/12)*$H40</f>
        <v>0</v>
      </c>
      <c r="S40" s="243">
        <f>(SUM('1.  LRAMVA Summary'!N$54:N$56)+SUM('1.  LRAMVA Summary'!N$57:N$58)*(MONTH($E40)-1)/12)*$H40</f>
        <v>0</v>
      </c>
      <c r="T40" s="243">
        <f>(SUM('1.  LRAMVA Summary'!O$54:O$56)+SUM('1.  LRAMVA Summary'!O$57:O$58)*(MONTH($E40)-1)/12)*$H40</f>
        <v>0</v>
      </c>
      <c r="U40" s="243">
        <f>(SUM('1.  LRAMVA Summary'!P$54:P$56)+SUM('1.  LRAMVA Summary'!P$57:P$58)*(MONTH($E40)-1)/12)*$H40</f>
        <v>0</v>
      </c>
      <c r="V40" s="243">
        <f>(SUM('1.  LRAMVA Summary'!Q$54:Q$56)+SUM('1.  LRAMVA Summary'!Q$57:Q$58)*(MONTH($E40)-1)/12)*$H40</f>
        <v>0</v>
      </c>
      <c r="W40" s="244">
        <f t="shared" si="5"/>
        <v>0</v>
      </c>
    </row>
    <row r="41" spans="2:23" s="22" customFormat="1">
      <c r="B41" s="226" t="s">
        <v>79</v>
      </c>
      <c r="C41" s="725">
        <v>1.0999999999999999E-2</v>
      </c>
      <c r="D41" s="219"/>
      <c r="E41" s="227">
        <v>41244</v>
      </c>
      <c r="F41" s="227" t="s">
        <v>178</v>
      </c>
      <c r="G41" s="228" t="s">
        <v>69</v>
      </c>
      <c r="H41" s="242">
        <f>C$22/12</f>
        <v>1.225E-3</v>
      </c>
      <c r="I41" s="243">
        <f>(SUM('1.  LRAMVA Summary'!D$54:D$56)+SUM('1.  LRAMVA Summary'!D$57:D$58)*(MONTH($E41)-1)/12)*$H41</f>
        <v>0</v>
      </c>
      <c r="J41" s="243">
        <f>(SUM('1.  LRAMVA Summary'!E$54:E$56)+SUM('1.  LRAMVA Summary'!E$57:E$58)*(MONTH($E41)-1)/12)*$H41</f>
        <v>0</v>
      </c>
      <c r="K41" s="243">
        <f>(SUM('1.  LRAMVA Summary'!F$54:F$56)+SUM('1.  LRAMVA Summary'!F$57:F$58)*(MONTH($E41)-1)/12)*$H41</f>
        <v>0</v>
      </c>
      <c r="L41" s="243">
        <f>(SUM('1.  LRAMVA Summary'!G$54:G$56)+SUM('1.  LRAMVA Summary'!G$57:G$58)*(MONTH($E41)-1)/12)*$H41</f>
        <v>0</v>
      </c>
      <c r="M41" s="243">
        <f>(SUM('1.  LRAMVA Summary'!H$54:H$56)+SUM('1.  LRAMVA Summary'!H$57:H$58)*(MONTH($E41)-1)/12)*$H41</f>
        <v>0</v>
      </c>
      <c r="N41" s="243">
        <f>(SUM('1.  LRAMVA Summary'!I$54:I$56)+SUM('1.  LRAMVA Summary'!I$57:I$58)*(MONTH($E41)-1)/12)*$H41</f>
        <v>0</v>
      </c>
      <c r="O41" s="243">
        <f>(SUM('1.  LRAMVA Summary'!J$54:J$56)+SUM('1.  LRAMVA Summary'!J$57:J$58)*(MONTH($E41)-1)/12)*$H41</f>
        <v>0</v>
      </c>
      <c r="P41" s="243">
        <f>(SUM('1.  LRAMVA Summary'!K$54:K$56)+SUM('1.  LRAMVA Summary'!K$57:K$58)*(MONTH($E41)-1)/12)*$H41</f>
        <v>0</v>
      </c>
      <c r="Q41" s="243">
        <f>(SUM('1.  LRAMVA Summary'!L$54:L$56)+SUM('1.  LRAMVA Summary'!L$57:L$58)*(MONTH($E41)-1)/12)*$H41</f>
        <v>0</v>
      </c>
      <c r="R41" s="243">
        <f>(SUM('1.  LRAMVA Summary'!M$54:M$56)+SUM('1.  LRAMVA Summary'!M$57:M$58)*(MONTH($E41)-1)/12)*$H41</f>
        <v>0</v>
      </c>
      <c r="S41" s="243">
        <f>(SUM('1.  LRAMVA Summary'!N$54:N$56)+SUM('1.  LRAMVA Summary'!N$57:N$58)*(MONTH($E41)-1)/12)*$H41</f>
        <v>0</v>
      </c>
      <c r="T41" s="243">
        <f>(SUM('1.  LRAMVA Summary'!O$54:O$56)+SUM('1.  LRAMVA Summary'!O$57:O$58)*(MONTH($E41)-1)/12)*$H41</f>
        <v>0</v>
      </c>
      <c r="U41" s="243">
        <f>(SUM('1.  LRAMVA Summary'!P$54:P$56)+SUM('1.  LRAMVA Summary'!P$57:P$58)*(MONTH($E41)-1)/12)*$H41</f>
        <v>0</v>
      </c>
      <c r="V41" s="243">
        <f>(SUM('1.  LRAMVA Summary'!Q$54:Q$56)+SUM('1.  LRAMVA Summary'!Q$57:Q$58)*(MONTH($E41)-1)/12)*$H41</f>
        <v>0</v>
      </c>
      <c r="W41" s="244">
        <f>SUM(I41:V41)</f>
        <v>0</v>
      </c>
    </row>
    <row r="42" spans="2:23" s="22" customFormat="1" ht="15" thickBot="1">
      <c r="B42" s="226" t="s">
        <v>80</v>
      </c>
      <c r="C42" s="725">
        <v>1.4999999999999999E-2</v>
      </c>
      <c r="D42" s="219"/>
      <c r="E42" s="229" t="s">
        <v>461</v>
      </c>
      <c r="F42" s="229"/>
      <c r="G42" s="230"/>
      <c r="H42" s="247"/>
      <c r="I42" s="232">
        <f>SUM(I29:I41)</f>
        <v>0</v>
      </c>
      <c r="J42" s="232">
        <f t="shared" ref="J42:O42" si="6">SUM(J29:J41)</f>
        <v>0</v>
      </c>
      <c r="K42" s="232">
        <f t="shared" si="6"/>
        <v>0</v>
      </c>
      <c r="L42" s="232">
        <f t="shared" si="6"/>
        <v>0</v>
      </c>
      <c r="M42" s="232">
        <f t="shared" si="6"/>
        <v>0</v>
      </c>
      <c r="N42" s="232">
        <f t="shared" si="6"/>
        <v>0</v>
      </c>
      <c r="O42" s="232">
        <f t="shared" si="6"/>
        <v>0</v>
      </c>
      <c r="P42" s="232">
        <f t="shared" ref="P42:V42" si="7">SUM(P29:P41)</f>
        <v>0</v>
      </c>
      <c r="Q42" s="232">
        <f t="shared" si="7"/>
        <v>0</v>
      </c>
      <c r="R42" s="232">
        <f t="shared" si="7"/>
        <v>0</v>
      </c>
      <c r="S42" s="232">
        <f t="shared" si="7"/>
        <v>0</v>
      </c>
      <c r="T42" s="232">
        <f t="shared" si="7"/>
        <v>0</v>
      </c>
      <c r="U42" s="232">
        <f t="shared" si="7"/>
        <v>0</v>
      </c>
      <c r="V42" s="232">
        <f t="shared" si="7"/>
        <v>0</v>
      </c>
      <c r="W42" s="232">
        <f>SUM(W29:W41)</f>
        <v>0</v>
      </c>
    </row>
    <row r="43" spans="2:23" s="22" customFormat="1" ht="15" thickTop="1">
      <c r="B43" s="226" t="s">
        <v>81</v>
      </c>
      <c r="C43" s="725">
        <v>1.4999999999999999E-2</v>
      </c>
      <c r="D43" s="219"/>
      <c r="E43" s="233" t="s">
        <v>67</v>
      </c>
      <c r="F43" s="233"/>
      <c r="G43" s="234"/>
      <c r="H43" s="235"/>
      <c r="I43" s="236"/>
      <c r="J43" s="236"/>
      <c r="K43" s="236"/>
      <c r="L43" s="236"/>
      <c r="M43" s="236"/>
      <c r="N43" s="236"/>
      <c r="O43" s="236"/>
      <c r="P43" s="236"/>
      <c r="Q43" s="236"/>
      <c r="R43" s="236"/>
      <c r="S43" s="236"/>
      <c r="T43" s="236"/>
      <c r="U43" s="236"/>
      <c r="V43" s="236"/>
      <c r="W43" s="237"/>
    </row>
    <row r="44" spans="2:23" s="22" customFormat="1">
      <c r="B44" s="226" t="s">
        <v>82</v>
      </c>
      <c r="C44" s="725">
        <v>1.89E-2</v>
      </c>
      <c r="D44" s="219"/>
      <c r="E44" s="238" t="s">
        <v>425</v>
      </c>
      <c r="F44" s="238"/>
      <c r="G44" s="239"/>
      <c r="H44" s="240"/>
      <c r="I44" s="241">
        <f t="shared" ref="I44:O44" si="8">I42+I43</f>
        <v>0</v>
      </c>
      <c r="J44" s="241">
        <f t="shared" si="8"/>
        <v>0</v>
      </c>
      <c r="K44" s="241">
        <f t="shared" si="8"/>
        <v>0</v>
      </c>
      <c r="L44" s="241">
        <f t="shared" si="8"/>
        <v>0</v>
      </c>
      <c r="M44" s="241">
        <f t="shared" si="8"/>
        <v>0</v>
      </c>
      <c r="N44" s="241">
        <f t="shared" si="8"/>
        <v>0</v>
      </c>
      <c r="O44" s="241">
        <f t="shared" si="8"/>
        <v>0</v>
      </c>
      <c r="P44" s="241">
        <f t="shared" ref="P44:V44" si="9">P42+P43</f>
        <v>0</v>
      </c>
      <c r="Q44" s="241">
        <f t="shared" si="9"/>
        <v>0</v>
      </c>
      <c r="R44" s="241">
        <f t="shared" si="9"/>
        <v>0</v>
      </c>
      <c r="S44" s="241">
        <f t="shared" si="9"/>
        <v>0</v>
      </c>
      <c r="T44" s="241">
        <f t="shared" si="9"/>
        <v>0</v>
      </c>
      <c r="U44" s="241">
        <f t="shared" si="9"/>
        <v>0</v>
      </c>
      <c r="V44" s="241">
        <f t="shared" si="9"/>
        <v>0</v>
      </c>
      <c r="W44" s="241">
        <f>W42+W43</f>
        <v>0</v>
      </c>
    </row>
    <row r="45" spans="2:23" s="22" customFormat="1">
      <c r="B45" s="226" t="s">
        <v>83</v>
      </c>
      <c r="C45" s="725">
        <v>1.89E-2</v>
      </c>
      <c r="D45" s="219"/>
      <c r="E45" s="227">
        <v>41275</v>
      </c>
      <c r="F45" s="227" t="s">
        <v>179</v>
      </c>
      <c r="G45" s="228" t="s">
        <v>65</v>
      </c>
      <c r="H45" s="245">
        <f>C$23/12</f>
        <v>1.225E-3</v>
      </c>
      <c r="I45" s="243">
        <f>(SUM('1.  LRAMVA Summary'!D$54:D$59)+SUM('1.  LRAMVA Summary'!D$60:D$61)*(MONTH($E45)-1)/12)*$H45</f>
        <v>0</v>
      </c>
      <c r="J45" s="243">
        <f>(SUM('1.  LRAMVA Summary'!E$54:E$59)+SUM('1.  LRAMVA Summary'!E$60:E$61)*(MONTH($E45)-1)/12)*$H45</f>
        <v>0</v>
      </c>
      <c r="K45" s="243">
        <f>(SUM('1.  LRAMVA Summary'!F$54:F$59)+SUM('1.  LRAMVA Summary'!F$60:F$61)*(MONTH($E45)-1)/12)*$H45</f>
        <v>0</v>
      </c>
      <c r="L45" s="243">
        <f>(SUM('1.  LRAMVA Summary'!G$54:G$59)+SUM('1.  LRAMVA Summary'!G$60:G$61)*(MONTH($E45)-1)/12)*$H45</f>
        <v>0</v>
      </c>
      <c r="M45" s="243">
        <f>(SUM('1.  LRAMVA Summary'!H$54:H$59)+SUM('1.  LRAMVA Summary'!H$60:H$61)*(MONTH($E45)-1)/12)*$H45</f>
        <v>0</v>
      </c>
      <c r="N45" s="243">
        <f>(SUM('1.  LRAMVA Summary'!I$54:I$59)+SUM('1.  LRAMVA Summary'!I$60:I$61)*(MONTH($E45)-1)/12)*$H45</f>
        <v>0</v>
      </c>
      <c r="O45" s="243">
        <f>(SUM('1.  LRAMVA Summary'!J$54:J$59)+SUM('1.  LRAMVA Summary'!J$60:J$61)*(MONTH($E45)-1)/12)*$H45</f>
        <v>0</v>
      </c>
      <c r="P45" s="243">
        <f>(SUM('1.  LRAMVA Summary'!K$54:K$59)+SUM('1.  LRAMVA Summary'!K$60:K$61)*(MONTH($E45)-1)/12)*$H45</f>
        <v>0</v>
      </c>
      <c r="Q45" s="243">
        <f>(SUM('1.  LRAMVA Summary'!L$54:L$59)+SUM('1.  LRAMVA Summary'!L$60:L$61)*(MONTH($E45)-1)/12)*$H45</f>
        <v>0</v>
      </c>
      <c r="R45" s="243">
        <f>(SUM('1.  LRAMVA Summary'!M$54:M$59)+SUM('1.  LRAMVA Summary'!M$60:M$61)*(MONTH($E45)-1)/12)*$H45</f>
        <v>0</v>
      </c>
      <c r="S45" s="243">
        <f>(SUM('1.  LRAMVA Summary'!N$54:N$59)+SUM('1.  LRAMVA Summary'!N$60:N$61)*(MONTH($E45)-1)/12)*$H45</f>
        <v>0</v>
      </c>
      <c r="T45" s="243">
        <f>(SUM('1.  LRAMVA Summary'!O$54:O$59)+SUM('1.  LRAMVA Summary'!O$60:O$61)*(MONTH($E45)-1)/12)*$H45</f>
        <v>0</v>
      </c>
      <c r="U45" s="243">
        <f>(SUM('1.  LRAMVA Summary'!P$54:P$59)+SUM('1.  LRAMVA Summary'!P$60:P$61)*(MONTH($E45)-1)/12)*$H45</f>
        <v>0</v>
      </c>
      <c r="V45" s="243">
        <f>(SUM('1.  LRAMVA Summary'!Q$54:Q$59)+SUM('1.  LRAMVA Summary'!Q$60:Q$61)*(MONTH($E45)-1)/12)*$H45</f>
        <v>0</v>
      </c>
      <c r="W45" s="244">
        <f>SUM(I45:V45)</f>
        <v>0</v>
      </c>
    </row>
    <row r="46" spans="2:23" s="22" customFormat="1">
      <c r="B46" s="226" t="s">
        <v>84</v>
      </c>
      <c r="C46" s="725">
        <v>2.1700000000000001E-2</v>
      </c>
      <c r="D46" s="219"/>
      <c r="E46" s="227">
        <v>41306</v>
      </c>
      <c r="F46" s="227" t="s">
        <v>179</v>
      </c>
      <c r="G46" s="228" t="s">
        <v>65</v>
      </c>
      <c r="H46" s="242">
        <f>C$23/12</f>
        <v>1.225E-3</v>
      </c>
      <c r="I46" s="243">
        <f>(SUM('1.  LRAMVA Summary'!D$54:D$59)+SUM('1.  LRAMVA Summary'!D$60:D$61)*(MONTH($E46)-1)/12)*$H46</f>
        <v>0</v>
      </c>
      <c r="J46" s="243">
        <f>(SUM('1.  LRAMVA Summary'!E$54:E$59)+SUM('1.  LRAMVA Summary'!E$60:E$61)*(MONTH($E46)-1)/12)*$H46</f>
        <v>0</v>
      </c>
      <c r="K46" s="243">
        <f>(SUM('1.  LRAMVA Summary'!F$54:F$59)+SUM('1.  LRAMVA Summary'!F$60:F$61)*(MONTH($E46)-1)/12)*$H46</f>
        <v>0</v>
      </c>
      <c r="L46" s="243">
        <f>(SUM('1.  LRAMVA Summary'!G$54:G$59)+SUM('1.  LRAMVA Summary'!G$60:G$61)*(MONTH($E46)-1)/12)*$H46</f>
        <v>0</v>
      </c>
      <c r="M46" s="243">
        <f>(SUM('1.  LRAMVA Summary'!H$54:H$59)+SUM('1.  LRAMVA Summary'!H$60:H$61)*(MONTH($E46)-1)/12)*$H46</f>
        <v>0</v>
      </c>
      <c r="N46" s="243">
        <f>(SUM('1.  LRAMVA Summary'!I$54:I$59)+SUM('1.  LRAMVA Summary'!I$60:I$61)*(MONTH($E46)-1)/12)*$H46</f>
        <v>0</v>
      </c>
      <c r="O46" s="243">
        <f>(SUM('1.  LRAMVA Summary'!J$54:J$59)+SUM('1.  LRAMVA Summary'!J$60:J$61)*(MONTH($E46)-1)/12)*$H46</f>
        <v>0</v>
      </c>
      <c r="P46" s="243">
        <f>(SUM('1.  LRAMVA Summary'!K$54:K$59)+SUM('1.  LRAMVA Summary'!K$60:K$61)*(MONTH($E46)-1)/12)*$H46</f>
        <v>0</v>
      </c>
      <c r="Q46" s="243">
        <f>(SUM('1.  LRAMVA Summary'!L$54:L$59)+SUM('1.  LRAMVA Summary'!L$60:L$61)*(MONTH($E46)-1)/12)*$H46</f>
        <v>0</v>
      </c>
      <c r="R46" s="243">
        <f>(SUM('1.  LRAMVA Summary'!M$54:M$59)+SUM('1.  LRAMVA Summary'!M$60:M$61)*(MONTH($E46)-1)/12)*$H46</f>
        <v>0</v>
      </c>
      <c r="S46" s="243">
        <f>(SUM('1.  LRAMVA Summary'!N$54:N$59)+SUM('1.  LRAMVA Summary'!N$60:N$61)*(MONTH($E46)-1)/12)*$H46</f>
        <v>0</v>
      </c>
      <c r="T46" s="243">
        <f>(SUM('1.  LRAMVA Summary'!O$54:O$59)+SUM('1.  LRAMVA Summary'!O$60:O$61)*(MONTH($E46)-1)/12)*$H46</f>
        <v>0</v>
      </c>
      <c r="U46" s="243">
        <f>(SUM('1.  LRAMVA Summary'!P$54:P$59)+SUM('1.  LRAMVA Summary'!P$60:P$61)*(MONTH($E46)-1)/12)*$H46</f>
        <v>0</v>
      </c>
      <c r="V46" s="243">
        <f>(SUM('1.  LRAMVA Summary'!Q$54:Q$59)+SUM('1.  LRAMVA Summary'!Q$60:Q$61)*(MONTH($E46)-1)/12)*$H46</f>
        <v>0</v>
      </c>
      <c r="W46" s="244">
        <f t="shared" ref="W46:W56" si="10">SUM(I46:V46)</f>
        <v>0</v>
      </c>
    </row>
    <row r="47" spans="2:23" s="22" customFormat="1">
      <c r="B47" s="226" t="s">
        <v>85</v>
      </c>
      <c r="C47" s="741">
        <v>2.4500000000000001E-2</v>
      </c>
      <c r="D47" s="219"/>
      <c r="E47" s="227">
        <v>41334</v>
      </c>
      <c r="F47" s="227" t="s">
        <v>179</v>
      </c>
      <c r="G47" s="228" t="s">
        <v>65</v>
      </c>
      <c r="H47" s="242">
        <f>C$23/12</f>
        <v>1.225E-3</v>
      </c>
      <c r="I47" s="243">
        <f>(SUM('1.  LRAMVA Summary'!D$54:D$59)+SUM('1.  LRAMVA Summary'!D$60:D$61)*(MONTH($E47)-1)/12)*$H47</f>
        <v>0</v>
      </c>
      <c r="J47" s="243">
        <f>(SUM('1.  LRAMVA Summary'!E$54:E$59)+SUM('1.  LRAMVA Summary'!E$60:E$61)*(MONTH($E47)-1)/12)*$H47</f>
        <v>0</v>
      </c>
      <c r="K47" s="243">
        <f>(SUM('1.  LRAMVA Summary'!F$54:F$59)+SUM('1.  LRAMVA Summary'!F$60:F$61)*(MONTH($E47)-1)/12)*$H47</f>
        <v>0</v>
      </c>
      <c r="L47" s="243">
        <f>(SUM('1.  LRAMVA Summary'!G$54:G$59)+SUM('1.  LRAMVA Summary'!G$60:G$61)*(MONTH($E47)-1)/12)*$H47</f>
        <v>0</v>
      </c>
      <c r="M47" s="243">
        <f>(SUM('1.  LRAMVA Summary'!H$54:H$59)+SUM('1.  LRAMVA Summary'!H$60:H$61)*(MONTH($E47)-1)/12)*$H47</f>
        <v>0</v>
      </c>
      <c r="N47" s="243">
        <f>(SUM('1.  LRAMVA Summary'!I$54:I$59)+SUM('1.  LRAMVA Summary'!I$60:I$61)*(MONTH($E47)-1)/12)*$H47</f>
        <v>0</v>
      </c>
      <c r="O47" s="243">
        <f>(SUM('1.  LRAMVA Summary'!J$54:J$59)+SUM('1.  LRAMVA Summary'!J$60:J$61)*(MONTH($E47)-1)/12)*$H47</f>
        <v>0</v>
      </c>
      <c r="P47" s="243">
        <f>(SUM('1.  LRAMVA Summary'!K$54:K$59)+SUM('1.  LRAMVA Summary'!K$60:K$61)*(MONTH($E47)-1)/12)*$H47</f>
        <v>0</v>
      </c>
      <c r="Q47" s="243">
        <f>(SUM('1.  LRAMVA Summary'!L$54:L$59)+SUM('1.  LRAMVA Summary'!L$60:L$61)*(MONTH($E47)-1)/12)*$H47</f>
        <v>0</v>
      </c>
      <c r="R47" s="243">
        <f>(SUM('1.  LRAMVA Summary'!M$54:M$59)+SUM('1.  LRAMVA Summary'!M$60:M$61)*(MONTH($E47)-1)/12)*$H47</f>
        <v>0</v>
      </c>
      <c r="S47" s="243">
        <f>(SUM('1.  LRAMVA Summary'!N$54:N$59)+SUM('1.  LRAMVA Summary'!N$60:N$61)*(MONTH($E47)-1)/12)*$H47</f>
        <v>0</v>
      </c>
      <c r="T47" s="243">
        <f>(SUM('1.  LRAMVA Summary'!O$54:O$59)+SUM('1.  LRAMVA Summary'!O$60:O$61)*(MONTH($E47)-1)/12)*$H47</f>
        <v>0</v>
      </c>
      <c r="U47" s="243">
        <f>(SUM('1.  LRAMVA Summary'!P$54:P$59)+SUM('1.  LRAMVA Summary'!P$60:P$61)*(MONTH($E47)-1)/12)*$H47</f>
        <v>0</v>
      </c>
      <c r="V47" s="243">
        <f>(SUM('1.  LRAMVA Summary'!Q$54:Q$59)+SUM('1.  LRAMVA Summary'!Q$60:Q$61)*(MONTH($E47)-1)/12)*$H47</f>
        <v>0</v>
      </c>
      <c r="W47" s="244">
        <f t="shared" si="10"/>
        <v>0</v>
      </c>
    </row>
    <row r="48" spans="2:23" s="22" customFormat="1">
      <c r="B48" s="226" t="s">
        <v>86</v>
      </c>
      <c r="C48" s="741">
        <v>2.18E-2</v>
      </c>
      <c r="D48" s="219"/>
      <c r="E48" s="227">
        <v>41365</v>
      </c>
      <c r="F48" s="227" t="s">
        <v>179</v>
      </c>
      <c r="G48" s="228" t="s">
        <v>66</v>
      </c>
      <c r="H48" s="245">
        <f>C$24/12</f>
        <v>1.225E-3</v>
      </c>
      <c r="I48" s="243">
        <f>(SUM('1.  LRAMVA Summary'!D$54:D$59)+SUM('1.  LRAMVA Summary'!D$60:D$61)*(MONTH($E48)-1)/12)*$H48</f>
        <v>0</v>
      </c>
      <c r="J48" s="243">
        <f>(SUM('1.  LRAMVA Summary'!E$54:E$59)+SUM('1.  LRAMVA Summary'!E$60:E$61)*(MONTH($E48)-1)/12)*$H48</f>
        <v>0</v>
      </c>
      <c r="K48" s="243">
        <f>(SUM('1.  LRAMVA Summary'!F$54:F$59)+SUM('1.  LRAMVA Summary'!F$60:F$61)*(MONTH($E48)-1)/12)*$H48</f>
        <v>0</v>
      </c>
      <c r="L48" s="243">
        <f>(SUM('1.  LRAMVA Summary'!G$54:G$59)+SUM('1.  LRAMVA Summary'!G$60:G$61)*(MONTH($E48)-1)/12)*$H48</f>
        <v>0</v>
      </c>
      <c r="M48" s="243">
        <f>(SUM('1.  LRAMVA Summary'!H$54:H$59)+SUM('1.  LRAMVA Summary'!H$60:H$61)*(MONTH($E48)-1)/12)*$H48</f>
        <v>0</v>
      </c>
      <c r="N48" s="243">
        <f>(SUM('1.  LRAMVA Summary'!I$54:I$59)+SUM('1.  LRAMVA Summary'!I$60:I$61)*(MONTH($E48)-1)/12)*$H48</f>
        <v>0</v>
      </c>
      <c r="O48" s="243">
        <f>(SUM('1.  LRAMVA Summary'!J$54:J$59)+SUM('1.  LRAMVA Summary'!J$60:J$61)*(MONTH($E48)-1)/12)*$H48</f>
        <v>0</v>
      </c>
      <c r="P48" s="243">
        <f>(SUM('1.  LRAMVA Summary'!K$54:K$59)+SUM('1.  LRAMVA Summary'!K$60:K$61)*(MONTH($E48)-1)/12)*$H48</f>
        <v>0</v>
      </c>
      <c r="Q48" s="243">
        <f>(SUM('1.  LRAMVA Summary'!L$54:L$59)+SUM('1.  LRAMVA Summary'!L$60:L$61)*(MONTH($E48)-1)/12)*$H48</f>
        <v>0</v>
      </c>
      <c r="R48" s="243">
        <f>(SUM('1.  LRAMVA Summary'!M$54:M$59)+SUM('1.  LRAMVA Summary'!M$60:M$61)*(MONTH($E48)-1)/12)*$H48</f>
        <v>0</v>
      </c>
      <c r="S48" s="243">
        <f>(SUM('1.  LRAMVA Summary'!N$54:N$59)+SUM('1.  LRAMVA Summary'!N$60:N$61)*(MONTH($E48)-1)/12)*$H48</f>
        <v>0</v>
      </c>
      <c r="T48" s="243">
        <f>(SUM('1.  LRAMVA Summary'!O$54:O$59)+SUM('1.  LRAMVA Summary'!O$60:O$61)*(MONTH($E48)-1)/12)*$H48</f>
        <v>0</v>
      </c>
      <c r="U48" s="243">
        <f>(SUM('1.  LRAMVA Summary'!P$54:P$59)+SUM('1.  LRAMVA Summary'!P$60:P$61)*(MONTH($E48)-1)/12)*$H48</f>
        <v>0</v>
      </c>
      <c r="V48" s="243">
        <f>(SUM('1.  LRAMVA Summary'!Q$54:Q$59)+SUM('1.  LRAMVA Summary'!Q$60:Q$61)*(MONTH($E48)-1)/12)*$H48</f>
        <v>0</v>
      </c>
      <c r="W48" s="244">
        <f t="shared" si="10"/>
        <v>0</v>
      </c>
    </row>
    <row r="49" spans="1:23" s="22" customFormat="1">
      <c r="B49" s="226" t="s">
        <v>87</v>
      </c>
      <c r="C49" s="741">
        <v>2.18E-2</v>
      </c>
      <c r="D49" s="219"/>
      <c r="E49" s="227">
        <v>41395</v>
      </c>
      <c r="F49" s="227" t="s">
        <v>179</v>
      </c>
      <c r="G49" s="228" t="s">
        <v>66</v>
      </c>
      <c r="H49" s="242">
        <f>C$24/12</f>
        <v>1.225E-3</v>
      </c>
      <c r="I49" s="243">
        <f>(SUM('1.  LRAMVA Summary'!D$54:D$59)+SUM('1.  LRAMVA Summary'!D$60:D$61)*(MONTH($E49)-1)/12)*$H49</f>
        <v>0</v>
      </c>
      <c r="J49" s="243">
        <f>(SUM('1.  LRAMVA Summary'!E$54:E$59)+SUM('1.  LRAMVA Summary'!E$60:E$61)*(MONTH($E49)-1)/12)*$H49</f>
        <v>0</v>
      </c>
      <c r="K49" s="243">
        <f>(SUM('1.  LRAMVA Summary'!F$54:F$59)+SUM('1.  LRAMVA Summary'!F$60:F$61)*(MONTH($E49)-1)/12)*$H49</f>
        <v>0</v>
      </c>
      <c r="L49" s="243">
        <f>(SUM('1.  LRAMVA Summary'!G$54:G$59)+SUM('1.  LRAMVA Summary'!G$60:G$61)*(MONTH($E49)-1)/12)*$H49</f>
        <v>0</v>
      </c>
      <c r="M49" s="243">
        <f>(SUM('1.  LRAMVA Summary'!H$54:H$59)+SUM('1.  LRAMVA Summary'!H$60:H$61)*(MONTH($E49)-1)/12)*$H49</f>
        <v>0</v>
      </c>
      <c r="N49" s="243">
        <f>(SUM('1.  LRAMVA Summary'!I$54:I$59)+SUM('1.  LRAMVA Summary'!I$60:I$61)*(MONTH($E49)-1)/12)*$H49</f>
        <v>0</v>
      </c>
      <c r="O49" s="243">
        <f>(SUM('1.  LRAMVA Summary'!J$54:J$59)+SUM('1.  LRAMVA Summary'!J$60:J$61)*(MONTH($E49)-1)/12)*$H49</f>
        <v>0</v>
      </c>
      <c r="P49" s="243">
        <f>(SUM('1.  LRAMVA Summary'!K$54:K$59)+SUM('1.  LRAMVA Summary'!K$60:K$61)*(MONTH($E49)-1)/12)*$H49</f>
        <v>0</v>
      </c>
      <c r="Q49" s="243">
        <f>(SUM('1.  LRAMVA Summary'!L$54:L$59)+SUM('1.  LRAMVA Summary'!L$60:L$61)*(MONTH($E49)-1)/12)*$H49</f>
        <v>0</v>
      </c>
      <c r="R49" s="243">
        <f>(SUM('1.  LRAMVA Summary'!M$54:M$59)+SUM('1.  LRAMVA Summary'!M$60:M$61)*(MONTH($E49)-1)/12)*$H49</f>
        <v>0</v>
      </c>
      <c r="S49" s="243">
        <f>(SUM('1.  LRAMVA Summary'!N$54:N$59)+SUM('1.  LRAMVA Summary'!N$60:N$61)*(MONTH($E49)-1)/12)*$H49</f>
        <v>0</v>
      </c>
      <c r="T49" s="243">
        <f>(SUM('1.  LRAMVA Summary'!O$54:O$59)+SUM('1.  LRAMVA Summary'!O$60:O$61)*(MONTH($E49)-1)/12)*$H49</f>
        <v>0</v>
      </c>
      <c r="U49" s="243">
        <f>(SUM('1.  LRAMVA Summary'!P$54:P$59)+SUM('1.  LRAMVA Summary'!P$60:P$61)*(MONTH($E49)-1)/12)*$H49</f>
        <v>0</v>
      </c>
      <c r="V49" s="243">
        <f>(SUM('1.  LRAMVA Summary'!Q$54:Q$59)+SUM('1.  LRAMVA Summary'!Q$60:Q$61)*(MONTH($E49)-1)/12)*$H49</f>
        <v>0</v>
      </c>
      <c r="W49" s="244">
        <f t="shared" si="10"/>
        <v>0</v>
      </c>
    </row>
    <row r="50" spans="1:23" s="22" customFormat="1">
      <c r="B50" s="226" t="s">
        <v>88</v>
      </c>
      <c r="C50" s="741">
        <v>2.18E-2</v>
      </c>
      <c r="D50" s="219"/>
      <c r="E50" s="227">
        <v>41426</v>
      </c>
      <c r="F50" s="227" t="s">
        <v>179</v>
      </c>
      <c r="G50" s="228" t="s">
        <v>66</v>
      </c>
      <c r="H50" s="242">
        <f>C$24/12</f>
        <v>1.225E-3</v>
      </c>
      <c r="I50" s="243">
        <f>(SUM('1.  LRAMVA Summary'!D$54:D$59)+SUM('1.  LRAMVA Summary'!D$60:D$61)*(MONTH($E50)-1)/12)*$H50</f>
        <v>0</v>
      </c>
      <c r="J50" s="243">
        <f>(SUM('1.  LRAMVA Summary'!E$54:E$59)+SUM('1.  LRAMVA Summary'!E$60:E$61)*(MONTH($E50)-1)/12)*$H50</f>
        <v>0</v>
      </c>
      <c r="K50" s="243">
        <f>(SUM('1.  LRAMVA Summary'!F$54:F$59)+SUM('1.  LRAMVA Summary'!F$60:F$61)*(MONTH($E50)-1)/12)*$H50</f>
        <v>0</v>
      </c>
      <c r="L50" s="243">
        <f>(SUM('1.  LRAMVA Summary'!G$54:G$59)+SUM('1.  LRAMVA Summary'!G$60:G$61)*(MONTH($E50)-1)/12)*$H50</f>
        <v>0</v>
      </c>
      <c r="M50" s="243">
        <f>(SUM('1.  LRAMVA Summary'!H$54:H$59)+SUM('1.  LRAMVA Summary'!H$60:H$61)*(MONTH($E50)-1)/12)*$H50</f>
        <v>0</v>
      </c>
      <c r="N50" s="243">
        <f>(SUM('1.  LRAMVA Summary'!I$54:I$59)+SUM('1.  LRAMVA Summary'!I$60:I$61)*(MONTH($E50)-1)/12)*$H50</f>
        <v>0</v>
      </c>
      <c r="O50" s="243">
        <f>(SUM('1.  LRAMVA Summary'!J$54:J$59)+SUM('1.  LRAMVA Summary'!J$60:J$61)*(MONTH($E50)-1)/12)*$H50</f>
        <v>0</v>
      </c>
      <c r="P50" s="243">
        <f>(SUM('1.  LRAMVA Summary'!K$54:K$59)+SUM('1.  LRAMVA Summary'!K$60:K$61)*(MONTH($E50)-1)/12)*$H50</f>
        <v>0</v>
      </c>
      <c r="Q50" s="243">
        <f>(SUM('1.  LRAMVA Summary'!L$54:L$59)+SUM('1.  LRAMVA Summary'!L$60:L$61)*(MONTH($E50)-1)/12)*$H50</f>
        <v>0</v>
      </c>
      <c r="R50" s="243">
        <f>(SUM('1.  LRAMVA Summary'!M$54:M$59)+SUM('1.  LRAMVA Summary'!M$60:M$61)*(MONTH($E50)-1)/12)*$H50</f>
        <v>0</v>
      </c>
      <c r="S50" s="243">
        <f>(SUM('1.  LRAMVA Summary'!N$54:N$59)+SUM('1.  LRAMVA Summary'!N$60:N$61)*(MONTH($E50)-1)/12)*$H50</f>
        <v>0</v>
      </c>
      <c r="T50" s="243">
        <f>(SUM('1.  LRAMVA Summary'!O$54:O$59)+SUM('1.  LRAMVA Summary'!O$60:O$61)*(MONTH($E50)-1)/12)*$H50</f>
        <v>0</v>
      </c>
      <c r="U50" s="243">
        <f>(SUM('1.  LRAMVA Summary'!P$54:P$59)+SUM('1.  LRAMVA Summary'!P$60:P$61)*(MONTH($E50)-1)/12)*$H50</f>
        <v>0</v>
      </c>
      <c r="V50" s="243">
        <f>(SUM('1.  LRAMVA Summary'!Q$54:Q$59)+SUM('1.  LRAMVA Summary'!Q$60:Q$61)*(MONTH($E50)-1)/12)*$H50</f>
        <v>0</v>
      </c>
      <c r="W50" s="244">
        <f t="shared" si="10"/>
        <v>0</v>
      </c>
    </row>
    <row r="51" spans="1:23" s="22" customFormat="1">
      <c r="B51" s="226" t="s">
        <v>89</v>
      </c>
      <c r="C51" s="741">
        <v>2.18E-2</v>
      </c>
      <c r="D51" s="219"/>
      <c r="E51" s="227">
        <v>41456</v>
      </c>
      <c r="F51" s="227" t="s">
        <v>179</v>
      </c>
      <c r="G51" s="228" t="s">
        <v>68</v>
      </c>
      <c r="H51" s="245">
        <f>C$25/12</f>
        <v>1.225E-3</v>
      </c>
      <c r="I51" s="243">
        <f>(SUM('1.  LRAMVA Summary'!D$54:D$59)+SUM('1.  LRAMVA Summary'!D$60:D$61)*(MONTH($E51)-1)/12)*$H51</f>
        <v>0</v>
      </c>
      <c r="J51" s="243">
        <f>(SUM('1.  LRAMVA Summary'!E$54:E$59)+SUM('1.  LRAMVA Summary'!E$60:E$61)*(MONTH($E51)-1)/12)*$H51</f>
        <v>0</v>
      </c>
      <c r="K51" s="243">
        <f>(SUM('1.  LRAMVA Summary'!F$54:F$59)+SUM('1.  LRAMVA Summary'!F$60:F$61)*(MONTH($E51)-1)/12)*$H51</f>
        <v>0</v>
      </c>
      <c r="L51" s="243">
        <f>(SUM('1.  LRAMVA Summary'!G$54:G$59)+SUM('1.  LRAMVA Summary'!G$60:G$61)*(MONTH($E51)-1)/12)*$H51</f>
        <v>0</v>
      </c>
      <c r="M51" s="243">
        <f>(SUM('1.  LRAMVA Summary'!H$54:H$59)+SUM('1.  LRAMVA Summary'!H$60:H$61)*(MONTH($E51)-1)/12)*$H51</f>
        <v>0</v>
      </c>
      <c r="N51" s="243">
        <f>(SUM('1.  LRAMVA Summary'!I$54:I$59)+SUM('1.  LRAMVA Summary'!I$60:I$61)*(MONTH($E51)-1)/12)*$H51</f>
        <v>0</v>
      </c>
      <c r="O51" s="243">
        <f>(SUM('1.  LRAMVA Summary'!J$54:J$59)+SUM('1.  LRAMVA Summary'!J$60:J$61)*(MONTH($E51)-1)/12)*$H51</f>
        <v>0</v>
      </c>
      <c r="P51" s="243">
        <f>(SUM('1.  LRAMVA Summary'!K$54:K$59)+SUM('1.  LRAMVA Summary'!K$60:K$61)*(MONTH($E51)-1)/12)*$H51</f>
        <v>0</v>
      </c>
      <c r="Q51" s="243">
        <f>(SUM('1.  LRAMVA Summary'!L$54:L$59)+SUM('1.  LRAMVA Summary'!L$60:L$61)*(MONTH($E51)-1)/12)*$H51</f>
        <v>0</v>
      </c>
      <c r="R51" s="243">
        <f>(SUM('1.  LRAMVA Summary'!M$54:M$59)+SUM('1.  LRAMVA Summary'!M$60:M$61)*(MONTH($E51)-1)/12)*$H51</f>
        <v>0</v>
      </c>
      <c r="S51" s="243">
        <f>(SUM('1.  LRAMVA Summary'!N$54:N$59)+SUM('1.  LRAMVA Summary'!N$60:N$61)*(MONTH($E51)-1)/12)*$H51</f>
        <v>0</v>
      </c>
      <c r="T51" s="243">
        <f>(SUM('1.  LRAMVA Summary'!O$54:O$59)+SUM('1.  LRAMVA Summary'!O$60:O$61)*(MONTH($E51)-1)/12)*$H51</f>
        <v>0</v>
      </c>
      <c r="U51" s="243">
        <f>(SUM('1.  LRAMVA Summary'!P$54:P$59)+SUM('1.  LRAMVA Summary'!P$60:P$61)*(MONTH($E51)-1)/12)*$H51</f>
        <v>0</v>
      </c>
      <c r="V51" s="243">
        <f>(SUM('1.  LRAMVA Summary'!Q$54:Q$59)+SUM('1.  LRAMVA Summary'!Q$60:Q$61)*(MONTH($E51)-1)/12)*$H51</f>
        <v>0</v>
      </c>
      <c r="W51" s="244">
        <f t="shared" si="10"/>
        <v>0</v>
      </c>
    </row>
    <row r="52" spans="1:23" s="22" customFormat="1">
      <c r="B52" s="226" t="s">
        <v>91</v>
      </c>
      <c r="C52" s="246">
        <v>2.18E-2</v>
      </c>
      <c r="D52" s="219"/>
      <c r="E52" s="227">
        <v>41487</v>
      </c>
      <c r="F52" s="227" t="s">
        <v>179</v>
      </c>
      <c r="G52" s="228" t="s">
        <v>68</v>
      </c>
      <c r="H52" s="242">
        <f>C$25/12</f>
        <v>1.225E-3</v>
      </c>
      <c r="I52" s="243">
        <f>(SUM('1.  LRAMVA Summary'!D$54:D$59)+SUM('1.  LRAMVA Summary'!D$60:D$61)*(MONTH($E52)-1)/12)*$H52</f>
        <v>0</v>
      </c>
      <c r="J52" s="243">
        <f>(SUM('1.  LRAMVA Summary'!E$54:E$59)+SUM('1.  LRAMVA Summary'!E$60:E$61)*(MONTH($E52)-1)/12)*$H52</f>
        <v>0</v>
      </c>
      <c r="K52" s="243">
        <f>(SUM('1.  LRAMVA Summary'!F$54:F$59)+SUM('1.  LRAMVA Summary'!F$60:F$61)*(MONTH($E52)-1)/12)*$H52</f>
        <v>0</v>
      </c>
      <c r="L52" s="243">
        <f>(SUM('1.  LRAMVA Summary'!G$54:G$59)+SUM('1.  LRAMVA Summary'!G$60:G$61)*(MONTH($E52)-1)/12)*$H52</f>
        <v>0</v>
      </c>
      <c r="M52" s="243">
        <f>(SUM('1.  LRAMVA Summary'!H$54:H$59)+SUM('1.  LRAMVA Summary'!H$60:H$61)*(MONTH($E52)-1)/12)*$H52</f>
        <v>0</v>
      </c>
      <c r="N52" s="243">
        <f>(SUM('1.  LRAMVA Summary'!I$54:I$59)+SUM('1.  LRAMVA Summary'!I$60:I$61)*(MONTH($E52)-1)/12)*$H52</f>
        <v>0</v>
      </c>
      <c r="O52" s="243">
        <f>(SUM('1.  LRAMVA Summary'!J$54:J$59)+SUM('1.  LRAMVA Summary'!J$60:J$61)*(MONTH($E52)-1)/12)*$H52</f>
        <v>0</v>
      </c>
      <c r="P52" s="243">
        <f>(SUM('1.  LRAMVA Summary'!K$54:K$59)+SUM('1.  LRAMVA Summary'!K$60:K$61)*(MONTH($E52)-1)/12)*$H52</f>
        <v>0</v>
      </c>
      <c r="Q52" s="243">
        <f>(SUM('1.  LRAMVA Summary'!L$54:L$59)+SUM('1.  LRAMVA Summary'!L$60:L$61)*(MONTH($E52)-1)/12)*$H52</f>
        <v>0</v>
      </c>
      <c r="R52" s="243">
        <f>(SUM('1.  LRAMVA Summary'!M$54:M$59)+SUM('1.  LRAMVA Summary'!M$60:M$61)*(MONTH($E52)-1)/12)*$H52</f>
        <v>0</v>
      </c>
      <c r="S52" s="243">
        <f>(SUM('1.  LRAMVA Summary'!N$54:N$59)+SUM('1.  LRAMVA Summary'!N$60:N$61)*(MONTH($E52)-1)/12)*$H52</f>
        <v>0</v>
      </c>
      <c r="T52" s="243">
        <f>(SUM('1.  LRAMVA Summary'!O$54:O$59)+SUM('1.  LRAMVA Summary'!O$60:O$61)*(MONTH($E52)-1)/12)*$H52</f>
        <v>0</v>
      </c>
      <c r="U52" s="243">
        <f>(SUM('1.  LRAMVA Summary'!P$54:P$59)+SUM('1.  LRAMVA Summary'!P$60:P$61)*(MONTH($E52)-1)/12)*$H52</f>
        <v>0</v>
      </c>
      <c r="V52" s="243">
        <f>(SUM('1.  LRAMVA Summary'!Q$54:Q$59)+SUM('1.  LRAMVA Summary'!Q$60:Q$61)*(MONTH($E52)-1)/12)*$H52</f>
        <v>0</v>
      </c>
      <c r="W52" s="244">
        <f t="shared" si="10"/>
        <v>0</v>
      </c>
    </row>
    <row r="53" spans="1:23" s="22" customFormat="1">
      <c r="B53" s="226" t="s">
        <v>90</v>
      </c>
      <c r="C53" s="246">
        <v>5.7000000000000002E-3</v>
      </c>
      <c r="D53" s="219"/>
      <c r="E53" s="227">
        <v>41518</v>
      </c>
      <c r="F53" s="227" t="s">
        <v>179</v>
      </c>
      <c r="G53" s="228" t="s">
        <v>68</v>
      </c>
      <c r="H53" s="242">
        <f>C$25/12</f>
        <v>1.225E-3</v>
      </c>
      <c r="I53" s="243">
        <f>(SUM('1.  LRAMVA Summary'!D$54:D$59)+SUM('1.  LRAMVA Summary'!D$60:D$61)*(MONTH($E53)-1)/12)*$H53</f>
        <v>0</v>
      </c>
      <c r="J53" s="243">
        <f>(SUM('1.  LRAMVA Summary'!E$54:E$59)+SUM('1.  LRAMVA Summary'!E$60:E$61)*(MONTH($E53)-1)/12)*$H53</f>
        <v>0</v>
      </c>
      <c r="K53" s="243">
        <f>(SUM('1.  LRAMVA Summary'!F$54:F$59)+SUM('1.  LRAMVA Summary'!F$60:F$61)*(MONTH($E53)-1)/12)*$H53</f>
        <v>0</v>
      </c>
      <c r="L53" s="243">
        <f>(SUM('1.  LRAMVA Summary'!G$54:G$59)+SUM('1.  LRAMVA Summary'!G$60:G$61)*(MONTH($E53)-1)/12)*$H53</f>
        <v>0</v>
      </c>
      <c r="M53" s="243">
        <f>(SUM('1.  LRAMVA Summary'!H$54:H$59)+SUM('1.  LRAMVA Summary'!H$60:H$61)*(MONTH($E53)-1)/12)*$H53</f>
        <v>0</v>
      </c>
      <c r="N53" s="243">
        <f>(SUM('1.  LRAMVA Summary'!I$54:I$59)+SUM('1.  LRAMVA Summary'!I$60:I$61)*(MONTH($E53)-1)/12)*$H53</f>
        <v>0</v>
      </c>
      <c r="O53" s="243">
        <f>(SUM('1.  LRAMVA Summary'!J$54:J$59)+SUM('1.  LRAMVA Summary'!J$60:J$61)*(MONTH($E53)-1)/12)*$H53</f>
        <v>0</v>
      </c>
      <c r="P53" s="243">
        <f>(SUM('1.  LRAMVA Summary'!K$54:K$59)+SUM('1.  LRAMVA Summary'!K$60:K$61)*(MONTH($E53)-1)/12)*$H53</f>
        <v>0</v>
      </c>
      <c r="Q53" s="243">
        <f>(SUM('1.  LRAMVA Summary'!L$54:L$59)+SUM('1.  LRAMVA Summary'!L$60:L$61)*(MONTH($E53)-1)/12)*$H53</f>
        <v>0</v>
      </c>
      <c r="R53" s="243">
        <f>(SUM('1.  LRAMVA Summary'!M$54:M$59)+SUM('1.  LRAMVA Summary'!M$60:M$61)*(MONTH($E53)-1)/12)*$H53</f>
        <v>0</v>
      </c>
      <c r="S53" s="243">
        <f>(SUM('1.  LRAMVA Summary'!N$54:N$59)+SUM('1.  LRAMVA Summary'!N$60:N$61)*(MONTH($E53)-1)/12)*$H53</f>
        <v>0</v>
      </c>
      <c r="T53" s="243">
        <f>(SUM('1.  LRAMVA Summary'!O$54:O$59)+SUM('1.  LRAMVA Summary'!O$60:O$61)*(MONTH($E53)-1)/12)*$H53</f>
        <v>0</v>
      </c>
      <c r="U53" s="243">
        <f>(SUM('1.  LRAMVA Summary'!P$54:P$59)+SUM('1.  LRAMVA Summary'!P$60:P$61)*(MONTH($E53)-1)/12)*$H53</f>
        <v>0</v>
      </c>
      <c r="V53" s="243">
        <f>(SUM('1.  LRAMVA Summary'!Q$54:Q$59)+SUM('1.  LRAMVA Summary'!Q$60:Q$61)*(MONTH($E53)-1)/12)*$H53</f>
        <v>0</v>
      </c>
      <c r="W53" s="244">
        <f t="shared" si="10"/>
        <v>0</v>
      </c>
    </row>
    <row r="54" spans="1:23" s="22" customFormat="1">
      <c r="B54" s="248" t="s">
        <v>92</v>
      </c>
      <c r="C54" s="249">
        <f>C53</f>
        <v>5.7000000000000002E-3</v>
      </c>
      <c r="D54" s="219"/>
      <c r="E54" s="227">
        <v>41548</v>
      </c>
      <c r="F54" s="227" t="s">
        <v>179</v>
      </c>
      <c r="G54" s="228" t="s">
        <v>69</v>
      </c>
      <c r="H54" s="245">
        <f>C$26/12</f>
        <v>1.225E-3</v>
      </c>
      <c r="I54" s="243">
        <f>(SUM('1.  LRAMVA Summary'!D$54:D$59)+SUM('1.  LRAMVA Summary'!D$60:D$61)*(MONTH($E54)-1)/12)*$H54</f>
        <v>0</v>
      </c>
      <c r="J54" s="243">
        <f>(SUM('1.  LRAMVA Summary'!E$54:E$59)+SUM('1.  LRAMVA Summary'!E$60:E$61)*(MONTH($E54)-1)/12)*$H54</f>
        <v>0</v>
      </c>
      <c r="K54" s="243">
        <f>(SUM('1.  LRAMVA Summary'!F$54:F$59)+SUM('1.  LRAMVA Summary'!F$60:F$61)*(MONTH($E54)-1)/12)*$H54</f>
        <v>0</v>
      </c>
      <c r="L54" s="243">
        <f>(SUM('1.  LRAMVA Summary'!G$54:G$59)+SUM('1.  LRAMVA Summary'!G$60:G$61)*(MONTH($E54)-1)/12)*$H54</f>
        <v>0</v>
      </c>
      <c r="M54" s="243">
        <f>(SUM('1.  LRAMVA Summary'!H$54:H$59)+SUM('1.  LRAMVA Summary'!H$60:H$61)*(MONTH($E54)-1)/12)*$H54</f>
        <v>0</v>
      </c>
      <c r="N54" s="243">
        <f>(SUM('1.  LRAMVA Summary'!I$54:I$59)+SUM('1.  LRAMVA Summary'!I$60:I$61)*(MONTH($E54)-1)/12)*$H54</f>
        <v>0</v>
      </c>
      <c r="O54" s="243">
        <f>(SUM('1.  LRAMVA Summary'!J$54:J$59)+SUM('1.  LRAMVA Summary'!J$60:J$61)*(MONTH($E54)-1)/12)*$H54</f>
        <v>0</v>
      </c>
      <c r="P54" s="243">
        <f>(SUM('1.  LRAMVA Summary'!K$54:K$59)+SUM('1.  LRAMVA Summary'!K$60:K$61)*(MONTH($E54)-1)/12)*$H54</f>
        <v>0</v>
      </c>
      <c r="Q54" s="243">
        <f>(SUM('1.  LRAMVA Summary'!L$54:L$59)+SUM('1.  LRAMVA Summary'!L$60:L$61)*(MONTH($E54)-1)/12)*$H54</f>
        <v>0</v>
      </c>
      <c r="R54" s="243">
        <f>(SUM('1.  LRAMVA Summary'!M$54:M$59)+SUM('1.  LRAMVA Summary'!M$60:M$61)*(MONTH($E54)-1)/12)*$H54</f>
        <v>0</v>
      </c>
      <c r="S54" s="243">
        <f>(SUM('1.  LRAMVA Summary'!N$54:N$59)+SUM('1.  LRAMVA Summary'!N$60:N$61)*(MONTH($E54)-1)/12)*$H54</f>
        <v>0</v>
      </c>
      <c r="T54" s="243">
        <f>(SUM('1.  LRAMVA Summary'!O$54:O$59)+SUM('1.  LRAMVA Summary'!O$60:O$61)*(MONTH($E54)-1)/12)*$H54</f>
        <v>0</v>
      </c>
      <c r="U54" s="243">
        <f>(SUM('1.  LRAMVA Summary'!P$54:P$59)+SUM('1.  LRAMVA Summary'!P$60:P$61)*(MONTH($E54)-1)/12)*$H54</f>
        <v>0</v>
      </c>
      <c r="V54" s="243">
        <f>(SUM('1.  LRAMVA Summary'!Q$54:Q$59)+SUM('1.  LRAMVA Summary'!Q$60:Q$61)*(MONTH($E54)-1)/12)*$H54</f>
        <v>0</v>
      </c>
      <c r="W54" s="244">
        <f t="shared" si="10"/>
        <v>0</v>
      </c>
    </row>
    <row r="55" spans="1:23" s="22" customFormat="1">
      <c r="B55" s="226" t="s">
        <v>705</v>
      </c>
      <c r="C55" s="246">
        <f>C54</f>
        <v>5.7000000000000002E-3</v>
      </c>
      <c r="D55" s="219"/>
      <c r="E55" s="227">
        <v>41579</v>
      </c>
      <c r="F55" s="227" t="s">
        <v>179</v>
      </c>
      <c r="G55" s="228" t="s">
        <v>69</v>
      </c>
      <c r="H55" s="242">
        <f>C$26/12</f>
        <v>1.225E-3</v>
      </c>
      <c r="I55" s="243">
        <f>(SUM('1.  LRAMVA Summary'!D$54:D$59)+SUM('1.  LRAMVA Summary'!D$60:D$61)*(MONTH($E55)-1)/12)*$H55</f>
        <v>0</v>
      </c>
      <c r="J55" s="243">
        <f>(SUM('1.  LRAMVA Summary'!E$54:E$59)+SUM('1.  LRAMVA Summary'!E$60:E$61)*(MONTH($E55)-1)/12)*$H55</f>
        <v>0</v>
      </c>
      <c r="K55" s="243">
        <f>(SUM('1.  LRAMVA Summary'!F$54:F$59)+SUM('1.  LRAMVA Summary'!F$60:F$61)*(MONTH($E55)-1)/12)*$H55</f>
        <v>0</v>
      </c>
      <c r="L55" s="243">
        <f>(SUM('1.  LRAMVA Summary'!G$54:G$59)+SUM('1.  LRAMVA Summary'!G$60:G$61)*(MONTH($E55)-1)/12)*$H55</f>
        <v>0</v>
      </c>
      <c r="M55" s="243">
        <f>(SUM('1.  LRAMVA Summary'!H$54:H$59)+SUM('1.  LRAMVA Summary'!H$60:H$61)*(MONTH($E55)-1)/12)*$H55</f>
        <v>0</v>
      </c>
      <c r="N55" s="243">
        <f>(SUM('1.  LRAMVA Summary'!I$54:I$59)+SUM('1.  LRAMVA Summary'!I$60:I$61)*(MONTH($E55)-1)/12)*$H55</f>
        <v>0</v>
      </c>
      <c r="O55" s="243">
        <f>(SUM('1.  LRAMVA Summary'!J$54:J$59)+SUM('1.  LRAMVA Summary'!J$60:J$61)*(MONTH($E55)-1)/12)*$H55</f>
        <v>0</v>
      </c>
      <c r="P55" s="243">
        <f>(SUM('1.  LRAMVA Summary'!K$54:K$59)+SUM('1.  LRAMVA Summary'!K$60:K$61)*(MONTH($E55)-1)/12)*$H55</f>
        <v>0</v>
      </c>
      <c r="Q55" s="243">
        <f>(SUM('1.  LRAMVA Summary'!L$54:L$59)+SUM('1.  LRAMVA Summary'!L$60:L$61)*(MONTH($E55)-1)/12)*$H55</f>
        <v>0</v>
      </c>
      <c r="R55" s="243">
        <f>(SUM('1.  LRAMVA Summary'!M$54:M$59)+SUM('1.  LRAMVA Summary'!M$60:M$61)*(MONTH($E55)-1)/12)*$H55</f>
        <v>0</v>
      </c>
      <c r="S55" s="243">
        <f>(SUM('1.  LRAMVA Summary'!N$54:N$59)+SUM('1.  LRAMVA Summary'!N$60:N$61)*(MONTH($E55)-1)/12)*$H55</f>
        <v>0</v>
      </c>
      <c r="T55" s="243">
        <f>(SUM('1.  LRAMVA Summary'!O$54:O$59)+SUM('1.  LRAMVA Summary'!O$60:O$61)*(MONTH($E55)-1)/12)*$H55</f>
        <v>0</v>
      </c>
      <c r="U55" s="243">
        <f>(SUM('1.  LRAMVA Summary'!P$54:P$59)+SUM('1.  LRAMVA Summary'!P$60:P$61)*(MONTH($E55)-1)/12)*$H55</f>
        <v>0</v>
      </c>
      <c r="V55" s="243">
        <f>(SUM('1.  LRAMVA Summary'!Q$54:Q$59)+SUM('1.  LRAMVA Summary'!Q$60:Q$61)*(MONTH($E55)-1)/12)*$H55</f>
        <v>0</v>
      </c>
      <c r="W55" s="244">
        <f t="shared" si="10"/>
        <v>0</v>
      </c>
    </row>
    <row r="56" spans="1:23" s="22" customFormat="1">
      <c r="B56" s="226" t="s">
        <v>706</v>
      </c>
      <c r="C56" s="246"/>
      <c r="D56" s="219"/>
      <c r="E56" s="227">
        <v>41609</v>
      </c>
      <c r="F56" s="227" t="s">
        <v>179</v>
      </c>
      <c r="G56" s="228" t="s">
        <v>69</v>
      </c>
      <c r="H56" s="242">
        <f>C$26/12</f>
        <v>1.225E-3</v>
      </c>
      <c r="I56" s="243">
        <f>(SUM('1.  LRAMVA Summary'!D$54:D$59)+SUM('1.  LRAMVA Summary'!D$60:D$61)*(MONTH($E56)-1)/12)*$H56</f>
        <v>0</v>
      </c>
      <c r="J56" s="243">
        <f>(SUM('1.  LRAMVA Summary'!E$54:E$59)+SUM('1.  LRAMVA Summary'!E$60:E$61)*(MONTH($E56)-1)/12)*$H56</f>
        <v>0</v>
      </c>
      <c r="K56" s="243">
        <f>(SUM('1.  LRAMVA Summary'!F$54:F$59)+SUM('1.  LRAMVA Summary'!F$60:F$61)*(MONTH($E56)-1)/12)*$H56</f>
        <v>0</v>
      </c>
      <c r="L56" s="243">
        <f>(SUM('1.  LRAMVA Summary'!G$54:G$59)+SUM('1.  LRAMVA Summary'!G$60:G$61)*(MONTH($E56)-1)/12)*$H56</f>
        <v>0</v>
      </c>
      <c r="M56" s="243">
        <f>(SUM('1.  LRAMVA Summary'!H$54:H$59)+SUM('1.  LRAMVA Summary'!H$60:H$61)*(MONTH($E56)-1)/12)*$H56</f>
        <v>0</v>
      </c>
      <c r="N56" s="243">
        <f>(SUM('1.  LRAMVA Summary'!I$54:I$59)+SUM('1.  LRAMVA Summary'!I$60:I$61)*(MONTH($E56)-1)/12)*$H56</f>
        <v>0</v>
      </c>
      <c r="O56" s="243">
        <f>(SUM('1.  LRAMVA Summary'!J$54:J$59)+SUM('1.  LRAMVA Summary'!J$60:J$61)*(MONTH($E56)-1)/12)*$H56</f>
        <v>0</v>
      </c>
      <c r="P56" s="243">
        <f>(SUM('1.  LRAMVA Summary'!K$54:K$59)+SUM('1.  LRAMVA Summary'!K$60:K$61)*(MONTH($E56)-1)/12)*$H56</f>
        <v>0</v>
      </c>
      <c r="Q56" s="243">
        <f>(SUM('1.  LRAMVA Summary'!L$54:L$59)+SUM('1.  LRAMVA Summary'!L$60:L$61)*(MONTH($E56)-1)/12)*$H56</f>
        <v>0</v>
      </c>
      <c r="R56" s="243">
        <f>(SUM('1.  LRAMVA Summary'!M$54:M$59)+SUM('1.  LRAMVA Summary'!M$60:M$61)*(MONTH($E56)-1)/12)*$H56</f>
        <v>0</v>
      </c>
      <c r="S56" s="243">
        <f>(SUM('1.  LRAMVA Summary'!N$54:N$59)+SUM('1.  LRAMVA Summary'!N$60:N$61)*(MONTH($E56)-1)/12)*$H56</f>
        <v>0</v>
      </c>
      <c r="T56" s="243">
        <f>(SUM('1.  LRAMVA Summary'!O$54:O$59)+SUM('1.  LRAMVA Summary'!O$60:O$61)*(MONTH($E56)-1)/12)*$H56</f>
        <v>0</v>
      </c>
      <c r="U56" s="243">
        <f>(SUM('1.  LRAMVA Summary'!P$54:P$59)+SUM('1.  LRAMVA Summary'!P$60:P$61)*(MONTH($E56)-1)/12)*$H56</f>
        <v>0</v>
      </c>
      <c r="V56" s="243">
        <f>(SUM('1.  LRAMVA Summary'!Q$54:Q$59)+SUM('1.  LRAMVA Summary'!Q$60:Q$61)*(MONTH($E56)-1)/12)*$H56</f>
        <v>0</v>
      </c>
      <c r="W56" s="244">
        <f t="shared" si="10"/>
        <v>0</v>
      </c>
    </row>
    <row r="57" spans="1:23" s="22" customFormat="1" ht="15" thickBot="1">
      <c r="B57" s="226" t="s">
        <v>707</v>
      </c>
      <c r="C57" s="246"/>
      <c r="D57" s="219"/>
      <c r="E57" s="229" t="s">
        <v>462</v>
      </c>
      <c r="F57" s="229"/>
      <c r="G57" s="230"/>
      <c r="H57" s="231"/>
      <c r="I57" s="232">
        <f>SUM(I44:I56)</f>
        <v>0</v>
      </c>
      <c r="J57" s="232">
        <f t="shared" ref="J57:O57" si="11">SUM(J44:J56)</f>
        <v>0</v>
      </c>
      <c r="K57" s="232">
        <f t="shared" si="11"/>
        <v>0</v>
      </c>
      <c r="L57" s="232">
        <f t="shared" si="11"/>
        <v>0</v>
      </c>
      <c r="M57" s="232">
        <f t="shared" si="11"/>
        <v>0</v>
      </c>
      <c r="N57" s="232">
        <f t="shared" si="11"/>
        <v>0</v>
      </c>
      <c r="O57" s="232">
        <f t="shared" si="11"/>
        <v>0</v>
      </c>
      <c r="P57" s="232">
        <f t="shared" ref="P57:V57" si="12">SUM(P44:P56)</f>
        <v>0</v>
      </c>
      <c r="Q57" s="232">
        <f t="shared" si="12"/>
        <v>0</v>
      </c>
      <c r="R57" s="232">
        <f t="shared" si="12"/>
        <v>0</v>
      </c>
      <c r="S57" s="232">
        <f t="shared" si="12"/>
        <v>0</v>
      </c>
      <c r="T57" s="232">
        <f t="shared" si="12"/>
        <v>0</v>
      </c>
      <c r="U57" s="232">
        <f t="shared" si="12"/>
        <v>0</v>
      </c>
      <c r="V57" s="232">
        <f t="shared" si="12"/>
        <v>0</v>
      </c>
      <c r="W57" s="232">
        <f>SUM(W44:W56)</f>
        <v>0</v>
      </c>
    </row>
    <row r="58" spans="1:23" s="22" customFormat="1" ht="15" thickTop="1">
      <c r="B58" s="248" t="s">
        <v>708</v>
      </c>
      <c r="C58" s="249"/>
      <c r="D58" s="219"/>
      <c r="E58" s="233" t="s">
        <v>67</v>
      </c>
      <c r="F58" s="233"/>
      <c r="G58" s="234"/>
      <c r="H58" s="235"/>
      <c r="I58" s="236"/>
      <c r="J58" s="236"/>
      <c r="K58" s="236"/>
      <c r="L58" s="236"/>
      <c r="M58" s="236"/>
      <c r="N58" s="236"/>
      <c r="O58" s="236"/>
      <c r="P58" s="236"/>
      <c r="Q58" s="236"/>
      <c r="R58" s="236"/>
      <c r="S58" s="236"/>
      <c r="T58" s="236"/>
      <c r="U58" s="236"/>
      <c r="V58" s="236"/>
      <c r="W58" s="237"/>
    </row>
    <row r="59" spans="1:23" s="22" customFormat="1">
      <c r="B59" s="226" t="s">
        <v>709</v>
      </c>
      <c r="C59" s="246"/>
      <c r="D59" s="219"/>
      <c r="E59" s="238" t="s">
        <v>426</v>
      </c>
      <c r="F59" s="238"/>
      <c r="G59" s="239"/>
      <c r="H59" s="240"/>
      <c r="I59" s="241">
        <f t="shared" ref="I59:W59" si="13">I57+I58</f>
        <v>0</v>
      </c>
      <c r="J59" s="241">
        <f t="shared" si="13"/>
        <v>0</v>
      </c>
      <c r="K59" s="241">
        <f t="shared" si="13"/>
        <v>0</v>
      </c>
      <c r="L59" s="241">
        <f t="shared" si="13"/>
        <v>0</v>
      </c>
      <c r="M59" s="241">
        <f t="shared" si="13"/>
        <v>0</v>
      </c>
      <c r="N59" s="241">
        <f t="shared" si="13"/>
        <v>0</v>
      </c>
      <c r="O59" s="241">
        <f t="shared" si="13"/>
        <v>0</v>
      </c>
      <c r="P59" s="241">
        <f t="shared" ref="P59:V59" si="14">P57+P58</f>
        <v>0</v>
      </c>
      <c r="Q59" s="241">
        <f t="shared" si="14"/>
        <v>0</v>
      </c>
      <c r="R59" s="241">
        <f t="shared" si="14"/>
        <v>0</v>
      </c>
      <c r="S59" s="241">
        <f t="shared" si="14"/>
        <v>0</v>
      </c>
      <c r="T59" s="241">
        <f t="shared" si="14"/>
        <v>0</v>
      </c>
      <c r="U59" s="241">
        <f t="shared" si="14"/>
        <v>0</v>
      </c>
      <c r="V59" s="241">
        <f t="shared" si="14"/>
        <v>0</v>
      </c>
      <c r="W59" s="241">
        <f t="shared" si="13"/>
        <v>0</v>
      </c>
    </row>
    <row r="60" spans="1:23" s="22" customFormat="1">
      <c r="B60" s="226" t="s">
        <v>710</v>
      </c>
      <c r="C60" s="246"/>
      <c r="D60" s="219"/>
      <c r="E60" s="227">
        <v>41640</v>
      </c>
      <c r="F60" s="227" t="s">
        <v>180</v>
      </c>
      <c r="G60" s="228" t="s">
        <v>65</v>
      </c>
      <c r="H60" s="245">
        <f>C$27/12</f>
        <v>1.225E-3</v>
      </c>
      <c r="I60" s="243">
        <f>(SUM('1.  LRAMVA Summary'!D$54:D$62)+SUM('1.  LRAMVA Summary'!D$63:D$64)*(MONTH($E60)-1)/12)*$H60</f>
        <v>0</v>
      </c>
      <c r="J60" s="243">
        <f>(SUM('1.  LRAMVA Summary'!E$54:E$62)+SUM('1.  LRAMVA Summary'!E$63:E$64)*(MONTH($E60)-1)/12)*$H60</f>
        <v>0</v>
      </c>
      <c r="K60" s="243">
        <f>(SUM('1.  LRAMVA Summary'!F$54:F$62)+SUM('1.  LRAMVA Summary'!F$63:F$64)*(MONTH($E60)-1)/12)*$H60</f>
        <v>0</v>
      </c>
      <c r="L60" s="243">
        <f>(SUM('1.  LRAMVA Summary'!G$54:G$62)+SUM('1.  LRAMVA Summary'!G$63:G$64)*(MONTH($E60)-1)/12)*$H60</f>
        <v>0</v>
      </c>
      <c r="M60" s="243">
        <f>(SUM('1.  LRAMVA Summary'!H$54:H$62)+SUM('1.  LRAMVA Summary'!H$63:H$64)*(MONTH($E60)-1)/12)*$H60</f>
        <v>0</v>
      </c>
      <c r="N60" s="243">
        <f>(SUM('1.  LRAMVA Summary'!I$54:I$62)+SUM('1.  LRAMVA Summary'!I$63:I$64)*(MONTH($E60)-1)/12)*$H60</f>
        <v>0</v>
      </c>
      <c r="O60" s="243">
        <f>(SUM('1.  LRAMVA Summary'!J$54:J$62)+SUM('1.  LRAMVA Summary'!J$63:J$64)*(MONTH($E60)-1)/12)*$H60</f>
        <v>0</v>
      </c>
      <c r="P60" s="243">
        <f>(SUM('1.  LRAMVA Summary'!K$54:K$62)+SUM('1.  LRAMVA Summary'!K$63:K$64)*(MONTH($E60)-1)/12)*$H60</f>
        <v>0</v>
      </c>
      <c r="Q60" s="243">
        <f>(SUM('1.  LRAMVA Summary'!L$54:L$62)+SUM('1.  LRAMVA Summary'!L$63:L$64)*(MONTH($E60)-1)/12)*$H60</f>
        <v>0</v>
      </c>
      <c r="R60" s="243">
        <f>(SUM('1.  LRAMVA Summary'!M$54:M$62)+SUM('1.  LRAMVA Summary'!M$63:M$64)*(MONTH($E60)-1)/12)*$H60</f>
        <v>0</v>
      </c>
      <c r="S60" s="243">
        <f>(SUM('1.  LRAMVA Summary'!N$54:N$62)+SUM('1.  LRAMVA Summary'!N$63:N$64)*(MONTH($E60)-1)/12)*$H60</f>
        <v>0</v>
      </c>
      <c r="T60" s="243">
        <f>(SUM('1.  LRAMVA Summary'!O$54:O$62)+SUM('1.  LRAMVA Summary'!O$63:O$64)*(MONTH($E60)-1)/12)*$H60</f>
        <v>0</v>
      </c>
      <c r="U60" s="243">
        <f>(SUM('1.  LRAMVA Summary'!P$54:P$62)+SUM('1.  LRAMVA Summary'!P$63:P$64)*(MONTH($E60)-1)/12)*$H60</f>
        <v>0</v>
      </c>
      <c r="V60" s="243">
        <f>(SUM('1.  LRAMVA Summary'!Q$54:Q$62)+SUM('1.  LRAMVA Summary'!Q$63:Q$64)*(MONTH($E60)-1)/12)*$H60</f>
        <v>0</v>
      </c>
      <c r="W60" s="244">
        <f>SUM(I60:V60)</f>
        <v>0</v>
      </c>
    </row>
    <row r="61" spans="1:23" s="22" customFormat="1">
      <c r="A61" s="41"/>
      <c r="B61" s="226" t="s">
        <v>711</v>
      </c>
      <c r="C61" s="246"/>
      <c r="E61" s="227">
        <v>41671</v>
      </c>
      <c r="F61" s="227" t="s">
        <v>180</v>
      </c>
      <c r="G61" s="228" t="s">
        <v>65</v>
      </c>
      <c r="H61" s="242">
        <f>C$27/12</f>
        <v>1.225E-3</v>
      </c>
      <c r="I61" s="243">
        <f>(SUM('1.  LRAMVA Summary'!D$54:D$62)+SUM('1.  LRAMVA Summary'!D$63:D$64)*(MONTH($E61)-1)/12)*$H61</f>
        <v>0</v>
      </c>
      <c r="J61" s="243">
        <f>(SUM('1.  LRAMVA Summary'!E$54:E$62)+SUM('1.  LRAMVA Summary'!E$63:E$64)*(MONTH($E61)-1)/12)*$H61</f>
        <v>0</v>
      </c>
      <c r="K61" s="243">
        <f>(SUM('1.  LRAMVA Summary'!F$54:F$62)+SUM('1.  LRAMVA Summary'!F$63:F$64)*(MONTH($E61)-1)/12)*$H61</f>
        <v>0</v>
      </c>
      <c r="L61" s="243">
        <f>(SUM('1.  LRAMVA Summary'!G$54:G$62)+SUM('1.  LRAMVA Summary'!G$63:G$64)*(MONTH($E61)-1)/12)*$H61</f>
        <v>0</v>
      </c>
      <c r="M61" s="243">
        <f>(SUM('1.  LRAMVA Summary'!H$54:H$62)+SUM('1.  LRAMVA Summary'!H$63:H$64)*(MONTH($E61)-1)/12)*$H61</f>
        <v>0</v>
      </c>
      <c r="N61" s="243">
        <f>(SUM('1.  LRAMVA Summary'!I$54:I$62)+SUM('1.  LRAMVA Summary'!I$63:I$64)*(MONTH($E61)-1)/12)*$H61</f>
        <v>0</v>
      </c>
      <c r="O61" s="243">
        <f>(SUM('1.  LRAMVA Summary'!J$54:J$62)+SUM('1.  LRAMVA Summary'!J$63:J$64)*(MONTH($E61)-1)/12)*$H61</f>
        <v>0</v>
      </c>
      <c r="P61" s="243">
        <f>(SUM('1.  LRAMVA Summary'!K$54:K$62)+SUM('1.  LRAMVA Summary'!K$63:K$64)*(MONTH($E61)-1)/12)*$H61</f>
        <v>0</v>
      </c>
      <c r="Q61" s="243">
        <f>(SUM('1.  LRAMVA Summary'!L$54:L$62)+SUM('1.  LRAMVA Summary'!L$63:L$64)*(MONTH($E61)-1)/12)*$H61</f>
        <v>0</v>
      </c>
      <c r="R61" s="243">
        <f>(SUM('1.  LRAMVA Summary'!M$54:M$62)+SUM('1.  LRAMVA Summary'!M$63:M$64)*(MONTH($E61)-1)/12)*$H61</f>
        <v>0</v>
      </c>
      <c r="S61" s="243">
        <f>(SUM('1.  LRAMVA Summary'!N$54:N$62)+SUM('1.  LRAMVA Summary'!N$63:N$64)*(MONTH($E61)-1)/12)*$H61</f>
        <v>0</v>
      </c>
      <c r="T61" s="243">
        <f>(SUM('1.  LRAMVA Summary'!O$54:O$62)+SUM('1.  LRAMVA Summary'!O$63:O$64)*(MONTH($E61)-1)/12)*$H61</f>
        <v>0</v>
      </c>
      <c r="U61" s="243">
        <f>(SUM('1.  LRAMVA Summary'!P$54:P$62)+SUM('1.  LRAMVA Summary'!P$63:P$64)*(MONTH($E61)-1)/12)*$H61</f>
        <v>0</v>
      </c>
      <c r="V61" s="243">
        <f>(SUM('1.  LRAMVA Summary'!Q$54:Q$62)+SUM('1.  LRAMVA Summary'!Q$63:Q$64)*(MONTH($E61)-1)/12)*$H61</f>
        <v>0</v>
      </c>
      <c r="W61" s="244">
        <f t="shared" ref="W61:W71" si="15">SUM(I61:V61)</f>
        <v>0</v>
      </c>
    </row>
    <row r="62" spans="1:23" s="22" customFormat="1">
      <c r="B62" s="248" t="s">
        <v>712</v>
      </c>
      <c r="C62" s="249"/>
      <c r="E62" s="227">
        <v>41699</v>
      </c>
      <c r="F62" s="227" t="s">
        <v>180</v>
      </c>
      <c r="G62" s="228" t="s">
        <v>65</v>
      </c>
      <c r="H62" s="242">
        <f>C$27/12</f>
        <v>1.225E-3</v>
      </c>
      <c r="I62" s="243">
        <f>(SUM('1.  LRAMVA Summary'!D$54:D$62)+SUM('1.  LRAMVA Summary'!D$63:D$64)*(MONTH($E62)-1)/12)*$H62</f>
        <v>0</v>
      </c>
      <c r="J62" s="243">
        <f>(SUM('1.  LRAMVA Summary'!E$54:E$62)+SUM('1.  LRAMVA Summary'!E$63:E$64)*(MONTH($E62)-1)/12)*$H62</f>
        <v>0</v>
      </c>
      <c r="K62" s="243">
        <f>(SUM('1.  LRAMVA Summary'!F$54:F$62)+SUM('1.  LRAMVA Summary'!F$63:F$64)*(MONTH($E62)-1)/12)*$H62</f>
        <v>0</v>
      </c>
      <c r="L62" s="243">
        <f>(SUM('1.  LRAMVA Summary'!G$54:G$62)+SUM('1.  LRAMVA Summary'!G$63:G$64)*(MONTH($E62)-1)/12)*$H62</f>
        <v>0</v>
      </c>
      <c r="M62" s="243">
        <f>(SUM('1.  LRAMVA Summary'!H$54:H$62)+SUM('1.  LRAMVA Summary'!H$63:H$64)*(MONTH($E62)-1)/12)*$H62</f>
        <v>0</v>
      </c>
      <c r="N62" s="243">
        <f>(SUM('1.  LRAMVA Summary'!I$54:I$62)+SUM('1.  LRAMVA Summary'!I$63:I$64)*(MONTH($E62)-1)/12)*$H62</f>
        <v>0</v>
      </c>
      <c r="O62" s="243">
        <f>(SUM('1.  LRAMVA Summary'!J$54:J$62)+SUM('1.  LRAMVA Summary'!J$63:J$64)*(MONTH($E62)-1)/12)*$H62</f>
        <v>0</v>
      </c>
      <c r="P62" s="243">
        <f>(SUM('1.  LRAMVA Summary'!K$54:K$62)+SUM('1.  LRAMVA Summary'!K$63:K$64)*(MONTH($E62)-1)/12)*$H62</f>
        <v>0</v>
      </c>
      <c r="Q62" s="243">
        <f>(SUM('1.  LRAMVA Summary'!L$54:L$62)+SUM('1.  LRAMVA Summary'!L$63:L$64)*(MONTH($E62)-1)/12)*$H62</f>
        <v>0</v>
      </c>
      <c r="R62" s="243">
        <f>(SUM('1.  LRAMVA Summary'!M$54:M$62)+SUM('1.  LRAMVA Summary'!M$63:M$64)*(MONTH($E62)-1)/12)*$H62</f>
        <v>0</v>
      </c>
      <c r="S62" s="243">
        <f>(SUM('1.  LRAMVA Summary'!N$54:N$62)+SUM('1.  LRAMVA Summary'!N$63:N$64)*(MONTH($E62)-1)/12)*$H62</f>
        <v>0</v>
      </c>
      <c r="T62" s="243">
        <f>(SUM('1.  LRAMVA Summary'!O$54:O$62)+SUM('1.  LRAMVA Summary'!O$63:O$64)*(MONTH($E62)-1)/12)*$H62</f>
        <v>0</v>
      </c>
      <c r="U62" s="243">
        <f>(SUM('1.  LRAMVA Summary'!P$54:P$62)+SUM('1.  LRAMVA Summary'!P$63:P$64)*(MONTH($E62)-1)/12)*$H62</f>
        <v>0</v>
      </c>
      <c r="V62" s="243">
        <f>(SUM('1.  LRAMVA Summary'!Q$54:Q$62)+SUM('1.  LRAMVA Summary'!Q$63:Q$64)*(MONTH($E62)-1)/12)*$H62</f>
        <v>0</v>
      </c>
      <c r="W62" s="244">
        <f t="shared" si="15"/>
        <v>0</v>
      </c>
    </row>
    <row r="63" spans="1:23" s="22" customFormat="1">
      <c r="B63" s="226" t="s">
        <v>723</v>
      </c>
      <c r="C63" s="246"/>
      <c r="E63" s="227">
        <v>41730</v>
      </c>
      <c r="F63" s="227" t="s">
        <v>180</v>
      </c>
      <c r="G63" s="228" t="s">
        <v>66</v>
      </c>
      <c r="H63" s="245">
        <f>C$28/12</f>
        <v>1.225E-3</v>
      </c>
      <c r="I63" s="243">
        <f>(SUM('1.  LRAMVA Summary'!D$54:D$62)+SUM('1.  LRAMVA Summary'!D$63:D$64)*(MONTH($E63)-1)/12)*$H63</f>
        <v>0</v>
      </c>
      <c r="J63" s="243">
        <f>(SUM('1.  LRAMVA Summary'!E$54:E$62)+SUM('1.  LRAMVA Summary'!E$63:E$64)*(MONTH($E63)-1)/12)*$H63</f>
        <v>0</v>
      </c>
      <c r="K63" s="243">
        <f>(SUM('1.  LRAMVA Summary'!F$54:F$62)+SUM('1.  LRAMVA Summary'!F$63:F$64)*(MONTH($E63)-1)/12)*$H63</f>
        <v>0</v>
      </c>
      <c r="L63" s="243">
        <f>(SUM('1.  LRAMVA Summary'!G$54:G$62)+SUM('1.  LRAMVA Summary'!G$63:G$64)*(MONTH($E63)-1)/12)*$H63</f>
        <v>0</v>
      </c>
      <c r="M63" s="243">
        <f>(SUM('1.  LRAMVA Summary'!H$54:H$62)+SUM('1.  LRAMVA Summary'!H$63:H$64)*(MONTH($E63)-1)/12)*$H63</f>
        <v>0</v>
      </c>
      <c r="N63" s="243">
        <f>(SUM('1.  LRAMVA Summary'!I$54:I$62)+SUM('1.  LRAMVA Summary'!I$63:I$64)*(MONTH($E63)-1)/12)*$H63</f>
        <v>0</v>
      </c>
      <c r="O63" s="243">
        <f>(SUM('1.  LRAMVA Summary'!J$54:J$62)+SUM('1.  LRAMVA Summary'!J$63:J$64)*(MONTH($E63)-1)/12)*$H63</f>
        <v>0</v>
      </c>
      <c r="P63" s="243">
        <f>(SUM('1.  LRAMVA Summary'!K$54:K$62)+SUM('1.  LRAMVA Summary'!K$63:K$64)*(MONTH($E63)-1)/12)*$H63</f>
        <v>0</v>
      </c>
      <c r="Q63" s="243">
        <f>(SUM('1.  LRAMVA Summary'!L$54:L$62)+SUM('1.  LRAMVA Summary'!L$63:L$64)*(MONTH($E63)-1)/12)*$H63</f>
        <v>0</v>
      </c>
      <c r="R63" s="243">
        <f>(SUM('1.  LRAMVA Summary'!M$54:M$62)+SUM('1.  LRAMVA Summary'!M$63:M$64)*(MONTH($E63)-1)/12)*$H63</f>
        <v>0</v>
      </c>
      <c r="S63" s="243">
        <f>(SUM('1.  LRAMVA Summary'!N$54:N$62)+SUM('1.  LRAMVA Summary'!N$63:N$64)*(MONTH($E63)-1)/12)*$H63</f>
        <v>0</v>
      </c>
      <c r="T63" s="243">
        <f>(SUM('1.  LRAMVA Summary'!O$54:O$62)+SUM('1.  LRAMVA Summary'!O$63:O$64)*(MONTH($E63)-1)/12)*$H63</f>
        <v>0</v>
      </c>
      <c r="U63" s="243">
        <f>(SUM('1.  LRAMVA Summary'!P$54:P$62)+SUM('1.  LRAMVA Summary'!P$63:P$64)*(MONTH($E63)-1)/12)*$H63</f>
        <v>0</v>
      </c>
      <c r="V63" s="243">
        <f>(SUM('1.  LRAMVA Summary'!Q$54:Q$62)+SUM('1.  LRAMVA Summary'!Q$63:Q$64)*(MONTH($E63)-1)/12)*$H63</f>
        <v>0</v>
      </c>
      <c r="W63" s="244">
        <f t="shared" si="15"/>
        <v>0</v>
      </c>
    </row>
    <row r="64" spans="1:23" s="22" customFormat="1">
      <c r="B64" s="226" t="s">
        <v>724</v>
      </c>
      <c r="C64" s="246"/>
      <c r="E64" s="227">
        <v>41760</v>
      </c>
      <c r="F64" s="227" t="s">
        <v>180</v>
      </c>
      <c r="G64" s="228" t="s">
        <v>66</v>
      </c>
      <c r="H64" s="242">
        <f>C$28/12</f>
        <v>1.225E-3</v>
      </c>
      <c r="I64" s="243">
        <f>(SUM('1.  LRAMVA Summary'!D$54:D$62)+SUM('1.  LRAMVA Summary'!D$63:D$64)*(MONTH($E64)-1)/12)*$H64</f>
        <v>0</v>
      </c>
      <c r="J64" s="243">
        <f>(SUM('1.  LRAMVA Summary'!E$54:E$62)+SUM('1.  LRAMVA Summary'!E$63:E$64)*(MONTH($E64)-1)/12)*$H64</f>
        <v>0</v>
      </c>
      <c r="K64" s="243">
        <f>(SUM('1.  LRAMVA Summary'!F$54:F$62)+SUM('1.  LRAMVA Summary'!F$63:F$64)*(MONTH($E64)-1)/12)*$H64</f>
        <v>0</v>
      </c>
      <c r="L64" s="243">
        <f>(SUM('1.  LRAMVA Summary'!G$54:G$62)+SUM('1.  LRAMVA Summary'!G$63:G$64)*(MONTH($E64)-1)/12)*$H64</f>
        <v>0</v>
      </c>
      <c r="M64" s="243">
        <f>(SUM('1.  LRAMVA Summary'!H$54:H$62)+SUM('1.  LRAMVA Summary'!H$63:H$64)*(MONTH($E64)-1)/12)*$H64</f>
        <v>0</v>
      </c>
      <c r="N64" s="243">
        <f>(SUM('1.  LRAMVA Summary'!I$54:I$62)+SUM('1.  LRAMVA Summary'!I$63:I$64)*(MONTH($E64)-1)/12)*$H64</f>
        <v>0</v>
      </c>
      <c r="O64" s="243">
        <f>(SUM('1.  LRAMVA Summary'!J$54:J$62)+SUM('1.  LRAMVA Summary'!J$63:J$64)*(MONTH($E64)-1)/12)*$H64</f>
        <v>0</v>
      </c>
      <c r="P64" s="243">
        <f>(SUM('1.  LRAMVA Summary'!K$54:K$62)+SUM('1.  LRAMVA Summary'!K$63:K$64)*(MONTH($E64)-1)/12)*$H64</f>
        <v>0</v>
      </c>
      <c r="Q64" s="243">
        <f>(SUM('1.  LRAMVA Summary'!L$54:L$62)+SUM('1.  LRAMVA Summary'!L$63:L$64)*(MONTH($E64)-1)/12)*$H64</f>
        <v>0</v>
      </c>
      <c r="R64" s="243">
        <f>(SUM('1.  LRAMVA Summary'!M$54:M$62)+SUM('1.  LRAMVA Summary'!M$63:M$64)*(MONTH($E64)-1)/12)*$H64</f>
        <v>0</v>
      </c>
      <c r="S64" s="243">
        <f>(SUM('1.  LRAMVA Summary'!N$54:N$62)+SUM('1.  LRAMVA Summary'!N$63:N$64)*(MONTH($E64)-1)/12)*$H64</f>
        <v>0</v>
      </c>
      <c r="T64" s="243">
        <f>(SUM('1.  LRAMVA Summary'!O$54:O$62)+SUM('1.  LRAMVA Summary'!O$63:O$64)*(MONTH($E64)-1)/12)*$H64</f>
        <v>0</v>
      </c>
      <c r="U64" s="243">
        <f>(SUM('1.  LRAMVA Summary'!P$54:P$62)+SUM('1.  LRAMVA Summary'!P$63:P$64)*(MONTH($E64)-1)/12)*$H64</f>
        <v>0</v>
      </c>
      <c r="V64" s="243">
        <f>(SUM('1.  LRAMVA Summary'!Q$54:Q$62)+SUM('1.  LRAMVA Summary'!Q$63:Q$64)*(MONTH($E64)-1)/12)*$H64</f>
        <v>0</v>
      </c>
      <c r="W64" s="244">
        <f t="shared" si="15"/>
        <v>0</v>
      </c>
    </row>
    <row r="65" spans="2:23" s="22" customFormat="1">
      <c r="B65" s="226" t="s">
        <v>725</v>
      </c>
      <c r="C65" s="246"/>
      <c r="E65" s="227">
        <v>41791</v>
      </c>
      <c r="F65" s="227" t="s">
        <v>180</v>
      </c>
      <c r="G65" s="228" t="s">
        <v>66</v>
      </c>
      <c r="H65" s="242">
        <f>C$28/12</f>
        <v>1.225E-3</v>
      </c>
      <c r="I65" s="243">
        <f>(SUM('1.  LRAMVA Summary'!D$54:D$62)+SUM('1.  LRAMVA Summary'!D$63:D$64)*(MONTH($E65)-1)/12)*$H65</f>
        <v>0</v>
      </c>
      <c r="J65" s="243">
        <f>(SUM('1.  LRAMVA Summary'!E$54:E$62)+SUM('1.  LRAMVA Summary'!E$63:E$64)*(MONTH($E65)-1)/12)*$H65</f>
        <v>0</v>
      </c>
      <c r="K65" s="243">
        <f>(SUM('1.  LRAMVA Summary'!F$54:F$62)+SUM('1.  LRAMVA Summary'!F$63:F$64)*(MONTH($E65)-1)/12)*$H65</f>
        <v>0</v>
      </c>
      <c r="L65" s="243">
        <f>(SUM('1.  LRAMVA Summary'!G$54:G$62)+SUM('1.  LRAMVA Summary'!G$63:G$64)*(MONTH($E65)-1)/12)*$H65</f>
        <v>0</v>
      </c>
      <c r="M65" s="243">
        <f>(SUM('1.  LRAMVA Summary'!H$54:H$62)+SUM('1.  LRAMVA Summary'!H$63:H$64)*(MONTH($E65)-1)/12)*$H65</f>
        <v>0</v>
      </c>
      <c r="N65" s="243">
        <f>(SUM('1.  LRAMVA Summary'!I$54:I$62)+SUM('1.  LRAMVA Summary'!I$63:I$64)*(MONTH($E65)-1)/12)*$H65</f>
        <v>0</v>
      </c>
      <c r="O65" s="243">
        <f>(SUM('1.  LRAMVA Summary'!J$54:J$62)+SUM('1.  LRAMVA Summary'!J$63:J$64)*(MONTH($E65)-1)/12)*$H65</f>
        <v>0</v>
      </c>
      <c r="P65" s="243">
        <f>(SUM('1.  LRAMVA Summary'!K$54:K$62)+SUM('1.  LRAMVA Summary'!K$63:K$64)*(MONTH($E65)-1)/12)*$H65</f>
        <v>0</v>
      </c>
      <c r="Q65" s="243">
        <f>(SUM('1.  LRAMVA Summary'!L$54:L$62)+SUM('1.  LRAMVA Summary'!L$63:L$64)*(MONTH($E65)-1)/12)*$H65</f>
        <v>0</v>
      </c>
      <c r="R65" s="243">
        <f>(SUM('1.  LRAMVA Summary'!M$54:M$62)+SUM('1.  LRAMVA Summary'!M$63:M$64)*(MONTH($E65)-1)/12)*$H65</f>
        <v>0</v>
      </c>
      <c r="S65" s="243">
        <f>(SUM('1.  LRAMVA Summary'!N$54:N$62)+SUM('1.  LRAMVA Summary'!N$63:N$64)*(MONTH($E65)-1)/12)*$H65</f>
        <v>0</v>
      </c>
      <c r="T65" s="243">
        <f>(SUM('1.  LRAMVA Summary'!O$54:O$62)+SUM('1.  LRAMVA Summary'!O$63:O$64)*(MONTH($E65)-1)/12)*$H65</f>
        <v>0</v>
      </c>
      <c r="U65" s="243">
        <f>(SUM('1.  LRAMVA Summary'!P$54:P$62)+SUM('1.  LRAMVA Summary'!P$63:P$64)*(MONTH($E65)-1)/12)*$H65</f>
        <v>0</v>
      </c>
      <c r="V65" s="243">
        <f>(SUM('1.  LRAMVA Summary'!Q$54:Q$62)+SUM('1.  LRAMVA Summary'!Q$63:Q$64)*(MONTH($E65)-1)/12)*$H65</f>
        <v>0</v>
      </c>
      <c r="W65" s="244">
        <f t="shared" si="15"/>
        <v>0</v>
      </c>
    </row>
    <row r="66" spans="2:23" s="22" customFormat="1">
      <c r="B66" s="248" t="s">
        <v>726</v>
      </c>
      <c r="C66" s="249"/>
      <c r="E66" s="227">
        <v>41821</v>
      </c>
      <c r="F66" s="227" t="s">
        <v>180</v>
      </c>
      <c r="G66" s="228" t="s">
        <v>68</v>
      </c>
      <c r="H66" s="245">
        <f>C$29/12</f>
        <v>1.225E-3</v>
      </c>
      <c r="I66" s="243">
        <f>(SUM('1.  LRAMVA Summary'!D$54:D$62)+SUM('1.  LRAMVA Summary'!D$63:D$64)*(MONTH($E66)-1)/12)*$H66</f>
        <v>0</v>
      </c>
      <c r="J66" s="243">
        <f>(SUM('1.  LRAMVA Summary'!E$54:E$62)+SUM('1.  LRAMVA Summary'!E$63:E$64)*(MONTH($E66)-1)/12)*$H66</f>
        <v>0</v>
      </c>
      <c r="K66" s="243">
        <f>(SUM('1.  LRAMVA Summary'!F$54:F$62)+SUM('1.  LRAMVA Summary'!F$63:F$64)*(MONTH($E66)-1)/12)*$H66</f>
        <v>0</v>
      </c>
      <c r="L66" s="243">
        <f>(SUM('1.  LRAMVA Summary'!G$54:G$62)+SUM('1.  LRAMVA Summary'!G$63:G$64)*(MONTH($E66)-1)/12)*$H66</f>
        <v>0</v>
      </c>
      <c r="M66" s="243">
        <f>(SUM('1.  LRAMVA Summary'!H$54:H$62)+SUM('1.  LRAMVA Summary'!H$63:H$64)*(MONTH($E66)-1)/12)*$H66</f>
        <v>0</v>
      </c>
      <c r="N66" s="243">
        <f>(SUM('1.  LRAMVA Summary'!I$54:I$62)+SUM('1.  LRAMVA Summary'!I$63:I$64)*(MONTH($E66)-1)/12)*$H66</f>
        <v>0</v>
      </c>
      <c r="O66" s="243">
        <f>(SUM('1.  LRAMVA Summary'!J$54:J$62)+SUM('1.  LRAMVA Summary'!J$63:J$64)*(MONTH($E66)-1)/12)*$H66</f>
        <v>0</v>
      </c>
      <c r="P66" s="243">
        <f>(SUM('1.  LRAMVA Summary'!K$54:K$62)+SUM('1.  LRAMVA Summary'!K$63:K$64)*(MONTH($E66)-1)/12)*$H66</f>
        <v>0</v>
      </c>
      <c r="Q66" s="243">
        <f>(SUM('1.  LRAMVA Summary'!L$54:L$62)+SUM('1.  LRAMVA Summary'!L$63:L$64)*(MONTH($E66)-1)/12)*$H66</f>
        <v>0</v>
      </c>
      <c r="R66" s="243">
        <f>(SUM('1.  LRAMVA Summary'!M$54:M$62)+SUM('1.  LRAMVA Summary'!M$63:M$64)*(MONTH($E66)-1)/12)*$H66</f>
        <v>0</v>
      </c>
      <c r="S66" s="243">
        <f>(SUM('1.  LRAMVA Summary'!N$54:N$62)+SUM('1.  LRAMVA Summary'!N$63:N$64)*(MONTH($E66)-1)/12)*$H66</f>
        <v>0</v>
      </c>
      <c r="T66" s="243">
        <f>(SUM('1.  LRAMVA Summary'!O$54:O$62)+SUM('1.  LRAMVA Summary'!O$63:O$64)*(MONTH($E66)-1)/12)*$H66</f>
        <v>0</v>
      </c>
      <c r="U66" s="243">
        <f>(SUM('1.  LRAMVA Summary'!P$54:P$62)+SUM('1.  LRAMVA Summary'!P$63:P$64)*(MONTH($E66)-1)/12)*$H66</f>
        <v>0</v>
      </c>
      <c r="V66" s="243">
        <f>(SUM('1.  LRAMVA Summary'!Q$54:Q$62)+SUM('1.  LRAMVA Summary'!Q$63:Q$64)*(MONTH($E66)-1)/12)*$H66</f>
        <v>0</v>
      </c>
      <c r="W66" s="244">
        <f t="shared" si="15"/>
        <v>0</v>
      </c>
    </row>
    <row r="67" spans="2:23" s="22" customFormat="1">
      <c r="B67" s="226" t="s">
        <v>728</v>
      </c>
      <c r="C67" s="246"/>
      <c r="E67" s="227">
        <v>41852</v>
      </c>
      <c r="F67" s="227" t="s">
        <v>180</v>
      </c>
      <c r="G67" s="228" t="s">
        <v>68</v>
      </c>
      <c r="H67" s="242">
        <f>C$29/12</f>
        <v>1.225E-3</v>
      </c>
      <c r="I67" s="243">
        <f>(SUM('1.  LRAMVA Summary'!D$54:D$62)+SUM('1.  LRAMVA Summary'!D$63:D$64)*(MONTH($E67)-1)/12)*$H67</f>
        <v>0</v>
      </c>
      <c r="J67" s="243">
        <f>(SUM('1.  LRAMVA Summary'!E$54:E$62)+SUM('1.  LRAMVA Summary'!E$63:E$64)*(MONTH($E67)-1)/12)*$H67</f>
        <v>0</v>
      </c>
      <c r="K67" s="243">
        <f>(SUM('1.  LRAMVA Summary'!F$54:F$62)+SUM('1.  LRAMVA Summary'!F$63:F$64)*(MONTH($E67)-1)/12)*$H67</f>
        <v>0</v>
      </c>
      <c r="L67" s="243">
        <f>(SUM('1.  LRAMVA Summary'!G$54:G$62)+SUM('1.  LRAMVA Summary'!G$63:G$64)*(MONTH($E67)-1)/12)*$H67</f>
        <v>0</v>
      </c>
      <c r="M67" s="243">
        <f>(SUM('1.  LRAMVA Summary'!H$54:H$62)+SUM('1.  LRAMVA Summary'!H$63:H$64)*(MONTH($E67)-1)/12)*$H67</f>
        <v>0</v>
      </c>
      <c r="N67" s="243">
        <f>(SUM('1.  LRAMVA Summary'!I$54:I$62)+SUM('1.  LRAMVA Summary'!I$63:I$64)*(MONTH($E67)-1)/12)*$H67</f>
        <v>0</v>
      </c>
      <c r="O67" s="243">
        <f>(SUM('1.  LRAMVA Summary'!J$54:J$62)+SUM('1.  LRAMVA Summary'!J$63:J$64)*(MONTH($E67)-1)/12)*$H67</f>
        <v>0</v>
      </c>
      <c r="P67" s="243">
        <f>(SUM('1.  LRAMVA Summary'!K$54:K$62)+SUM('1.  LRAMVA Summary'!K$63:K$64)*(MONTH($E67)-1)/12)*$H67</f>
        <v>0</v>
      </c>
      <c r="Q67" s="243">
        <f>(SUM('1.  LRAMVA Summary'!L$54:L$62)+SUM('1.  LRAMVA Summary'!L$63:L$64)*(MONTH($E67)-1)/12)*$H67</f>
        <v>0</v>
      </c>
      <c r="R67" s="243">
        <f>(SUM('1.  LRAMVA Summary'!M$54:M$62)+SUM('1.  LRAMVA Summary'!M$63:M$64)*(MONTH($E67)-1)/12)*$H67</f>
        <v>0</v>
      </c>
      <c r="S67" s="243">
        <f>(SUM('1.  LRAMVA Summary'!N$54:N$62)+SUM('1.  LRAMVA Summary'!N$63:N$64)*(MONTH($E67)-1)/12)*$H67</f>
        <v>0</v>
      </c>
      <c r="T67" s="243">
        <f>(SUM('1.  LRAMVA Summary'!O$54:O$62)+SUM('1.  LRAMVA Summary'!O$63:O$64)*(MONTH($E67)-1)/12)*$H67</f>
        <v>0</v>
      </c>
      <c r="U67" s="243">
        <f>(SUM('1.  LRAMVA Summary'!P$54:P$62)+SUM('1.  LRAMVA Summary'!P$63:P$64)*(MONTH($E67)-1)/12)*$H67</f>
        <v>0</v>
      </c>
      <c r="V67" s="243">
        <f>(SUM('1.  LRAMVA Summary'!Q$54:Q$62)+SUM('1.  LRAMVA Summary'!Q$63:Q$64)*(MONTH($E67)-1)/12)*$H67</f>
        <v>0</v>
      </c>
      <c r="W67" s="244">
        <f t="shared" si="15"/>
        <v>0</v>
      </c>
    </row>
    <row r="68" spans="2:23" s="22" customFormat="1">
      <c r="B68" s="226" t="s">
        <v>729</v>
      </c>
      <c r="C68" s="246"/>
      <c r="E68" s="227">
        <v>41883</v>
      </c>
      <c r="F68" s="227" t="s">
        <v>180</v>
      </c>
      <c r="G68" s="228" t="s">
        <v>68</v>
      </c>
      <c r="H68" s="242">
        <f>C$29/12</f>
        <v>1.225E-3</v>
      </c>
      <c r="I68" s="243">
        <f>(SUM('1.  LRAMVA Summary'!D$54:D$62)+SUM('1.  LRAMVA Summary'!D$63:D$64)*(MONTH($E68)-1)/12)*$H68</f>
        <v>0</v>
      </c>
      <c r="J68" s="243">
        <f>(SUM('1.  LRAMVA Summary'!E$54:E$62)+SUM('1.  LRAMVA Summary'!E$63:E$64)*(MONTH($E68)-1)/12)*$H68</f>
        <v>0</v>
      </c>
      <c r="K68" s="243">
        <f>(SUM('1.  LRAMVA Summary'!F$54:F$62)+SUM('1.  LRAMVA Summary'!F$63:F$64)*(MONTH($E68)-1)/12)*$H68</f>
        <v>0</v>
      </c>
      <c r="L68" s="243">
        <f>(SUM('1.  LRAMVA Summary'!G$54:G$62)+SUM('1.  LRAMVA Summary'!G$63:G$64)*(MONTH($E68)-1)/12)*$H68</f>
        <v>0</v>
      </c>
      <c r="M68" s="243">
        <f>(SUM('1.  LRAMVA Summary'!H$54:H$62)+SUM('1.  LRAMVA Summary'!H$63:H$64)*(MONTH($E68)-1)/12)*$H68</f>
        <v>0</v>
      </c>
      <c r="N68" s="243">
        <f>(SUM('1.  LRAMVA Summary'!I$54:I$62)+SUM('1.  LRAMVA Summary'!I$63:I$64)*(MONTH($E68)-1)/12)*$H68</f>
        <v>0</v>
      </c>
      <c r="O68" s="243">
        <f>(SUM('1.  LRAMVA Summary'!J$54:J$62)+SUM('1.  LRAMVA Summary'!J$63:J$64)*(MONTH($E68)-1)/12)*$H68</f>
        <v>0</v>
      </c>
      <c r="P68" s="243">
        <f>(SUM('1.  LRAMVA Summary'!K$54:K$62)+SUM('1.  LRAMVA Summary'!K$63:K$64)*(MONTH($E68)-1)/12)*$H68</f>
        <v>0</v>
      </c>
      <c r="Q68" s="243">
        <f>(SUM('1.  LRAMVA Summary'!L$54:L$62)+SUM('1.  LRAMVA Summary'!L$63:L$64)*(MONTH($E68)-1)/12)*$H68</f>
        <v>0</v>
      </c>
      <c r="R68" s="243">
        <f>(SUM('1.  LRAMVA Summary'!M$54:M$62)+SUM('1.  LRAMVA Summary'!M$63:M$64)*(MONTH($E68)-1)/12)*$H68</f>
        <v>0</v>
      </c>
      <c r="S68" s="243">
        <f>(SUM('1.  LRAMVA Summary'!N$54:N$62)+SUM('1.  LRAMVA Summary'!N$63:N$64)*(MONTH($E68)-1)/12)*$H68</f>
        <v>0</v>
      </c>
      <c r="T68" s="243">
        <f>(SUM('1.  LRAMVA Summary'!O$54:O$62)+SUM('1.  LRAMVA Summary'!O$63:O$64)*(MONTH($E68)-1)/12)*$H68</f>
        <v>0</v>
      </c>
      <c r="U68" s="243">
        <f>(SUM('1.  LRAMVA Summary'!P$54:P$62)+SUM('1.  LRAMVA Summary'!P$63:P$64)*(MONTH($E68)-1)/12)*$H68</f>
        <v>0</v>
      </c>
      <c r="V68" s="243">
        <f>(SUM('1.  LRAMVA Summary'!Q$54:Q$62)+SUM('1.  LRAMVA Summary'!Q$63:Q$64)*(MONTH($E68)-1)/12)*$H68</f>
        <v>0</v>
      </c>
      <c r="W68" s="244">
        <f t="shared" si="15"/>
        <v>0</v>
      </c>
    </row>
    <row r="69" spans="2:23" s="22" customFormat="1">
      <c r="B69" s="226" t="s">
        <v>730</v>
      </c>
      <c r="C69" s="246"/>
      <c r="E69" s="227">
        <v>41913</v>
      </c>
      <c r="F69" s="227" t="s">
        <v>180</v>
      </c>
      <c r="G69" s="228" t="s">
        <v>69</v>
      </c>
      <c r="H69" s="245">
        <f>C$30/12</f>
        <v>1.225E-3</v>
      </c>
      <c r="I69" s="243">
        <f>(SUM('1.  LRAMVA Summary'!D$54:D$62)+SUM('1.  LRAMVA Summary'!D$63:D$64)*(MONTH($E69)-1)/12)*$H69</f>
        <v>0</v>
      </c>
      <c r="J69" s="243">
        <f>(SUM('1.  LRAMVA Summary'!E$54:E$62)+SUM('1.  LRAMVA Summary'!E$63:E$64)*(MONTH($E69)-1)/12)*$H69</f>
        <v>0</v>
      </c>
      <c r="K69" s="243">
        <f>(SUM('1.  LRAMVA Summary'!F$54:F$62)+SUM('1.  LRAMVA Summary'!F$63:F$64)*(MONTH($E69)-1)/12)*$H69</f>
        <v>0</v>
      </c>
      <c r="L69" s="243">
        <f>(SUM('1.  LRAMVA Summary'!G$54:G$62)+SUM('1.  LRAMVA Summary'!G$63:G$64)*(MONTH($E69)-1)/12)*$H69</f>
        <v>0</v>
      </c>
      <c r="M69" s="243">
        <f>(SUM('1.  LRAMVA Summary'!H$54:H$62)+SUM('1.  LRAMVA Summary'!H$63:H$64)*(MONTH($E69)-1)/12)*$H69</f>
        <v>0</v>
      </c>
      <c r="N69" s="243">
        <f>(SUM('1.  LRAMVA Summary'!I$54:I$62)+SUM('1.  LRAMVA Summary'!I$63:I$64)*(MONTH($E69)-1)/12)*$H69</f>
        <v>0</v>
      </c>
      <c r="O69" s="243">
        <f>(SUM('1.  LRAMVA Summary'!J$54:J$62)+SUM('1.  LRAMVA Summary'!J$63:J$64)*(MONTH($E69)-1)/12)*$H69</f>
        <v>0</v>
      </c>
      <c r="P69" s="243">
        <f>(SUM('1.  LRAMVA Summary'!K$54:K$62)+SUM('1.  LRAMVA Summary'!K$63:K$64)*(MONTH($E69)-1)/12)*$H69</f>
        <v>0</v>
      </c>
      <c r="Q69" s="243">
        <f>(SUM('1.  LRAMVA Summary'!L$54:L$62)+SUM('1.  LRAMVA Summary'!L$63:L$64)*(MONTH($E69)-1)/12)*$H69</f>
        <v>0</v>
      </c>
      <c r="R69" s="243">
        <f>(SUM('1.  LRAMVA Summary'!M$54:M$62)+SUM('1.  LRAMVA Summary'!M$63:M$64)*(MONTH($E69)-1)/12)*$H69</f>
        <v>0</v>
      </c>
      <c r="S69" s="243">
        <f>(SUM('1.  LRAMVA Summary'!N$54:N$62)+SUM('1.  LRAMVA Summary'!N$63:N$64)*(MONTH($E69)-1)/12)*$H69</f>
        <v>0</v>
      </c>
      <c r="T69" s="243">
        <f>(SUM('1.  LRAMVA Summary'!O$54:O$62)+SUM('1.  LRAMVA Summary'!O$63:O$64)*(MONTH($E69)-1)/12)*$H69</f>
        <v>0</v>
      </c>
      <c r="U69" s="243">
        <f>(SUM('1.  LRAMVA Summary'!P$54:P$62)+SUM('1.  LRAMVA Summary'!P$63:P$64)*(MONTH($E69)-1)/12)*$H69</f>
        <v>0</v>
      </c>
      <c r="V69" s="243">
        <f>(SUM('1.  LRAMVA Summary'!Q$54:Q$62)+SUM('1.  LRAMVA Summary'!Q$63:Q$64)*(MONTH($E69)-1)/12)*$H69</f>
        <v>0</v>
      </c>
      <c r="W69" s="244">
        <f t="shared" si="15"/>
        <v>0</v>
      </c>
    </row>
    <row r="70" spans="2:23" s="22" customFormat="1">
      <c r="B70" s="248" t="s">
        <v>731</v>
      </c>
      <c r="C70" s="249"/>
      <c r="E70" s="227">
        <v>41944</v>
      </c>
      <c r="F70" s="227" t="s">
        <v>180</v>
      </c>
      <c r="G70" s="228" t="s">
        <v>69</v>
      </c>
      <c r="H70" s="242">
        <f>C$30/12</f>
        <v>1.225E-3</v>
      </c>
      <c r="I70" s="243">
        <f>(SUM('1.  LRAMVA Summary'!D$54:D$62)+SUM('1.  LRAMVA Summary'!D$63:D$64)*(MONTH($E70)-1)/12)*$H70</f>
        <v>0</v>
      </c>
      <c r="J70" s="243">
        <f>(SUM('1.  LRAMVA Summary'!E$54:E$62)+SUM('1.  LRAMVA Summary'!E$63:E$64)*(MONTH($E70)-1)/12)*$H70</f>
        <v>0</v>
      </c>
      <c r="K70" s="243">
        <f>(SUM('1.  LRAMVA Summary'!F$54:F$62)+SUM('1.  LRAMVA Summary'!F$63:F$64)*(MONTH($E70)-1)/12)*$H70</f>
        <v>0</v>
      </c>
      <c r="L70" s="243">
        <f>(SUM('1.  LRAMVA Summary'!G$54:G$62)+SUM('1.  LRAMVA Summary'!G$63:G$64)*(MONTH($E70)-1)/12)*$H70</f>
        <v>0</v>
      </c>
      <c r="M70" s="243">
        <f>(SUM('1.  LRAMVA Summary'!H$54:H$62)+SUM('1.  LRAMVA Summary'!H$63:H$64)*(MONTH($E70)-1)/12)*$H70</f>
        <v>0</v>
      </c>
      <c r="N70" s="243">
        <f>(SUM('1.  LRAMVA Summary'!I$54:I$62)+SUM('1.  LRAMVA Summary'!I$63:I$64)*(MONTH($E70)-1)/12)*$H70</f>
        <v>0</v>
      </c>
      <c r="O70" s="243">
        <f>(SUM('1.  LRAMVA Summary'!J$54:J$62)+SUM('1.  LRAMVA Summary'!J$63:J$64)*(MONTH($E70)-1)/12)*$H70</f>
        <v>0</v>
      </c>
      <c r="P70" s="243">
        <f>(SUM('1.  LRAMVA Summary'!K$54:K$62)+SUM('1.  LRAMVA Summary'!K$63:K$64)*(MONTH($E70)-1)/12)*$H70</f>
        <v>0</v>
      </c>
      <c r="Q70" s="243">
        <f>(SUM('1.  LRAMVA Summary'!L$54:L$62)+SUM('1.  LRAMVA Summary'!L$63:L$64)*(MONTH($E70)-1)/12)*$H70</f>
        <v>0</v>
      </c>
      <c r="R70" s="243">
        <f>(SUM('1.  LRAMVA Summary'!M$54:M$62)+SUM('1.  LRAMVA Summary'!M$63:M$64)*(MONTH($E70)-1)/12)*$H70</f>
        <v>0</v>
      </c>
      <c r="S70" s="243">
        <f>(SUM('1.  LRAMVA Summary'!N$54:N$62)+SUM('1.  LRAMVA Summary'!N$63:N$64)*(MONTH($E70)-1)/12)*$H70</f>
        <v>0</v>
      </c>
      <c r="T70" s="243">
        <f>(SUM('1.  LRAMVA Summary'!O$54:O$62)+SUM('1.  LRAMVA Summary'!O$63:O$64)*(MONTH($E70)-1)/12)*$H70</f>
        <v>0</v>
      </c>
      <c r="U70" s="243">
        <f>(SUM('1.  LRAMVA Summary'!P$54:P$62)+SUM('1.  LRAMVA Summary'!P$63:P$64)*(MONTH($E70)-1)/12)*$H70</f>
        <v>0</v>
      </c>
      <c r="V70" s="243">
        <f>(SUM('1.  LRAMVA Summary'!Q$54:Q$62)+SUM('1.  LRAMVA Summary'!Q$63:Q$64)*(MONTH($E70)-1)/12)*$H70</f>
        <v>0</v>
      </c>
      <c r="W70" s="244">
        <f t="shared" si="15"/>
        <v>0</v>
      </c>
    </row>
    <row r="71" spans="2:23" s="22" customFormat="1">
      <c r="B71" s="226" t="s">
        <v>732</v>
      </c>
      <c r="C71" s="246"/>
      <c r="E71" s="227">
        <v>41974</v>
      </c>
      <c r="F71" s="227" t="s">
        <v>180</v>
      </c>
      <c r="G71" s="228" t="s">
        <v>69</v>
      </c>
      <c r="H71" s="242">
        <f>C$30/12</f>
        <v>1.225E-3</v>
      </c>
      <c r="I71" s="243">
        <f>(SUM('1.  LRAMVA Summary'!D$54:D$62)+SUM('1.  LRAMVA Summary'!D$63:D$64)*(MONTH($E71)-1)/12)*$H71</f>
        <v>0</v>
      </c>
      <c r="J71" s="243">
        <f>(SUM('1.  LRAMVA Summary'!E$54:E$62)+SUM('1.  LRAMVA Summary'!E$63:E$64)*(MONTH($E71)-1)/12)*$H71</f>
        <v>0</v>
      </c>
      <c r="K71" s="243">
        <f>(SUM('1.  LRAMVA Summary'!F$54:F$62)+SUM('1.  LRAMVA Summary'!F$63:F$64)*(MONTH($E71)-1)/12)*$H71</f>
        <v>0</v>
      </c>
      <c r="L71" s="243">
        <f>(SUM('1.  LRAMVA Summary'!G$54:G$62)+SUM('1.  LRAMVA Summary'!G$63:G$64)*(MONTH($E71)-1)/12)*$H71</f>
        <v>0</v>
      </c>
      <c r="M71" s="243">
        <f>(SUM('1.  LRAMVA Summary'!H$54:H$62)+SUM('1.  LRAMVA Summary'!H$63:H$64)*(MONTH($E71)-1)/12)*$H71</f>
        <v>0</v>
      </c>
      <c r="N71" s="243">
        <f>(SUM('1.  LRAMVA Summary'!I$54:I$62)+SUM('1.  LRAMVA Summary'!I$63:I$64)*(MONTH($E71)-1)/12)*$H71</f>
        <v>0</v>
      </c>
      <c r="O71" s="243">
        <f>(SUM('1.  LRAMVA Summary'!J$54:J$62)+SUM('1.  LRAMVA Summary'!J$63:J$64)*(MONTH($E71)-1)/12)*$H71</f>
        <v>0</v>
      </c>
      <c r="P71" s="243">
        <f>(SUM('1.  LRAMVA Summary'!K$54:K$62)+SUM('1.  LRAMVA Summary'!K$63:K$64)*(MONTH($E71)-1)/12)*$H71</f>
        <v>0</v>
      </c>
      <c r="Q71" s="243">
        <f>(SUM('1.  LRAMVA Summary'!L$54:L$62)+SUM('1.  LRAMVA Summary'!L$63:L$64)*(MONTH($E71)-1)/12)*$H71</f>
        <v>0</v>
      </c>
      <c r="R71" s="243">
        <f>(SUM('1.  LRAMVA Summary'!M$54:M$62)+SUM('1.  LRAMVA Summary'!M$63:M$64)*(MONTH($E71)-1)/12)*$H71</f>
        <v>0</v>
      </c>
      <c r="S71" s="243">
        <f>(SUM('1.  LRAMVA Summary'!N$54:N$62)+SUM('1.  LRAMVA Summary'!N$63:N$64)*(MONTH($E71)-1)/12)*$H71</f>
        <v>0</v>
      </c>
      <c r="T71" s="243">
        <f>(SUM('1.  LRAMVA Summary'!O$54:O$62)+SUM('1.  LRAMVA Summary'!O$63:O$64)*(MONTH($E71)-1)/12)*$H71</f>
        <v>0</v>
      </c>
      <c r="U71" s="243">
        <f>(SUM('1.  LRAMVA Summary'!P$54:P$62)+SUM('1.  LRAMVA Summary'!P$63:P$64)*(MONTH($E71)-1)/12)*$H71</f>
        <v>0</v>
      </c>
      <c r="V71" s="243">
        <f>(SUM('1.  LRAMVA Summary'!Q$54:Q$62)+SUM('1.  LRAMVA Summary'!Q$63:Q$64)*(MONTH($E71)-1)/12)*$H71</f>
        <v>0</v>
      </c>
      <c r="W71" s="244">
        <f t="shared" si="15"/>
        <v>0</v>
      </c>
    </row>
    <row r="72" spans="2:23" s="22" customFormat="1" ht="15" thickBot="1">
      <c r="B72" s="226" t="s">
        <v>733</v>
      </c>
      <c r="C72" s="246"/>
      <c r="E72" s="229" t="s">
        <v>463</v>
      </c>
      <c r="F72" s="229"/>
      <c r="G72" s="230"/>
      <c r="H72" s="231"/>
      <c r="I72" s="232">
        <f>SUM(I59:I71)</f>
        <v>0</v>
      </c>
      <c r="J72" s="232">
        <f t="shared" ref="J72:V72" si="16">SUM(J59:J71)</f>
        <v>0</v>
      </c>
      <c r="K72" s="232">
        <f t="shared" si="16"/>
        <v>0</v>
      </c>
      <c r="L72" s="232">
        <f t="shared" si="16"/>
        <v>0</v>
      </c>
      <c r="M72" s="232">
        <f t="shared" si="16"/>
        <v>0</v>
      </c>
      <c r="N72" s="232">
        <f t="shared" si="16"/>
        <v>0</v>
      </c>
      <c r="O72" s="232">
        <f t="shared" si="16"/>
        <v>0</v>
      </c>
      <c r="P72" s="232">
        <f t="shared" si="16"/>
        <v>0</v>
      </c>
      <c r="Q72" s="232">
        <f t="shared" si="16"/>
        <v>0</v>
      </c>
      <c r="R72" s="232">
        <f t="shared" si="16"/>
        <v>0</v>
      </c>
      <c r="S72" s="232">
        <f t="shared" si="16"/>
        <v>0</v>
      </c>
      <c r="T72" s="232">
        <f t="shared" si="16"/>
        <v>0</v>
      </c>
      <c r="U72" s="232">
        <f t="shared" si="16"/>
        <v>0</v>
      </c>
      <c r="V72" s="232">
        <f t="shared" si="16"/>
        <v>0</v>
      </c>
      <c r="W72" s="232">
        <f>SUM(W59:W71)</f>
        <v>0</v>
      </c>
    </row>
    <row r="73" spans="2:23" s="22" customFormat="1" ht="15" thickTop="1">
      <c r="B73" s="226" t="s">
        <v>734</v>
      </c>
      <c r="C73" s="246"/>
      <c r="E73" s="233" t="s">
        <v>67</v>
      </c>
      <c r="F73" s="233"/>
      <c r="G73" s="234"/>
      <c r="H73" s="235"/>
      <c r="I73" s="236"/>
      <c r="J73" s="236"/>
      <c r="K73" s="236"/>
      <c r="L73" s="236"/>
      <c r="M73" s="236"/>
      <c r="N73" s="236"/>
      <c r="O73" s="236"/>
      <c r="P73" s="236"/>
      <c r="Q73" s="236"/>
      <c r="R73" s="236"/>
      <c r="S73" s="236"/>
      <c r="T73" s="236"/>
      <c r="U73" s="236"/>
      <c r="V73" s="236"/>
      <c r="W73" s="237"/>
    </row>
    <row r="74" spans="2:23" s="22" customFormat="1">
      <c r="B74" s="248" t="s">
        <v>735</v>
      </c>
      <c r="C74" s="249"/>
      <c r="E74" s="238" t="s">
        <v>427</v>
      </c>
      <c r="F74" s="238"/>
      <c r="G74" s="239"/>
      <c r="H74" s="240"/>
      <c r="I74" s="241">
        <f t="shared" ref="I74:O74" si="17">I72+I73</f>
        <v>0</v>
      </c>
      <c r="J74" s="241">
        <f t="shared" si="17"/>
        <v>0</v>
      </c>
      <c r="K74" s="241">
        <f t="shared" si="17"/>
        <v>0</v>
      </c>
      <c r="L74" s="241">
        <f t="shared" si="17"/>
        <v>0</v>
      </c>
      <c r="M74" s="241">
        <f t="shared" si="17"/>
        <v>0</v>
      </c>
      <c r="N74" s="241">
        <f t="shared" si="17"/>
        <v>0</v>
      </c>
      <c r="O74" s="241">
        <f t="shared" si="17"/>
        <v>0</v>
      </c>
      <c r="P74" s="241">
        <f t="shared" ref="P74:V74" si="18">P72+P73</f>
        <v>0</v>
      </c>
      <c r="Q74" s="241">
        <f t="shared" si="18"/>
        <v>0</v>
      </c>
      <c r="R74" s="241">
        <f t="shared" si="18"/>
        <v>0</v>
      </c>
      <c r="S74" s="241">
        <f t="shared" si="18"/>
        <v>0</v>
      </c>
      <c r="T74" s="241">
        <f t="shared" si="18"/>
        <v>0</v>
      </c>
      <c r="U74" s="241">
        <f t="shared" si="18"/>
        <v>0</v>
      </c>
      <c r="V74" s="241">
        <f t="shared" si="18"/>
        <v>0</v>
      </c>
      <c r="W74" s="241">
        <f>W72+W73</f>
        <v>0</v>
      </c>
    </row>
    <row r="75" spans="2:23" s="22" customFormat="1">
      <c r="B75" s="79"/>
      <c r="E75" s="227">
        <v>42005</v>
      </c>
      <c r="F75" s="227" t="s">
        <v>181</v>
      </c>
      <c r="G75" s="228" t="s">
        <v>65</v>
      </c>
      <c r="H75" s="242">
        <f>C$31/12</f>
        <v>1.225E-3</v>
      </c>
      <c r="I75" s="243">
        <f>(SUM('1.  LRAMVA Summary'!D$54:D$65)+SUM('1.  LRAMVA Summary'!D$66:D$67)*(MONTH($E75)-1)/12)*$H75</f>
        <v>0</v>
      </c>
      <c r="J75" s="243">
        <f>(SUM('1.  LRAMVA Summary'!E$54:E$65)+SUM('1.  LRAMVA Summary'!E$66:E$67)*(MONTH($E75)-1)/12)*$H75</f>
        <v>0</v>
      </c>
      <c r="K75" s="243">
        <f>(SUM('1.  LRAMVA Summary'!F$54:F$65)+SUM('1.  LRAMVA Summary'!F$66:F$67)*(MONTH($E75)-1)/12)*$H75</f>
        <v>0</v>
      </c>
      <c r="L75" s="243">
        <f>(SUM('1.  LRAMVA Summary'!G$54:G$65)+SUM('1.  LRAMVA Summary'!G$66:G$67)*(MONTH($E75)-1)/12)*$H75</f>
        <v>0</v>
      </c>
      <c r="M75" s="243">
        <f>(SUM('1.  LRAMVA Summary'!H$54:H$65)+SUM('1.  LRAMVA Summary'!H$66:H$67)*(MONTH($E75)-1)/12)*$H75</f>
        <v>0</v>
      </c>
      <c r="N75" s="243">
        <f>(SUM('1.  LRAMVA Summary'!I$54:I$65)+SUM('1.  LRAMVA Summary'!I$66:I$67)*(MONTH($E75)-1)/12)*$H75</f>
        <v>0</v>
      </c>
      <c r="O75" s="243">
        <f>(SUM('1.  LRAMVA Summary'!J$54:J$65)+SUM('1.  LRAMVA Summary'!J$66:J$67)*(MONTH($E75)-1)/12)*$H75</f>
        <v>0</v>
      </c>
      <c r="P75" s="243">
        <f>(SUM('1.  LRAMVA Summary'!K$54:K$65)+SUM('1.  LRAMVA Summary'!K$66:K$67)*(MONTH($E75)-1)/12)*$H75</f>
        <v>0</v>
      </c>
      <c r="Q75" s="243">
        <f>(SUM('1.  LRAMVA Summary'!L$54:L$65)+SUM('1.  LRAMVA Summary'!L$66:L$67)*(MONTH($E75)-1)/12)*$H75</f>
        <v>0</v>
      </c>
      <c r="R75" s="243">
        <f>(SUM('1.  LRAMVA Summary'!M$54:M$65)+SUM('1.  LRAMVA Summary'!M$66:M$67)*(MONTH($E75)-1)/12)*$H75</f>
        <v>0</v>
      </c>
      <c r="S75" s="243">
        <f>(SUM('1.  LRAMVA Summary'!N$54:N$65)+SUM('1.  LRAMVA Summary'!N$66:N$67)*(MONTH($E75)-1)/12)*$H75</f>
        <v>0</v>
      </c>
      <c r="T75" s="243">
        <f>(SUM('1.  LRAMVA Summary'!O$54:O$65)+SUM('1.  LRAMVA Summary'!O$66:O$67)*(MONTH($E75)-1)/12)*$H75</f>
        <v>0</v>
      </c>
      <c r="U75" s="243">
        <f>(SUM('1.  LRAMVA Summary'!P$54:P$65)+SUM('1.  LRAMVA Summary'!P$66:P$67)*(MONTH($E75)-1)/12)*$H75</f>
        <v>0</v>
      </c>
      <c r="V75" s="243">
        <f>(SUM('1.  LRAMVA Summary'!Q$54:Q$65)+SUM('1.  LRAMVA Summary'!Q$66:Q$67)*(MONTH($E75)-1)/12)*$H75</f>
        <v>0</v>
      </c>
      <c r="W75" s="244">
        <f>SUM(I75:V75)</f>
        <v>0</v>
      </c>
    </row>
    <row r="76" spans="2:23" s="251" customFormat="1">
      <c r="B76" s="250"/>
      <c r="E76" s="227">
        <v>42036</v>
      </c>
      <c r="F76" s="227" t="s">
        <v>181</v>
      </c>
      <c r="G76" s="228" t="s">
        <v>65</v>
      </c>
      <c r="H76" s="242">
        <f t="shared" ref="H76:H77" si="19">C$31/12</f>
        <v>1.225E-3</v>
      </c>
      <c r="I76" s="243">
        <f>(SUM('1.  LRAMVA Summary'!D$54:D$65)+SUM('1.  LRAMVA Summary'!D$66:D$67)*(MONTH($E76)-1)/12)*$H76</f>
        <v>1.5652261389250617</v>
      </c>
      <c r="J76" s="243">
        <f>(SUM('1.  LRAMVA Summary'!E$54:E$65)+SUM('1.  LRAMVA Summary'!E$66:E$67)*(MONTH($E76)-1)/12)*$H76</f>
        <v>2.5978251437406343</v>
      </c>
      <c r="K76" s="243">
        <f>(SUM('1.  LRAMVA Summary'!F$54:F$65)+SUM('1.  LRAMVA Summary'!F$66:F$67)*(MONTH($E76)-1)/12)*$H76</f>
        <v>2.2266977889096977</v>
      </c>
      <c r="L76" s="243">
        <f>(SUM('1.  LRAMVA Summary'!G$54:G$65)+SUM('1.  LRAMVA Summary'!G$66:G$67)*(MONTH($E76)-1)/12)*$H76</f>
        <v>1.3956723867466669</v>
      </c>
      <c r="M76" s="243">
        <f>(SUM('1.  LRAMVA Summary'!H$54:H$65)+SUM('1.  LRAMVA Summary'!H$66:H$67)*(MONTH($E76)-1)/12)*$H76</f>
        <v>0</v>
      </c>
      <c r="N76" s="243">
        <f>(SUM('1.  LRAMVA Summary'!I$54:I$65)+SUM('1.  LRAMVA Summary'!I$66:I$67)*(MONTH($E76)-1)/12)*$H76</f>
        <v>0</v>
      </c>
      <c r="O76" s="243">
        <f>(SUM('1.  LRAMVA Summary'!J$54:J$65)+SUM('1.  LRAMVA Summary'!J$66:J$67)*(MONTH($E76)-1)/12)*$H76</f>
        <v>0.18752384956934962</v>
      </c>
      <c r="P76" s="243">
        <f>(SUM('1.  LRAMVA Summary'!K$54:K$65)+SUM('1.  LRAMVA Summary'!K$66:K$67)*(MONTH($E76)-1)/12)*$H76</f>
        <v>0</v>
      </c>
      <c r="Q76" s="243">
        <f>(SUM('1.  LRAMVA Summary'!L$54:L$65)+SUM('1.  LRAMVA Summary'!L$66:L$67)*(MONTH($E76)-1)/12)*$H76</f>
        <v>0</v>
      </c>
      <c r="R76" s="243">
        <f>(SUM('1.  LRAMVA Summary'!M$54:M$65)+SUM('1.  LRAMVA Summary'!M$66:M$67)*(MONTH($E76)-1)/12)*$H76</f>
        <v>0</v>
      </c>
      <c r="S76" s="243">
        <f>(SUM('1.  LRAMVA Summary'!N$54:N$65)+SUM('1.  LRAMVA Summary'!N$66:N$67)*(MONTH($E76)-1)/12)*$H76</f>
        <v>0</v>
      </c>
      <c r="T76" s="243">
        <f>(SUM('1.  LRAMVA Summary'!O$54:O$65)+SUM('1.  LRAMVA Summary'!O$66:O$67)*(MONTH($E76)-1)/12)*$H76</f>
        <v>0</v>
      </c>
      <c r="U76" s="243">
        <f>(SUM('1.  LRAMVA Summary'!P$54:P$65)+SUM('1.  LRAMVA Summary'!P$66:P$67)*(MONTH($E76)-1)/12)*$H76</f>
        <v>0</v>
      </c>
      <c r="V76" s="243">
        <f>(SUM('1.  LRAMVA Summary'!Q$54:Q$65)+SUM('1.  LRAMVA Summary'!Q$66:Q$67)*(MONTH($E76)-1)/12)*$H76</f>
        <v>0</v>
      </c>
      <c r="W76" s="244">
        <f>SUM(I76:V76)</f>
        <v>7.9729453078914112</v>
      </c>
    </row>
    <row r="77" spans="2:23" s="22" customFormat="1" ht="15.6">
      <c r="B77" s="196" t="s">
        <v>182</v>
      </c>
      <c r="E77" s="227">
        <v>42064</v>
      </c>
      <c r="F77" s="227" t="s">
        <v>181</v>
      </c>
      <c r="G77" s="228" t="s">
        <v>65</v>
      </c>
      <c r="H77" s="242">
        <f t="shared" si="19"/>
        <v>1.225E-3</v>
      </c>
      <c r="I77" s="243">
        <f>(SUM('1.  LRAMVA Summary'!D$54:D$65)+SUM('1.  LRAMVA Summary'!D$66:D$67)*(MONTH($E77)-1)/12)*$H77</f>
        <v>3.1304522778501234</v>
      </c>
      <c r="J77" s="243">
        <f>(SUM('1.  LRAMVA Summary'!E$54:E$65)+SUM('1.  LRAMVA Summary'!E$66:E$67)*(MONTH($E77)-1)/12)*$H77</f>
        <v>5.1956502874812687</v>
      </c>
      <c r="K77" s="243">
        <f>(SUM('1.  LRAMVA Summary'!F$54:F$65)+SUM('1.  LRAMVA Summary'!F$66:F$67)*(MONTH($E77)-1)/12)*$H77</f>
        <v>4.4533955778193954</v>
      </c>
      <c r="L77" s="243">
        <f>(SUM('1.  LRAMVA Summary'!G$54:G$65)+SUM('1.  LRAMVA Summary'!G$66:G$67)*(MONTH($E77)-1)/12)*$H77</f>
        <v>2.7913447734933339</v>
      </c>
      <c r="M77" s="243">
        <f>(SUM('1.  LRAMVA Summary'!H$54:H$65)+SUM('1.  LRAMVA Summary'!H$66:H$67)*(MONTH($E77)-1)/12)*$H77</f>
        <v>0</v>
      </c>
      <c r="N77" s="243">
        <f>(SUM('1.  LRAMVA Summary'!I$54:I$65)+SUM('1.  LRAMVA Summary'!I$66:I$67)*(MONTH($E77)-1)/12)*$H77</f>
        <v>0</v>
      </c>
      <c r="O77" s="243">
        <f>(SUM('1.  LRAMVA Summary'!J$54:J$65)+SUM('1.  LRAMVA Summary'!J$66:J$67)*(MONTH($E77)-1)/12)*$H77</f>
        <v>0.37504769913869923</v>
      </c>
      <c r="P77" s="243">
        <f>(SUM('1.  LRAMVA Summary'!K$54:K$65)+SUM('1.  LRAMVA Summary'!K$66:K$67)*(MONTH($E77)-1)/12)*$H77</f>
        <v>0</v>
      </c>
      <c r="Q77" s="243">
        <f>(SUM('1.  LRAMVA Summary'!L$54:L$65)+SUM('1.  LRAMVA Summary'!L$66:L$67)*(MONTH($E77)-1)/12)*$H77</f>
        <v>0</v>
      </c>
      <c r="R77" s="243">
        <f>(SUM('1.  LRAMVA Summary'!M$54:M$65)+SUM('1.  LRAMVA Summary'!M$66:M$67)*(MONTH($E77)-1)/12)*$H77</f>
        <v>0</v>
      </c>
      <c r="S77" s="243">
        <f>(SUM('1.  LRAMVA Summary'!N$54:N$65)+SUM('1.  LRAMVA Summary'!N$66:N$67)*(MONTH($E77)-1)/12)*$H77</f>
        <v>0</v>
      </c>
      <c r="T77" s="243">
        <f>(SUM('1.  LRAMVA Summary'!O$54:O$65)+SUM('1.  LRAMVA Summary'!O$66:O$67)*(MONTH($E77)-1)/12)*$H77</f>
        <v>0</v>
      </c>
      <c r="U77" s="243">
        <f>(SUM('1.  LRAMVA Summary'!P$54:P$65)+SUM('1.  LRAMVA Summary'!P$66:P$67)*(MONTH($E77)-1)/12)*$H77</f>
        <v>0</v>
      </c>
      <c r="V77" s="243">
        <f>(SUM('1.  LRAMVA Summary'!Q$54:Q$65)+SUM('1.  LRAMVA Summary'!Q$66:Q$67)*(MONTH($E77)-1)/12)*$H77</f>
        <v>0</v>
      </c>
      <c r="W77" s="244">
        <f>SUM(I77:V77)</f>
        <v>15.945890615782822</v>
      </c>
    </row>
    <row r="78" spans="2:23" s="22" customFormat="1">
      <c r="B78" s="79"/>
      <c r="E78" s="227">
        <v>42095</v>
      </c>
      <c r="F78" s="227" t="s">
        <v>181</v>
      </c>
      <c r="G78" s="228" t="s">
        <v>66</v>
      </c>
      <c r="H78" s="242">
        <f>C$32/12</f>
        <v>9.1666666666666665E-4</v>
      </c>
      <c r="I78" s="243">
        <f>(SUM('1.  LRAMVA Summary'!D$54:D$65)+SUM('1.  LRAMVA Summary'!D$66:D$67)*(MONTH($E78)-1)/12)*$H78</f>
        <v>3.5137729649338123</v>
      </c>
      <c r="J78" s="243">
        <f>(SUM('1.  LRAMVA Summary'!E$54:E$65)+SUM('1.  LRAMVA Summary'!E$66:E$67)*(MONTH($E78)-1)/12)*$H78</f>
        <v>5.831852363499384</v>
      </c>
      <c r="K78" s="243">
        <f>(SUM('1.  LRAMVA Summary'!F$54:F$65)+SUM('1.  LRAMVA Summary'!F$66:F$67)*(MONTH($E78)-1)/12)*$H78</f>
        <v>4.9987093220421785</v>
      </c>
      <c r="L78" s="243">
        <f>(SUM('1.  LRAMVA Summary'!G$54:G$65)+SUM('1.  LRAMVA Summary'!G$66:G$67)*(MONTH($E78)-1)/12)*$H78</f>
        <v>3.1331420926965992</v>
      </c>
      <c r="M78" s="243">
        <f>(SUM('1.  LRAMVA Summary'!H$54:H$65)+SUM('1.  LRAMVA Summary'!H$66:H$67)*(MONTH($E78)-1)/12)*$H78</f>
        <v>0</v>
      </c>
      <c r="N78" s="243">
        <f>(SUM('1.  LRAMVA Summary'!I$54:I$65)+SUM('1.  LRAMVA Summary'!I$66:I$67)*(MONTH($E78)-1)/12)*$H78</f>
        <v>0</v>
      </c>
      <c r="O78" s="243">
        <f>(SUM('1.  LRAMVA Summary'!J$54:J$65)+SUM('1.  LRAMVA Summary'!J$66:J$67)*(MONTH($E78)-1)/12)*$H78</f>
        <v>0.42097190719649918</v>
      </c>
      <c r="P78" s="243">
        <f>(SUM('1.  LRAMVA Summary'!K$54:K$65)+SUM('1.  LRAMVA Summary'!K$66:K$67)*(MONTH($E78)-1)/12)*$H78</f>
        <v>0</v>
      </c>
      <c r="Q78" s="243">
        <f>(SUM('1.  LRAMVA Summary'!L$54:L$65)+SUM('1.  LRAMVA Summary'!L$66:L$67)*(MONTH($E78)-1)/12)*$H78</f>
        <v>0</v>
      </c>
      <c r="R78" s="243">
        <f>(SUM('1.  LRAMVA Summary'!M$54:M$65)+SUM('1.  LRAMVA Summary'!M$66:M$67)*(MONTH($E78)-1)/12)*$H78</f>
        <v>0</v>
      </c>
      <c r="S78" s="243">
        <f>(SUM('1.  LRAMVA Summary'!N$54:N$65)+SUM('1.  LRAMVA Summary'!N$66:N$67)*(MONTH($E78)-1)/12)*$H78</f>
        <v>0</v>
      </c>
      <c r="T78" s="243">
        <f>(SUM('1.  LRAMVA Summary'!O$54:O$65)+SUM('1.  LRAMVA Summary'!O$66:O$67)*(MONTH($E78)-1)/12)*$H78</f>
        <v>0</v>
      </c>
      <c r="U78" s="243">
        <f>(SUM('1.  LRAMVA Summary'!P$54:P$65)+SUM('1.  LRAMVA Summary'!P$66:P$67)*(MONTH($E78)-1)/12)*$H78</f>
        <v>0</v>
      </c>
      <c r="V78" s="243">
        <f>(SUM('1.  LRAMVA Summary'!Q$54:Q$65)+SUM('1.  LRAMVA Summary'!Q$66:Q$67)*(MONTH($E78)-1)/12)*$H78</f>
        <v>0</v>
      </c>
      <c r="W78" s="244">
        <f t="shared" ref="W78:W86" si="20">SUM(I78:V78)</f>
        <v>17.898448650368472</v>
      </c>
    </row>
    <row r="79" spans="2:23" s="22" customFormat="1">
      <c r="B79" s="79"/>
      <c r="E79" s="227">
        <v>42125</v>
      </c>
      <c r="F79" s="227" t="s">
        <v>181</v>
      </c>
      <c r="G79" s="228" t="s">
        <v>66</v>
      </c>
      <c r="H79" s="242">
        <f t="shared" ref="H79:H80" si="21">C$32/12</f>
        <v>9.1666666666666665E-4</v>
      </c>
      <c r="I79" s="243">
        <f>(SUM('1.  LRAMVA Summary'!D$54:D$65)+SUM('1.  LRAMVA Summary'!D$66:D$67)*(MONTH($E79)-1)/12)*$H79</f>
        <v>4.6850306199117489</v>
      </c>
      <c r="J79" s="243">
        <f>(SUM('1.  LRAMVA Summary'!E$54:E$65)+SUM('1.  LRAMVA Summary'!E$66:E$67)*(MONTH($E79)-1)/12)*$H79</f>
        <v>7.7758031513325117</v>
      </c>
      <c r="K79" s="243">
        <f>(SUM('1.  LRAMVA Summary'!F$54:F$65)+SUM('1.  LRAMVA Summary'!F$66:F$67)*(MONTH($E79)-1)/12)*$H79</f>
        <v>6.6649457627229047</v>
      </c>
      <c r="L79" s="243">
        <f>(SUM('1.  LRAMVA Summary'!G$54:G$65)+SUM('1.  LRAMVA Summary'!G$66:G$67)*(MONTH($E79)-1)/12)*$H79</f>
        <v>4.1775227902621319</v>
      </c>
      <c r="M79" s="243">
        <f>(SUM('1.  LRAMVA Summary'!H$54:H$65)+SUM('1.  LRAMVA Summary'!H$66:H$67)*(MONTH($E79)-1)/12)*$H79</f>
        <v>0</v>
      </c>
      <c r="N79" s="243">
        <f>(SUM('1.  LRAMVA Summary'!I$54:I$65)+SUM('1.  LRAMVA Summary'!I$66:I$67)*(MONTH($E79)-1)/12)*$H79</f>
        <v>0</v>
      </c>
      <c r="O79" s="243">
        <f>(SUM('1.  LRAMVA Summary'!J$54:J$65)+SUM('1.  LRAMVA Summary'!J$66:J$67)*(MONTH($E79)-1)/12)*$H79</f>
        <v>0.56129587626199884</v>
      </c>
      <c r="P79" s="243">
        <f>(SUM('1.  LRAMVA Summary'!K$54:K$65)+SUM('1.  LRAMVA Summary'!K$66:K$67)*(MONTH($E79)-1)/12)*$H79</f>
        <v>0</v>
      </c>
      <c r="Q79" s="243">
        <f>(SUM('1.  LRAMVA Summary'!L$54:L$65)+SUM('1.  LRAMVA Summary'!L$66:L$67)*(MONTH($E79)-1)/12)*$H79</f>
        <v>0</v>
      </c>
      <c r="R79" s="243">
        <f>(SUM('1.  LRAMVA Summary'!M$54:M$65)+SUM('1.  LRAMVA Summary'!M$66:M$67)*(MONTH($E79)-1)/12)*$H79</f>
        <v>0</v>
      </c>
      <c r="S79" s="243">
        <f>(SUM('1.  LRAMVA Summary'!N$54:N$65)+SUM('1.  LRAMVA Summary'!N$66:N$67)*(MONTH($E79)-1)/12)*$H79</f>
        <v>0</v>
      </c>
      <c r="T79" s="243">
        <f>(SUM('1.  LRAMVA Summary'!O$54:O$65)+SUM('1.  LRAMVA Summary'!O$66:O$67)*(MONTH($E79)-1)/12)*$H79</f>
        <v>0</v>
      </c>
      <c r="U79" s="243">
        <f>(SUM('1.  LRAMVA Summary'!P$54:P$65)+SUM('1.  LRAMVA Summary'!P$66:P$67)*(MONTH($E79)-1)/12)*$H79</f>
        <v>0</v>
      </c>
      <c r="V79" s="243">
        <f>(SUM('1.  LRAMVA Summary'!Q$54:Q$65)+SUM('1.  LRAMVA Summary'!Q$66:Q$67)*(MONTH($E79)-1)/12)*$H79</f>
        <v>0</v>
      </c>
      <c r="W79" s="244">
        <f t="shared" si="20"/>
        <v>23.864598200491294</v>
      </c>
    </row>
    <row r="80" spans="2:23" s="22" customFormat="1">
      <c r="B80" s="79"/>
      <c r="E80" s="227">
        <v>42156</v>
      </c>
      <c r="F80" s="227" t="s">
        <v>181</v>
      </c>
      <c r="G80" s="228" t="s">
        <v>66</v>
      </c>
      <c r="H80" s="242">
        <f t="shared" si="21"/>
        <v>9.1666666666666665E-4</v>
      </c>
      <c r="I80" s="243">
        <f>(SUM('1.  LRAMVA Summary'!D$54:D$65)+SUM('1.  LRAMVA Summary'!D$66:D$67)*(MONTH($E80)-1)/12)*$H80</f>
        <v>5.8562882748896872</v>
      </c>
      <c r="J80" s="243">
        <f>(SUM('1.  LRAMVA Summary'!E$54:E$65)+SUM('1.  LRAMVA Summary'!E$66:E$67)*(MONTH($E80)-1)/12)*$H80</f>
        <v>9.7197539391656402</v>
      </c>
      <c r="K80" s="243">
        <f>(SUM('1.  LRAMVA Summary'!F$54:F$65)+SUM('1.  LRAMVA Summary'!F$66:F$67)*(MONTH($E80)-1)/12)*$H80</f>
        <v>8.3311822034036318</v>
      </c>
      <c r="L80" s="243">
        <f>(SUM('1.  LRAMVA Summary'!G$54:G$65)+SUM('1.  LRAMVA Summary'!G$66:G$67)*(MONTH($E80)-1)/12)*$H80</f>
        <v>5.2219034878276656</v>
      </c>
      <c r="M80" s="243">
        <f>(SUM('1.  LRAMVA Summary'!H$54:H$65)+SUM('1.  LRAMVA Summary'!H$66:H$67)*(MONTH($E80)-1)/12)*$H80</f>
        <v>0</v>
      </c>
      <c r="N80" s="243">
        <f>(SUM('1.  LRAMVA Summary'!I$54:I$65)+SUM('1.  LRAMVA Summary'!I$66:I$67)*(MONTH($E80)-1)/12)*$H80</f>
        <v>0</v>
      </c>
      <c r="O80" s="243">
        <f>(SUM('1.  LRAMVA Summary'!J$54:J$65)+SUM('1.  LRAMVA Summary'!J$66:J$67)*(MONTH($E80)-1)/12)*$H80</f>
        <v>0.70161984532749866</v>
      </c>
      <c r="P80" s="243">
        <f>(SUM('1.  LRAMVA Summary'!K$54:K$65)+SUM('1.  LRAMVA Summary'!K$66:K$67)*(MONTH($E80)-1)/12)*$H80</f>
        <v>0</v>
      </c>
      <c r="Q80" s="243">
        <f>(SUM('1.  LRAMVA Summary'!L$54:L$65)+SUM('1.  LRAMVA Summary'!L$66:L$67)*(MONTH($E80)-1)/12)*$H80</f>
        <v>0</v>
      </c>
      <c r="R80" s="243">
        <f>(SUM('1.  LRAMVA Summary'!M$54:M$65)+SUM('1.  LRAMVA Summary'!M$66:M$67)*(MONTH($E80)-1)/12)*$H80</f>
        <v>0</v>
      </c>
      <c r="S80" s="243">
        <f>(SUM('1.  LRAMVA Summary'!N$54:N$65)+SUM('1.  LRAMVA Summary'!N$66:N$67)*(MONTH($E80)-1)/12)*$H80</f>
        <v>0</v>
      </c>
      <c r="T80" s="243">
        <f>(SUM('1.  LRAMVA Summary'!O$54:O$65)+SUM('1.  LRAMVA Summary'!O$66:O$67)*(MONTH($E80)-1)/12)*$H80</f>
        <v>0</v>
      </c>
      <c r="U80" s="243">
        <f>(SUM('1.  LRAMVA Summary'!P$54:P$65)+SUM('1.  LRAMVA Summary'!P$66:P$67)*(MONTH($E80)-1)/12)*$H80</f>
        <v>0</v>
      </c>
      <c r="V80" s="243">
        <f>(SUM('1.  LRAMVA Summary'!Q$54:Q$65)+SUM('1.  LRAMVA Summary'!Q$66:Q$67)*(MONTH($E80)-1)/12)*$H80</f>
        <v>0</v>
      </c>
      <c r="W80" s="244">
        <f t="shared" si="20"/>
        <v>29.830747750614123</v>
      </c>
    </row>
    <row r="81" spans="2:23" s="22" customFormat="1">
      <c r="B81" s="79"/>
      <c r="E81" s="227">
        <v>42186</v>
      </c>
      <c r="F81" s="227" t="s">
        <v>181</v>
      </c>
      <c r="G81" s="228" t="s">
        <v>68</v>
      </c>
      <c r="H81" s="242">
        <f>C$33/12</f>
        <v>9.1666666666666665E-4</v>
      </c>
      <c r="I81" s="243">
        <f>(SUM('1.  LRAMVA Summary'!D$54:D$65)+SUM('1.  LRAMVA Summary'!D$66:D$67)*(MONTH($E81)-1)/12)*$H81</f>
        <v>7.0275459298676246</v>
      </c>
      <c r="J81" s="243">
        <f>(SUM('1.  LRAMVA Summary'!E$54:E$65)+SUM('1.  LRAMVA Summary'!E$66:E$67)*(MONTH($E81)-1)/12)*$H81</f>
        <v>11.663704726998768</v>
      </c>
      <c r="K81" s="243">
        <f>(SUM('1.  LRAMVA Summary'!F$54:F$65)+SUM('1.  LRAMVA Summary'!F$66:F$67)*(MONTH($E81)-1)/12)*$H81</f>
        <v>9.9974186440843571</v>
      </c>
      <c r="L81" s="243">
        <f>(SUM('1.  LRAMVA Summary'!G$54:G$65)+SUM('1.  LRAMVA Summary'!G$66:G$67)*(MONTH($E81)-1)/12)*$H81</f>
        <v>6.2662841853931983</v>
      </c>
      <c r="M81" s="243">
        <f>(SUM('1.  LRAMVA Summary'!H$54:H$65)+SUM('1.  LRAMVA Summary'!H$66:H$67)*(MONTH($E81)-1)/12)*$H81</f>
        <v>0</v>
      </c>
      <c r="N81" s="243">
        <f>(SUM('1.  LRAMVA Summary'!I$54:I$65)+SUM('1.  LRAMVA Summary'!I$66:I$67)*(MONTH($E81)-1)/12)*$H81</f>
        <v>0</v>
      </c>
      <c r="O81" s="243">
        <f>(SUM('1.  LRAMVA Summary'!J$54:J$65)+SUM('1.  LRAMVA Summary'!J$66:J$67)*(MONTH($E81)-1)/12)*$H81</f>
        <v>0.84194381439299837</v>
      </c>
      <c r="P81" s="243">
        <f>(SUM('1.  LRAMVA Summary'!K$54:K$65)+SUM('1.  LRAMVA Summary'!K$66:K$67)*(MONTH($E81)-1)/12)*$H81</f>
        <v>0</v>
      </c>
      <c r="Q81" s="243">
        <f>(SUM('1.  LRAMVA Summary'!L$54:L$65)+SUM('1.  LRAMVA Summary'!L$66:L$67)*(MONTH($E81)-1)/12)*$H81</f>
        <v>0</v>
      </c>
      <c r="R81" s="243">
        <f>(SUM('1.  LRAMVA Summary'!M$54:M$65)+SUM('1.  LRAMVA Summary'!M$66:M$67)*(MONTH($E81)-1)/12)*$H81</f>
        <v>0</v>
      </c>
      <c r="S81" s="243">
        <f>(SUM('1.  LRAMVA Summary'!N$54:N$65)+SUM('1.  LRAMVA Summary'!N$66:N$67)*(MONTH($E81)-1)/12)*$H81</f>
        <v>0</v>
      </c>
      <c r="T81" s="243">
        <f>(SUM('1.  LRAMVA Summary'!O$54:O$65)+SUM('1.  LRAMVA Summary'!O$66:O$67)*(MONTH($E81)-1)/12)*$H81</f>
        <v>0</v>
      </c>
      <c r="U81" s="243">
        <f>(SUM('1.  LRAMVA Summary'!P$54:P$65)+SUM('1.  LRAMVA Summary'!P$66:P$67)*(MONTH($E81)-1)/12)*$H81</f>
        <v>0</v>
      </c>
      <c r="V81" s="243">
        <f>(SUM('1.  LRAMVA Summary'!Q$54:Q$65)+SUM('1.  LRAMVA Summary'!Q$66:Q$67)*(MONTH($E81)-1)/12)*$H81</f>
        <v>0</v>
      </c>
      <c r="W81" s="244">
        <f t="shared" si="20"/>
        <v>35.796897300736944</v>
      </c>
    </row>
    <row r="82" spans="2:23" s="22" customFormat="1">
      <c r="B82" s="79"/>
      <c r="E82" s="227">
        <v>42217</v>
      </c>
      <c r="F82" s="227" t="s">
        <v>181</v>
      </c>
      <c r="G82" s="228" t="s">
        <v>68</v>
      </c>
      <c r="H82" s="242">
        <f t="shared" ref="H82:H83" si="22">C$33/12</f>
        <v>9.1666666666666665E-4</v>
      </c>
      <c r="I82" s="243">
        <f>(SUM('1.  LRAMVA Summary'!D$54:D$65)+SUM('1.  LRAMVA Summary'!D$66:D$67)*(MONTH($E82)-1)/12)*$H82</f>
        <v>8.198803584845562</v>
      </c>
      <c r="J82" s="243">
        <f>(SUM('1.  LRAMVA Summary'!E$54:E$65)+SUM('1.  LRAMVA Summary'!E$66:E$67)*(MONTH($E82)-1)/12)*$H82</f>
        <v>13.607655514831894</v>
      </c>
      <c r="K82" s="243">
        <f>(SUM('1.  LRAMVA Summary'!F$54:F$65)+SUM('1.  LRAMVA Summary'!F$66:F$67)*(MONTH($E82)-1)/12)*$H82</f>
        <v>11.663655084765082</v>
      </c>
      <c r="L82" s="243">
        <f>(SUM('1.  LRAMVA Summary'!G$54:G$65)+SUM('1.  LRAMVA Summary'!G$66:G$67)*(MONTH($E82)-1)/12)*$H82</f>
        <v>7.310664882958732</v>
      </c>
      <c r="M82" s="243">
        <f>(SUM('1.  LRAMVA Summary'!H$54:H$65)+SUM('1.  LRAMVA Summary'!H$66:H$67)*(MONTH($E82)-1)/12)*$H82</f>
        <v>0</v>
      </c>
      <c r="N82" s="243">
        <f>(SUM('1.  LRAMVA Summary'!I$54:I$65)+SUM('1.  LRAMVA Summary'!I$66:I$67)*(MONTH($E82)-1)/12)*$H82</f>
        <v>0</v>
      </c>
      <c r="O82" s="243">
        <f>(SUM('1.  LRAMVA Summary'!J$54:J$65)+SUM('1.  LRAMVA Summary'!J$66:J$67)*(MONTH($E82)-1)/12)*$H82</f>
        <v>0.98226778345849797</v>
      </c>
      <c r="P82" s="243">
        <f>(SUM('1.  LRAMVA Summary'!K$54:K$65)+SUM('1.  LRAMVA Summary'!K$66:K$67)*(MONTH($E82)-1)/12)*$H82</f>
        <v>0</v>
      </c>
      <c r="Q82" s="243">
        <f>(SUM('1.  LRAMVA Summary'!L$54:L$65)+SUM('1.  LRAMVA Summary'!L$66:L$67)*(MONTH($E82)-1)/12)*$H82</f>
        <v>0</v>
      </c>
      <c r="R82" s="243">
        <f>(SUM('1.  LRAMVA Summary'!M$54:M$65)+SUM('1.  LRAMVA Summary'!M$66:M$67)*(MONTH($E82)-1)/12)*$H82</f>
        <v>0</v>
      </c>
      <c r="S82" s="243">
        <f>(SUM('1.  LRAMVA Summary'!N$54:N$65)+SUM('1.  LRAMVA Summary'!N$66:N$67)*(MONTH($E82)-1)/12)*$H82</f>
        <v>0</v>
      </c>
      <c r="T82" s="243">
        <f>(SUM('1.  LRAMVA Summary'!O$54:O$65)+SUM('1.  LRAMVA Summary'!O$66:O$67)*(MONTH($E82)-1)/12)*$H82</f>
        <v>0</v>
      </c>
      <c r="U82" s="243">
        <f>(SUM('1.  LRAMVA Summary'!P$54:P$65)+SUM('1.  LRAMVA Summary'!P$66:P$67)*(MONTH($E82)-1)/12)*$H82</f>
        <v>0</v>
      </c>
      <c r="V82" s="243">
        <f>(SUM('1.  LRAMVA Summary'!Q$54:Q$65)+SUM('1.  LRAMVA Summary'!Q$66:Q$67)*(MONTH($E82)-1)/12)*$H82</f>
        <v>0</v>
      </c>
      <c r="W82" s="244">
        <f t="shared" si="20"/>
        <v>41.763046850859766</v>
      </c>
    </row>
    <row r="83" spans="2:23" s="22" customFormat="1">
      <c r="B83" s="79"/>
      <c r="E83" s="227">
        <v>42248</v>
      </c>
      <c r="F83" s="227" t="s">
        <v>181</v>
      </c>
      <c r="G83" s="228" t="s">
        <v>68</v>
      </c>
      <c r="H83" s="242">
        <f t="shared" si="22"/>
        <v>9.1666666666666665E-4</v>
      </c>
      <c r="I83" s="243">
        <f>(SUM('1.  LRAMVA Summary'!D$54:D$65)+SUM('1.  LRAMVA Summary'!D$66:D$67)*(MONTH($E83)-1)/12)*$H83</f>
        <v>9.3700612398234977</v>
      </c>
      <c r="J83" s="243">
        <f>(SUM('1.  LRAMVA Summary'!E$54:E$65)+SUM('1.  LRAMVA Summary'!E$66:E$67)*(MONTH($E83)-1)/12)*$H83</f>
        <v>15.551606302665023</v>
      </c>
      <c r="K83" s="243">
        <f>(SUM('1.  LRAMVA Summary'!F$54:F$65)+SUM('1.  LRAMVA Summary'!F$66:F$67)*(MONTH($E83)-1)/12)*$H83</f>
        <v>13.329891525445809</v>
      </c>
      <c r="L83" s="243">
        <f>(SUM('1.  LRAMVA Summary'!G$54:G$65)+SUM('1.  LRAMVA Summary'!G$66:G$67)*(MONTH($E83)-1)/12)*$H83</f>
        <v>8.3550455805242638</v>
      </c>
      <c r="M83" s="243">
        <f>(SUM('1.  LRAMVA Summary'!H$54:H$65)+SUM('1.  LRAMVA Summary'!H$66:H$67)*(MONTH($E83)-1)/12)*$H83</f>
        <v>0</v>
      </c>
      <c r="N83" s="243">
        <f>(SUM('1.  LRAMVA Summary'!I$54:I$65)+SUM('1.  LRAMVA Summary'!I$66:I$67)*(MONTH($E83)-1)/12)*$H83</f>
        <v>0</v>
      </c>
      <c r="O83" s="243">
        <f>(SUM('1.  LRAMVA Summary'!J$54:J$65)+SUM('1.  LRAMVA Summary'!J$66:J$67)*(MONTH($E83)-1)/12)*$H83</f>
        <v>1.1225917525239977</v>
      </c>
      <c r="P83" s="243">
        <f>(SUM('1.  LRAMVA Summary'!K$54:K$65)+SUM('1.  LRAMVA Summary'!K$66:K$67)*(MONTH($E83)-1)/12)*$H83</f>
        <v>0</v>
      </c>
      <c r="Q83" s="243">
        <f>(SUM('1.  LRAMVA Summary'!L$54:L$65)+SUM('1.  LRAMVA Summary'!L$66:L$67)*(MONTH($E83)-1)/12)*$H83</f>
        <v>0</v>
      </c>
      <c r="R83" s="243">
        <f>(SUM('1.  LRAMVA Summary'!M$54:M$65)+SUM('1.  LRAMVA Summary'!M$66:M$67)*(MONTH($E83)-1)/12)*$H83</f>
        <v>0</v>
      </c>
      <c r="S83" s="243">
        <f>(SUM('1.  LRAMVA Summary'!N$54:N$65)+SUM('1.  LRAMVA Summary'!N$66:N$67)*(MONTH($E83)-1)/12)*$H83</f>
        <v>0</v>
      </c>
      <c r="T83" s="243">
        <f>(SUM('1.  LRAMVA Summary'!O$54:O$65)+SUM('1.  LRAMVA Summary'!O$66:O$67)*(MONTH($E83)-1)/12)*$H83</f>
        <v>0</v>
      </c>
      <c r="U83" s="243">
        <f>(SUM('1.  LRAMVA Summary'!P$54:P$65)+SUM('1.  LRAMVA Summary'!P$66:P$67)*(MONTH($E83)-1)/12)*$H83</f>
        <v>0</v>
      </c>
      <c r="V83" s="243">
        <f>(SUM('1.  LRAMVA Summary'!Q$54:Q$65)+SUM('1.  LRAMVA Summary'!Q$66:Q$67)*(MONTH($E83)-1)/12)*$H83</f>
        <v>0</v>
      </c>
      <c r="W83" s="244">
        <f t="shared" si="20"/>
        <v>47.729196400982588</v>
      </c>
    </row>
    <row r="84" spans="2:23" s="22" customFormat="1">
      <c r="B84" s="79"/>
      <c r="E84" s="227">
        <v>42278</v>
      </c>
      <c r="F84" s="227" t="s">
        <v>181</v>
      </c>
      <c r="G84" s="228" t="s">
        <v>69</v>
      </c>
      <c r="H84" s="242">
        <f>C$34/12</f>
        <v>9.1666666666666665E-4</v>
      </c>
      <c r="I84" s="243">
        <f>(SUM('1.  LRAMVA Summary'!D$54:D$65)+SUM('1.  LRAMVA Summary'!D$66:D$67)*(MONTH($E84)-1)/12)*$H84</f>
        <v>10.541318894801439</v>
      </c>
      <c r="J84" s="243">
        <f>(SUM('1.  LRAMVA Summary'!E$54:E$65)+SUM('1.  LRAMVA Summary'!E$66:E$67)*(MONTH($E84)-1)/12)*$H84</f>
        <v>17.495557090498153</v>
      </c>
      <c r="K84" s="243">
        <f>(SUM('1.  LRAMVA Summary'!F$54:F$65)+SUM('1.  LRAMVA Summary'!F$66:F$67)*(MONTH($E84)-1)/12)*$H84</f>
        <v>14.996127966126537</v>
      </c>
      <c r="L84" s="243">
        <f>(SUM('1.  LRAMVA Summary'!G$54:G$65)+SUM('1.  LRAMVA Summary'!G$66:G$67)*(MONTH($E84)-1)/12)*$H84</f>
        <v>9.3994262780897966</v>
      </c>
      <c r="M84" s="243">
        <f>(SUM('1.  LRAMVA Summary'!H$54:H$65)+SUM('1.  LRAMVA Summary'!H$66:H$67)*(MONTH($E84)-1)/12)*$H84</f>
        <v>0</v>
      </c>
      <c r="N84" s="243">
        <f>(SUM('1.  LRAMVA Summary'!I$54:I$65)+SUM('1.  LRAMVA Summary'!I$66:I$67)*(MONTH($E84)-1)/12)*$H84</f>
        <v>0</v>
      </c>
      <c r="O84" s="243">
        <f>(SUM('1.  LRAMVA Summary'!J$54:J$65)+SUM('1.  LRAMVA Summary'!J$66:J$67)*(MONTH($E84)-1)/12)*$H84</f>
        <v>1.2629157215894975</v>
      </c>
      <c r="P84" s="243">
        <f>(SUM('1.  LRAMVA Summary'!K$54:K$65)+SUM('1.  LRAMVA Summary'!K$66:K$67)*(MONTH($E84)-1)/12)*$H84</f>
        <v>0</v>
      </c>
      <c r="Q84" s="243">
        <f>(SUM('1.  LRAMVA Summary'!L$54:L$65)+SUM('1.  LRAMVA Summary'!L$66:L$67)*(MONTH($E84)-1)/12)*$H84</f>
        <v>0</v>
      </c>
      <c r="R84" s="243">
        <f>(SUM('1.  LRAMVA Summary'!M$54:M$65)+SUM('1.  LRAMVA Summary'!M$66:M$67)*(MONTH($E84)-1)/12)*$H84</f>
        <v>0</v>
      </c>
      <c r="S84" s="243">
        <f>(SUM('1.  LRAMVA Summary'!N$54:N$65)+SUM('1.  LRAMVA Summary'!N$66:N$67)*(MONTH($E84)-1)/12)*$H84</f>
        <v>0</v>
      </c>
      <c r="T84" s="243">
        <f>(SUM('1.  LRAMVA Summary'!O$54:O$65)+SUM('1.  LRAMVA Summary'!O$66:O$67)*(MONTH($E84)-1)/12)*$H84</f>
        <v>0</v>
      </c>
      <c r="U84" s="243">
        <f>(SUM('1.  LRAMVA Summary'!P$54:P$65)+SUM('1.  LRAMVA Summary'!P$66:P$67)*(MONTH($E84)-1)/12)*$H84</f>
        <v>0</v>
      </c>
      <c r="V84" s="243">
        <f>(SUM('1.  LRAMVA Summary'!Q$54:Q$65)+SUM('1.  LRAMVA Summary'!Q$66:Q$67)*(MONTH($E84)-1)/12)*$H84</f>
        <v>0</v>
      </c>
      <c r="W84" s="244">
        <f t="shared" si="20"/>
        <v>53.695345951105423</v>
      </c>
    </row>
    <row r="85" spans="2:23" s="22" customFormat="1">
      <c r="B85" s="79"/>
      <c r="E85" s="227">
        <v>42309</v>
      </c>
      <c r="F85" s="227" t="s">
        <v>181</v>
      </c>
      <c r="G85" s="228" t="s">
        <v>69</v>
      </c>
      <c r="H85" s="242">
        <f t="shared" ref="H85:H86" si="23">C$34/12</f>
        <v>9.1666666666666665E-4</v>
      </c>
      <c r="I85" s="243">
        <f>(SUM('1.  LRAMVA Summary'!D$54:D$65)+SUM('1.  LRAMVA Summary'!D$66:D$67)*(MONTH($E85)-1)/12)*$H85</f>
        <v>11.712576549779374</v>
      </c>
      <c r="J85" s="243">
        <f>(SUM('1.  LRAMVA Summary'!E$54:E$65)+SUM('1.  LRAMVA Summary'!E$66:E$67)*(MONTH($E85)-1)/12)*$H85</f>
        <v>19.43950787833128</v>
      </c>
      <c r="K85" s="243">
        <f>(SUM('1.  LRAMVA Summary'!F$54:F$65)+SUM('1.  LRAMVA Summary'!F$66:F$67)*(MONTH($E85)-1)/12)*$H85</f>
        <v>16.662364406807264</v>
      </c>
      <c r="L85" s="243">
        <f>(SUM('1.  LRAMVA Summary'!G$54:G$65)+SUM('1.  LRAMVA Summary'!G$66:G$67)*(MONTH($E85)-1)/12)*$H85</f>
        <v>10.443806975655331</v>
      </c>
      <c r="M85" s="243">
        <f>(SUM('1.  LRAMVA Summary'!H$54:H$65)+SUM('1.  LRAMVA Summary'!H$66:H$67)*(MONTH($E85)-1)/12)*$H85</f>
        <v>0</v>
      </c>
      <c r="N85" s="243">
        <f>(SUM('1.  LRAMVA Summary'!I$54:I$65)+SUM('1.  LRAMVA Summary'!I$66:I$67)*(MONTH($E85)-1)/12)*$H85</f>
        <v>0</v>
      </c>
      <c r="O85" s="243">
        <f>(SUM('1.  LRAMVA Summary'!J$54:J$65)+SUM('1.  LRAMVA Summary'!J$66:J$67)*(MONTH($E85)-1)/12)*$H85</f>
        <v>1.4032396906549973</v>
      </c>
      <c r="P85" s="243">
        <f>(SUM('1.  LRAMVA Summary'!K$54:K$65)+SUM('1.  LRAMVA Summary'!K$66:K$67)*(MONTH($E85)-1)/12)*$H85</f>
        <v>0</v>
      </c>
      <c r="Q85" s="243">
        <f>(SUM('1.  LRAMVA Summary'!L$54:L$65)+SUM('1.  LRAMVA Summary'!L$66:L$67)*(MONTH($E85)-1)/12)*$H85</f>
        <v>0</v>
      </c>
      <c r="R85" s="243">
        <f>(SUM('1.  LRAMVA Summary'!M$54:M$65)+SUM('1.  LRAMVA Summary'!M$66:M$67)*(MONTH($E85)-1)/12)*$H85</f>
        <v>0</v>
      </c>
      <c r="S85" s="243">
        <f>(SUM('1.  LRAMVA Summary'!N$54:N$65)+SUM('1.  LRAMVA Summary'!N$66:N$67)*(MONTH($E85)-1)/12)*$H85</f>
        <v>0</v>
      </c>
      <c r="T85" s="243">
        <f>(SUM('1.  LRAMVA Summary'!O$54:O$65)+SUM('1.  LRAMVA Summary'!O$66:O$67)*(MONTH($E85)-1)/12)*$H85</f>
        <v>0</v>
      </c>
      <c r="U85" s="243">
        <f>(SUM('1.  LRAMVA Summary'!P$54:P$65)+SUM('1.  LRAMVA Summary'!P$66:P$67)*(MONTH($E85)-1)/12)*$H85</f>
        <v>0</v>
      </c>
      <c r="V85" s="243">
        <f>(SUM('1.  LRAMVA Summary'!Q$54:Q$65)+SUM('1.  LRAMVA Summary'!Q$66:Q$67)*(MONTH($E85)-1)/12)*$H85</f>
        <v>0</v>
      </c>
      <c r="W85" s="244">
        <f t="shared" si="20"/>
        <v>59.661495501228245</v>
      </c>
    </row>
    <row r="86" spans="2:23" s="22" customFormat="1">
      <c r="B86" s="79"/>
      <c r="E86" s="227">
        <v>42339</v>
      </c>
      <c r="F86" s="227" t="s">
        <v>181</v>
      </c>
      <c r="G86" s="228" t="s">
        <v>69</v>
      </c>
      <c r="H86" s="242">
        <f t="shared" si="23"/>
        <v>9.1666666666666665E-4</v>
      </c>
      <c r="I86" s="243">
        <f>(SUM('1.  LRAMVA Summary'!D$54:D$65)+SUM('1.  LRAMVA Summary'!D$66:D$67)*(MONTH($E86)-1)/12)*$H86</f>
        <v>12.88383420475731</v>
      </c>
      <c r="J86" s="243">
        <f>(SUM('1.  LRAMVA Summary'!E$54:E$65)+SUM('1.  LRAMVA Summary'!E$66:E$67)*(MONTH($E86)-1)/12)*$H86</f>
        <v>21.383458666164405</v>
      </c>
      <c r="K86" s="243">
        <f>(SUM('1.  LRAMVA Summary'!F$54:F$65)+SUM('1.  LRAMVA Summary'!F$66:F$67)*(MONTH($E86)-1)/12)*$H86</f>
        <v>18.328600847487987</v>
      </c>
      <c r="L86" s="243">
        <f>(SUM('1.  LRAMVA Summary'!G$54:G$65)+SUM('1.  LRAMVA Summary'!G$66:G$67)*(MONTH($E86)-1)/12)*$H86</f>
        <v>11.488187673220862</v>
      </c>
      <c r="M86" s="243">
        <f>(SUM('1.  LRAMVA Summary'!H$54:H$65)+SUM('1.  LRAMVA Summary'!H$66:H$67)*(MONTH($E86)-1)/12)*$H86</f>
        <v>0</v>
      </c>
      <c r="N86" s="243">
        <f>(SUM('1.  LRAMVA Summary'!I$54:I$65)+SUM('1.  LRAMVA Summary'!I$66:I$67)*(MONTH($E86)-1)/12)*$H86</f>
        <v>0</v>
      </c>
      <c r="O86" s="243">
        <f>(SUM('1.  LRAMVA Summary'!J$54:J$65)+SUM('1.  LRAMVA Summary'!J$66:J$67)*(MONTH($E86)-1)/12)*$H86</f>
        <v>1.5435636597204969</v>
      </c>
      <c r="P86" s="243">
        <f>(SUM('1.  LRAMVA Summary'!K$54:K$65)+SUM('1.  LRAMVA Summary'!K$66:K$67)*(MONTH($E86)-1)/12)*$H86</f>
        <v>0</v>
      </c>
      <c r="Q86" s="243">
        <f>(SUM('1.  LRAMVA Summary'!L$54:L$65)+SUM('1.  LRAMVA Summary'!L$66:L$67)*(MONTH($E86)-1)/12)*$H86</f>
        <v>0</v>
      </c>
      <c r="R86" s="243">
        <f>(SUM('1.  LRAMVA Summary'!M$54:M$65)+SUM('1.  LRAMVA Summary'!M$66:M$67)*(MONTH($E86)-1)/12)*$H86</f>
        <v>0</v>
      </c>
      <c r="S86" s="243">
        <f>(SUM('1.  LRAMVA Summary'!N$54:N$65)+SUM('1.  LRAMVA Summary'!N$66:N$67)*(MONTH($E86)-1)/12)*$H86</f>
        <v>0</v>
      </c>
      <c r="T86" s="243">
        <f>(SUM('1.  LRAMVA Summary'!O$54:O$65)+SUM('1.  LRAMVA Summary'!O$66:O$67)*(MONTH($E86)-1)/12)*$H86</f>
        <v>0</v>
      </c>
      <c r="U86" s="243">
        <f>(SUM('1.  LRAMVA Summary'!P$54:P$65)+SUM('1.  LRAMVA Summary'!P$66:P$67)*(MONTH($E86)-1)/12)*$H86</f>
        <v>0</v>
      </c>
      <c r="V86" s="243">
        <f>(SUM('1.  LRAMVA Summary'!Q$54:Q$65)+SUM('1.  LRAMVA Summary'!Q$66:Q$67)*(MONTH($E86)-1)/12)*$H86</f>
        <v>0</v>
      </c>
      <c r="W86" s="244">
        <f t="shared" si="20"/>
        <v>65.627645051351053</v>
      </c>
    </row>
    <row r="87" spans="2:23" s="22" customFormat="1" ht="15" thickBot="1">
      <c r="B87" s="79"/>
      <c r="E87" s="229" t="s">
        <v>464</v>
      </c>
      <c r="F87" s="229"/>
      <c r="G87" s="230"/>
      <c r="H87" s="231"/>
      <c r="I87" s="232">
        <f>SUM(I74:I86)</f>
        <v>78.484910680385241</v>
      </c>
      <c r="J87" s="232">
        <f>SUM(J74:J86)</f>
        <v>130.26237506470898</v>
      </c>
      <c r="K87" s="232">
        <f t="shared" ref="K87:O87" si="24">SUM(K74:K86)</f>
        <v>111.65298912961484</v>
      </c>
      <c r="L87" s="232">
        <f t="shared" si="24"/>
        <v>69.983001106868585</v>
      </c>
      <c r="M87" s="232">
        <f t="shared" si="24"/>
        <v>0</v>
      </c>
      <c r="N87" s="232">
        <f t="shared" si="24"/>
        <v>0</v>
      </c>
      <c r="O87" s="232">
        <f t="shared" si="24"/>
        <v>9.4029815998345327</v>
      </c>
      <c r="P87" s="232">
        <f t="shared" ref="P87:V87" si="25">SUM(P74:P86)</f>
        <v>0</v>
      </c>
      <c r="Q87" s="232">
        <f t="shared" si="25"/>
        <v>0</v>
      </c>
      <c r="R87" s="232">
        <f t="shared" si="25"/>
        <v>0</v>
      </c>
      <c r="S87" s="232">
        <f t="shared" si="25"/>
        <v>0</v>
      </c>
      <c r="T87" s="232">
        <f t="shared" si="25"/>
        <v>0</v>
      </c>
      <c r="U87" s="232">
        <f t="shared" si="25"/>
        <v>0</v>
      </c>
      <c r="V87" s="232">
        <f t="shared" si="25"/>
        <v>0</v>
      </c>
      <c r="W87" s="232">
        <f>SUM(W74:W86)</f>
        <v>399.78625758141214</v>
      </c>
    </row>
    <row r="88" spans="2:23" s="22" customFormat="1" ht="15" thickTop="1">
      <c r="E88" s="233" t="s">
        <v>67</v>
      </c>
      <c r="F88" s="233"/>
      <c r="G88" s="234"/>
      <c r="H88" s="235"/>
      <c r="I88" s="236"/>
      <c r="J88" s="236"/>
      <c r="K88" s="236"/>
      <c r="L88" s="236"/>
      <c r="M88" s="236"/>
      <c r="N88" s="236"/>
      <c r="O88" s="236"/>
      <c r="P88" s="236"/>
      <c r="Q88" s="236"/>
      <c r="R88" s="236"/>
      <c r="S88" s="236"/>
      <c r="T88" s="236"/>
      <c r="U88" s="236"/>
      <c r="V88" s="236"/>
      <c r="W88" s="237"/>
    </row>
    <row r="89" spans="2:23" s="22" customFormat="1">
      <c r="B89" s="79"/>
      <c r="E89" s="238" t="s">
        <v>428</v>
      </c>
      <c r="F89" s="238"/>
      <c r="G89" s="239"/>
      <c r="H89" s="240"/>
      <c r="I89" s="241">
        <f>I87+I88</f>
        <v>78.484910680385241</v>
      </c>
      <c r="J89" s="241">
        <f t="shared" ref="J89" si="26">J87+J88</f>
        <v>130.26237506470898</v>
      </c>
      <c r="K89" s="241">
        <f t="shared" ref="K89" si="27">K87+K88</f>
        <v>111.65298912961484</v>
      </c>
      <c r="L89" s="241">
        <f t="shared" ref="L89" si="28">L87+L88</f>
        <v>69.983001106868585</v>
      </c>
      <c r="M89" s="241">
        <f t="shared" ref="M89" si="29">M87+M88</f>
        <v>0</v>
      </c>
      <c r="N89" s="241">
        <f t="shared" ref="N89" si="30">N87+N88</f>
        <v>0</v>
      </c>
      <c r="O89" s="241">
        <f t="shared" ref="O89:U89" si="31">O87+O88</f>
        <v>9.4029815998345327</v>
      </c>
      <c r="P89" s="241">
        <f t="shared" si="31"/>
        <v>0</v>
      </c>
      <c r="Q89" s="241">
        <f t="shared" si="31"/>
        <v>0</v>
      </c>
      <c r="R89" s="241">
        <f t="shared" si="31"/>
        <v>0</v>
      </c>
      <c r="S89" s="241">
        <f t="shared" si="31"/>
        <v>0</v>
      </c>
      <c r="T89" s="241">
        <f t="shared" si="31"/>
        <v>0</v>
      </c>
      <c r="U89" s="241">
        <f t="shared" si="31"/>
        <v>0</v>
      </c>
      <c r="V89" s="241">
        <f t="shared" ref="V89" si="32">V87+V88</f>
        <v>0</v>
      </c>
      <c r="W89" s="241">
        <f t="shared" ref="W89" si="33">W87+W88</f>
        <v>399.78625758141214</v>
      </c>
    </row>
    <row r="90" spans="2:23" s="22" customFormat="1">
      <c r="B90" s="79"/>
      <c r="E90" s="227">
        <v>42370</v>
      </c>
      <c r="F90" s="227" t="s">
        <v>183</v>
      </c>
      <c r="G90" s="228" t="s">
        <v>65</v>
      </c>
      <c r="H90" s="242">
        <f>$C$35/12</f>
        <v>9.1666666666666665E-4</v>
      </c>
      <c r="I90" s="243">
        <f>(SUM('1.  LRAMVA Summary'!D$54:D$68)+SUM('1.  LRAMVA Summary'!D$69:D$70)*(MONTH($E90)-1)/12)*$H90</f>
        <v>14.055091859735249</v>
      </c>
      <c r="J90" s="243">
        <f>(SUM('1.  LRAMVA Summary'!E$54:E$68)+SUM('1.  LRAMVA Summary'!E$69:E$70)*(MONTH($E90)-1)/12)*$H90</f>
        <v>23.327409453997536</v>
      </c>
      <c r="K90" s="243">
        <f>(SUM('1.  LRAMVA Summary'!F$54:F$68)+SUM('1.  LRAMVA Summary'!F$69:F$70)*(MONTH($E90)-1)/12)*$H90</f>
        <v>19.994837288168714</v>
      </c>
      <c r="L90" s="243">
        <f>(SUM('1.  LRAMVA Summary'!G$54:G$68)+SUM('1.  LRAMVA Summary'!G$69:G$70)*(MONTH($E90)-1)/12)*$H90</f>
        <v>12.532568370786397</v>
      </c>
      <c r="M90" s="243">
        <f>(SUM('1.  LRAMVA Summary'!H$54:H$68)+SUM('1.  LRAMVA Summary'!H$69:H$70)*(MONTH($E90)-1)/12)*$H90</f>
        <v>0</v>
      </c>
      <c r="N90" s="243">
        <f>(SUM('1.  LRAMVA Summary'!I$54:I$68)+SUM('1.  LRAMVA Summary'!I$69:I$70)*(MONTH($E90)-1)/12)*$H90</f>
        <v>0</v>
      </c>
      <c r="O90" s="243">
        <f>(SUM('1.  LRAMVA Summary'!J$54:J$68)+SUM('1.  LRAMVA Summary'!J$69:J$70)*(MONTH($E90)-1)/12)*$H90</f>
        <v>1.6838876287859967</v>
      </c>
      <c r="P90" s="243">
        <f>(SUM('1.  LRAMVA Summary'!K$54:K$68)+SUM('1.  LRAMVA Summary'!K$69:K$70)*(MONTH($E90)-1)/12)*$H90</f>
        <v>0</v>
      </c>
      <c r="Q90" s="243">
        <f>(SUM('1.  LRAMVA Summary'!L$54:L$68)+SUM('1.  LRAMVA Summary'!L$69:L$70)*(MONTH($E90)-1)/12)*$H90</f>
        <v>0</v>
      </c>
      <c r="R90" s="243">
        <f>(SUM('1.  LRAMVA Summary'!M$54:M$68)+SUM('1.  LRAMVA Summary'!M$69:M$70)*(MONTH($E90)-1)/12)*$H90</f>
        <v>0</v>
      </c>
      <c r="S90" s="243">
        <f>(SUM('1.  LRAMVA Summary'!N$54:N$68)+SUM('1.  LRAMVA Summary'!N$69:N$70)*(MONTH($E90)-1)/12)*$H90</f>
        <v>0</v>
      </c>
      <c r="T90" s="243">
        <f>(SUM('1.  LRAMVA Summary'!O$54:O$68)+SUM('1.  LRAMVA Summary'!O$69:O$70)*(MONTH($E90)-1)/12)*$H90</f>
        <v>0</v>
      </c>
      <c r="U90" s="243">
        <f>(SUM('1.  LRAMVA Summary'!P$54:P$68)+SUM('1.  LRAMVA Summary'!P$69:P$70)*(MONTH($E90)-1)/12)*$H90</f>
        <v>0</v>
      </c>
      <c r="V90" s="243">
        <f>(SUM('1.  LRAMVA Summary'!Q$54:Q$68)+SUM('1.  LRAMVA Summary'!Q$69:Q$70)*(MONTH($E90)-1)/12)*$H90</f>
        <v>0</v>
      </c>
      <c r="W90" s="244">
        <f>SUM(I90:V90)</f>
        <v>71.593794601473888</v>
      </c>
    </row>
    <row r="91" spans="2:23" s="22" customFormat="1">
      <c r="B91" s="79"/>
      <c r="E91" s="227">
        <v>42401</v>
      </c>
      <c r="F91" s="227" t="s">
        <v>183</v>
      </c>
      <c r="G91" s="228" t="s">
        <v>65</v>
      </c>
      <c r="H91" s="242">
        <f t="shared" ref="H91:H92" si="34">$C$35/12</f>
        <v>9.1666666666666665E-4</v>
      </c>
      <c r="I91" s="243">
        <f>(SUM('1.  LRAMVA Summary'!D$54:D$68)+SUM('1.  LRAMVA Summary'!D$69:D$70)*(MONTH($E91)-1)/12)*$H91</f>
        <v>16.606589190290805</v>
      </c>
      <c r="J91" s="243">
        <f>(SUM('1.  LRAMVA Summary'!E$54:E$68)+SUM('1.  LRAMVA Summary'!E$69:E$70)*(MONTH($E91)-1)/12)*$H91</f>
        <v>24.667725157037928</v>
      </c>
      <c r="K91" s="243">
        <f>(SUM('1.  LRAMVA Summary'!F$54:F$68)+SUM('1.  LRAMVA Summary'!F$69:F$70)*(MONTH($E91)-1)/12)*$H91</f>
        <v>19.721160059148481</v>
      </c>
      <c r="L91" s="243">
        <f>(SUM('1.  LRAMVA Summary'!G$54:G$68)+SUM('1.  LRAMVA Summary'!G$69:G$70)*(MONTH($E91)-1)/12)*$H91</f>
        <v>12.523537567882844</v>
      </c>
      <c r="M91" s="243">
        <f>(SUM('1.  LRAMVA Summary'!H$54:H$68)+SUM('1.  LRAMVA Summary'!H$69:H$70)*(MONTH($E91)-1)/12)*$H91</f>
        <v>0</v>
      </c>
      <c r="N91" s="243">
        <f>(SUM('1.  LRAMVA Summary'!I$54:I$68)+SUM('1.  LRAMVA Summary'!I$69:I$70)*(MONTH($E91)-1)/12)*$H91</f>
        <v>0</v>
      </c>
      <c r="O91" s="243">
        <f>(SUM('1.  LRAMVA Summary'!J$54:J$68)+SUM('1.  LRAMVA Summary'!J$69:J$70)*(MONTH($E91)-1)/12)*$H91</f>
        <v>0.55584896629459657</v>
      </c>
      <c r="P91" s="243">
        <f>(SUM('1.  LRAMVA Summary'!K$54:K$68)+SUM('1.  LRAMVA Summary'!K$69:K$70)*(MONTH($E91)-1)/12)*$H91</f>
        <v>0</v>
      </c>
      <c r="Q91" s="243">
        <f>(SUM('1.  LRAMVA Summary'!L$54:L$68)+SUM('1.  LRAMVA Summary'!L$69:L$70)*(MONTH($E91)-1)/12)*$H91</f>
        <v>0</v>
      </c>
      <c r="R91" s="243">
        <f>(SUM('1.  LRAMVA Summary'!M$54:M$68)+SUM('1.  LRAMVA Summary'!M$69:M$70)*(MONTH($E91)-1)/12)*$H91</f>
        <v>0</v>
      </c>
      <c r="S91" s="243">
        <f>(SUM('1.  LRAMVA Summary'!N$54:N$68)+SUM('1.  LRAMVA Summary'!N$69:N$70)*(MONTH($E91)-1)/12)*$H91</f>
        <v>0</v>
      </c>
      <c r="T91" s="243">
        <f>(SUM('1.  LRAMVA Summary'!O$54:O$68)+SUM('1.  LRAMVA Summary'!O$69:O$70)*(MONTH($E91)-1)/12)*$H91</f>
        <v>0</v>
      </c>
      <c r="U91" s="243">
        <f>(SUM('1.  LRAMVA Summary'!P$54:P$68)+SUM('1.  LRAMVA Summary'!P$69:P$70)*(MONTH($E91)-1)/12)*$H91</f>
        <v>0</v>
      </c>
      <c r="V91" s="243">
        <f>(SUM('1.  LRAMVA Summary'!Q$54:Q$68)+SUM('1.  LRAMVA Summary'!Q$69:Q$70)*(MONTH($E91)-1)/12)*$H91</f>
        <v>0</v>
      </c>
      <c r="W91" s="244">
        <f t="shared" ref="W91:W101" si="35">SUM(I91:V91)</f>
        <v>74.074860940654645</v>
      </c>
    </row>
    <row r="92" spans="2:23" s="22" customFormat="1" ht="14.25" customHeight="1">
      <c r="B92" s="79"/>
      <c r="E92" s="227">
        <v>42430</v>
      </c>
      <c r="F92" s="227" t="s">
        <v>183</v>
      </c>
      <c r="G92" s="228" t="s">
        <v>65</v>
      </c>
      <c r="H92" s="242">
        <f t="shared" si="34"/>
        <v>9.1666666666666665E-4</v>
      </c>
      <c r="I92" s="243">
        <f>(SUM('1.  LRAMVA Summary'!D$54:D$68)+SUM('1.  LRAMVA Summary'!D$69:D$70)*(MONTH($E92)-1)/12)*$H92</f>
        <v>19.158086520846357</v>
      </c>
      <c r="J92" s="243">
        <f>(SUM('1.  LRAMVA Summary'!E$54:E$68)+SUM('1.  LRAMVA Summary'!E$69:E$70)*(MONTH($E92)-1)/12)*$H92</f>
        <v>26.008040860078317</v>
      </c>
      <c r="K92" s="243">
        <f>(SUM('1.  LRAMVA Summary'!F$54:F$68)+SUM('1.  LRAMVA Summary'!F$69:F$70)*(MONTH($E92)-1)/12)*$H92</f>
        <v>19.447482830128244</v>
      </c>
      <c r="L92" s="243">
        <f>(SUM('1.  LRAMVA Summary'!G$54:G$68)+SUM('1.  LRAMVA Summary'!G$69:G$70)*(MONTH($E92)-1)/12)*$H92</f>
        <v>12.514506764979291</v>
      </c>
      <c r="M92" s="243">
        <f>(SUM('1.  LRAMVA Summary'!H$54:H$68)+SUM('1.  LRAMVA Summary'!H$69:H$70)*(MONTH($E92)-1)/12)*$H92</f>
        <v>0</v>
      </c>
      <c r="N92" s="243">
        <f>(SUM('1.  LRAMVA Summary'!I$54:I$68)+SUM('1.  LRAMVA Summary'!I$69:I$70)*(MONTH($E92)-1)/12)*$H92</f>
        <v>0</v>
      </c>
      <c r="O92" s="243">
        <f>(SUM('1.  LRAMVA Summary'!J$54:J$68)+SUM('1.  LRAMVA Summary'!J$69:J$70)*(MONTH($E92)-1)/12)*$H92</f>
        <v>-0.57218969619680349</v>
      </c>
      <c r="P92" s="243">
        <f>(SUM('1.  LRAMVA Summary'!K$54:K$68)+SUM('1.  LRAMVA Summary'!K$69:K$70)*(MONTH($E92)-1)/12)*$H92</f>
        <v>0</v>
      </c>
      <c r="Q92" s="243">
        <f>(SUM('1.  LRAMVA Summary'!L$54:L$68)+SUM('1.  LRAMVA Summary'!L$69:L$70)*(MONTH($E92)-1)/12)*$H92</f>
        <v>0</v>
      </c>
      <c r="R92" s="243">
        <f>(SUM('1.  LRAMVA Summary'!M$54:M$68)+SUM('1.  LRAMVA Summary'!M$69:M$70)*(MONTH($E92)-1)/12)*$H92</f>
        <v>0</v>
      </c>
      <c r="S92" s="243">
        <f>(SUM('1.  LRAMVA Summary'!N$54:N$68)+SUM('1.  LRAMVA Summary'!N$69:N$70)*(MONTH($E92)-1)/12)*$H92</f>
        <v>0</v>
      </c>
      <c r="T92" s="243">
        <f>(SUM('1.  LRAMVA Summary'!O$54:O$68)+SUM('1.  LRAMVA Summary'!O$69:O$70)*(MONTH($E92)-1)/12)*$H92</f>
        <v>0</v>
      </c>
      <c r="U92" s="243">
        <f>(SUM('1.  LRAMVA Summary'!P$54:P$68)+SUM('1.  LRAMVA Summary'!P$69:P$70)*(MONTH($E92)-1)/12)*$H92</f>
        <v>0</v>
      </c>
      <c r="V92" s="243">
        <f>(SUM('1.  LRAMVA Summary'!Q$54:Q$68)+SUM('1.  LRAMVA Summary'!Q$69:Q$70)*(MONTH($E92)-1)/12)*$H92</f>
        <v>0</v>
      </c>
      <c r="W92" s="244">
        <f t="shared" si="35"/>
        <v>76.555927279835416</v>
      </c>
    </row>
    <row r="93" spans="2:23" s="21" customFormat="1">
      <c r="B93" s="252"/>
      <c r="D93" s="22"/>
      <c r="E93" s="227">
        <v>42461</v>
      </c>
      <c r="F93" s="227" t="s">
        <v>183</v>
      </c>
      <c r="G93" s="228" t="s">
        <v>66</v>
      </c>
      <c r="H93" s="242">
        <f>$C$36/12</f>
        <v>9.1666666666666665E-4</v>
      </c>
      <c r="I93" s="243">
        <f>(SUM('1.  LRAMVA Summary'!D$54:D$68)+SUM('1.  LRAMVA Summary'!D$69:D$70)*(MONTH($E93)-1)/12)*$H93</f>
        <v>21.709583851401913</v>
      </c>
      <c r="J93" s="243">
        <f>(SUM('1.  LRAMVA Summary'!E$54:E$68)+SUM('1.  LRAMVA Summary'!E$69:E$70)*(MONTH($E93)-1)/12)*$H93</f>
        <v>27.348356563118713</v>
      </c>
      <c r="K93" s="243">
        <f>(SUM('1.  LRAMVA Summary'!F$54:F$68)+SUM('1.  LRAMVA Summary'!F$69:F$70)*(MONTH($E93)-1)/12)*$H93</f>
        <v>19.173805601108011</v>
      </c>
      <c r="L93" s="243">
        <f>(SUM('1.  LRAMVA Summary'!G$54:G$68)+SUM('1.  LRAMVA Summary'!G$69:G$70)*(MONTH($E93)-1)/12)*$H93</f>
        <v>12.505475962075739</v>
      </c>
      <c r="M93" s="243">
        <f>(SUM('1.  LRAMVA Summary'!H$54:H$68)+SUM('1.  LRAMVA Summary'!H$69:H$70)*(MONTH($E93)-1)/12)*$H93</f>
        <v>0</v>
      </c>
      <c r="N93" s="243">
        <f>(SUM('1.  LRAMVA Summary'!I$54:I$68)+SUM('1.  LRAMVA Summary'!I$69:I$70)*(MONTH($E93)-1)/12)*$H93</f>
        <v>0</v>
      </c>
      <c r="O93" s="243">
        <f>(SUM('1.  LRAMVA Summary'!J$54:J$68)+SUM('1.  LRAMVA Summary'!J$69:J$70)*(MONTH($E93)-1)/12)*$H93</f>
        <v>-1.7002283586882032</v>
      </c>
      <c r="P93" s="243">
        <f>(SUM('1.  LRAMVA Summary'!K$54:K$68)+SUM('1.  LRAMVA Summary'!K$69:K$70)*(MONTH($E93)-1)/12)*$H93</f>
        <v>0</v>
      </c>
      <c r="Q93" s="243">
        <f>(SUM('1.  LRAMVA Summary'!L$54:L$68)+SUM('1.  LRAMVA Summary'!L$69:L$70)*(MONTH($E93)-1)/12)*$H93</f>
        <v>0</v>
      </c>
      <c r="R93" s="243">
        <f>(SUM('1.  LRAMVA Summary'!M$54:M$68)+SUM('1.  LRAMVA Summary'!M$69:M$70)*(MONTH($E93)-1)/12)*$H93</f>
        <v>0</v>
      </c>
      <c r="S93" s="243">
        <f>(SUM('1.  LRAMVA Summary'!N$54:N$68)+SUM('1.  LRAMVA Summary'!N$69:N$70)*(MONTH($E93)-1)/12)*$H93</f>
        <v>0</v>
      </c>
      <c r="T93" s="243">
        <f>(SUM('1.  LRAMVA Summary'!O$54:O$68)+SUM('1.  LRAMVA Summary'!O$69:O$70)*(MONTH($E93)-1)/12)*$H93</f>
        <v>0</v>
      </c>
      <c r="U93" s="243">
        <f>(SUM('1.  LRAMVA Summary'!P$54:P$68)+SUM('1.  LRAMVA Summary'!P$69:P$70)*(MONTH($E93)-1)/12)*$H93</f>
        <v>0</v>
      </c>
      <c r="V93" s="243">
        <f>(SUM('1.  LRAMVA Summary'!Q$54:Q$68)+SUM('1.  LRAMVA Summary'!Q$69:Q$70)*(MONTH($E93)-1)/12)*$H93</f>
        <v>0</v>
      </c>
      <c r="W93" s="244">
        <f t="shared" si="35"/>
        <v>79.036993619016172</v>
      </c>
    </row>
    <row r="94" spans="2:23" s="22" customFormat="1">
      <c r="B94" s="79"/>
      <c r="E94" s="227">
        <v>42491</v>
      </c>
      <c r="F94" s="227" t="s">
        <v>183</v>
      </c>
      <c r="G94" s="228" t="s">
        <v>66</v>
      </c>
      <c r="H94" s="242">
        <f t="shared" ref="H94:H95" si="36">$C$36/12</f>
        <v>9.1666666666666665E-4</v>
      </c>
      <c r="I94" s="243">
        <f>(SUM('1.  LRAMVA Summary'!D$54:D$68)+SUM('1.  LRAMVA Summary'!D$69:D$70)*(MONTH($E94)-1)/12)*$H94</f>
        <v>24.261081181957465</v>
      </c>
      <c r="J94" s="243">
        <f>(SUM('1.  LRAMVA Summary'!E$54:E$68)+SUM('1.  LRAMVA Summary'!E$69:E$70)*(MONTH($E94)-1)/12)*$H94</f>
        <v>28.688672266159106</v>
      </c>
      <c r="K94" s="243">
        <f>(SUM('1.  LRAMVA Summary'!F$54:F$68)+SUM('1.  LRAMVA Summary'!F$69:F$70)*(MONTH($E94)-1)/12)*$H94</f>
        <v>18.900128372087778</v>
      </c>
      <c r="L94" s="243">
        <f>(SUM('1.  LRAMVA Summary'!G$54:G$68)+SUM('1.  LRAMVA Summary'!G$69:G$70)*(MONTH($E94)-1)/12)*$H94</f>
        <v>12.496445159172186</v>
      </c>
      <c r="M94" s="243">
        <f>(SUM('1.  LRAMVA Summary'!H$54:H$68)+SUM('1.  LRAMVA Summary'!H$69:H$70)*(MONTH($E94)-1)/12)*$H94</f>
        <v>0</v>
      </c>
      <c r="N94" s="243">
        <f>(SUM('1.  LRAMVA Summary'!I$54:I$68)+SUM('1.  LRAMVA Summary'!I$69:I$70)*(MONTH($E94)-1)/12)*$H94</f>
        <v>0</v>
      </c>
      <c r="O94" s="243">
        <f>(SUM('1.  LRAMVA Summary'!J$54:J$68)+SUM('1.  LRAMVA Summary'!J$69:J$70)*(MONTH($E94)-1)/12)*$H94</f>
        <v>-2.8282670211796037</v>
      </c>
      <c r="P94" s="243">
        <f>(SUM('1.  LRAMVA Summary'!K$54:K$68)+SUM('1.  LRAMVA Summary'!K$69:K$70)*(MONTH($E94)-1)/12)*$H94</f>
        <v>0</v>
      </c>
      <c r="Q94" s="243">
        <f>(SUM('1.  LRAMVA Summary'!L$54:L$68)+SUM('1.  LRAMVA Summary'!L$69:L$70)*(MONTH($E94)-1)/12)*$H94</f>
        <v>0</v>
      </c>
      <c r="R94" s="243">
        <f>(SUM('1.  LRAMVA Summary'!M$54:M$68)+SUM('1.  LRAMVA Summary'!M$69:M$70)*(MONTH($E94)-1)/12)*$H94</f>
        <v>0</v>
      </c>
      <c r="S94" s="243">
        <f>(SUM('1.  LRAMVA Summary'!N$54:N$68)+SUM('1.  LRAMVA Summary'!N$69:N$70)*(MONTH($E94)-1)/12)*$H94</f>
        <v>0</v>
      </c>
      <c r="T94" s="243">
        <f>(SUM('1.  LRAMVA Summary'!O$54:O$68)+SUM('1.  LRAMVA Summary'!O$69:O$70)*(MONTH($E94)-1)/12)*$H94</f>
        <v>0</v>
      </c>
      <c r="U94" s="243">
        <f>(SUM('1.  LRAMVA Summary'!P$54:P$68)+SUM('1.  LRAMVA Summary'!P$69:P$70)*(MONTH($E94)-1)/12)*$H94</f>
        <v>0</v>
      </c>
      <c r="V94" s="243">
        <f>(SUM('1.  LRAMVA Summary'!Q$54:Q$68)+SUM('1.  LRAMVA Summary'!Q$69:Q$70)*(MONTH($E94)-1)/12)*$H94</f>
        <v>0</v>
      </c>
      <c r="W94" s="244">
        <f t="shared" si="35"/>
        <v>81.518059958196929</v>
      </c>
    </row>
    <row r="95" spans="2:23" s="251" customFormat="1">
      <c r="B95" s="250"/>
      <c r="D95" s="22"/>
      <c r="E95" s="227">
        <v>42522</v>
      </c>
      <c r="F95" s="227" t="s">
        <v>183</v>
      </c>
      <c r="G95" s="228" t="s">
        <v>66</v>
      </c>
      <c r="H95" s="242">
        <f t="shared" si="36"/>
        <v>9.1666666666666665E-4</v>
      </c>
      <c r="I95" s="243">
        <f>(SUM('1.  LRAMVA Summary'!D$54:D$68)+SUM('1.  LRAMVA Summary'!D$69:D$70)*(MONTH($E95)-1)/12)*$H95</f>
        <v>26.812578512513028</v>
      </c>
      <c r="J95" s="243">
        <f>(SUM('1.  LRAMVA Summary'!E$54:E$68)+SUM('1.  LRAMVA Summary'!E$69:E$70)*(MONTH($E95)-1)/12)*$H95</f>
        <v>30.028987969199498</v>
      </c>
      <c r="K95" s="243">
        <f>(SUM('1.  LRAMVA Summary'!F$54:F$68)+SUM('1.  LRAMVA Summary'!F$69:F$70)*(MONTH($E95)-1)/12)*$H95</f>
        <v>18.626451143067545</v>
      </c>
      <c r="L95" s="243">
        <f>(SUM('1.  LRAMVA Summary'!G$54:G$68)+SUM('1.  LRAMVA Summary'!G$69:G$70)*(MONTH($E95)-1)/12)*$H95</f>
        <v>12.487414356268635</v>
      </c>
      <c r="M95" s="243">
        <f>(SUM('1.  LRAMVA Summary'!H$54:H$68)+SUM('1.  LRAMVA Summary'!H$69:H$70)*(MONTH($E95)-1)/12)*$H95</f>
        <v>0</v>
      </c>
      <c r="N95" s="243">
        <f>(SUM('1.  LRAMVA Summary'!I$54:I$68)+SUM('1.  LRAMVA Summary'!I$69:I$70)*(MONTH($E95)-1)/12)*$H95</f>
        <v>0</v>
      </c>
      <c r="O95" s="243">
        <f>(SUM('1.  LRAMVA Summary'!J$54:J$68)+SUM('1.  LRAMVA Summary'!J$69:J$70)*(MONTH($E95)-1)/12)*$H95</f>
        <v>-3.9563056836710029</v>
      </c>
      <c r="P95" s="243">
        <f>(SUM('1.  LRAMVA Summary'!K$54:K$68)+SUM('1.  LRAMVA Summary'!K$69:K$70)*(MONTH($E95)-1)/12)*$H95</f>
        <v>0</v>
      </c>
      <c r="Q95" s="243">
        <f>(SUM('1.  LRAMVA Summary'!L$54:L$68)+SUM('1.  LRAMVA Summary'!L$69:L$70)*(MONTH($E95)-1)/12)*$H95</f>
        <v>0</v>
      </c>
      <c r="R95" s="243">
        <f>(SUM('1.  LRAMVA Summary'!M$54:M$68)+SUM('1.  LRAMVA Summary'!M$69:M$70)*(MONTH($E95)-1)/12)*$H95</f>
        <v>0</v>
      </c>
      <c r="S95" s="243">
        <f>(SUM('1.  LRAMVA Summary'!N$54:N$68)+SUM('1.  LRAMVA Summary'!N$69:N$70)*(MONTH($E95)-1)/12)*$H95</f>
        <v>0</v>
      </c>
      <c r="T95" s="243">
        <f>(SUM('1.  LRAMVA Summary'!O$54:O$68)+SUM('1.  LRAMVA Summary'!O$69:O$70)*(MONTH($E95)-1)/12)*$H95</f>
        <v>0</v>
      </c>
      <c r="U95" s="243">
        <f>(SUM('1.  LRAMVA Summary'!P$54:P$68)+SUM('1.  LRAMVA Summary'!P$69:P$70)*(MONTH($E95)-1)/12)*$H95</f>
        <v>0</v>
      </c>
      <c r="V95" s="243">
        <f>(SUM('1.  LRAMVA Summary'!Q$54:Q$68)+SUM('1.  LRAMVA Summary'!Q$69:Q$70)*(MONTH($E95)-1)/12)*$H95</f>
        <v>0</v>
      </c>
      <c r="W95" s="244">
        <f t="shared" si="35"/>
        <v>83.9991262973777</v>
      </c>
    </row>
    <row r="96" spans="2:23" s="22" customFormat="1">
      <c r="B96" s="79"/>
      <c r="E96" s="227">
        <v>42552</v>
      </c>
      <c r="F96" s="227" t="s">
        <v>183</v>
      </c>
      <c r="G96" s="228" t="s">
        <v>68</v>
      </c>
      <c r="H96" s="242">
        <f>$C$37/12</f>
        <v>9.1666666666666665E-4</v>
      </c>
      <c r="I96" s="243">
        <f>(SUM('1.  LRAMVA Summary'!D$54:D$68)+SUM('1.  LRAMVA Summary'!D$69:D$70)*(MONTH($E96)-1)/12)*$H96</f>
        <v>29.36407584306858</v>
      </c>
      <c r="J96" s="243">
        <f>(SUM('1.  LRAMVA Summary'!E$54:E$68)+SUM('1.  LRAMVA Summary'!E$69:E$70)*(MONTH($E96)-1)/12)*$H96</f>
        <v>31.369303672239891</v>
      </c>
      <c r="K96" s="243">
        <f>(SUM('1.  LRAMVA Summary'!F$54:F$68)+SUM('1.  LRAMVA Summary'!F$69:F$70)*(MONTH($E96)-1)/12)*$H96</f>
        <v>18.352773914047308</v>
      </c>
      <c r="L96" s="243">
        <f>(SUM('1.  LRAMVA Summary'!G$54:G$68)+SUM('1.  LRAMVA Summary'!G$69:G$70)*(MONTH($E96)-1)/12)*$H96</f>
        <v>12.478383553365083</v>
      </c>
      <c r="M96" s="243">
        <f>(SUM('1.  LRAMVA Summary'!H$54:H$68)+SUM('1.  LRAMVA Summary'!H$69:H$70)*(MONTH($E96)-1)/12)*$H96</f>
        <v>0</v>
      </c>
      <c r="N96" s="243">
        <f>(SUM('1.  LRAMVA Summary'!I$54:I$68)+SUM('1.  LRAMVA Summary'!I$69:I$70)*(MONTH($E96)-1)/12)*$H96</f>
        <v>0</v>
      </c>
      <c r="O96" s="243">
        <f>(SUM('1.  LRAMVA Summary'!J$54:J$68)+SUM('1.  LRAMVA Summary'!J$69:J$70)*(MONTH($E96)-1)/12)*$H96</f>
        <v>-5.0843443461624034</v>
      </c>
      <c r="P96" s="243">
        <f>(SUM('1.  LRAMVA Summary'!K$54:K$68)+SUM('1.  LRAMVA Summary'!K$69:K$70)*(MONTH($E96)-1)/12)*$H96</f>
        <v>0</v>
      </c>
      <c r="Q96" s="243">
        <f>(SUM('1.  LRAMVA Summary'!L$54:L$68)+SUM('1.  LRAMVA Summary'!L$69:L$70)*(MONTH($E96)-1)/12)*$H96</f>
        <v>0</v>
      </c>
      <c r="R96" s="243">
        <f>(SUM('1.  LRAMVA Summary'!M$54:M$68)+SUM('1.  LRAMVA Summary'!M$69:M$70)*(MONTH($E96)-1)/12)*$H96</f>
        <v>0</v>
      </c>
      <c r="S96" s="243">
        <f>(SUM('1.  LRAMVA Summary'!N$54:N$68)+SUM('1.  LRAMVA Summary'!N$69:N$70)*(MONTH($E96)-1)/12)*$H96</f>
        <v>0</v>
      </c>
      <c r="T96" s="243">
        <f>(SUM('1.  LRAMVA Summary'!O$54:O$68)+SUM('1.  LRAMVA Summary'!O$69:O$70)*(MONTH($E96)-1)/12)*$H96</f>
        <v>0</v>
      </c>
      <c r="U96" s="243">
        <f>(SUM('1.  LRAMVA Summary'!P$54:P$68)+SUM('1.  LRAMVA Summary'!P$69:P$70)*(MONTH($E96)-1)/12)*$H96</f>
        <v>0</v>
      </c>
      <c r="V96" s="243">
        <f>(SUM('1.  LRAMVA Summary'!Q$54:Q$68)+SUM('1.  LRAMVA Summary'!Q$69:Q$70)*(MONTH($E96)-1)/12)*$H96</f>
        <v>0</v>
      </c>
      <c r="W96" s="244">
        <f t="shared" si="35"/>
        <v>86.480192636558456</v>
      </c>
    </row>
    <row r="97" spans="2:23" s="22" customFormat="1">
      <c r="B97" s="79"/>
      <c r="E97" s="227">
        <v>42583</v>
      </c>
      <c r="F97" s="227" t="s">
        <v>183</v>
      </c>
      <c r="G97" s="228" t="s">
        <v>68</v>
      </c>
      <c r="H97" s="242">
        <f t="shared" ref="H97:H98" si="37">$C$37/12</f>
        <v>9.1666666666666665E-4</v>
      </c>
      <c r="I97" s="243">
        <f>(SUM('1.  LRAMVA Summary'!D$54:D$68)+SUM('1.  LRAMVA Summary'!D$69:D$70)*(MONTH($E97)-1)/12)*$H97</f>
        <v>31.915573173624132</v>
      </c>
      <c r="J97" s="243">
        <f>(SUM('1.  LRAMVA Summary'!E$54:E$68)+SUM('1.  LRAMVA Summary'!E$69:E$70)*(MONTH($E97)-1)/12)*$H97</f>
        <v>32.709619375280283</v>
      </c>
      <c r="K97" s="243">
        <f>(SUM('1.  LRAMVA Summary'!F$54:F$68)+SUM('1.  LRAMVA Summary'!F$69:F$70)*(MONTH($E97)-1)/12)*$H97</f>
        <v>18.079096685027071</v>
      </c>
      <c r="L97" s="243">
        <f>(SUM('1.  LRAMVA Summary'!G$54:G$68)+SUM('1.  LRAMVA Summary'!G$69:G$70)*(MONTH($E97)-1)/12)*$H97</f>
        <v>12.469352750461528</v>
      </c>
      <c r="M97" s="243">
        <f>(SUM('1.  LRAMVA Summary'!H$54:H$68)+SUM('1.  LRAMVA Summary'!H$69:H$70)*(MONTH($E97)-1)/12)*$H97</f>
        <v>0</v>
      </c>
      <c r="N97" s="243">
        <f>(SUM('1.  LRAMVA Summary'!I$54:I$68)+SUM('1.  LRAMVA Summary'!I$69:I$70)*(MONTH($E97)-1)/12)*$H97</f>
        <v>0</v>
      </c>
      <c r="O97" s="243">
        <f>(SUM('1.  LRAMVA Summary'!J$54:J$68)+SUM('1.  LRAMVA Summary'!J$69:J$70)*(MONTH($E97)-1)/12)*$H97</f>
        <v>-6.212383008653803</v>
      </c>
      <c r="P97" s="243">
        <f>(SUM('1.  LRAMVA Summary'!K$54:K$68)+SUM('1.  LRAMVA Summary'!K$69:K$70)*(MONTH($E97)-1)/12)*$H97</f>
        <v>0</v>
      </c>
      <c r="Q97" s="243">
        <f>(SUM('1.  LRAMVA Summary'!L$54:L$68)+SUM('1.  LRAMVA Summary'!L$69:L$70)*(MONTH($E97)-1)/12)*$H97</f>
        <v>0</v>
      </c>
      <c r="R97" s="243">
        <f>(SUM('1.  LRAMVA Summary'!M$54:M$68)+SUM('1.  LRAMVA Summary'!M$69:M$70)*(MONTH($E97)-1)/12)*$H97</f>
        <v>0</v>
      </c>
      <c r="S97" s="243">
        <f>(SUM('1.  LRAMVA Summary'!N$54:N$68)+SUM('1.  LRAMVA Summary'!N$69:N$70)*(MONTH($E97)-1)/12)*$H97</f>
        <v>0</v>
      </c>
      <c r="T97" s="243">
        <f>(SUM('1.  LRAMVA Summary'!O$54:O$68)+SUM('1.  LRAMVA Summary'!O$69:O$70)*(MONTH($E97)-1)/12)*$H97</f>
        <v>0</v>
      </c>
      <c r="U97" s="243">
        <f>(SUM('1.  LRAMVA Summary'!P$54:P$68)+SUM('1.  LRAMVA Summary'!P$69:P$70)*(MONTH($E97)-1)/12)*$H97</f>
        <v>0</v>
      </c>
      <c r="V97" s="243">
        <f>(SUM('1.  LRAMVA Summary'!Q$54:Q$68)+SUM('1.  LRAMVA Summary'!Q$69:Q$70)*(MONTH($E97)-1)/12)*$H97</f>
        <v>0</v>
      </c>
      <c r="W97" s="244">
        <f t="shared" si="35"/>
        <v>88.961258975739199</v>
      </c>
    </row>
    <row r="98" spans="2:23" s="22" customFormat="1">
      <c r="B98" s="79"/>
      <c r="E98" s="227">
        <v>42614</v>
      </c>
      <c r="F98" s="227" t="s">
        <v>183</v>
      </c>
      <c r="G98" s="228" t="s">
        <v>68</v>
      </c>
      <c r="H98" s="242">
        <f t="shared" si="37"/>
        <v>9.1666666666666665E-4</v>
      </c>
      <c r="I98" s="243">
        <f>(SUM('1.  LRAMVA Summary'!D$54:D$68)+SUM('1.  LRAMVA Summary'!D$69:D$70)*(MONTH($E98)-1)/12)*$H98</f>
        <v>34.467070504179688</v>
      </c>
      <c r="J98" s="243">
        <f>(SUM('1.  LRAMVA Summary'!E$54:E$68)+SUM('1.  LRAMVA Summary'!E$69:E$70)*(MONTH($E98)-1)/12)*$H98</f>
        <v>34.049935078320679</v>
      </c>
      <c r="K98" s="243">
        <f>(SUM('1.  LRAMVA Summary'!F$54:F$68)+SUM('1.  LRAMVA Summary'!F$69:F$70)*(MONTH($E98)-1)/12)*$H98</f>
        <v>17.805419456006838</v>
      </c>
      <c r="L98" s="243">
        <f>(SUM('1.  LRAMVA Summary'!G$54:G$68)+SUM('1.  LRAMVA Summary'!G$69:G$70)*(MONTH($E98)-1)/12)*$H98</f>
        <v>12.460321947557977</v>
      </c>
      <c r="M98" s="243">
        <f>(SUM('1.  LRAMVA Summary'!H$54:H$68)+SUM('1.  LRAMVA Summary'!H$69:H$70)*(MONTH($E98)-1)/12)*$H98</f>
        <v>0</v>
      </c>
      <c r="N98" s="243">
        <f>(SUM('1.  LRAMVA Summary'!I$54:I$68)+SUM('1.  LRAMVA Summary'!I$69:I$70)*(MONTH($E98)-1)/12)*$H98</f>
        <v>0</v>
      </c>
      <c r="O98" s="243">
        <f>(SUM('1.  LRAMVA Summary'!J$54:J$68)+SUM('1.  LRAMVA Summary'!J$69:J$70)*(MONTH($E98)-1)/12)*$H98</f>
        <v>-7.3404216711452035</v>
      </c>
      <c r="P98" s="243">
        <f>(SUM('1.  LRAMVA Summary'!K$54:K$68)+SUM('1.  LRAMVA Summary'!K$69:K$70)*(MONTH($E98)-1)/12)*$H98</f>
        <v>0</v>
      </c>
      <c r="Q98" s="243">
        <f>(SUM('1.  LRAMVA Summary'!L$54:L$68)+SUM('1.  LRAMVA Summary'!L$69:L$70)*(MONTH($E98)-1)/12)*$H98</f>
        <v>0</v>
      </c>
      <c r="R98" s="243">
        <f>(SUM('1.  LRAMVA Summary'!M$54:M$68)+SUM('1.  LRAMVA Summary'!M$69:M$70)*(MONTH($E98)-1)/12)*$H98</f>
        <v>0</v>
      </c>
      <c r="S98" s="243">
        <f>(SUM('1.  LRAMVA Summary'!N$54:N$68)+SUM('1.  LRAMVA Summary'!N$69:N$70)*(MONTH($E98)-1)/12)*$H98</f>
        <v>0</v>
      </c>
      <c r="T98" s="243">
        <f>(SUM('1.  LRAMVA Summary'!O$54:O$68)+SUM('1.  LRAMVA Summary'!O$69:O$70)*(MONTH($E98)-1)/12)*$H98</f>
        <v>0</v>
      </c>
      <c r="U98" s="243">
        <f>(SUM('1.  LRAMVA Summary'!P$54:P$68)+SUM('1.  LRAMVA Summary'!P$69:P$70)*(MONTH($E98)-1)/12)*$H98</f>
        <v>0</v>
      </c>
      <c r="V98" s="243">
        <f>(SUM('1.  LRAMVA Summary'!Q$54:Q$68)+SUM('1.  LRAMVA Summary'!Q$69:Q$70)*(MONTH($E98)-1)/12)*$H98</f>
        <v>0</v>
      </c>
      <c r="W98" s="244">
        <f t="shared" si="35"/>
        <v>91.442325314919955</v>
      </c>
    </row>
    <row r="99" spans="2:23" s="22" customFormat="1">
      <c r="B99" s="79"/>
      <c r="E99" s="227">
        <v>42644</v>
      </c>
      <c r="F99" s="227" t="s">
        <v>183</v>
      </c>
      <c r="G99" s="228" t="s">
        <v>69</v>
      </c>
      <c r="H99" s="223">
        <f>$C$38/12</f>
        <v>9.1666666666666665E-4</v>
      </c>
      <c r="I99" s="243">
        <f>(SUM('1.  LRAMVA Summary'!D$54:D$68)+SUM('1.  LRAMVA Summary'!D$69:D$70)*(MONTH($E99)-1)/12)*$H99</f>
        <v>37.018567834735251</v>
      </c>
      <c r="J99" s="243">
        <f>(SUM('1.  LRAMVA Summary'!E$54:E$68)+SUM('1.  LRAMVA Summary'!E$69:E$70)*(MONTH($E99)-1)/12)*$H99</f>
        <v>35.390250781361068</v>
      </c>
      <c r="K99" s="243">
        <f>(SUM('1.  LRAMVA Summary'!F$54:F$68)+SUM('1.  LRAMVA Summary'!F$69:F$70)*(MONTH($E99)-1)/12)*$H99</f>
        <v>17.531742226986605</v>
      </c>
      <c r="L99" s="243">
        <f>(SUM('1.  LRAMVA Summary'!G$54:G$68)+SUM('1.  LRAMVA Summary'!G$69:G$70)*(MONTH($E99)-1)/12)*$H99</f>
        <v>12.451291144654425</v>
      </c>
      <c r="M99" s="243">
        <f>(SUM('1.  LRAMVA Summary'!H$54:H$68)+SUM('1.  LRAMVA Summary'!H$69:H$70)*(MONTH($E99)-1)/12)*$H99</f>
        <v>0</v>
      </c>
      <c r="N99" s="243">
        <f>(SUM('1.  LRAMVA Summary'!I$54:I$68)+SUM('1.  LRAMVA Summary'!I$69:I$70)*(MONTH($E99)-1)/12)*$H99</f>
        <v>0</v>
      </c>
      <c r="O99" s="243">
        <f>(SUM('1.  LRAMVA Summary'!J$54:J$68)+SUM('1.  LRAMVA Summary'!J$69:J$70)*(MONTH($E99)-1)/12)*$H99</f>
        <v>-8.4684603336366031</v>
      </c>
      <c r="P99" s="243">
        <f>(SUM('1.  LRAMVA Summary'!K$54:K$68)+SUM('1.  LRAMVA Summary'!K$69:K$70)*(MONTH($E99)-1)/12)*$H99</f>
        <v>0</v>
      </c>
      <c r="Q99" s="243">
        <f>(SUM('1.  LRAMVA Summary'!L$54:L$68)+SUM('1.  LRAMVA Summary'!L$69:L$70)*(MONTH($E99)-1)/12)*$H99</f>
        <v>0</v>
      </c>
      <c r="R99" s="243">
        <f>(SUM('1.  LRAMVA Summary'!M$54:M$68)+SUM('1.  LRAMVA Summary'!M$69:M$70)*(MONTH($E99)-1)/12)*$H99</f>
        <v>0</v>
      </c>
      <c r="S99" s="243">
        <f>(SUM('1.  LRAMVA Summary'!N$54:N$68)+SUM('1.  LRAMVA Summary'!N$69:N$70)*(MONTH($E99)-1)/12)*$H99</f>
        <v>0</v>
      </c>
      <c r="T99" s="243">
        <f>(SUM('1.  LRAMVA Summary'!O$54:O$68)+SUM('1.  LRAMVA Summary'!O$69:O$70)*(MONTH($E99)-1)/12)*$H99</f>
        <v>0</v>
      </c>
      <c r="U99" s="243">
        <f>(SUM('1.  LRAMVA Summary'!P$54:P$68)+SUM('1.  LRAMVA Summary'!P$69:P$70)*(MONTH($E99)-1)/12)*$H99</f>
        <v>0</v>
      </c>
      <c r="V99" s="243">
        <f>(SUM('1.  LRAMVA Summary'!Q$54:Q$68)+SUM('1.  LRAMVA Summary'!Q$69:Q$70)*(MONTH($E99)-1)/12)*$H99</f>
        <v>0</v>
      </c>
      <c r="W99" s="244">
        <f t="shared" si="35"/>
        <v>93.92339165410074</v>
      </c>
    </row>
    <row r="100" spans="2:23" s="22" customFormat="1">
      <c r="B100" s="79"/>
      <c r="E100" s="227">
        <v>42675</v>
      </c>
      <c r="F100" s="227" t="s">
        <v>183</v>
      </c>
      <c r="G100" s="228" t="s">
        <v>69</v>
      </c>
      <c r="H100" s="223">
        <f t="shared" ref="H100:H101" si="38">$C$38/12</f>
        <v>9.1666666666666665E-4</v>
      </c>
      <c r="I100" s="243">
        <f>(SUM('1.  LRAMVA Summary'!D$54:D$68)+SUM('1.  LRAMVA Summary'!D$69:D$70)*(MONTH($E100)-1)/12)*$H100</f>
        <v>39.570065165290806</v>
      </c>
      <c r="J100" s="243">
        <f>(SUM('1.  LRAMVA Summary'!E$54:E$68)+SUM('1.  LRAMVA Summary'!E$69:E$70)*(MONTH($E100)-1)/12)*$H100</f>
        <v>36.730566484401457</v>
      </c>
      <c r="K100" s="243">
        <f>(SUM('1.  LRAMVA Summary'!F$54:F$68)+SUM('1.  LRAMVA Summary'!F$69:F$70)*(MONTH($E100)-1)/12)*$H100</f>
        <v>17.258064997966368</v>
      </c>
      <c r="L100" s="243">
        <f>(SUM('1.  LRAMVA Summary'!G$54:G$68)+SUM('1.  LRAMVA Summary'!G$69:G$70)*(MONTH($E100)-1)/12)*$H100</f>
        <v>12.442260341750872</v>
      </c>
      <c r="M100" s="243">
        <f>(SUM('1.  LRAMVA Summary'!H$54:H$68)+SUM('1.  LRAMVA Summary'!H$69:H$70)*(MONTH($E100)-1)/12)*$H100</f>
        <v>0</v>
      </c>
      <c r="N100" s="243">
        <f>(SUM('1.  LRAMVA Summary'!I$54:I$68)+SUM('1.  LRAMVA Summary'!I$69:I$70)*(MONTH($E100)-1)/12)*$H100</f>
        <v>0</v>
      </c>
      <c r="O100" s="243">
        <f>(SUM('1.  LRAMVA Summary'!J$54:J$68)+SUM('1.  LRAMVA Summary'!J$69:J$70)*(MONTH($E100)-1)/12)*$H100</f>
        <v>-9.5964989961280036</v>
      </c>
      <c r="P100" s="243">
        <f>(SUM('1.  LRAMVA Summary'!K$54:K$68)+SUM('1.  LRAMVA Summary'!K$69:K$70)*(MONTH($E100)-1)/12)*$H100</f>
        <v>0</v>
      </c>
      <c r="Q100" s="243">
        <f>(SUM('1.  LRAMVA Summary'!L$54:L$68)+SUM('1.  LRAMVA Summary'!L$69:L$70)*(MONTH($E100)-1)/12)*$H100</f>
        <v>0</v>
      </c>
      <c r="R100" s="243">
        <f>(SUM('1.  LRAMVA Summary'!M$54:M$68)+SUM('1.  LRAMVA Summary'!M$69:M$70)*(MONTH($E100)-1)/12)*$H100</f>
        <v>0</v>
      </c>
      <c r="S100" s="243">
        <f>(SUM('1.  LRAMVA Summary'!N$54:N$68)+SUM('1.  LRAMVA Summary'!N$69:N$70)*(MONTH($E100)-1)/12)*$H100</f>
        <v>0</v>
      </c>
      <c r="T100" s="243">
        <f>(SUM('1.  LRAMVA Summary'!O$54:O$68)+SUM('1.  LRAMVA Summary'!O$69:O$70)*(MONTH($E100)-1)/12)*$H100</f>
        <v>0</v>
      </c>
      <c r="U100" s="243">
        <f>(SUM('1.  LRAMVA Summary'!P$54:P$68)+SUM('1.  LRAMVA Summary'!P$69:P$70)*(MONTH($E100)-1)/12)*$H100</f>
        <v>0</v>
      </c>
      <c r="V100" s="243">
        <f>(SUM('1.  LRAMVA Summary'!Q$54:Q$68)+SUM('1.  LRAMVA Summary'!Q$69:Q$70)*(MONTH($E100)-1)/12)*$H100</f>
        <v>0</v>
      </c>
      <c r="W100" s="244">
        <f t="shared" si="35"/>
        <v>96.404457993281497</v>
      </c>
    </row>
    <row r="101" spans="2:23" s="22" customFormat="1">
      <c r="B101" s="79"/>
      <c r="E101" s="227">
        <v>42705</v>
      </c>
      <c r="F101" s="227" t="s">
        <v>183</v>
      </c>
      <c r="G101" s="228" t="s">
        <v>69</v>
      </c>
      <c r="H101" s="223">
        <f t="shared" si="38"/>
        <v>9.1666666666666665E-4</v>
      </c>
      <c r="I101" s="243">
        <f>(SUM('1.  LRAMVA Summary'!D$54:D$68)+SUM('1.  LRAMVA Summary'!D$69:D$70)*(MONTH($E101)-1)/12)*$H101</f>
        <v>42.121562495846355</v>
      </c>
      <c r="J101" s="243">
        <f>(SUM('1.  LRAMVA Summary'!E$54:E$68)+SUM('1.  LRAMVA Summary'!E$69:E$70)*(MONTH($E101)-1)/12)*$H101</f>
        <v>38.070882187441853</v>
      </c>
      <c r="K101" s="243">
        <f>(SUM('1.  LRAMVA Summary'!F$54:F$68)+SUM('1.  LRAMVA Summary'!F$69:F$70)*(MONTH($E101)-1)/12)*$H101</f>
        <v>16.984387768946135</v>
      </c>
      <c r="L101" s="243">
        <f>(SUM('1.  LRAMVA Summary'!G$54:G$68)+SUM('1.  LRAMVA Summary'!G$69:G$70)*(MONTH($E101)-1)/12)*$H101</f>
        <v>12.43322953884732</v>
      </c>
      <c r="M101" s="243">
        <f>(SUM('1.  LRAMVA Summary'!H$54:H$68)+SUM('1.  LRAMVA Summary'!H$69:H$70)*(MONTH($E101)-1)/12)*$H101</f>
        <v>0</v>
      </c>
      <c r="N101" s="243">
        <f>(SUM('1.  LRAMVA Summary'!I$54:I$68)+SUM('1.  LRAMVA Summary'!I$69:I$70)*(MONTH($E101)-1)/12)*$H101</f>
        <v>0</v>
      </c>
      <c r="O101" s="243">
        <f>(SUM('1.  LRAMVA Summary'!J$54:J$68)+SUM('1.  LRAMVA Summary'!J$69:J$70)*(MONTH($E101)-1)/12)*$H101</f>
        <v>-10.724537658619404</v>
      </c>
      <c r="P101" s="243">
        <f>(SUM('1.  LRAMVA Summary'!K$54:K$68)+SUM('1.  LRAMVA Summary'!K$69:K$70)*(MONTH($E101)-1)/12)*$H101</f>
        <v>0</v>
      </c>
      <c r="Q101" s="243">
        <f>(SUM('1.  LRAMVA Summary'!L$54:L$68)+SUM('1.  LRAMVA Summary'!L$69:L$70)*(MONTH($E101)-1)/12)*$H101</f>
        <v>0</v>
      </c>
      <c r="R101" s="243">
        <f>(SUM('1.  LRAMVA Summary'!M$54:M$68)+SUM('1.  LRAMVA Summary'!M$69:M$70)*(MONTH($E101)-1)/12)*$H101</f>
        <v>0</v>
      </c>
      <c r="S101" s="243">
        <f>(SUM('1.  LRAMVA Summary'!N$54:N$68)+SUM('1.  LRAMVA Summary'!N$69:N$70)*(MONTH($E101)-1)/12)*$H101</f>
        <v>0</v>
      </c>
      <c r="T101" s="243">
        <f>(SUM('1.  LRAMVA Summary'!O$54:O$68)+SUM('1.  LRAMVA Summary'!O$69:O$70)*(MONTH($E101)-1)/12)*$H101</f>
        <v>0</v>
      </c>
      <c r="U101" s="243">
        <f>(SUM('1.  LRAMVA Summary'!P$54:P$68)+SUM('1.  LRAMVA Summary'!P$69:P$70)*(MONTH($E101)-1)/12)*$H101</f>
        <v>0</v>
      </c>
      <c r="V101" s="243">
        <f>(SUM('1.  LRAMVA Summary'!Q$54:Q$68)+SUM('1.  LRAMVA Summary'!Q$69:Q$70)*(MONTH($E101)-1)/12)*$H101</f>
        <v>0</v>
      </c>
      <c r="W101" s="244">
        <f t="shared" si="35"/>
        <v>98.885524332462268</v>
      </c>
    </row>
    <row r="102" spans="2:23" s="22" customFormat="1" ht="15" thickBot="1">
      <c r="B102" s="79"/>
      <c r="E102" s="229" t="s">
        <v>465</v>
      </c>
      <c r="F102" s="229"/>
      <c r="G102" s="230"/>
      <c r="H102" s="231"/>
      <c r="I102" s="232">
        <f>SUM(I89:I101)</f>
        <v>415.54483681387489</v>
      </c>
      <c r="J102" s="232">
        <f>SUM(J89:J101)</f>
        <v>498.65212491334529</v>
      </c>
      <c r="K102" s="232">
        <f t="shared" ref="K102:O102" si="39">SUM(K89:K101)</f>
        <v>333.52833947230391</v>
      </c>
      <c r="L102" s="232">
        <f t="shared" si="39"/>
        <v>219.77778856467089</v>
      </c>
      <c r="M102" s="232">
        <f t="shared" si="39"/>
        <v>0</v>
      </c>
      <c r="N102" s="232">
        <f t="shared" si="39"/>
        <v>0</v>
      </c>
      <c r="O102" s="232">
        <f t="shared" si="39"/>
        <v>-44.840918579165908</v>
      </c>
      <c r="P102" s="232">
        <f t="shared" ref="P102:V102" si="40">SUM(P89:P101)</f>
        <v>0</v>
      </c>
      <c r="Q102" s="232">
        <f t="shared" si="40"/>
        <v>0</v>
      </c>
      <c r="R102" s="232">
        <f t="shared" si="40"/>
        <v>0</v>
      </c>
      <c r="S102" s="232">
        <f t="shared" si="40"/>
        <v>0</v>
      </c>
      <c r="T102" s="232">
        <f t="shared" si="40"/>
        <v>0</v>
      </c>
      <c r="U102" s="232">
        <f t="shared" si="40"/>
        <v>0</v>
      </c>
      <c r="V102" s="232">
        <f t="shared" si="40"/>
        <v>0</v>
      </c>
      <c r="W102" s="232">
        <f>SUM(W89:W101)</f>
        <v>1422.6621711850289</v>
      </c>
    </row>
    <row r="103" spans="2:23" s="22" customFormat="1" ht="15" thickTop="1">
      <c r="B103" s="79"/>
      <c r="E103" s="233" t="s">
        <v>67</v>
      </c>
      <c r="F103" s="233"/>
      <c r="G103" s="234"/>
      <c r="H103" s="235"/>
      <c r="I103" s="236"/>
      <c r="J103" s="236"/>
      <c r="K103" s="236"/>
      <c r="L103" s="236"/>
      <c r="M103" s="236"/>
      <c r="N103" s="236"/>
      <c r="O103" s="236"/>
      <c r="P103" s="236"/>
      <c r="Q103" s="236"/>
      <c r="R103" s="236"/>
      <c r="S103" s="236"/>
      <c r="T103" s="236"/>
      <c r="U103" s="236"/>
      <c r="V103" s="236"/>
      <c r="W103" s="237"/>
    </row>
    <row r="104" spans="2:23" s="22" customFormat="1">
      <c r="B104" s="79"/>
      <c r="E104" s="238" t="s">
        <v>429</v>
      </c>
      <c r="F104" s="238"/>
      <c r="G104" s="239"/>
      <c r="H104" s="240"/>
      <c r="I104" s="241">
        <f>I102+I103</f>
        <v>415.54483681387489</v>
      </c>
      <c r="J104" s="241">
        <f t="shared" ref="J104" si="41">J102+J103</f>
        <v>498.65212491334529</v>
      </c>
      <c r="K104" s="241">
        <f t="shared" ref="K104" si="42">K102+K103</f>
        <v>333.52833947230391</v>
      </c>
      <c r="L104" s="241">
        <f t="shared" ref="L104" si="43">L102+L103</f>
        <v>219.77778856467089</v>
      </c>
      <c r="M104" s="241">
        <f t="shared" ref="M104" si="44">M102+M103</f>
        <v>0</v>
      </c>
      <c r="N104" s="241">
        <f t="shared" ref="N104" si="45">N102+N103</f>
        <v>0</v>
      </c>
      <c r="O104" s="241">
        <f t="shared" ref="O104:V104" si="46">O102+O103</f>
        <v>-44.840918579165908</v>
      </c>
      <c r="P104" s="241">
        <f t="shared" si="46"/>
        <v>0</v>
      </c>
      <c r="Q104" s="241">
        <f t="shared" si="46"/>
        <v>0</v>
      </c>
      <c r="R104" s="241">
        <f t="shared" si="46"/>
        <v>0</v>
      </c>
      <c r="S104" s="241">
        <f t="shared" si="46"/>
        <v>0</v>
      </c>
      <c r="T104" s="241">
        <f t="shared" si="46"/>
        <v>0</v>
      </c>
      <c r="U104" s="241">
        <f t="shared" si="46"/>
        <v>0</v>
      </c>
      <c r="V104" s="241">
        <f t="shared" si="46"/>
        <v>0</v>
      </c>
      <c r="W104" s="241">
        <f t="shared" ref="W104" si="47">W102+W103</f>
        <v>1422.6621711850289</v>
      </c>
    </row>
    <row r="105" spans="2:23" s="22" customFormat="1">
      <c r="B105" s="79"/>
      <c r="E105" s="227">
        <v>42736</v>
      </c>
      <c r="F105" s="227" t="s">
        <v>184</v>
      </c>
      <c r="G105" s="228" t="s">
        <v>65</v>
      </c>
      <c r="H105" s="253">
        <f>$C$39/12</f>
        <v>9.1666666666666665E-4</v>
      </c>
      <c r="I105" s="243">
        <f>(SUM('1.  LRAMVA Summary'!D$54:D$71)+SUM('1.  LRAMVA Summary'!D$72:D$73)*(MONTH($E105)-1)/12)*$H105</f>
        <v>44.673059826401911</v>
      </c>
      <c r="J105" s="243">
        <f>(SUM('1.  LRAMVA Summary'!E$54:E$71)+SUM('1.  LRAMVA Summary'!E$72:E$73)*(MONTH($E105)-1)/12)*$H105</f>
        <v>39.411197890482242</v>
      </c>
      <c r="K105" s="243">
        <f>(SUM('1.  LRAMVA Summary'!F$54:F$71)+SUM('1.  LRAMVA Summary'!F$72:F$73)*(MONTH($E105)-1)/12)*$H105</f>
        <v>16.710710539925902</v>
      </c>
      <c r="L105" s="243">
        <f>(SUM('1.  LRAMVA Summary'!G$54:G$71)+SUM('1.  LRAMVA Summary'!G$72:G$73)*(MONTH($E105)-1)/12)*$H105</f>
        <v>12.424198735943767</v>
      </c>
      <c r="M105" s="243">
        <f>(SUM('1.  LRAMVA Summary'!H$54:H$71)+SUM('1.  LRAMVA Summary'!H$72:H$73)*(MONTH($E105)-1)/12)*$H105</f>
        <v>0</v>
      </c>
      <c r="N105" s="243">
        <f>(SUM('1.  LRAMVA Summary'!I$54:I$71)+SUM('1.  LRAMVA Summary'!I$72:I$73)*(MONTH($E105)-1)/12)*$H105</f>
        <v>0</v>
      </c>
      <c r="O105" s="243">
        <f>(SUM('1.  LRAMVA Summary'!J$54:J$71)+SUM('1.  LRAMVA Summary'!J$72:J$73)*(MONTH($E105)-1)/12)*$H105</f>
        <v>-11.852576321110803</v>
      </c>
      <c r="P105" s="243">
        <f>(SUM('1.  LRAMVA Summary'!K$54:K$71)+SUM('1.  LRAMVA Summary'!K$72:K$73)*(MONTH($E105)-1)/12)*$H105</f>
        <v>0</v>
      </c>
      <c r="Q105" s="243">
        <f>(SUM('1.  LRAMVA Summary'!L$54:L$71)+SUM('1.  LRAMVA Summary'!L$72:L$73)*(MONTH($E105)-1)/12)*$H105</f>
        <v>0</v>
      </c>
      <c r="R105" s="243">
        <f>(SUM('1.  LRAMVA Summary'!M$54:M$71)+SUM('1.  LRAMVA Summary'!M$72:M$73)*(MONTH($E105)-1)/12)*$H105</f>
        <v>0</v>
      </c>
      <c r="S105" s="243">
        <f>(SUM('1.  LRAMVA Summary'!N$54:N$71)+SUM('1.  LRAMVA Summary'!N$72:N$73)*(MONTH($E105)-1)/12)*$H105</f>
        <v>0</v>
      </c>
      <c r="T105" s="243">
        <f>(SUM('1.  LRAMVA Summary'!O$54:O$71)+SUM('1.  LRAMVA Summary'!O$72:O$73)*(MONTH($E105)-1)/12)*$H105</f>
        <v>0</v>
      </c>
      <c r="U105" s="243">
        <f>(SUM('1.  LRAMVA Summary'!P$54:P$71)+SUM('1.  LRAMVA Summary'!P$72:P$73)*(MONTH($E105)-1)/12)*$H105</f>
        <v>0</v>
      </c>
      <c r="V105" s="243">
        <f>(SUM('1.  LRAMVA Summary'!Q$54:Q$71)+SUM('1.  LRAMVA Summary'!Q$72:Q$73)*(MONTH($E105)-1)/12)*$H105</f>
        <v>0</v>
      </c>
      <c r="W105" s="244">
        <f>SUM(I105:V105)</f>
        <v>101.36659067164301</v>
      </c>
    </row>
    <row r="106" spans="2:23" s="22" customFormat="1">
      <c r="B106" s="79"/>
      <c r="E106" s="227">
        <v>42767</v>
      </c>
      <c r="F106" s="227" t="s">
        <v>184</v>
      </c>
      <c r="G106" s="228" t="s">
        <v>65</v>
      </c>
      <c r="H106" s="253">
        <f t="shared" ref="H106:H107" si="48">$C$39/12</f>
        <v>9.1666666666666665E-4</v>
      </c>
      <c r="I106" s="243">
        <f>(SUM('1.  LRAMVA Summary'!D$54:D$71)+SUM('1.  LRAMVA Summary'!D$72:D$73)*(MONTH($E106)-1)/12)*$H106</f>
        <v>50.204887288781904</v>
      </c>
      <c r="J106" s="243">
        <f>(SUM('1.  LRAMVA Summary'!E$54:E$71)+SUM('1.  LRAMVA Summary'!E$72:E$73)*(MONTH($E106)-1)/12)*$H106</f>
        <v>41.731781374141136</v>
      </c>
      <c r="K106" s="243">
        <f>(SUM('1.  LRAMVA Summary'!F$54:F$71)+SUM('1.  LRAMVA Summary'!F$72:F$73)*(MONTH($E106)-1)/12)*$H106</f>
        <v>17.230606101945728</v>
      </c>
      <c r="L106" s="243">
        <f>(SUM('1.  LRAMVA Summary'!G$54:G$71)+SUM('1.  LRAMVA Summary'!G$72:G$73)*(MONTH($E106)-1)/12)*$H106</f>
        <v>12.863960985834213</v>
      </c>
      <c r="M106" s="243">
        <f>(SUM('1.  LRAMVA Summary'!H$54:H$71)+SUM('1.  LRAMVA Summary'!H$72:H$73)*(MONTH($E106)-1)/12)*$H106</f>
        <v>0</v>
      </c>
      <c r="N106" s="243">
        <f>(SUM('1.  LRAMVA Summary'!I$54:I$71)+SUM('1.  LRAMVA Summary'!I$72:I$73)*(MONTH($E106)-1)/12)*$H106</f>
        <v>0</v>
      </c>
      <c r="O106" s="243">
        <f>(SUM('1.  LRAMVA Summary'!J$54:J$71)+SUM('1.  LRAMVA Summary'!J$72:J$73)*(MONTH($E106)-1)/12)*$H106</f>
        <v>-11.816226411008435</v>
      </c>
      <c r="P106" s="243">
        <f>(SUM('1.  LRAMVA Summary'!K$54:K$71)+SUM('1.  LRAMVA Summary'!K$72:K$73)*(MONTH($E106)-1)/12)*$H106</f>
        <v>0</v>
      </c>
      <c r="Q106" s="243">
        <f>(SUM('1.  LRAMVA Summary'!L$54:L$71)+SUM('1.  LRAMVA Summary'!L$72:L$73)*(MONTH($E106)-1)/12)*$H106</f>
        <v>0</v>
      </c>
      <c r="R106" s="243">
        <f>(SUM('1.  LRAMVA Summary'!M$54:M$71)+SUM('1.  LRAMVA Summary'!M$72:M$73)*(MONTH($E106)-1)/12)*$H106</f>
        <v>0</v>
      </c>
      <c r="S106" s="243">
        <f>(SUM('1.  LRAMVA Summary'!N$54:N$71)+SUM('1.  LRAMVA Summary'!N$72:N$73)*(MONTH($E106)-1)/12)*$H106</f>
        <v>0</v>
      </c>
      <c r="T106" s="243">
        <f>(SUM('1.  LRAMVA Summary'!O$54:O$71)+SUM('1.  LRAMVA Summary'!O$72:O$73)*(MONTH($E106)-1)/12)*$H106</f>
        <v>0</v>
      </c>
      <c r="U106" s="243">
        <f>(SUM('1.  LRAMVA Summary'!P$54:P$71)+SUM('1.  LRAMVA Summary'!P$72:P$73)*(MONTH($E106)-1)/12)*$H106</f>
        <v>0</v>
      </c>
      <c r="V106" s="243">
        <f>(SUM('1.  LRAMVA Summary'!Q$54:Q$71)+SUM('1.  LRAMVA Summary'!Q$72:Q$73)*(MONTH($E106)-1)/12)*$H106</f>
        <v>0</v>
      </c>
      <c r="W106" s="244">
        <f t="shared" ref="W106:W116" si="49">SUM(I106:V106)</f>
        <v>110.21500933969455</v>
      </c>
    </row>
    <row r="107" spans="2:23" s="22" customFormat="1">
      <c r="B107" s="79"/>
      <c r="E107" s="227">
        <v>42795</v>
      </c>
      <c r="F107" s="227" t="s">
        <v>184</v>
      </c>
      <c r="G107" s="228" t="s">
        <v>65</v>
      </c>
      <c r="H107" s="253">
        <f t="shared" si="48"/>
        <v>9.1666666666666665E-4</v>
      </c>
      <c r="I107" s="243">
        <f>(SUM('1.  LRAMVA Summary'!D$54:D$71)+SUM('1.  LRAMVA Summary'!D$72:D$73)*(MONTH($E107)-1)/12)*$H107</f>
        <v>55.736714751161898</v>
      </c>
      <c r="J107" s="243">
        <f>(SUM('1.  LRAMVA Summary'!E$54:E$71)+SUM('1.  LRAMVA Summary'!E$72:E$73)*(MONTH($E107)-1)/12)*$H107</f>
        <v>44.052364857800022</v>
      </c>
      <c r="K107" s="243">
        <f>(SUM('1.  LRAMVA Summary'!F$54:F$71)+SUM('1.  LRAMVA Summary'!F$72:F$73)*(MONTH($E107)-1)/12)*$H107</f>
        <v>17.750501663965562</v>
      </c>
      <c r="L107" s="243">
        <f>(SUM('1.  LRAMVA Summary'!G$54:G$71)+SUM('1.  LRAMVA Summary'!G$72:G$73)*(MONTH($E107)-1)/12)*$H107</f>
        <v>13.303723235724656</v>
      </c>
      <c r="M107" s="243">
        <f>(SUM('1.  LRAMVA Summary'!H$54:H$71)+SUM('1.  LRAMVA Summary'!H$72:H$73)*(MONTH($E107)-1)/12)*$H107</f>
        <v>0</v>
      </c>
      <c r="N107" s="243">
        <f>(SUM('1.  LRAMVA Summary'!I$54:I$71)+SUM('1.  LRAMVA Summary'!I$72:I$73)*(MONTH($E107)-1)/12)*$H107</f>
        <v>0</v>
      </c>
      <c r="O107" s="243">
        <f>(SUM('1.  LRAMVA Summary'!J$54:J$71)+SUM('1.  LRAMVA Summary'!J$72:J$73)*(MONTH($E107)-1)/12)*$H107</f>
        <v>-11.77987650090607</v>
      </c>
      <c r="P107" s="243">
        <f>(SUM('1.  LRAMVA Summary'!K$54:K$71)+SUM('1.  LRAMVA Summary'!K$72:K$73)*(MONTH($E107)-1)/12)*$H107</f>
        <v>0</v>
      </c>
      <c r="Q107" s="243">
        <f>(SUM('1.  LRAMVA Summary'!L$54:L$71)+SUM('1.  LRAMVA Summary'!L$72:L$73)*(MONTH($E107)-1)/12)*$H107</f>
        <v>0</v>
      </c>
      <c r="R107" s="243">
        <f>(SUM('1.  LRAMVA Summary'!M$54:M$71)+SUM('1.  LRAMVA Summary'!M$72:M$73)*(MONTH($E107)-1)/12)*$H107</f>
        <v>0</v>
      </c>
      <c r="S107" s="243">
        <f>(SUM('1.  LRAMVA Summary'!N$54:N$71)+SUM('1.  LRAMVA Summary'!N$72:N$73)*(MONTH($E107)-1)/12)*$H107</f>
        <v>0</v>
      </c>
      <c r="T107" s="243">
        <f>(SUM('1.  LRAMVA Summary'!O$54:O$71)+SUM('1.  LRAMVA Summary'!O$72:O$73)*(MONTH($E107)-1)/12)*$H107</f>
        <v>0</v>
      </c>
      <c r="U107" s="243">
        <f>(SUM('1.  LRAMVA Summary'!P$54:P$71)+SUM('1.  LRAMVA Summary'!P$72:P$73)*(MONTH($E107)-1)/12)*$H107</f>
        <v>0</v>
      </c>
      <c r="V107" s="243">
        <f>(SUM('1.  LRAMVA Summary'!Q$54:Q$71)+SUM('1.  LRAMVA Summary'!Q$72:Q$73)*(MONTH($E107)-1)/12)*$H107</f>
        <v>0</v>
      </c>
      <c r="W107" s="244">
        <f t="shared" si="49"/>
        <v>119.06342800774605</v>
      </c>
    </row>
    <row r="108" spans="2:23" s="21" customFormat="1">
      <c r="B108" s="252"/>
      <c r="E108" s="227">
        <v>42826</v>
      </c>
      <c r="F108" s="227" t="s">
        <v>184</v>
      </c>
      <c r="G108" s="228" t="s">
        <v>66</v>
      </c>
      <c r="H108" s="253">
        <f>$C$40/12</f>
        <v>9.1666666666666665E-4</v>
      </c>
      <c r="I108" s="243">
        <f>(SUM('1.  LRAMVA Summary'!D$54:D$71)+SUM('1.  LRAMVA Summary'!D$72:D$73)*(MONTH($E108)-1)/12)*$H108</f>
        <v>61.268542213541892</v>
      </c>
      <c r="J108" s="243">
        <f>(SUM('1.  LRAMVA Summary'!E$54:E$71)+SUM('1.  LRAMVA Summary'!E$72:E$73)*(MONTH($E108)-1)/12)*$H108</f>
        <v>46.372948341458908</v>
      </c>
      <c r="K108" s="243">
        <f>(SUM('1.  LRAMVA Summary'!F$54:F$71)+SUM('1.  LRAMVA Summary'!F$72:F$73)*(MONTH($E108)-1)/12)*$H108</f>
        <v>18.270397225985391</v>
      </c>
      <c r="L108" s="243">
        <f>(SUM('1.  LRAMVA Summary'!G$54:G$71)+SUM('1.  LRAMVA Summary'!G$72:G$73)*(MONTH($E108)-1)/12)*$H108</f>
        <v>13.7434854856151</v>
      </c>
      <c r="M108" s="243">
        <f>(SUM('1.  LRAMVA Summary'!H$54:H$71)+SUM('1.  LRAMVA Summary'!H$72:H$73)*(MONTH($E108)-1)/12)*$H108</f>
        <v>0</v>
      </c>
      <c r="N108" s="243">
        <f>(SUM('1.  LRAMVA Summary'!I$54:I$71)+SUM('1.  LRAMVA Summary'!I$72:I$73)*(MONTH($E108)-1)/12)*$H108</f>
        <v>0</v>
      </c>
      <c r="O108" s="243">
        <f>(SUM('1.  LRAMVA Summary'!J$54:J$71)+SUM('1.  LRAMVA Summary'!J$72:J$73)*(MONTH($E108)-1)/12)*$H108</f>
        <v>-11.743526590803702</v>
      </c>
      <c r="P108" s="243">
        <f>(SUM('1.  LRAMVA Summary'!K$54:K$71)+SUM('1.  LRAMVA Summary'!K$72:K$73)*(MONTH($E108)-1)/12)*$H108</f>
        <v>0</v>
      </c>
      <c r="Q108" s="243">
        <f>(SUM('1.  LRAMVA Summary'!L$54:L$71)+SUM('1.  LRAMVA Summary'!L$72:L$73)*(MONTH($E108)-1)/12)*$H108</f>
        <v>0</v>
      </c>
      <c r="R108" s="243">
        <f>(SUM('1.  LRAMVA Summary'!M$54:M$71)+SUM('1.  LRAMVA Summary'!M$72:M$73)*(MONTH($E108)-1)/12)*$H108</f>
        <v>0</v>
      </c>
      <c r="S108" s="243">
        <f>(SUM('1.  LRAMVA Summary'!N$54:N$71)+SUM('1.  LRAMVA Summary'!N$72:N$73)*(MONTH($E108)-1)/12)*$H108</f>
        <v>0</v>
      </c>
      <c r="T108" s="243">
        <f>(SUM('1.  LRAMVA Summary'!O$54:O$71)+SUM('1.  LRAMVA Summary'!O$72:O$73)*(MONTH($E108)-1)/12)*$H108</f>
        <v>0</v>
      </c>
      <c r="U108" s="243">
        <f>(SUM('1.  LRAMVA Summary'!P$54:P$71)+SUM('1.  LRAMVA Summary'!P$72:P$73)*(MONTH($E108)-1)/12)*$H108</f>
        <v>0</v>
      </c>
      <c r="V108" s="243">
        <f>(SUM('1.  LRAMVA Summary'!Q$54:Q$71)+SUM('1.  LRAMVA Summary'!Q$72:Q$73)*(MONTH($E108)-1)/12)*$H108</f>
        <v>0</v>
      </c>
      <c r="W108" s="244">
        <f t="shared" si="49"/>
        <v>127.91184667579759</v>
      </c>
    </row>
    <row r="109" spans="2:23" s="22" customFormat="1">
      <c r="B109" s="79"/>
      <c r="E109" s="227">
        <v>42856</v>
      </c>
      <c r="F109" s="227" t="s">
        <v>184</v>
      </c>
      <c r="G109" s="228" t="s">
        <v>66</v>
      </c>
      <c r="H109" s="253">
        <f t="shared" ref="H109:H110" si="50">$C$40/12</f>
        <v>9.1666666666666665E-4</v>
      </c>
      <c r="I109" s="243">
        <f>(SUM('1.  LRAMVA Summary'!D$54:D$71)+SUM('1.  LRAMVA Summary'!D$72:D$73)*(MONTH($E109)-1)/12)*$H109</f>
        <v>66.800369675921885</v>
      </c>
      <c r="J109" s="243">
        <f>(SUM('1.  LRAMVA Summary'!E$54:E$71)+SUM('1.  LRAMVA Summary'!E$72:E$73)*(MONTH($E109)-1)/12)*$H109</f>
        <v>48.693531825117802</v>
      </c>
      <c r="K109" s="243">
        <f>(SUM('1.  LRAMVA Summary'!F$54:F$71)+SUM('1.  LRAMVA Summary'!F$72:F$73)*(MONTH($E109)-1)/12)*$H109</f>
        <v>18.790292788005218</v>
      </c>
      <c r="L109" s="243">
        <f>(SUM('1.  LRAMVA Summary'!G$54:G$71)+SUM('1.  LRAMVA Summary'!G$72:G$73)*(MONTH($E109)-1)/12)*$H109</f>
        <v>14.183247735505544</v>
      </c>
      <c r="M109" s="243">
        <f>(SUM('1.  LRAMVA Summary'!H$54:H$71)+SUM('1.  LRAMVA Summary'!H$72:H$73)*(MONTH($E109)-1)/12)*$H109</f>
        <v>0</v>
      </c>
      <c r="N109" s="243">
        <f>(SUM('1.  LRAMVA Summary'!I$54:I$71)+SUM('1.  LRAMVA Summary'!I$72:I$73)*(MONTH($E109)-1)/12)*$H109</f>
        <v>0</v>
      </c>
      <c r="O109" s="243">
        <f>(SUM('1.  LRAMVA Summary'!J$54:J$71)+SUM('1.  LRAMVA Summary'!J$72:J$73)*(MONTH($E109)-1)/12)*$H109</f>
        <v>-11.707176680701336</v>
      </c>
      <c r="P109" s="243">
        <f>(SUM('1.  LRAMVA Summary'!K$54:K$71)+SUM('1.  LRAMVA Summary'!K$72:K$73)*(MONTH($E109)-1)/12)*$H109</f>
        <v>0</v>
      </c>
      <c r="Q109" s="243">
        <f>(SUM('1.  LRAMVA Summary'!L$54:L$71)+SUM('1.  LRAMVA Summary'!L$72:L$73)*(MONTH($E109)-1)/12)*$H109</f>
        <v>0</v>
      </c>
      <c r="R109" s="243">
        <f>(SUM('1.  LRAMVA Summary'!M$54:M$71)+SUM('1.  LRAMVA Summary'!M$72:M$73)*(MONTH($E109)-1)/12)*$H109</f>
        <v>0</v>
      </c>
      <c r="S109" s="243">
        <f>(SUM('1.  LRAMVA Summary'!N$54:N$71)+SUM('1.  LRAMVA Summary'!N$72:N$73)*(MONTH($E109)-1)/12)*$H109</f>
        <v>0</v>
      </c>
      <c r="T109" s="243">
        <f>(SUM('1.  LRAMVA Summary'!O$54:O$71)+SUM('1.  LRAMVA Summary'!O$72:O$73)*(MONTH($E109)-1)/12)*$H109</f>
        <v>0</v>
      </c>
      <c r="U109" s="243">
        <f>(SUM('1.  LRAMVA Summary'!P$54:P$71)+SUM('1.  LRAMVA Summary'!P$72:P$73)*(MONTH($E109)-1)/12)*$H109</f>
        <v>0</v>
      </c>
      <c r="V109" s="243">
        <f>(SUM('1.  LRAMVA Summary'!Q$54:Q$71)+SUM('1.  LRAMVA Summary'!Q$72:Q$73)*(MONTH($E109)-1)/12)*$H109</f>
        <v>0</v>
      </c>
      <c r="W109" s="244">
        <f t="shared" si="49"/>
        <v>136.76026534384911</v>
      </c>
    </row>
    <row r="110" spans="2:23" s="251" customFormat="1">
      <c r="B110" s="250"/>
      <c r="E110" s="227">
        <v>42887</v>
      </c>
      <c r="F110" s="227" t="s">
        <v>184</v>
      </c>
      <c r="G110" s="228" t="s">
        <v>66</v>
      </c>
      <c r="H110" s="253">
        <f t="shared" si="50"/>
        <v>9.1666666666666665E-4</v>
      </c>
      <c r="I110" s="243">
        <f>(SUM('1.  LRAMVA Summary'!D$54:D$71)+SUM('1.  LRAMVA Summary'!D$72:D$73)*(MONTH($E110)-1)/12)*$H110</f>
        <v>72.332197138301879</v>
      </c>
      <c r="J110" s="243">
        <f>(SUM('1.  LRAMVA Summary'!E$54:E$71)+SUM('1.  LRAMVA Summary'!E$72:E$73)*(MONTH($E110)-1)/12)*$H110</f>
        <v>51.014115308776688</v>
      </c>
      <c r="K110" s="243">
        <f>(SUM('1.  LRAMVA Summary'!F$54:F$71)+SUM('1.  LRAMVA Summary'!F$72:F$73)*(MONTH($E110)-1)/12)*$H110</f>
        <v>19.310188350025047</v>
      </c>
      <c r="L110" s="243">
        <f>(SUM('1.  LRAMVA Summary'!G$54:G$71)+SUM('1.  LRAMVA Summary'!G$72:G$73)*(MONTH($E110)-1)/12)*$H110</f>
        <v>14.623009985395989</v>
      </c>
      <c r="M110" s="243">
        <f>(SUM('1.  LRAMVA Summary'!H$54:H$71)+SUM('1.  LRAMVA Summary'!H$72:H$73)*(MONTH($E110)-1)/12)*$H110</f>
        <v>0</v>
      </c>
      <c r="N110" s="243">
        <f>(SUM('1.  LRAMVA Summary'!I$54:I$71)+SUM('1.  LRAMVA Summary'!I$72:I$73)*(MONTH($E110)-1)/12)*$H110</f>
        <v>0</v>
      </c>
      <c r="O110" s="243">
        <f>(SUM('1.  LRAMVA Summary'!J$54:J$71)+SUM('1.  LRAMVA Summary'!J$72:J$73)*(MONTH($E110)-1)/12)*$H110</f>
        <v>-11.670826770598968</v>
      </c>
      <c r="P110" s="243">
        <f>(SUM('1.  LRAMVA Summary'!K$54:K$71)+SUM('1.  LRAMVA Summary'!K$72:K$73)*(MONTH($E110)-1)/12)*$H110</f>
        <v>0</v>
      </c>
      <c r="Q110" s="243">
        <f>(SUM('1.  LRAMVA Summary'!L$54:L$71)+SUM('1.  LRAMVA Summary'!L$72:L$73)*(MONTH($E110)-1)/12)*$H110</f>
        <v>0</v>
      </c>
      <c r="R110" s="243">
        <f>(SUM('1.  LRAMVA Summary'!M$54:M$71)+SUM('1.  LRAMVA Summary'!M$72:M$73)*(MONTH($E110)-1)/12)*$H110</f>
        <v>0</v>
      </c>
      <c r="S110" s="243">
        <f>(SUM('1.  LRAMVA Summary'!N$54:N$71)+SUM('1.  LRAMVA Summary'!N$72:N$73)*(MONTH($E110)-1)/12)*$H110</f>
        <v>0</v>
      </c>
      <c r="T110" s="243">
        <f>(SUM('1.  LRAMVA Summary'!O$54:O$71)+SUM('1.  LRAMVA Summary'!O$72:O$73)*(MONTH($E110)-1)/12)*$H110</f>
        <v>0</v>
      </c>
      <c r="U110" s="243">
        <f>(SUM('1.  LRAMVA Summary'!P$54:P$71)+SUM('1.  LRAMVA Summary'!P$72:P$73)*(MONTH($E110)-1)/12)*$H110</f>
        <v>0</v>
      </c>
      <c r="V110" s="243">
        <f>(SUM('1.  LRAMVA Summary'!Q$54:Q$71)+SUM('1.  LRAMVA Summary'!Q$72:Q$73)*(MONTH($E110)-1)/12)*$H110</f>
        <v>0</v>
      </c>
      <c r="W110" s="244">
        <f t="shared" si="49"/>
        <v>145.60868401190061</v>
      </c>
    </row>
    <row r="111" spans="2:23" s="22" customFormat="1">
      <c r="B111" s="79"/>
      <c r="E111" s="227">
        <v>42917</v>
      </c>
      <c r="F111" s="227" t="s">
        <v>184</v>
      </c>
      <c r="G111" s="228" t="s">
        <v>68</v>
      </c>
      <c r="H111" s="253">
        <f>$C$41/12</f>
        <v>9.1666666666666665E-4</v>
      </c>
      <c r="I111" s="243">
        <f>(SUM('1.  LRAMVA Summary'!D$54:D$71)+SUM('1.  LRAMVA Summary'!D$72:D$73)*(MONTH($E111)-1)/12)*$H111</f>
        <v>77.864024600681887</v>
      </c>
      <c r="J111" s="243">
        <f>(SUM('1.  LRAMVA Summary'!E$54:E$71)+SUM('1.  LRAMVA Summary'!E$72:E$73)*(MONTH($E111)-1)/12)*$H111</f>
        <v>53.334698792435574</v>
      </c>
      <c r="K111" s="243">
        <f>(SUM('1.  LRAMVA Summary'!F$54:F$71)+SUM('1.  LRAMVA Summary'!F$72:F$73)*(MONTH($E111)-1)/12)*$H111</f>
        <v>19.830083912044877</v>
      </c>
      <c r="L111" s="243">
        <f>(SUM('1.  LRAMVA Summary'!G$54:G$71)+SUM('1.  LRAMVA Summary'!G$72:G$73)*(MONTH($E111)-1)/12)*$H111</f>
        <v>15.062772235286431</v>
      </c>
      <c r="M111" s="243">
        <f>(SUM('1.  LRAMVA Summary'!H$54:H$71)+SUM('1.  LRAMVA Summary'!H$72:H$73)*(MONTH($E111)-1)/12)*$H111</f>
        <v>0</v>
      </c>
      <c r="N111" s="243">
        <f>(SUM('1.  LRAMVA Summary'!I$54:I$71)+SUM('1.  LRAMVA Summary'!I$72:I$73)*(MONTH($E111)-1)/12)*$H111</f>
        <v>0</v>
      </c>
      <c r="O111" s="243">
        <f>(SUM('1.  LRAMVA Summary'!J$54:J$71)+SUM('1.  LRAMVA Summary'!J$72:J$73)*(MONTH($E111)-1)/12)*$H111</f>
        <v>-11.634476860496603</v>
      </c>
      <c r="P111" s="243">
        <f>(SUM('1.  LRAMVA Summary'!K$54:K$71)+SUM('1.  LRAMVA Summary'!K$72:K$73)*(MONTH($E111)-1)/12)*$H111</f>
        <v>0</v>
      </c>
      <c r="Q111" s="243">
        <f>(SUM('1.  LRAMVA Summary'!L$54:L$71)+SUM('1.  LRAMVA Summary'!L$72:L$73)*(MONTH($E111)-1)/12)*$H111</f>
        <v>0</v>
      </c>
      <c r="R111" s="243">
        <f>(SUM('1.  LRAMVA Summary'!M$54:M$71)+SUM('1.  LRAMVA Summary'!M$72:M$73)*(MONTH($E111)-1)/12)*$H111</f>
        <v>0</v>
      </c>
      <c r="S111" s="243">
        <f>(SUM('1.  LRAMVA Summary'!N$54:N$71)+SUM('1.  LRAMVA Summary'!N$72:N$73)*(MONTH($E111)-1)/12)*$H111</f>
        <v>0</v>
      </c>
      <c r="T111" s="243">
        <f>(SUM('1.  LRAMVA Summary'!O$54:O$71)+SUM('1.  LRAMVA Summary'!O$72:O$73)*(MONTH($E111)-1)/12)*$H111</f>
        <v>0</v>
      </c>
      <c r="U111" s="243">
        <f>(SUM('1.  LRAMVA Summary'!P$54:P$71)+SUM('1.  LRAMVA Summary'!P$72:P$73)*(MONTH($E111)-1)/12)*$H111</f>
        <v>0</v>
      </c>
      <c r="V111" s="243">
        <f>(SUM('1.  LRAMVA Summary'!Q$54:Q$71)+SUM('1.  LRAMVA Summary'!Q$72:Q$73)*(MONTH($E111)-1)/12)*$H111</f>
        <v>0</v>
      </c>
      <c r="W111" s="244">
        <f t="shared" si="49"/>
        <v>154.45710267995219</v>
      </c>
    </row>
    <row r="112" spans="2:23" s="22" customFormat="1">
      <c r="B112" s="79"/>
      <c r="E112" s="227">
        <v>42948</v>
      </c>
      <c r="F112" s="227" t="s">
        <v>184</v>
      </c>
      <c r="G112" s="228" t="s">
        <v>68</v>
      </c>
      <c r="H112" s="253">
        <f t="shared" ref="H112:H113" si="51">$C$41/12</f>
        <v>9.1666666666666665E-4</v>
      </c>
      <c r="I112" s="243">
        <f>(SUM('1.  LRAMVA Summary'!D$54:D$71)+SUM('1.  LRAMVA Summary'!D$72:D$73)*(MONTH($E112)-1)/12)*$H112</f>
        <v>83.395852063061881</v>
      </c>
      <c r="J112" s="243">
        <f>(SUM('1.  LRAMVA Summary'!E$54:E$71)+SUM('1.  LRAMVA Summary'!E$72:E$73)*(MONTH($E112)-1)/12)*$H112</f>
        <v>55.655282276094468</v>
      </c>
      <c r="K112" s="243">
        <f>(SUM('1.  LRAMVA Summary'!F$54:F$71)+SUM('1.  LRAMVA Summary'!F$72:F$73)*(MONTH($E112)-1)/12)*$H112</f>
        <v>20.34997947406471</v>
      </c>
      <c r="L112" s="243">
        <f>(SUM('1.  LRAMVA Summary'!G$54:G$71)+SUM('1.  LRAMVA Summary'!G$72:G$73)*(MONTH($E112)-1)/12)*$H112</f>
        <v>15.502534485176875</v>
      </c>
      <c r="M112" s="243">
        <f>(SUM('1.  LRAMVA Summary'!H$54:H$71)+SUM('1.  LRAMVA Summary'!H$72:H$73)*(MONTH($E112)-1)/12)*$H112</f>
        <v>0</v>
      </c>
      <c r="N112" s="243">
        <f>(SUM('1.  LRAMVA Summary'!I$54:I$71)+SUM('1.  LRAMVA Summary'!I$72:I$73)*(MONTH($E112)-1)/12)*$H112</f>
        <v>0</v>
      </c>
      <c r="O112" s="243">
        <f>(SUM('1.  LRAMVA Summary'!J$54:J$71)+SUM('1.  LRAMVA Summary'!J$72:J$73)*(MONTH($E112)-1)/12)*$H112</f>
        <v>-11.598126950394235</v>
      </c>
      <c r="P112" s="243">
        <f>(SUM('1.  LRAMVA Summary'!K$54:K$71)+SUM('1.  LRAMVA Summary'!K$72:K$73)*(MONTH($E112)-1)/12)*$H112</f>
        <v>0</v>
      </c>
      <c r="Q112" s="243">
        <f>(SUM('1.  LRAMVA Summary'!L$54:L$71)+SUM('1.  LRAMVA Summary'!L$72:L$73)*(MONTH($E112)-1)/12)*$H112</f>
        <v>0</v>
      </c>
      <c r="R112" s="243">
        <f>(SUM('1.  LRAMVA Summary'!M$54:M$71)+SUM('1.  LRAMVA Summary'!M$72:M$73)*(MONTH($E112)-1)/12)*$H112</f>
        <v>0</v>
      </c>
      <c r="S112" s="243">
        <f>(SUM('1.  LRAMVA Summary'!N$54:N$71)+SUM('1.  LRAMVA Summary'!N$72:N$73)*(MONTH($E112)-1)/12)*$H112</f>
        <v>0</v>
      </c>
      <c r="T112" s="243">
        <f>(SUM('1.  LRAMVA Summary'!O$54:O$71)+SUM('1.  LRAMVA Summary'!O$72:O$73)*(MONTH($E112)-1)/12)*$H112</f>
        <v>0</v>
      </c>
      <c r="U112" s="243">
        <f>(SUM('1.  LRAMVA Summary'!P$54:P$71)+SUM('1.  LRAMVA Summary'!P$72:P$73)*(MONTH($E112)-1)/12)*$H112</f>
        <v>0</v>
      </c>
      <c r="V112" s="243">
        <f>(SUM('1.  LRAMVA Summary'!Q$54:Q$71)+SUM('1.  LRAMVA Summary'!Q$72:Q$73)*(MONTH($E112)-1)/12)*$H112</f>
        <v>0</v>
      </c>
      <c r="W112" s="244">
        <f t="shared" si="49"/>
        <v>163.30552134800371</v>
      </c>
    </row>
    <row r="113" spans="2:23" s="22" customFormat="1">
      <c r="B113" s="79"/>
      <c r="E113" s="227">
        <v>42979</v>
      </c>
      <c r="F113" s="227" t="s">
        <v>184</v>
      </c>
      <c r="G113" s="228" t="s">
        <v>68</v>
      </c>
      <c r="H113" s="253">
        <f t="shared" si="51"/>
        <v>9.1666666666666665E-4</v>
      </c>
      <c r="I113" s="243">
        <f>(SUM('1.  LRAMVA Summary'!D$54:D$71)+SUM('1.  LRAMVA Summary'!D$72:D$73)*(MONTH($E113)-1)/12)*$H113</f>
        <v>88.927679525441874</v>
      </c>
      <c r="J113" s="243">
        <f>(SUM('1.  LRAMVA Summary'!E$54:E$71)+SUM('1.  LRAMVA Summary'!E$72:E$73)*(MONTH($E113)-1)/12)*$H113</f>
        <v>57.975865759753354</v>
      </c>
      <c r="K113" s="243">
        <f>(SUM('1.  LRAMVA Summary'!F$54:F$71)+SUM('1.  LRAMVA Summary'!F$72:F$73)*(MONTH($E113)-1)/12)*$H113</f>
        <v>20.869875036084537</v>
      </c>
      <c r="L113" s="243">
        <f>(SUM('1.  LRAMVA Summary'!G$54:G$71)+SUM('1.  LRAMVA Summary'!G$72:G$73)*(MONTH($E113)-1)/12)*$H113</f>
        <v>15.942296735067321</v>
      </c>
      <c r="M113" s="243">
        <f>(SUM('1.  LRAMVA Summary'!H$54:H$71)+SUM('1.  LRAMVA Summary'!H$72:H$73)*(MONTH($E113)-1)/12)*$H113</f>
        <v>0</v>
      </c>
      <c r="N113" s="243">
        <f>(SUM('1.  LRAMVA Summary'!I$54:I$71)+SUM('1.  LRAMVA Summary'!I$72:I$73)*(MONTH($E113)-1)/12)*$H113</f>
        <v>0</v>
      </c>
      <c r="O113" s="243">
        <f>(SUM('1.  LRAMVA Summary'!J$54:J$71)+SUM('1.  LRAMVA Summary'!J$72:J$73)*(MONTH($E113)-1)/12)*$H113</f>
        <v>-11.561777040291869</v>
      </c>
      <c r="P113" s="243">
        <f>(SUM('1.  LRAMVA Summary'!K$54:K$71)+SUM('1.  LRAMVA Summary'!K$72:K$73)*(MONTH($E113)-1)/12)*$H113</f>
        <v>0</v>
      </c>
      <c r="Q113" s="243">
        <f>(SUM('1.  LRAMVA Summary'!L$54:L$71)+SUM('1.  LRAMVA Summary'!L$72:L$73)*(MONTH($E113)-1)/12)*$H113</f>
        <v>0</v>
      </c>
      <c r="R113" s="243">
        <f>(SUM('1.  LRAMVA Summary'!M$54:M$71)+SUM('1.  LRAMVA Summary'!M$72:M$73)*(MONTH($E113)-1)/12)*$H113</f>
        <v>0</v>
      </c>
      <c r="S113" s="243">
        <f>(SUM('1.  LRAMVA Summary'!N$54:N$71)+SUM('1.  LRAMVA Summary'!N$72:N$73)*(MONTH($E113)-1)/12)*$H113</f>
        <v>0</v>
      </c>
      <c r="T113" s="243">
        <f>(SUM('1.  LRAMVA Summary'!O$54:O$71)+SUM('1.  LRAMVA Summary'!O$72:O$73)*(MONTH($E113)-1)/12)*$H113</f>
        <v>0</v>
      </c>
      <c r="U113" s="243">
        <f>(SUM('1.  LRAMVA Summary'!P$54:P$71)+SUM('1.  LRAMVA Summary'!P$72:P$73)*(MONTH($E113)-1)/12)*$H113</f>
        <v>0</v>
      </c>
      <c r="V113" s="243">
        <f>(SUM('1.  LRAMVA Summary'!Q$54:Q$71)+SUM('1.  LRAMVA Summary'!Q$72:Q$73)*(MONTH($E113)-1)/12)*$H113</f>
        <v>0</v>
      </c>
      <c r="W113" s="244">
        <f t="shared" si="49"/>
        <v>172.15394001605523</v>
      </c>
    </row>
    <row r="114" spans="2:23" s="22" customFormat="1">
      <c r="B114" s="79"/>
      <c r="E114" s="227">
        <v>43009</v>
      </c>
      <c r="F114" s="227" t="s">
        <v>184</v>
      </c>
      <c r="G114" s="228" t="s">
        <v>69</v>
      </c>
      <c r="H114" s="253">
        <f>$C$42/12</f>
        <v>1.25E-3</v>
      </c>
      <c r="I114" s="243">
        <f>(SUM('1.  LRAMVA Summary'!D$54:D$71)+SUM('1.  LRAMVA Summary'!D$72:D$73)*(MONTH($E114)-1)/12)*$H114</f>
        <v>128.80841861975711</v>
      </c>
      <c r="J114" s="243">
        <f>(SUM('1.  LRAMVA Summary'!E$54:E$71)+SUM('1.  LRAMVA Summary'!E$72:E$73)*(MONTH($E114)-1)/12)*$H114</f>
        <v>82.222430786471236</v>
      </c>
      <c r="K114" s="243">
        <f>(SUM('1.  LRAMVA Summary'!F$54:F$71)+SUM('1.  LRAMVA Summary'!F$72:F$73)*(MONTH($E114)-1)/12)*$H114</f>
        <v>29.167868997415045</v>
      </c>
      <c r="L114" s="243">
        <f>(SUM('1.  LRAMVA Summary'!G$54:G$71)+SUM('1.  LRAMVA Summary'!G$72:G$73)*(MONTH($E114)-1)/12)*$H114</f>
        <v>22.339171343124228</v>
      </c>
      <c r="M114" s="243">
        <f>(SUM('1.  LRAMVA Summary'!H$54:H$71)+SUM('1.  LRAMVA Summary'!H$72:H$73)*(MONTH($E114)-1)/12)*$H114</f>
        <v>0</v>
      </c>
      <c r="N114" s="243">
        <f>(SUM('1.  LRAMVA Summary'!I$54:I$71)+SUM('1.  LRAMVA Summary'!I$72:I$73)*(MONTH($E114)-1)/12)*$H114</f>
        <v>0</v>
      </c>
      <c r="O114" s="243">
        <f>(SUM('1.  LRAMVA Summary'!J$54:J$71)+SUM('1.  LRAMVA Summary'!J$72:J$73)*(MONTH($E114)-1)/12)*$H114</f>
        <v>-15.716491541167505</v>
      </c>
      <c r="P114" s="243">
        <f>(SUM('1.  LRAMVA Summary'!K$54:K$71)+SUM('1.  LRAMVA Summary'!K$72:K$73)*(MONTH($E114)-1)/12)*$H114</f>
        <v>0</v>
      </c>
      <c r="Q114" s="243">
        <f>(SUM('1.  LRAMVA Summary'!L$54:L$71)+SUM('1.  LRAMVA Summary'!L$72:L$73)*(MONTH($E114)-1)/12)*$H114</f>
        <v>0</v>
      </c>
      <c r="R114" s="243">
        <f>(SUM('1.  LRAMVA Summary'!M$54:M$71)+SUM('1.  LRAMVA Summary'!M$72:M$73)*(MONTH($E114)-1)/12)*$H114</f>
        <v>0</v>
      </c>
      <c r="S114" s="243">
        <f>(SUM('1.  LRAMVA Summary'!N$54:N$71)+SUM('1.  LRAMVA Summary'!N$72:N$73)*(MONTH($E114)-1)/12)*$H114</f>
        <v>0</v>
      </c>
      <c r="T114" s="243">
        <f>(SUM('1.  LRAMVA Summary'!O$54:O$71)+SUM('1.  LRAMVA Summary'!O$72:O$73)*(MONTH($E114)-1)/12)*$H114</f>
        <v>0</v>
      </c>
      <c r="U114" s="243">
        <f>(SUM('1.  LRAMVA Summary'!P$54:P$71)+SUM('1.  LRAMVA Summary'!P$72:P$73)*(MONTH($E114)-1)/12)*$H114</f>
        <v>0</v>
      </c>
      <c r="V114" s="243">
        <f>(SUM('1.  LRAMVA Summary'!Q$54:Q$71)+SUM('1.  LRAMVA Summary'!Q$72:Q$73)*(MONTH($E114)-1)/12)*$H114</f>
        <v>0</v>
      </c>
      <c r="W114" s="244">
        <f t="shared" si="49"/>
        <v>246.82139820560013</v>
      </c>
    </row>
    <row r="115" spans="2:23" s="22" customFormat="1">
      <c r="B115" s="79"/>
      <c r="E115" s="227">
        <v>43040</v>
      </c>
      <c r="F115" s="227" t="s">
        <v>184</v>
      </c>
      <c r="G115" s="228" t="s">
        <v>69</v>
      </c>
      <c r="H115" s="253">
        <f t="shared" ref="H115:H116" si="52">$C$42/12</f>
        <v>1.25E-3</v>
      </c>
      <c r="I115" s="243">
        <f>(SUM('1.  LRAMVA Summary'!D$54:D$71)+SUM('1.  LRAMVA Summary'!D$72:D$73)*(MONTH($E115)-1)/12)*$H115</f>
        <v>136.35181970482074</v>
      </c>
      <c r="J115" s="243">
        <f>(SUM('1.  LRAMVA Summary'!E$54:E$71)+SUM('1.  LRAMVA Summary'!E$72:E$73)*(MONTH($E115)-1)/12)*$H115</f>
        <v>85.386862809642452</v>
      </c>
      <c r="K115" s="243">
        <f>(SUM('1.  LRAMVA Summary'!F$54:F$71)+SUM('1.  LRAMVA Summary'!F$72:F$73)*(MONTH($E115)-1)/12)*$H115</f>
        <v>29.876817491078452</v>
      </c>
      <c r="L115" s="243">
        <f>(SUM('1.  LRAMVA Summary'!G$54:G$71)+SUM('1.  LRAMVA Summary'!G$72:G$73)*(MONTH($E115)-1)/12)*$H115</f>
        <v>22.938847138429374</v>
      </c>
      <c r="M115" s="243">
        <f>(SUM('1.  LRAMVA Summary'!H$54:H$71)+SUM('1.  LRAMVA Summary'!H$72:H$73)*(MONTH($E115)-1)/12)*$H115</f>
        <v>0</v>
      </c>
      <c r="N115" s="243">
        <f>(SUM('1.  LRAMVA Summary'!I$54:I$71)+SUM('1.  LRAMVA Summary'!I$72:I$73)*(MONTH($E115)-1)/12)*$H115</f>
        <v>0</v>
      </c>
      <c r="O115" s="243">
        <f>(SUM('1.  LRAMVA Summary'!J$54:J$71)+SUM('1.  LRAMVA Summary'!J$72:J$73)*(MONTH($E115)-1)/12)*$H115</f>
        <v>-15.666923481937005</v>
      </c>
      <c r="P115" s="243">
        <f>(SUM('1.  LRAMVA Summary'!K$54:K$71)+SUM('1.  LRAMVA Summary'!K$72:K$73)*(MONTH($E115)-1)/12)*$H115</f>
        <v>0</v>
      </c>
      <c r="Q115" s="243">
        <f>(SUM('1.  LRAMVA Summary'!L$54:L$71)+SUM('1.  LRAMVA Summary'!L$72:L$73)*(MONTH($E115)-1)/12)*$H115</f>
        <v>0</v>
      </c>
      <c r="R115" s="243">
        <f>(SUM('1.  LRAMVA Summary'!M$54:M$71)+SUM('1.  LRAMVA Summary'!M$72:M$73)*(MONTH($E115)-1)/12)*$H115</f>
        <v>0</v>
      </c>
      <c r="S115" s="243">
        <f>(SUM('1.  LRAMVA Summary'!N$54:N$71)+SUM('1.  LRAMVA Summary'!N$72:N$73)*(MONTH($E115)-1)/12)*$H115</f>
        <v>0</v>
      </c>
      <c r="T115" s="243">
        <f>(SUM('1.  LRAMVA Summary'!O$54:O$71)+SUM('1.  LRAMVA Summary'!O$72:O$73)*(MONTH($E115)-1)/12)*$H115</f>
        <v>0</v>
      </c>
      <c r="U115" s="243">
        <f>(SUM('1.  LRAMVA Summary'!P$54:P$71)+SUM('1.  LRAMVA Summary'!P$72:P$73)*(MONTH($E115)-1)/12)*$H115</f>
        <v>0</v>
      </c>
      <c r="V115" s="243">
        <f>(SUM('1.  LRAMVA Summary'!Q$54:Q$71)+SUM('1.  LRAMVA Summary'!Q$72:Q$73)*(MONTH($E115)-1)/12)*$H115</f>
        <v>0</v>
      </c>
      <c r="W115" s="244">
        <f t="shared" si="49"/>
        <v>258.88742366203405</v>
      </c>
    </row>
    <row r="116" spans="2:23" s="22" customFormat="1">
      <c r="B116" s="79"/>
      <c r="E116" s="227">
        <v>43070</v>
      </c>
      <c r="F116" s="227" t="s">
        <v>184</v>
      </c>
      <c r="G116" s="228" t="s">
        <v>69</v>
      </c>
      <c r="H116" s="253">
        <f t="shared" si="52"/>
        <v>1.25E-3</v>
      </c>
      <c r="I116" s="243">
        <f>(SUM('1.  LRAMVA Summary'!D$54:D$71)+SUM('1.  LRAMVA Summary'!D$72:D$73)*(MONTH($E116)-1)/12)*$H116</f>
        <v>143.89522078988435</v>
      </c>
      <c r="J116" s="243">
        <f>(SUM('1.  LRAMVA Summary'!E$54:E$71)+SUM('1.  LRAMVA Summary'!E$72:E$73)*(MONTH($E116)-1)/12)*$H116</f>
        <v>88.551294832813653</v>
      </c>
      <c r="K116" s="243">
        <f>(SUM('1.  LRAMVA Summary'!F$54:F$71)+SUM('1.  LRAMVA Summary'!F$72:F$73)*(MONTH($E116)-1)/12)*$H116</f>
        <v>30.585765984741851</v>
      </c>
      <c r="L116" s="243">
        <f>(SUM('1.  LRAMVA Summary'!G$54:G$71)+SUM('1.  LRAMVA Summary'!G$72:G$73)*(MONTH($E116)-1)/12)*$H116</f>
        <v>23.538522933734527</v>
      </c>
      <c r="M116" s="243">
        <f>(SUM('1.  LRAMVA Summary'!H$54:H$71)+SUM('1.  LRAMVA Summary'!H$72:H$73)*(MONTH($E116)-1)/12)*$H116</f>
        <v>0</v>
      </c>
      <c r="N116" s="243">
        <f>(SUM('1.  LRAMVA Summary'!I$54:I$71)+SUM('1.  LRAMVA Summary'!I$72:I$73)*(MONTH($E116)-1)/12)*$H116</f>
        <v>0</v>
      </c>
      <c r="O116" s="243">
        <f>(SUM('1.  LRAMVA Summary'!J$54:J$71)+SUM('1.  LRAMVA Summary'!J$72:J$73)*(MONTH($E116)-1)/12)*$H116</f>
        <v>-15.617355422706503</v>
      </c>
      <c r="P116" s="243">
        <f>(SUM('1.  LRAMVA Summary'!K$54:K$71)+SUM('1.  LRAMVA Summary'!K$72:K$73)*(MONTH($E116)-1)/12)*$H116</f>
        <v>0</v>
      </c>
      <c r="Q116" s="243">
        <f>(SUM('1.  LRAMVA Summary'!L$54:L$71)+SUM('1.  LRAMVA Summary'!L$72:L$73)*(MONTH($E116)-1)/12)*$H116</f>
        <v>0</v>
      </c>
      <c r="R116" s="243">
        <f>(SUM('1.  LRAMVA Summary'!M$54:M$71)+SUM('1.  LRAMVA Summary'!M$72:M$73)*(MONTH($E116)-1)/12)*$H116</f>
        <v>0</v>
      </c>
      <c r="S116" s="243">
        <f>(SUM('1.  LRAMVA Summary'!N$54:N$71)+SUM('1.  LRAMVA Summary'!N$72:N$73)*(MONTH($E116)-1)/12)*$H116</f>
        <v>0</v>
      </c>
      <c r="T116" s="243">
        <f>(SUM('1.  LRAMVA Summary'!O$54:O$71)+SUM('1.  LRAMVA Summary'!O$72:O$73)*(MONTH($E116)-1)/12)*$H116</f>
        <v>0</v>
      </c>
      <c r="U116" s="243">
        <f>(SUM('1.  LRAMVA Summary'!P$54:P$71)+SUM('1.  LRAMVA Summary'!P$72:P$73)*(MONTH($E116)-1)/12)*$H116</f>
        <v>0</v>
      </c>
      <c r="V116" s="243">
        <f>(SUM('1.  LRAMVA Summary'!Q$54:Q$71)+SUM('1.  LRAMVA Summary'!Q$72:Q$73)*(MONTH($E116)-1)/12)*$H116</f>
        <v>0</v>
      </c>
      <c r="W116" s="244">
        <f t="shared" si="49"/>
        <v>270.95344911846792</v>
      </c>
    </row>
    <row r="117" spans="2:23" s="22" customFormat="1" ht="15" thickBot="1">
      <c r="B117" s="79"/>
      <c r="E117" s="229" t="s">
        <v>466</v>
      </c>
      <c r="F117" s="229"/>
      <c r="G117" s="230"/>
      <c r="H117" s="231"/>
      <c r="I117" s="232">
        <f>SUM(I104:I116)</f>
        <v>1425.8036230116343</v>
      </c>
      <c r="J117" s="232">
        <f>SUM(J104:J116)</f>
        <v>1193.054499768333</v>
      </c>
      <c r="K117" s="232">
        <f t="shared" ref="K117:O117" si="53">SUM(K104:K116)</f>
        <v>592.27142703758625</v>
      </c>
      <c r="L117" s="232">
        <f t="shared" si="53"/>
        <v>416.2435595995089</v>
      </c>
      <c r="M117" s="232">
        <f t="shared" si="53"/>
        <v>0</v>
      </c>
      <c r="N117" s="232">
        <f t="shared" si="53"/>
        <v>0</v>
      </c>
      <c r="O117" s="232">
        <f t="shared" si="53"/>
        <v>-197.20627915128895</v>
      </c>
      <c r="P117" s="232">
        <f t="shared" ref="P117:V117" si="54">SUM(P104:P116)</f>
        <v>0</v>
      </c>
      <c r="Q117" s="232">
        <f t="shared" si="54"/>
        <v>0</v>
      </c>
      <c r="R117" s="232">
        <f t="shared" si="54"/>
        <v>0</v>
      </c>
      <c r="S117" s="232">
        <f t="shared" si="54"/>
        <v>0</v>
      </c>
      <c r="T117" s="232">
        <f t="shared" si="54"/>
        <v>0</v>
      </c>
      <c r="U117" s="232">
        <f t="shared" si="54"/>
        <v>0</v>
      </c>
      <c r="V117" s="232">
        <f t="shared" si="54"/>
        <v>0</v>
      </c>
      <c r="W117" s="232">
        <f>SUM(W104:W116)</f>
        <v>3430.1668302657736</v>
      </c>
    </row>
    <row r="118" spans="2:23" s="22" customFormat="1" ht="15" thickTop="1">
      <c r="B118" s="79"/>
      <c r="E118" s="233" t="s">
        <v>67</v>
      </c>
      <c r="F118" s="233"/>
      <c r="G118" s="234"/>
      <c r="H118" s="235"/>
      <c r="I118" s="236"/>
      <c r="J118" s="236"/>
      <c r="K118" s="236"/>
      <c r="L118" s="236"/>
      <c r="M118" s="236"/>
      <c r="N118" s="236"/>
      <c r="O118" s="236"/>
      <c r="P118" s="236"/>
      <c r="Q118" s="236"/>
      <c r="R118" s="236"/>
      <c r="S118" s="236"/>
      <c r="T118" s="236"/>
      <c r="U118" s="236"/>
      <c r="V118" s="236"/>
      <c r="W118" s="237"/>
    </row>
    <row r="119" spans="2:23" s="22" customFormat="1">
      <c r="B119" s="79"/>
      <c r="E119" s="238" t="s">
        <v>430</v>
      </c>
      <c r="F119" s="238"/>
      <c r="G119" s="239"/>
      <c r="H119" s="240"/>
      <c r="I119" s="241">
        <f>I117+I118</f>
        <v>1425.8036230116343</v>
      </c>
      <c r="J119" s="241">
        <f t="shared" ref="J119" si="55">J117+J118</f>
        <v>1193.054499768333</v>
      </c>
      <c r="K119" s="241">
        <f t="shared" ref="K119" si="56">K117+K118</f>
        <v>592.27142703758625</v>
      </c>
      <c r="L119" s="241">
        <f t="shared" ref="L119" si="57">L117+L118</f>
        <v>416.2435595995089</v>
      </c>
      <c r="M119" s="241">
        <f t="shared" ref="M119" si="58">M117+M118</f>
        <v>0</v>
      </c>
      <c r="N119" s="241">
        <f t="shared" ref="N119" si="59">N117+N118</f>
        <v>0</v>
      </c>
      <c r="O119" s="241">
        <f t="shared" ref="O119:V119" si="60">O117+O118</f>
        <v>-197.20627915128895</v>
      </c>
      <c r="P119" s="241">
        <f t="shared" si="60"/>
        <v>0</v>
      </c>
      <c r="Q119" s="241">
        <f t="shared" si="60"/>
        <v>0</v>
      </c>
      <c r="R119" s="241">
        <f t="shared" si="60"/>
        <v>0</v>
      </c>
      <c r="S119" s="241">
        <f t="shared" si="60"/>
        <v>0</v>
      </c>
      <c r="T119" s="241">
        <f t="shared" si="60"/>
        <v>0</v>
      </c>
      <c r="U119" s="241">
        <f t="shared" si="60"/>
        <v>0</v>
      </c>
      <c r="V119" s="241">
        <f t="shared" si="60"/>
        <v>0</v>
      </c>
      <c r="W119" s="241">
        <f t="shared" ref="W119" si="61">W117+W118</f>
        <v>3430.1668302657736</v>
      </c>
    </row>
    <row r="120" spans="2:23" s="22" customFormat="1">
      <c r="B120" s="79"/>
      <c r="E120" s="227">
        <v>43101</v>
      </c>
      <c r="F120" s="227" t="s">
        <v>185</v>
      </c>
      <c r="G120" s="228" t="s">
        <v>65</v>
      </c>
      <c r="H120" s="253">
        <f>$C$43/12</f>
        <v>1.25E-3</v>
      </c>
      <c r="I120" s="243">
        <f>(SUM('1.  LRAMVA Summary'!D$54:D$74)+SUM('1.  LRAMVA Summary'!D$75:D$76)*(MONTH($E120)-1)/12)*$H120</f>
        <v>151.43862187494798</v>
      </c>
      <c r="J120" s="243">
        <f>(SUM('1.  LRAMVA Summary'!E$54:E$74)+SUM('1.  LRAMVA Summary'!E$75:E$76)*(MONTH($E120)-1)/12)*$H120</f>
        <v>91.715726855984883</v>
      </c>
      <c r="K120" s="243">
        <f>(SUM('1.  LRAMVA Summary'!F$54:F$74)+SUM('1.  LRAMVA Summary'!F$75:F$76)*(MONTH($E120)-1)/12)*$H120</f>
        <v>31.294714478405258</v>
      </c>
      <c r="L120" s="243">
        <f>(SUM('1.  LRAMVA Summary'!G$54:G$74)+SUM('1.  LRAMVA Summary'!G$75:G$76)*(MONTH($E120)-1)/12)*$H120</f>
        <v>24.138198729039679</v>
      </c>
      <c r="M120" s="243">
        <f>(SUM('1.  LRAMVA Summary'!H$54:H$74)+SUM('1.  LRAMVA Summary'!H$75:H$76)*(MONTH($E120)-1)/12)*$H120</f>
        <v>0</v>
      </c>
      <c r="N120" s="243">
        <f>(SUM('1.  LRAMVA Summary'!I$54:I$74)+SUM('1.  LRAMVA Summary'!I$75:I$76)*(MONTH($E120)-1)/12)*$H120</f>
        <v>0</v>
      </c>
      <c r="O120" s="243">
        <f>(SUM('1.  LRAMVA Summary'!J$54:J$74)+SUM('1.  LRAMVA Summary'!J$75:J$76)*(MONTH($E120)-1)/12)*$H120</f>
        <v>-15.567787363476004</v>
      </c>
      <c r="P120" s="243">
        <f>(SUM('1.  LRAMVA Summary'!K$54:K$74)+SUM('1.  LRAMVA Summary'!K$75:K$76)*(MONTH($E120)-1)/12)*$H120</f>
        <v>0</v>
      </c>
      <c r="Q120" s="243">
        <f>(SUM('1.  LRAMVA Summary'!L$54:L$74)+SUM('1.  LRAMVA Summary'!L$75:L$76)*(MONTH($E120)-1)/12)*$H120</f>
        <v>0</v>
      </c>
      <c r="R120" s="243">
        <f>(SUM('1.  LRAMVA Summary'!M$54:M$74)+SUM('1.  LRAMVA Summary'!M$75:M$76)*(MONTH($E120)-1)/12)*$H120</f>
        <v>0</v>
      </c>
      <c r="S120" s="243">
        <f>(SUM('1.  LRAMVA Summary'!N$54:N$74)+SUM('1.  LRAMVA Summary'!N$75:N$76)*(MONTH($E120)-1)/12)*$H120</f>
        <v>0</v>
      </c>
      <c r="T120" s="243">
        <f>(SUM('1.  LRAMVA Summary'!O$54:O$74)+SUM('1.  LRAMVA Summary'!O$75:O$76)*(MONTH($E120)-1)/12)*$H120</f>
        <v>0</v>
      </c>
      <c r="U120" s="243">
        <f>(SUM('1.  LRAMVA Summary'!P$54:P$74)+SUM('1.  LRAMVA Summary'!P$75:P$76)*(MONTH($E120)-1)/12)*$H120</f>
        <v>0</v>
      </c>
      <c r="V120" s="243">
        <f>(SUM('1.  LRAMVA Summary'!Q$54:Q$74)+SUM('1.  LRAMVA Summary'!Q$75:Q$76)*(MONTH($E120)-1)/12)*$H120</f>
        <v>0</v>
      </c>
      <c r="W120" s="244">
        <f>SUM(I120:V120)</f>
        <v>283.01947457490184</v>
      </c>
    </row>
    <row r="121" spans="2:23" s="22" customFormat="1">
      <c r="B121" s="79"/>
      <c r="E121" s="227">
        <v>43132</v>
      </c>
      <c r="F121" s="227" t="s">
        <v>185</v>
      </c>
      <c r="G121" s="228" t="s">
        <v>65</v>
      </c>
      <c r="H121" s="253">
        <f t="shared" ref="H121:H122" si="62">$C$43/12</f>
        <v>1.25E-3</v>
      </c>
      <c r="I121" s="243">
        <f>(SUM('1.  LRAMVA Summary'!D$54:D$74)+SUM('1.  LRAMVA Summary'!D$75:D$76)*(MONTH($E121)-1)/12)*$H121</f>
        <v>155.83966460256624</v>
      </c>
      <c r="J121" s="243">
        <f>(SUM('1.  LRAMVA Summary'!E$54:E$74)+SUM('1.  LRAMVA Summary'!E$75:E$76)*(MONTH($E121)-1)/12)*$H121</f>
        <v>95.269833036251967</v>
      </c>
      <c r="K121" s="243">
        <f>(SUM('1.  LRAMVA Summary'!F$54:F$74)+SUM('1.  LRAMVA Summary'!F$75:F$76)*(MONTH($E121)-1)/12)*$H121</f>
        <v>32.494711284205842</v>
      </c>
      <c r="L121" s="243">
        <f>(SUM('1.  LRAMVA Summary'!G$54:G$74)+SUM('1.  LRAMVA Summary'!G$75:G$76)*(MONTH($E121)-1)/12)*$H121</f>
        <v>25.112617409329673</v>
      </c>
      <c r="M121" s="243">
        <f>(SUM('1.  LRAMVA Summary'!H$54:H$74)+SUM('1.  LRAMVA Summary'!H$75:H$76)*(MONTH($E121)-1)/12)*$H121</f>
        <v>0</v>
      </c>
      <c r="N121" s="243">
        <f>(SUM('1.  LRAMVA Summary'!I$54:I$74)+SUM('1.  LRAMVA Summary'!I$75:I$76)*(MONTH($E121)-1)/12)*$H121</f>
        <v>0</v>
      </c>
      <c r="O121" s="243">
        <f>(SUM('1.  LRAMVA Summary'!J$54:J$74)+SUM('1.  LRAMVA Summary'!J$75:J$76)*(MONTH($E121)-1)/12)*$H121</f>
        <v>-15.502566204480004</v>
      </c>
      <c r="P121" s="243">
        <f>(SUM('1.  LRAMVA Summary'!K$54:K$74)+SUM('1.  LRAMVA Summary'!K$75:K$76)*(MONTH($E121)-1)/12)*$H121</f>
        <v>0</v>
      </c>
      <c r="Q121" s="243">
        <f>(SUM('1.  LRAMVA Summary'!L$54:L$74)+SUM('1.  LRAMVA Summary'!L$75:L$76)*(MONTH($E121)-1)/12)*$H121</f>
        <v>0</v>
      </c>
      <c r="R121" s="243">
        <f>(SUM('1.  LRAMVA Summary'!M$54:M$74)+SUM('1.  LRAMVA Summary'!M$75:M$76)*(MONTH($E121)-1)/12)*$H121</f>
        <v>0</v>
      </c>
      <c r="S121" s="243">
        <f>(SUM('1.  LRAMVA Summary'!N$54:N$74)+SUM('1.  LRAMVA Summary'!N$75:N$76)*(MONTH($E121)-1)/12)*$H121</f>
        <v>0</v>
      </c>
      <c r="T121" s="243">
        <f>(SUM('1.  LRAMVA Summary'!O$54:O$74)+SUM('1.  LRAMVA Summary'!O$75:O$76)*(MONTH($E121)-1)/12)*$H121</f>
        <v>0</v>
      </c>
      <c r="U121" s="243">
        <f>(SUM('1.  LRAMVA Summary'!P$54:P$74)+SUM('1.  LRAMVA Summary'!P$75:P$76)*(MONTH($E121)-1)/12)*$H121</f>
        <v>0</v>
      </c>
      <c r="V121" s="243">
        <f>(SUM('1.  LRAMVA Summary'!Q$54:Q$74)+SUM('1.  LRAMVA Summary'!Q$75:Q$76)*(MONTH($E121)-1)/12)*$H121</f>
        <v>0</v>
      </c>
      <c r="W121" s="244">
        <f t="shared" ref="W121:W131" si="63">SUM(I121:V121)</f>
        <v>293.21426012787373</v>
      </c>
    </row>
    <row r="122" spans="2:23" s="22" customFormat="1">
      <c r="B122" s="79"/>
      <c r="E122" s="227">
        <v>43160</v>
      </c>
      <c r="F122" s="227" t="s">
        <v>185</v>
      </c>
      <c r="G122" s="228" t="s">
        <v>65</v>
      </c>
      <c r="H122" s="253">
        <f t="shared" si="62"/>
        <v>1.25E-3</v>
      </c>
      <c r="I122" s="243">
        <f>(SUM('1.  LRAMVA Summary'!D$54:D$74)+SUM('1.  LRAMVA Summary'!D$75:D$76)*(MONTH($E122)-1)/12)*$H122</f>
        <v>160.24070733018451</v>
      </c>
      <c r="J122" s="243">
        <f>(SUM('1.  LRAMVA Summary'!E$54:E$74)+SUM('1.  LRAMVA Summary'!E$75:E$76)*(MONTH($E122)-1)/12)*$H122</f>
        <v>98.823939216519037</v>
      </c>
      <c r="K122" s="243">
        <f>(SUM('1.  LRAMVA Summary'!F$54:F$74)+SUM('1.  LRAMVA Summary'!F$75:F$76)*(MONTH($E122)-1)/12)*$H122</f>
        <v>33.694708090006422</v>
      </c>
      <c r="L122" s="243">
        <f>(SUM('1.  LRAMVA Summary'!G$54:G$74)+SUM('1.  LRAMVA Summary'!G$75:G$76)*(MONTH($E122)-1)/12)*$H122</f>
        <v>26.087036089619666</v>
      </c>
      <c r="M122" s="243">
        <f>(SUM('1.  LRAMVA Summary'!H$54:H$74)+SUM('1.  LRAMVA Summary'!H$75:H$76)*(MONTH($E122)-1)/12)*$H122</f>
        <v>0</v>
      </c>
      <c r="N122" s="243">
        <f>(SUM('1.  LRAMVA Summary'!I$54:I$74)+SUM('1.  LRAMVA Summary'!I$75:I$76)*(MONTH($E122)-1)/12)*$H122</f>
        <v>0</v>
      </c>
      <c r="O122" s="243">
        <f>(SUM('1.  LRAMVA Summary'!J$54:J$74)+SUM('1.  LRAMVA Summary'!J$75:J$76)*(MONTH($E122)-1)/12)*$H122</f>
        <v>-15.437345045484003</v>
      </c>
      <c r="P122" s="243">
        <f>(SUM('1.  LRAMVA Summary'!K$54:K$74)+SUM('1.  LRAMVA Summary'!K$75:K$76)*(MONTH($E122)-1)/12)*$H122</f>
        <v>0</v>
      </c>
      <c r="Q122" s="243">
        <f>(SUM('1.  LRAMVA Summary'!L$54:L$74)+SUM('1.  LRAMVA Summary'!L$75:L$76)*(MONTH($E122)-1)/12)*$H122</f>
        <v>0</v>
      </c>
      <c r="R122" s="243">
        <f>(SUM('1.  LRAMVA Summary'!M$54:M$74)+SUM('1.  LRAMVA Summary'!M$75:M$76)*(MONTH($E122)-1)/12)*$H122</f>
        <v>0</v>
      </c>
      <c r="S122" s="243">
        <f>(SUM('1.  LRAMVA Summary'!N$54:N$74)+SUM('1.  LRAMVA Summary'!N$75:N$76)*(MONTH($E122)-1)/12)*$H122</f>
        <v>0</v>
      </c>
      <c r="T122" s="243">
        <f>(SUM('1.  LRAMVA Summary'!O$54:O$74)+SUM('1.  LRAMVA Summary'!O$75:O$76)*(MONTH($E122)-1)/12)*$H122</f>
        <v>0</v>
      </c>
      <c r="U122" s="243">
        <f>(SUM('1.  LRAMVA Summary'!P$54:P$74)+SUM('1.  LRAMVA Summary'!P$75:P$76)*(MONTH($E122)-1)/12)*$H122</f>
        <v>0</v>
      </c>
      <c r="V122" s="243">
        <f>(SUM('1.  LRAMVA Summary'!Q$54:Q$74)+SUM('1.  LRAMVA Summary'!Q$75:Q$76)*(MONTH($E122)-1)/12)*$H122</f>
        <v>0</v>
      </c>
      <c r="W122" s="244">
        <f t="shared" si="63"/>
        <v>303.40904568084568</v>
      </c>
    </row>
    <row r="123" spans="2:23" s="21" customFormat="1">
      <c r="B123" s="252"/>
      <c r="E123" s="227">
        <v>43191</v>
      </c>
      <c r="F123" s="227" t="s">
        <v>185</v>
      </c>
      <c r="G123" s="228" t="s">
        <v>66</v>
      </c>
      <c r="H123" s="253">
        <f>$C$44/12</f>
        <v>1.575E-3</v>
      </c>
      <c r="I123" s="243">
        <f>(SUM('1.  LRAMVA Summary'!D$54:D$74)+SUM('1.  LRAMVA Summary'!D$75:D$76)*(MONTH($E123)-1)/12)*$H123</f>
        <v>207.44860507283147</v>
      </c>
      <c r="J123" s="243">
        <f>(SUM('1.  LRAMVA Summary'!E$54:E$74)+SUM('1.  LRAMVA Summary'!E$75:E$76)*(MONTH($E123)-1)/12)*$H123</f>
        <v>128.99633719995049</v>
      </c>
      <c r="K123" s="243">
        <f>(SUM('1.  LRAMVA Summary'!F$54:F$74)+SUM('1.  LRAMVA Summary'!F$75:F$76)*(MONTH($E123)-1)/12)*$H123</f>
        <v>43.967328168716826</v>
      </c>
      <c r="L123" s="243">
        <f>(SUM('1.  LRAMVA Summary'!G$54:G$74)+SUM('1.  LRAMVA Summary'!G$75:G$76)*(MONTH($E123)-1)/12)*$H123</f>
        <v>34.097433010086171</v>
      </c>
      <c r="M123" s="243">
        <f>(SUM('1.  LRAMVA Summary'!H$54:H$74)+SUM('1.  LRAMVA Summary'!H$75:H$76)*(MONTH($E123)-1)/12)*$H123</f>
        <v>0</v>
      </c>
      <c r="N123" s="243">
        <f>(SUM('1.  LRAMVA Summary'!I$54:I$74)+SUM('1.  LRAMVA Summary'!I$75:I$76)*(MONTH($E123)-1)/12)*$H123</f>
        <v>0</v>
      </c>
      <c r="O123" s="243">
        <f>(SUM('1.  LRAMVA Summary'!J$54:J$74)+SUM('1.  LRAMVA Summary'!J$75:J$76)*(MONTH($E123)-1)/12)*$H123</f>
        <v>-19.368876096974887</v>
      </c>
      <c r="P123" s="243">
        <f>(SUM('1.  LRAMVA Summary'!K$54:K$74)+SUM('1.  LRAMVA Summary'!K$75:K$76)*(MONTH($E123)-1)/12)*$H123</f>
        <v>0</v>
      </c>
      <c r="Q123" s="243">
        <f>(SUM('1.  LRAMVA Summary'!L$54:L$74)+SUM('1.  LRAMVA Summary'!L$75:L$76)*(MONTH($E123)-1)/12)*$H123</f>
        <v>0</v>
      </c>
      <c r="R123" s="243">
        <f>(SUM('1.  LRAMVA Summary'!M$54:M$74)+SUM('1.  LRAMVA Summary'!M$75:M$76)*(MONTH($E123)-1)/12)*$H123</f>
        <v>0</v>
      </c>
      <c r="S123" s="243">
        <f>(SUM('1.  LRAMVA Summary'!N$54:N$74)+SUM('1.  LRAMVA Summary'!N$75:N$76)*(MONTH($E123)-1)/12)*$H123</f>
        <v>0</v>
      </c>
      <c r="T123" s="243">
        <f>(SUM('1.  LRAMVA Summary'!O$54:O$74)+SUM('1.  LRAMVA Summary'!O$75:O$76)*(MONTH($E123)-1)/12)*$H123</f>
        <v>0</v>
      </c>
      <c r="U123" s="243">
        <f>(SUM('1.  LRAMVA Summary'!P$54:P$74)+SUM('1.  LRAMVA Summary'!P$75:P$76)*(MONTH($E123)-1)/12)*$H123</f>
        <v>0</v>
      </c>
      <c r="V123" s="243">
        <f>(SUM('1.  LRAMVA Summary'!Q$54:Q$74)+SUM('1.  LRAMVA Summary'!Q$75:Q$76)*(MONTH($E123)-1)/12)*$H123</f>
        <v>0</v>
      </c>
      <c r="W123" s="244">
        <f t="shared" si="63"/>
        <v>395.14082735461011</v>
      </c>
    </row>
    <row r="124" spans="2:23" s="22" customFormat="1">
      <c r="B124" s="79"/>
      <c r="E124" s="227">
        <v>43221</v>
      </c>
      <c r="F124" s="227" t="s">
        <v>185</v>
      </c>
      <c r="G124" s="228" t="s">
        <v>66</v>
      </c>
      <c r="H124" s="253">
        <f t="shared" ref="H124:H125" si="64">$C$44/12</f>
        <v>1.575E-3</v>
      </c>
      <c r="I124" s="243">
        <f>(SUM('1.  LRAMVA Summary'!D$54:D$74)+SUM('1.  LRAMVA Summary'!D$75:D$76)*(MONTH($E124)-1)/12)*$H124</f>
        <v>212.99391890963048</v>
      </c>
      <c r="J124" s="243">
        <f>(SUM('1.  LRAMVA Summary'!E$54:E$74)+SUM('1.  LRAMVA Summary'!E$75:E$76)*(MONTH($E124)-1)/12)*$H124</f>
        <v>133.474510987087</v>
      </c>
      <c r="K124" s="243">
        <f>(SUM('1.  LRAMVA Summary'!F$54:F$74)+SUM('1.  LRAMVA Summary'!F$75:F$76)*(MONTH($E124)-1)/12)*$H124</f>
        <v>45.479324144025561</v>
      </c>
      <c r="L124" s="243">
        <f>(SUM('1.  LRAMVA Summary'!G$54:G$74)+SUM('1.  LRAMVA Summary'!G$75:G$76)*(MONTH($E124)-1)/12)*$H124</f>
        <v>35.325200547251569</v>
      </c>
      <c r="M124" s="243">
        <f>(SUM('1.  LRAMVA Summary'!H$54:H$74)+SUM('1.  LRAMVA Summary'!H$75:H$76)*(MONTH($E124)-1)/12)*$H124</f>
        <v>0</v>
      </c>
      <c r="N124" s="243">
        <f>(SUM('1.  LRAMVA Summary'!I$54:I$74)+SUM('1.  LRAMVA Summary'!I$75:I$76)*(MONTH($E124)-1)/12)*$H124</f>
        <v>0</v>
      </c>
      <c r="O124" s="243">
        <f>(SUM('1.  LRAMVA Summary'!J$54:J$74)+SUM('1.  LRAMVA Summary'!J$75:J$76)*(MONTH($E124)-1)/12)*$H124</f>
        <v>-19.286697436639926</v>
      </c>
      <c r="P124" s="243">
        <f>(SUM('1.  LRAMVA Summary'!K$54:K$74)+SUM('1.  LRAMVA Summary'!K$75:K$76)*(MONTH($E124)-1)/12)*$H124</f>
        <v>0</v>
      </c>
      <c r="Q124" s="243">
        <f>(SUM('1.  LRAMVA Summary'!L$54:L$74)+SUM('1.  LRAMVA Summary'!L$75:L$76)*(MONTH($E124)-1)/12)*$H124</f>
        <v>0</v>
      </c>
      <c r="R124" s="243">
        <f>(SUM('1.  LRAMVA Summary'!M$54:M$74)+SUM('1.  LRAMVA Summary'!M$75:M$76)*(MONTH($E124)-1)/12)*$H124</f>
        <v>0</v>
      </c>
      <c r="S124" s="243">
        <f>(SUM('1.  LRAMVA Summary'!N$54:N$74)+SUM('1.  LRAMVA Summary'!N$75:N$76)*(MONTH($E124)-1)/12)*$H124</f>
        <v>0</v>
      </c>
      <c r="T124" s="243">
        <f>(SUM('1.  LRAMVA Summary'!O$54:O$74)+SUM('1.  LRAMVA Summary'!O$75:O$76)*(MONTH($E124)-1)/12)*$H124</f>
        <v>0</v>
      </c>
      <c r="U124" s="243">
        <f>(SUM('1.  LRAMVA Summary'!P$54:P$74)+SUM('1.  LRAMVA Summary'!P$75:P$76)*(MONTH($E124)-1)/12)*$H124</f>
        <v>0</v>
      </c>
      <c r="V124" s="243">
        <f>(SUM('1.  LRAMVA Summary'!Q$54:Q$74)+SUM('1.  LRAMVA Summary'!Q$75:Q$76)*(MONTH($E124)-1)/12)*$H124</f>
        <v>0</v>
      </c>
      <c r="W124" s="244">
        <f t="shared" si="63"/>
        <v>407.98625715135466</v>
      </c>
    </row>
    <row r="125" spans="2:23" s="251" customFormat="1">
      <c r="B125" s="250"/>
      <c r="E125" s="227">
        <v>43252</v>
      </c>
      <c r="F125" s="227" t="s">
        <v>185</v>
      </c>
      <c r="G125" s="228" t="s">
        <v>66</v>
      </c>
      <c r="H125" s="253">
        <f t="shared" si="64"/>
        <v>1.575E-3</v>
      </c>
      <c r="I125" s="243">
        <f>(SUM('1.  LRAMVA Summary'!D$54:D$74)+SUM('1.  LRAMVA Summary'!D$75:D$76)*(MONTH($E125)-1)/12)*$H125</f>
        <v>218.53923274642949</v>
      </c>
      <c r="J125" s="243">
        <f>(SUM('1.  LRAMVA Summary'!E$54:E$74)+SUM('1.  LRAMVA Summary'!E$75:E$76)*(MONTH($E125)-1)/12)*$H125</f>
        <v>137.95268477422351</v>
      </c>
      <c r="K125" s="243">
        <f>(SUM('1.  LRAMVA Summary'!F$54:F$74)+SUM('1.  LRAMVA Summary'!F$75:F$76)*(MONTH($E125)-1)/12)*$H125</f>
        <v>46.991320119334297</v>
      </c>
      <c r="L125" s="243">
        <f>(SUM('1.  LRAMVA Summary'!G$54:G$74)+SUM('1.  LRAMVA Summary'!G$75:G$76)*(MONTH($E125)-1)/12)*$H125</f>
        <v>36.552968084416953</v>
      </c>
      <c r="M125" s="243">
        <f>(SUM('1.  LRAMVA Summary'!H$54:H$74)+SUM('1.  LRAMVA Summary'!H$75:H$76)*(MONTH($E125)-1)/12)*$H125</f>
        <v>0</v>
      </c>
      <c r="N125" s="243">
        <f>(SUM('1.  LRAMVA Summary'!I$54:I$74)+SUM('1.  LRAMVA Summary'!I$75:I$76)*(MONTH($E125)-1)/12)*$H125</f>
        <v>0</v>
      </c>
      <c r="O125" s="243">
        <f>(SUM('1.  LRAMVA Summary'!J$54:J$74)+SUM('1.  LRAMVA Summary'!J$75:J$76)*(MONTH($E125)-1)/12)*$H125</f>
        <v>-19.204518776304965</v>
      </c>
      <c r="P125" s="243">
        <f>(SUM('1.  LRAMVA Summary'!K$54:K$74)+SUM('1.  LRAMVA Summary'!K$75:K$76)*(MONTH($E125)-1)/12)*$H125</f>
        <v>0</v>
      </c>
      <c r="Q125" s="243">
        <f>(SUM('1.  LRAMVA Summary'!L$54:L$74)+SUM('1.  LRAMVA Summary'!L$75:L$76)*(MONTH($E125)-1)/12)*$H125</f>
        <v>0</v>
      </c>
      <c r="R125" s="243">
        <f>(SUM('1.  LRAMVA Summary'!M$54:M$74)+SUM('1.  LRAMVA Summary'!M$75:M$76)*(MONTH($E125)-1)/12)*$H125</f>
        <v>0</v>
      </c>
      <c r="S125" s="243">
        <f>(SUM('1.  LRAMVA Summary'!N$54:N$74)+SUM('1.  LRAMVA Summary'!N$75:N$76)*(MONTH($E125)-1)/12)*$H125</f>
        <v>0</v>
      </c>
      <c r="T125" s="243">
        <f>(SUM('1.  LRAMVA Summary'!O$54:O$74)+SUM('1.  LRAMVA Summary'!O$75:O$76)*(MONTH($E125)-1)/12)*$H125</f>
        <v>0</v>
      </c>
      <c r="U125" s="243">
        <f>(SUM('1.  LRAMVA Summary'!P$54:P$74)+SUM('1.  LRAMVA Summary'!P$75:P$76)*(MONTH($E125)-1)/12)*$H125</f>
        <v>0</v>
      </c>
      <c r="V125" s="243">
        <f>(SUM('1.  LRAMVA Summary'!Q$54:Q$74)+SUM('1.  LRAMVA Summary'!Q$75:Q$76)*(MONTH($E125)-1)/12)*$H125</f>
        <v>0</v>
      </c>
      <c r="W125" s="244">
        <f t="shared" si="63"/>
        <v>420.83168694809933</v>
      </c>
    </row>
    <row r="126" spans="2:23" s="22" customFormat="1">
      <c r="B126" s="79"/>
      <c r="E126" s="227">
        <v>43282</v>
      </c>
      <c r="F126" s="227" t="s">
        <v>185</v>
      </c>
      <c r="G126" s="228" t="s">
        <v>68</v>
      </c>
      <c r="H126" s="253">
        <f>$C$45/12</f>
        <v>1.575E-3</v>
      </c>
      <c r="I126" s="243">
        <f>(SUM('1.  LRAMVA Summary'!D$54:D$74)+SUM('1.  LRAMVA Summary'!D$75:D$76)*(MONTH($E126)-1)/12)*$H126</f>
        <v>224.08454658322847</v>
      </c>
      <c r="J126" s="243">
        <f>(SUM('1.  LRAMVA Summary'!E$54:E$74)+SUM('1.  LRAMVA Summary'!E$75:E$76)*(MONTH($E126)-1)/12)*$H126</f>
        <v>142.43085856136003</v>
      </c>
      <c r="K126" s="243">
        <f>(SUM('1.  LRAMVA Summary'!F$54:F$74)+SUM('1.  LRAMVA Summary'!F$75:F$76)*(MONTH($E126)-1)/12)*$H126</f>
        <v>48.503316094643033</v>
      </c>
      <c r="L126" s="243">
        <f>(SUM('1.  LRAMVA Summary'!G$54:G$74)+SUM('1.  LRAMVA Summary'!G$75:G$76)*(MONTH($E126)-1)/12)*$H126</f>
        <v>37.780735621582352</v>
      </c>
      <c r="M126" s="243">
        <f>(SUM('1.  LRAMVA Summary'!H$54:H$74)+SUM('1.  LRAMVA Summary'!H$75:H$76)*(MONTH($E126)-1)/12)*$H126</f>
        <v>0</v>
      </c>
      <c r="N126" s="243">
        <f>(SUM('1.  LRAMVA Summary'!I$54:I$74)+SUM('1.  LRAMVA Summary'!I$75:I$76)*(MONTH($E126)-1)/12)*$H126</f>
        <v>0</v>
      </c>
      <c r="O126" s="243">
        <f>(SUM('1.  LRAMVA Summary'!J$54:J$74)+SUM('1.  LRAMVA Summary'!J$75:J$76)*(MONTH($E126)-1)/12)*$H126</f>
        <v>-19.122340115970008</v>
      </c>
      <c r="P126" s="243">
        <f>(SUM('1.  LRAMVA Summary'!K$54:K$74)+SUM('1.  LRAMVA Summary'!K$75:K$76)*(MONTH($E126)-1)/12)*$H126</f>
        <v>0</v>
      </c>
      <c r="Q126" s="243">
        <f>(SUM('1.  LRAMVA Summary'!L$54:L$74)+SUM('1.  LRAMVA Summary'!L$75:L$76)*(MONTH($E126)-1)/12)*$H126</f>
        <v>0</v>
      </c>
      <c r="R126" s="243">
        <f>(SUM('1.  LRAMVA Summary'!M$54:M$74)+SUM('1.  LRAMVA Summary'!M$75:M$76)*(MONTH($E126)-1)/12)*$H126</f>
        <v>0</v>
      </c>
      <c r="S126" s="243">
        <f>(SUM('1.  LRAMVA Summary'!N$54:N$74)+SUM('1.  LRAMVA Summary'!N$75:N$76)*(MONTH($E126)-1)/12)*$H126</f>
        <v>0</v>
      </c>
      <c r="T126" s="243">
        <f>(SUM('1.  LRAMVA Summary'!O$54:O$74)+SUM('1.  LRAMVA Summary'!O$75:O$76)*(MONTH($E126)-1)/12)*$H126</f>
        <v>0</v>
      </c>
      <c r="U126" s="243">
        <f>(SUM('1.  LRAMVA Summary'!P$54:P$74)+SUM('1.  LRAMVA Summary'!P$75:P$76)*(MONTH($E126)-1)/12)*$H126</f>
        <v>0</v>
      </c>
      <c r="V126" s="243">
        <f>(SUM('1.  LRAMVA Summary'!Q$54:Q$74)+SUM('1.  LRAMVA Summary'!Q$75:Q$76)*(MONTH($E126)-1)/12)*$H126</f>
        <v>0</v>
      </c>
      <c r="W126" s="244">
        <f t="shared" si="63"/>
        <v>433.67711674484383</v>
      </c>
    </row>
    <row r="127" spans="2:23" s="22" customFormat="1">
      <c r="B127" s="79"/>
      <c r="E127" s="227">
        <v>43313</v>
      </c>
      <c r="F127" s="227" t="s">
        <v>185</v>
      </c>
      <c r="G127" s="228" t="s">
        <v>68</v>
      </c>
      <c r="H127" s="253">
        <f t="shared" ref="H127:H128" si="65">$C$45/12</f>
        <v>1.575E-3</v>
      </c>
      <c r="I127" s="243">
        <f>(SUM('1.  LRAMVA Summary'!D$54:D$74)+SUM('1.  LRAMVA Summary'!D$75:D$76)*(MONTH($E127)-1)/12)*$H127</f>
        <v>229.62986042002748</v>
      </c>
      <c r="J127" s="243">
        <f>(SUM('1.  LRAMVA Summary'!E$54:E$74)+SUM('1.  LRAMVA Summary'!E$75:E$76)*(MONTH($E127)-1)/12)*$H127</f>
        <v>146.90903234849654</v>
      </c>
      <c r="K127" s="243">
        <f>(SUM('1.  LRAMVA Summary'!F$54:F$74)+SUM('1.  LRAMVA Summary'!F$75:F$76)*(MONTH($E127)-1)/12)*$H127</f>
        <v>50.015312069951769</v>
      </c>
      <c r="L127" s="243">
        <f>(SUM('1.  LRAMVA Summary'!G$54:G$74)+SUM('1.  LRAMVA Summary'!G$75:G$76)*(MONTH($E127)-1)/12)*$H127</f>
        <v>39.008503158747743</v>
      </c>
      <c r="M127" s="243">
        <f>(SUM('1.  LRAMVA Summary'!H$54:H$74)+SUM('1.  LRAMVA Summary'!H$75:H$76)*(MONTH($E127)-1)/12)*$H127</f>
        <v>0</v>
      </c>
      <c r="N127" s="243">
        <f>(SUM('1.  LRAMVA Summary'!I$54:I$74)+SUM('1.  LRAMVA Summary'!I$75:I$76)*(MONTH($E127)-1)/12)*$H127</f>
        <v>0</v>
      </c>
      <c r="O127" s="243">
        <f>(SUM('1.  LRAMVA Summary'!J$54:J$74)+SUM('1.  LRAMVA Summary'!J$75:J$76)*(MONTH($E127)-1)/12)*$H127</f>
        <v>-19.040161455635044</v>
      </c>
      <c r="P127" s="243">
        <f>(SUM('1.  LRAMVA Summary'!K$54:K$74)+SUM('1.  LRAMVA Summary'!K$75:K$76)*(MONTH($E127)-1)/12)*$H127</f>
        <v>0</v>
      </c>
      <c r="Q127" s="243">
        <f>(SUM('1.  LRAMVA Summary'!L$54:L$74)+SUM('1.  LRAMVA Summary'!L$75:L$76)*(MONTH($E127)-1)/12)*$H127</f>
        <v>0</v>
      </c>
      <c r="R127" s="243">
        <f>(SUM('1.  LRAMVA Summary'!M$54:M$74)+SUM('1.  LRAMVA Summary'!M$75:M$76)*(MONTH($E127)-1)/12)*$H127</f>
        <v>0</v>
      </c>
      <c r="S127" s="243">
        <f>(SUM('1.  LRAMVA Summary'!N$54:N$74)+SUM('1.  LRAMVA Summary'!N$75:N$76)*(MONTH($E127)-1)/12)*$H127</f>
        <v>0</v>
      </c>
      <c r="T127" s="243">
        <f>(SUM('1.  LRAMVA Summary'!O$54:O$74)+SUM('1.  LRAMVA Summary'!O$75:O$76)*(MONTH($E127)-1)/12)*$H127</f>
        <v>0</v>
      </c>
      <c r="U127" s="243">
        <f>(SUM('1.  LRAMVA Summary'!P$54:P$74)+SUM('1.  LRAMVA Summary'!P$75:P$76)*(MONTH($E127)-1)/12)*$H127</f>
        <v>0</v>
      </c>
      <c r="V127" s="243">
        <f>(SUM('1.  LRAMVA Summary'!Q$54:Q$74)+SUM('1.  LRAMVA Summary'!Q$75:Q$76)*(MONTH($E127)-1)/12)*$H127</f>
        <v>0</v>
      </c>
      <c r="W127" s="244">
        <f t="shared" si="63"/>
        <v>446.52254654158855</v>
      </c>
    </row>
    <row r="128" spans="2:23" s="22" customFormat="1">
      <c r="B128" s="79"/>
      <c r="E128" s="227">
        <v>43344</v>
      </c>
      <c r="F128" s="227" t="s">
        <v>185</v>
      </c>
      <c r="G128" s="228" t="s">
        <v>68</v>
      </c>
      <c r="H128" s="253">
        <f t="shared" si="65"/>
        <v>1.575E-3</v>
      </c>
      <c r="I128" s="243">
        <f>(SUM('1.  LRAMVA Summary'!D$54:D$74)+SUM('1.  LRAMVA Summary'!D$75:D$76)*(MONTH($E128)-1)/12)*$H128</f>
        <v>235.17517425682649</v>
      </c>
      <c r="J128" s="243">
        <f>(SUM('1.  LRAMVA Summary'!E$54:E$74)+SUM('1.  LRAMVA Summary'!E$75:E$76)*(MONTH($E128)-1)/12)*$H128</f>
        <v>151.38720613563305</v>
      </c>
      <c r="K128" s="243">
        <f>(SUM('1.  LRAMVA Summary'!F$54:F$74)+SUM('1.  LRAMVA Summary'!F$75:F$76)*(MONTH($E128)-1)/12)*$H128</f>
        <v>51.527308045260497</v>
      </c>
      <c r="L128" s="243">
        <f>(SUM('1.  LRAMVA Summary'!G$54:G$74)+SUM('1.  LRAMVA Summary'!G$75:G$76)*(MONTH($E128)-1)/12)*$H128</f>
        <v>40.236270695913134</v>
      </c>
      <c r="M128" s="243">
        <f>(SUM('1.  LRAMVA Summary'!H$54:H$74)+SUM('1.  LRAMVA Summary'!H$75:H$76)*(MONTH($E128)-1)/12)*$H128</f>
        <v>0</v>
      </c>
      <c r="N128" s="243">
        <f>(SUM('1.  LRAMVA Summary'!I$54:I$74)+SUM('1.  LRAMVA Summary'!I$75:I$76)*(MONTH($E128)-1)/12)*$H128</f>
        <v>0</v>
      </c>
      <c r="O128" s="243">
        <f>(SUM('1.  LRAMVA Summary'!J$54:J$74)+SUM('1.  LRAMVA Summary'!J$75:J$76)*(MONTH($E128)-1)/12)*$H128</f>
        <v>-18.957982795300083</v>
      </c>
      <c r="P128" s="243">
        <f>(SUM('1.  LRAMVA Summary'!K$54:K$74)+SUM('1.  LRAMVA Summary'!K$75:K$76)*(MONTH($E128)-1)/12)*$H128</f>
        <v>0</v>
      </c>
      <c r="Q128" s="243">
        <f>(SUM('1.  LRAMVA Summary'!L$54:L$74)+SUM('1.  LRAMVA Summary'!L$75:L$76)*(MONTH($E128)-1)/12)*$H128</f>
        <v>0</v>
      </c>
      <c r="R128" s="243">
        <f>(SUM('1.  LRAMVA Summary'!M$54:M$74)+SUM('1.  LRAMVA Summary'!M$75:M$76)*(MONTH($E128)-1)/12)*$H128</f>
        <v>0</v>
      </c>
      <c r="S128" s="243">
        <f>(SUM('1.  LRAMVA Summary'!N$54:N$74)+SUM('1.  LRAMVA Summary'!N$75:N$76)*(MONTH($E128)-1)/12)*$H128</f>
        <v>0</v>
      </c>
      <c r="T128" s="243">
        <f>(SUM('1.  LRAMVA Summary'!O$54:O$74)+SUM('1.  LRAMVA Summary'!O$75:O$76)*(MONTH($E128)-1)/12)*$H128</f>
        <v>0</v>
      </c>
      <c r="U128" s="243">
        <f>(SUM('1.  LRAMVA Summary'!P$54:P$74)+SUM('1.  LRAMVA Summary'!P$75:P$76)*(MONTH($E128)-1)/12)*$H128</f>
        <v>0</v>
      </c>
      <c r="V128" s="243">
        <f>(SUM('1.  LRAMVA Summary'!Q$54:Q$74)+SUM('1.  LRAMVA Summary'!Q$75:Q$76)*(MONTH($E128)-1)/12)*$H128</f>
        <v>0</v>
      </c>
      <c r="W128" s="244">
        <f t="shared" si="63"/>
        <v>459.36797633833311</v>
      </c>
    </row>
    <row r="129" spans="2:23" s="22" customFormat="1">
      <c r="B129" s="79"/>
      <c r="E129" s="227">
        <v>43374</v>
      </c>
      <c r="F129" s="227" t="s">
        <v>185</v>
      </c>
      <c r="G129" s="228" t="s">
        <v>69</v>
      </c>
      <c r="H129" s="253">
        <f>$C$46/12</f>
        <v>1.8083333333333335E-3</v>
      </c>
      <c r="I129" s="243">
        <f>(SUM('1.  LRAMVA Summary'!D$54:D$74)+SUM('1.  LRAMVA Summary'!D$75:D$76)*(MONTH($E129)-1)/12)*$H129</f>
        <v>276.38278262601449</v>
      </c>
      <c r="J129" s="243">
        <f>(SUM('1.  LRAMVA Summary'!E$54:E$74)+SUM('1.  LRAMVA Summary'!E$75:E$76)*(MONTH($E129)-1)/12)*$H129</f>
        <v>178.95654731873543</v>
      </c>
      <c r="K129" s="243">
        <f>(SUM('1.  LRAMVA Summary'!F$54:F$74)+SUM('1.  LRAMVA Summary'!F$75:F$76)*(MONTH($E129)-1)/12)*$H129</f>
        <v>60.896978690283191</v>
      </c>
      <c r="L129" s="243">
        <f>(SUM('1.  LRAMVA Summary'!G$54:G$74)+SUM('1.  LRAMVA Summary'!G$75:G$76)*(MONTH($E129)-1)/12)*$H129</f>
        <v>47.606858712053132</v>
      </c>
      <c r="M129" s="243">
        <f>(SUM('1.  LRAMVA Summary'!H$54:H$74)+SUM('1.  LRAMVA Summary'!H$75:H$76)*(MONTH($E129)-1)/12)*$H129</f>
        <v>0</v>
      </c>
      <c r="N129" s="243">
        <f>(SUM('1.  LRAMVA Summary'!I$54:I$74)+SUM('1.  LRAMVA Summary'!I$75:I$76)*(MONTH($E129)-1)/12)*$H129</f>
        <v>0</v>
      </c>
      <c r="O129" s="243">
        <f>(SUM('1.  LRAMVA Summary'!J$54:J$74)+SUM('1.  LRAMVA Summary'!J$75:J$76)*(MONTH($E129)-1)/12)*$H129</f>
        <v>-21.672219562367367</v>
      </c>
      <c r="P129" s="243">
        <f>(SUM('1.  LRAMVA Summary'!K$54:K$74)+SUM('1.  LRAMVA Summary'!K$75:K$76)*(MONTH($E129)-1)/12)*$H129</f>
        <v>0</v>
      </c>
      <c r="Q129" s="243">
        <f>(SUM('1.  LRAMVA Summary'!L$54:L$74)+SUM('1.  LRAMVA Summary'!L$75:L$76)*(MONTH($E129)-1)/12)*$H129</f>
        <v>0</v>
      </c>
      <c r="R129" s="243">
        <f>(SUM('1.  LRAMVA Summary'!M$54:M$74)+SUM('1.  LRAMVA Summary'!M$75:M$76)*(MONTH($E129)-1)/12)*$H129</f>
        <v>0</v>
      </c>
      <c r="S129" s="243">
        <f>(SUM('1.  LRAMVA Summary'!N$54:N$74)+SUM('1.  LRAMVA Summary'!N$75:N$76)*(MONTH($E129)-1)/12)*$H129</f>
        <v>0</v>
      </c>
      <c r="T129" s="243">
        <f>(SUM('1.  LRAMVA Summary'!O$54:O$74)+SUM('1.  LRAMVA Summary'!O$75:O$76)*(MONTH($E129)-1)/12)*$H129</f>
        <v>0</v>
      </c>
      <c r="U129" s="243">
        <f>(SUM('1.  LRAMVA Summary'!P$54:P$74)+SUM('1.  LRAMVA Summary'!P$75:P$76)*(MONTH($E129)-1)/12)*$H129</f>
        <v>0</v>
      </c>
      <c r="V129" s="243">
        <f>(SUM('1.  LRAMVA Summary'!Q$54:Q$74)+SUM('1.  LRAMVA Summary'!Q$75:Q$76)*(MONTH($E129)-1)/12)*$H129</f>
        <v>0</v>
      </c>
      <c r="W129" s="244">
        <f t="shared" si="63"/>
        <v>542.17094778471892</v>
      </c>
    </row>
    <row r="130" spans="2:23" s="22" customFormat="1">
      <c r="B130" s="79"/>
      <c r="E130" s="227">
        <v>43405</v>
      </c>
      <c r="F130" s="227" t="s">
        <v>185</v>
      </c>
      <c r="G130" s="228" t="s">
        <v>69</v>
      </c>
      <c r="H130" s="253">
        <f t="shared" ref="H130:H131" si="66">$C$46/12</f>
        <v>1.8083333333333335E-3</v>
      </c>
      <c r="I130" s="243">
        <f>(SUM('1.  LRAMVA Summary'!D$54:D$74)+SUM('1.  LRAMVA Summary'!D$75:D$76)*(MONTH($E130)-1)/12)*$H130</f>
        <v>282.74962443863558</v>
      </c>
      <c r="J130" s="243">
        <f>(SUM('1.  LRAMVA Summary'!E$54:E$74)+SUM('1.  LRAMVA Summary'!E$75:E$76)*(MONTH($E130)-1)/12)*$H130</f>
        <v>184.09815425952178</v>
      </c>
      <c r="K130" s="243">
        <f>(SUM('1.  LRAMVA Summary'!F$54:F$74)+SUM('1.  LRAMVA Summary'!F$75:F$76)*(MONTH($E130)-1)/12)*$H130</f>
        <v>62.632974069341373</v>
      </c>
      <c r="L130" s="243">
        <f>(SUM('1.  LRAMVA Summary'!G$54:G$74)+SUM('1.  LRAMVA Summary'!G$75:G$76)*(MONTH($E130)-1)/12)*$H130</f>
        <v>49.016517736205991</v>
      </c>
      <c r="M130" s="243">
        <f>(SUM('1.  LRAMVA Summary'!H$54:H$74)+SUM('1.  LRAMVA Summary'!H$75:H$76)*(MONTH($E130)-1)/12)*$H130</f>
        <v>0</v>
      </c>
      <c r="N130" s="243">
        <f>(SUM('1.  LRAMVA Summary'!I$54:I$74)+SUM('1.  LRAMVA Summary'!I$75:I$76)*(MONTH($E130)-1)/12)*$H130</f>
        <v>0</v>
      </c>
      <c r="O130" s="243">
        <f>(SUM('1.  LRAMVA Summary'!J$54:J$74)+SUM('1.  LRAMVA Summary'!J$75:J$76)*(MONTH($E130)-1)/12)*$H130</f>
        <v>-21.577866285686486</v>
      </c>
      <c r="P130" s="243">
        <f>(SUM('1.  LRAMVA Summary'!K$54:K$74)+SUM('1.  LRAMVA Summary'!K$75:K$76)*(MONTH($E130)-1)/12)*$H130</f>
        <v>0</v>
      </c>
      <c r="Q130" s="243">
        <f>(SUM('1.  LRAMVA Summary'!L$54:L$74)+SUM('1.  LRAMVA Summary'!L$75:L$76)*(MONTH($E130)-1)/12)*$H130</f>
        <v>0</v>
      </c>
      <c r="R130" s="243">
        <f>(SUM('1.  LRAMVA Summary'!M$54:M$74)+SUM('1.  LRAMVA Summary'!M$75:M$76)*(MONTH($E130)-1)/12)*$H130</f>
        <v>0</v>
      </c>
      <c r="S130" s="243">
        <f>(SUM('1.  LRAMVA Summary'!N$54:N$74)+SUM('1.  LRAMVA Summary'!N$75:N$76)*(MONTH($E130)-1)/12)*$H130</f>
        <v>0</v>
      </c>
      <c r="T130" s="243">
        <f>(SUM('1.  LRAMVA Summary'!O$54:O$74)+SUM('1.  LRAMVA Summary'!O$75:O$76)*(MONTH($E130)-1)/12)*$H130</f>
        <v>0</v>
      </c>
      <c r="U130" s="243">
        <f>(SUM('1.  LRAMVA Summary'!P$54:P$74)+SUM('1.  LRAMVA Summary'!P$75:P$76)*(MONTH($E130)-1)/12)*$H130</f>
        <v>0</v>
      </c>
      <c r="V130" s="243">
        <f>(SUM('1.  LRAMVA Summary'!Q$54:Q$74)+SUM('1.  LRAMVA Summary'!Q$75:Q$76)*(MONTH($E130)-1)/12)*$H130</f>
        <v>0</v>
      </c>
      <c r="W130" s="244">
        <f t="shared" si="63"/>
        <v>556.91940421801826</v>
      </c>
    </row>
    <row r="131" spans="2:23" s="22" customFormat="1">
      <c r="B131" s="79"/>
      <c r="E131" s="227">
        <v>43435</v>
      </c>
      <c r="F131" s="227" t="s">
        <v>185</v>
      </c>
      <c r="G131" s="228" t="s">
        <v>69</v>
      </c>
      <c r="H131" s="253">
        <f t="shared" si="66"/>
        <v>1.8083333333333335E-3</v>
      </c>
      <c r="I131" s="243">
        <f>(SUM('1.  LRAMVA Summary'!D$54:D$74)+SUM('1.  LRAMVA Summary'!D$75:D$76)*(MONTH($E131)-1)/12)*$H131</f>
        <v>289.11646625125661</v>
      </c>
      <c r="J131" s="243">
        <f>(SUM('1.  LRAMVA Summary'!E$54:E$74)+SUM('1.  LRAMVA Summary'!E$75:E$76)*(MONTH($E131)-1)/12)*$H131</f>
        <v>189.23976120030815</v>
      </c>
      <c r="K131" s="243">
        <f>(SUM('1.  LRAMVA Summary'!F$54:F$74)+SUM('1.  LRAMVA Summary'!F$75:F$76)*(MONTH($E131)-1)/12)*$H131</f>
        <v>64.368969448399554</v>
      </c>
      <c r="L131" s="243">
        <f>(SUM('1.  LRAMVA Summary'!G$54:G$74)+SUM('1.  LRAMVA Summary'!G$75:G$76)*(MONTH($E131)-1)/12)*$H131</f>
        <v>50.42617676035885</v>
      </c>
      <c r="M131" s="243">
        <f>(SUM('1.  LRAMVA Summary'!H$54:H$74)+SUM('1.  LRAMVA Summary'!H$75:H$76)*(MONTH($E131)-1)/12)*$H131</f>
        <v>0</v>
      </c>
      <c r="N131" s="243">
        <f>(SUM('1.  LRAMVA Summary'!I$54:I$74)+SUM('1.  LRAMVA Summary'!I$75:I$76)*(MONTH($E131)-1)/12)*$H131</f>
        <v>0</v>
      </c>
      <c r="O131" s="243">
        <f>(SUM('1.  LRAMVA Summary'!J$54:J$74)+SUM('1.  LRAMVA Summary'!J$75:J$76)*(MONTH($E131)-1)/12)*$H131</f>
        <v>-21.483513009005605</v>
      </c>
      <c r="P131" s="243">
        <f>(SUM('1.  LRAMVA Summary'!K$54:K$74)+SUM('1.  LRAMVA Summary'!K$75:K$76)*(MONTH($E131)-1)/12)*$H131</f>
        <v>0</v>
      </c>
      <c r="Q131" s="243">
        <f>(SUM('1.  LRAMVA Summary'!L$54:L$74)+SUM('1.  LRAMVA Summary'!L$75:L$76)*(MONTH($E131)-1)/12)*$H131</f>
        <v>0</v>
      </c>
      <c r="R131" s="243">
        <f>(SUM('1.  LRAMVA Summary'!M$54:M$74)+SUM('1.  LRAMVA Summary'!M$75:M$76)*(MONTH($E131)-1)/12)*$H131</f>
        <v>0</v>
      </c>
      <c r="S131" s="243">
        <f>(SUM('1.  LRAMVA Summary'!N$54:N$74)+SUM('1.  LRAMVA Summary'!N$75:N$76)*(MONTH($E131)-1)/12)*$H131</f>
        <v>0</v>
      </c>
      <c r="T131" s="243">
        <f>(SUM('1.  LRAMVA Summary'!O$54:O$74)+SUM('1.  LRAMVA Summary'!O$75:O$76)*(MONTH($E131)-1)/12)*$H131</f>
        <v>0</v>
      </c>
      <c r="U131" s="243">
        <f>(SUM('1.  LRAMVA Summary'!P$54:P$74)+SUM('1.  LRAMVA Summary'!P$75:P$76)*(MONTH($E131)-1)/12)*$H131</f>
        <v>0</v>
      </c>
      <c r="V131" s="243">
        <f>(SUM('1.  LRAMVA Summary'!Q$54:Q$74)+SUM('1.  LRAMVA Summary'!Q$75:Q$76)*(MONTH($E131)-1)/12)*$H131</f>
        <v>0</v>
      </c>
      <c r="W131" s="244">
        <f t="shared" si="63"/>
        <v>571.6678606513176</v>
      </c>
    </row>
    <row r="132" spans="2:23" s="22" customFormat="1" ht="15" thickBot="1">
      <c r="B132" s="79"/>
      <c r="E132" s="229" t="s">
        <v>467</v>
      </c>
      <c r="F132" s="229"/>
      <c r="G132" s="230"/>
      <c r="H132" s="231"/>
      <c r="I132" s="232">
        <f>SUM(I119:I131)</f>
        <v>4069.4428281242131</v>
      </c>
      <c r="J132" s="232">
        <f>SUM(J119:J131)</f>
        <v>2872.3090916624051</v>
      </c>
      <c r="K132" s="232">
        <f t="shared" ref="K132:O132" si="67">SUM(K119:K131)</f>
        <v>1164.1383917401599</v>
      </c>
      <c r="L132" s="232">
        <f t="shared" si="67"/>
        <v>861.63207615411409</v>
      </c>
      <c r="M132" s="232">
        <f t="shared" si="67"/>
        <v>0</v>
      </c>
      <c r="N132" s="232">
        <f t="shared" si="67"/>
        <v>0</v>
      </c>
      <c r="O132" s="232">
        <f t="shared" si="67"/>
        <v>-423.42815329861332</v>
      </c>
      <c r="P132" s="232">
        <f t="shared" ref="P132:V132" si="68">SUM(P119:P131)</f>
        <v>0</v>
      </c>
      <c r="Q132" s="232">
        <f t="shared" si="68"/>
        <v>0</v>
      </c>
      <c r="R132" s="232">
        <f t="shared" si="68"/>
        <v>0</v>
      </c>
      <c r="S132" s="232">
        <f t="shared" si="68"/>
        <v>0</v>
      </c>
      <c r="T132" s="232">
        <f t="shared" si="68"/>
        <v>0</v>
      </c>
      <c r="U132" s="232">
        <f t="shared" si="68"/>
        <v>0</v>
      </c>
      <c r="V132" s="232">
        <f t="shared" si="68"/>
        <v>0</v>
      </c>
      <c r="W132" s="232">
        <f>SUM(W119:W131)</f>
        <v>8544.0942343822808</v>
      </c>
    </row>
    <row r="133" spans="2:23" s="22" customFormat="1" ht="15" thickTop="1">
      <c r="B133" s="79"/>
      <c r="E133" s="233" t="s">
        <v>67</v>
      </c>
      <c r="F133" s="233"/>
      <c r="G133" s="234"/>
      <c r="H133" s="235"/>
      <c r="I133" s="236"/>
      <c r="J133" s="236"/>
      <c r="K133" s="236"/>
      <c r="L133" s="236"/>
      <c r="M133" s="236"/>
      <c r="N133" s="236"/>
      <c r="O133" s="236"/>
      <c r="P133" s="236"/>
      <c r="Q133" s="236"/>
      <c r="R133" s="236"/>
      <c r="S133" s="236"/>
      <c r="T133" s="236"/>
      <c r="U133" s="236"/>
      <c r="V133" s="236"/>
      <c r="W133" s="237"/>
    </row>
    <row r="134" spans="2:23" s="22" customFormat="1">
      <c r="B134" s="79"/>
      <c r="E134" s="238" t="s">
        <v>431</v>
      </c>
      <c r="F134" s="238"/>
      <c r="G134" s="239"/>
      <c r="H134" s="240"/>
      <c r="I134" s="241">
        <f>I132+I133</f>
        <v>4069.4428281242131</v>
      </c>
      <c r="J134" s="241">
        <f t="shared" ref="J134" si="69">J132+J133</f>
        <v>2872.3090916624051</v>
      </c>
      <c r="K134" s="241">
        <f t="shared" ref="K134" si="70">K132+K133</f>
        <v>1164.1383917401599</v>
      </c>
      <c r="L134" s="241">
        <f t="shared" ref="L134" si="71">L132+L133</f>
        <v>861.63207615411409</v>
      </c>
      <c r="M134" s="241">
        <f t="shared" ref="M134" si="72">M132+M133</f>
        <v>0</v>
      </c>
      <c r="N134" s="241">
        <f t="shared" ref="N134" si="73">N132+N133</f>
        <v>0</v>
      </c>
      <c r="O134" s="241">
        <f t="shared" ref="O134:V134" si="74">O132+O133</f>
        <v>-423.42815329861332</v>
      </c>
      <c r="P134" s="241">
        <f t="shared" si="74"/>
        <v>0</v>
      </c>
      <c r="Q134" s="241">
        <f t="shared" si="74"/>
        <v>0</v>
      </c>
      <c r="R134" s="241">
        <f t="shared" si="74"/>
        <v>0</v>
      </c>
      <c r="S134" s="241">
        <f t="shared" si="74"/>
        <v>0</v>
      </c>
      <c r="T134" s="241">
        <f t="shared" si="74"/>
        <v>0</v>
      </c>
      <c r="U134" s="241">
        <f t="shared" si="74"/>
        <v>0</v>
      </c>
      <c r="V134" s="241">
        <f t="shared" si="74"/>
        <v>0</v>
      </c>
      <c r="W134" s="241">
        <f>W132+W133</f>
        <v>8544.0942343822808</v>
      </c>
    </row>
    <row r="135" spans="2:23" s="22" customFormat="1">
      <c r="B135" s="79"/>
      <c r="E135" s="227">
        <v>43466</v>
      </c>
      <c r="F135" s="227" t="s">
        <v>186</v>
      </c>
      <c r="G135" s="228" t="s">
        <v>65</v>
      </c>
      <c r="H135" s="253">
        <f>$C$47/12</f>
        <v>2.0416666666666669E-3</v>
      </c>
      <c r="I135" s="243">
        <f>(SUM('1.  LRAMVA Summary'!D$54:D$77)+SUM('1.  LRAMVA Summary'!D$78:D$79)*(MONTH($E135)-1)/12)*$H135</f>
        <v>333.61018652373286</v>
      </c>
      <c r="J135" s="243">
        <f>(SUM('1.  LRAMVA Summary'!E$54:E$77)+SUM('1.  LRAMVA Summary'!E$78:E$79)*(MONTH($E135)-1)/12)*$H135</f>
        <v>219.46283499800995</v>
      </c>
      <c r="K135" s="243">
        <f>(SUM('1.  LRAMVA Summary'!F$54:F$77)+SUM('1.  LRAMVA Summary'!F$78:F$79)*(MONTH($E135)-1)/12)*$H135</f>
        <v>74.634637708420001</v>
      </c>
      <c r="L135" s="243">
        <f>(SUM('1.  LRAMVA Summary'!G$54:G$77)+SUM('1.  LRAMVA Summary'!G$78:G$79)*(MONTH($E135)-1)/12)*$H135</f>
        <v>58.524330724448696</v>
      </c>
      <c r="M135" s="243">
        <f>(SUM('1.  LRAMVA Summary'!H$54:H$77)+SUM('1.  LRAMVA Summary'!H$78:H$79)*(MONTH($E135)-1)/12)*$H135</f>
        <v>0</v>
      </c>
      <c r="N135" s="243">
        <f>(SUM('1.  LRAMVA Summary'!I$54:I$77)+SUM('1.  LRAMVA Summary'!I$78:I$79)*(MONTH($E135)-1)/12)*$H135</f>
        <v>0</v>
      </c>
      <c r="O135" s="243">
        <f>(SUM('1.  LRAMVA Summary'!J$54:J$77)+SUM('1.  LRAMVA Summary'!J$78:J$79)*(MONTH($E135)-1)/12)*$H135</f>
        <v>-24.14905131068921</v>
      </c>
      <c r="P135" s="243">
        <f>(SUM('1.  LRAMVA Summary'!K$54:K$77)+SUM('1.  LRAMVA Summary'!K$78:K$79)*(MONTH($E135)-1)/12)*$H135</f>
        <v>0</v>
      </c>
      <c r="Q135" s="243">
        <f>(SUM('1.  LRAMVA Summary'!L$54:L$77)+SUM('1.  LRAMVA Summary'!L$78:L$79)*(MONTH($E135)-1)/12)*$H135</f>
        <v>0</v>
      </c>
      <c r="R135" s="243">
        <f>(SUM('1.  LRAMVA Summary'!M$54:M$77)+SUM('1.  LRAMVA Summary'!M$78:M$79)*(MONTH($E135)-1)/12)*$H135</f>
        <v>0</v>
      </c>
      <c r="S135" s="243">
        <f>(SUM('1.  LRAMVA Summary'!N$54:N$77)+SUM('1.  LRAMVA Summary'!N$78:N$79)*(MONTH($E135)-1)/12)*$H135</f>
        <v>0</v>
      </c>
      <c r="T135" s="243">
        <f>(SUM('1.  LRAMVA Summary'!O$54:O$77)+SUM('1.  LRAMVA Summary'!O$78:O$79)*(MONTH($E135)-1)/12)*$H135</f>
        <v>0</v>
      </c>
      <c r="U135" s="243">
        <f>(SUM('1.  LRAMVA Summary'!P$54:P$77)+SUM('1.  LRAMVA Summary'!P$78:P$79)*(MONTH($E135)-1)/12)*$H135</f>
        <v>0</v>
      </c>
      <c r="V135" s="243">
        <f>(SUM('1.  LRAMVA Summary'!Q$54:Q$77)+SUM('1.  LRAMVA Summary'!Q$78:Q$79)*(MONTH($E135)-1)/12)*$H135</f>
        <v>0</v>
      </c>
      <c r="W135" s="244">
        <f>SUM(I135:V135)</f>
        <v>662.08293864392226</v>
      </c>
    </row>
    <row r="136" spans="2:23" s="22" customFormat="1">
      <c r="B136" s="79"/>
      <c r="E136" s="227">
        <v>43497</v>
      </c>
      <c r="F136" s="227" t="s">
        <v>186</v>
      </c>
      <c r="G136" s="228" t="s">
        <v>65</v>
      </c>
      <c r="H136" s="253">
        <f t="shared" ref="H136:H137" si="75">$C$47/12</f>
        <v>2.0416666666666669E-3</v>
      </c>
      <c r="I136" s="243">
        <f>(SUM('1.  LRAMVA Summary'!D$54:D$77)+SUM('1.  LRAMVA Summary'!D$78:D$79)*(MONTH($E136)-1)/12)*$H136</f>
        <v>333.61018652373286</v>
      </c>
      <c r="J136" s="243">
        <f>(SUM('1.  LRAMVA Summary'!E$54:E$77)+SUM('1.  LRAMVA Summary'!E$78:E$79)*(MONTH($E136)-1)/12)*$H136</f>
        <v>219.46283499800995</v>
      </c>
      <c r="K136" s="243">
        <f>(SUM('1.  LRAMVA Summary'!F$54:F$77)+SUM('1.  LRAMVA Summary'!F$78:F$79)*(MONTH($E136)-1)/12)*$H136</f>
        <v>74.634637708420001</v>
      </c>
      <c r="L136" s="243">
        <f>(SUM('1.  LRAMVA Summary'!G$54:G$77)+SUM('1.  LRAMVA Summary'!G$78:G$79)*(MONTH($E136)-1)/12)*$H136</f>
        <v>58.524330724448696</v>
      </c>
      <c r="M136" s="243">
        <f>(SUM('1.  LRAMVA Summary'!H$54:H$77)+SUM('1.  LRAMVA Summary'!H$78:H$79)*(MONTH($E136)-1)/12)*$H136</f>
        <v>0</v>
      </c>
      <c r="N136" s="243">
        <f>(SUM('1.  LRAMVA Summary'!I$54:I$77)+SUM('1.  LRAMVA Summary'!I$78:I$79)*(MONTH($E136)-1)/12)*$H136</f>
        <v>0</v>
      </c>
      <c r="O136" s="243">
        <f>(SUM('1.  LRAMVA Summary'!J$54:J$77)+SUM('1.  LRAMVA Summary'!J$78:J$79)*(MONTH($E136)-1)/12)*$H136</f>
        <v>-24.14905131068921</v>
      </c>
      <c r="P136" s="243">
        <f>(SUM('1.  LRAMVA Summary'!K$54:K$77)+SUM('1.  LRAMVA Summary'!K$78:K$79)*(MONTH($E136)-1)/12)*$H136</f>
        <v>0</v>
      </c>
      <c r="Q136" s="243">
        <f>(SUM('1.  LRAMVA Summary'!L$54:L$77)+SUM('1.  LRAMVA Summary'!L$78:L$79)*(MONTH($E136)-1)/12)*$H136</f>
        <v>0</v>
      </c>
      <c r="R136" s="243">
        <f>(SUM('1.  LRAMVA Summary'!M$54:M$77)+SUM('1.  LRAMVA Summary'!M$78:M$79)*(MONTH($E136)-1)/12)*$H136</f>
        <v>0</v>
      </c>
      <c r="S136" s="243">
        <f>(SUM('1.  LRAMVA Summary'!N$54:N$77)+SUM('1.  LRAMVA Summary'!N$78:N$79)*(MONTH($E136)-1)/12)*$H136</f>
        <v>0</v>
      </c>
      <c r="T136" s="243">
        <f>(SUM('1.  LRAMVA Summary'!O$54:O$77)+SUM('1.  LRAMVA Summary'!O$78:O$79)*(MONTH($E136)-1)/12)*$H136</f>
        <v>0</v>
      </c>
      <c r="U136" s="243">
        <f>(SUM('1.  LRAMVA Summary'!P$54:P$77)+SUM('1.  LRAMVA Summary'!P$78:P$79)*(MONTH($E136)-1)/12)*$H136</f>
        <v>0</v>
      </c>
      <c r="V136" s="243">
        <f>(SUM('1.  LRAMVA Summary'!Q$54:Q$77)+SUM('1.  LRAMVA Summary'!Q$78:Q$79)*(MONTH($E136)-1)/12)*$H136</f>
        <v>0</v>
      </c>
      <c r="W136" s="244">
        <f t="shared" ref="W136:W146" si="76">SUM(I136:V136)</f>
        <v>662.08293864392226</v>
      </c>
    </row>
    <row r="137" spans="2:23" s="22" customFormat="1">
      <c r="B137" s="79"/>
      <c r="E137" s="227">
        <v>43525</v>
      </c>
      <c r="F137" s="227" t="s">
        <v>186</v>
      </c>
      <c r="G137" s="228" t="s">
        <v>65</v>
      </c>
      <c r="H137" s="253">
        <f t="shared" si="75"/>
        <v>2.0416666666666669E-3</v>
      </c>
      <c r="I137" s="243">
        <f>(SUM('1.  LRAMVA Summary'!D$54:D$77)+SUM('1.  LRAMVA Summary'!D$78:D$79)*(MONTH($E137)-1)/12)*$H137</f>
        <v>333.61018652373286</v>
      </c>
      <c r="J137" s="243">
        <f>(SUM('1.  LRAMVA Summary'!E$54:E$77)+SUM('1.  LRAMVA Summary'!E$78:E$79)*(MONTH($E137)-1)/12)*$H137</f>
        <v>219.46283499800995</v>
      </c>
      <c r="K137" s="243">
        <f>(SUM('1.  LRAMVA Summary'!F$54:F$77)+SUM('1.  LRAMVA Summary'!F$78:F$79)*(MONTH($E137)-1)/12)*$H137</f>
        <v>74.634637708420001</v>
      </c>
      <c r="L137" s="243">
        <f>(SUM('1.  LRAMVA Summary'!G$54:G$77)+SUM('1.  LRAMVA Summary'!G$78:G$79)*(MONTH($E137)-1)/12)*$H137</f>
        <v>58.524330724448696</v>
      </c>
      <c r="M137" s="243">
        <f>(SUM('1.  LRAMVA Summary'!H$54:H$77)+SUM('1.  LRAMVA Summary'!H$78:H$79)*(MONTH($E137)-1)/12)*$H137</f>
        <v>0</v>
      </c>
      <c r="N137" s="243">
        <f>(SUM('1.  LRAMVA Summary'!I$54:I$77)+SUM('1.  LRAMVA Summary'!I$78:I$79)*(MONTH($E137)-1)/12)*$H137</f>
        <v>0</v>
      </c>
      <c r="O137" s="243">
        <f>(SUM('1.  LRAMVA Summary'!J$54:J$77)+SUM('1.  LRAMVA Summary'!J$78:J$79)*(MONTH($E137)-1)/12)*$H137</f>
        <v>-24.14905131068921</v>
      </c>
      <c r="P137" s="243">
        <f>(SUM('1.  LRAMVA Summary'!K$54:K$77)+SUM('1.  LRAMVA Summary'!K$78:K$79)*(MONTH($E137)-1)/12)*$H137</f>
        <v>0</v>
      </c>
      <c r="Q137" s="243">
        <f>(SUM('1.  LRAMVA Summary'!L$54:L$77)+SUM('1.  LRAMVA Summary'!L$78:L$79)*(MONTH($E137)-1)/12)*$H137</f>
        <v>0</v>
      </c>
      <c r="R137" s="243">
        <f>(SUM('1.  LRAMVA Summary'!M$54:M$77)+SUM('1.  LRAMVA Summary'!M$78:M$79)*(MONTH($E137)-1)/12)*$H137</f>
        <v>0</v>
      </c>
      <c r="S137" s="243">
        <f>(SUM('1.  LRAMVA Summary'!N$54:N$77)+SUM('1.  LRAMVA Summary'!N$78:N$79)*(MONTH($E137)-1)/12)*$H137</f>
        <v>0</v>
      </c>
      <c r="T137" s="243">
        <f>(SUM('1.  LRAMVA Summary'!O$54:O$77)+SUM('1.  LRAMVA Summary'!O$78:O$79)*(MONTH($E137)-1)/12)*$H137</f>
        <v>0</v>
      </c>
      <c r="U137" s="243">
        <f>(SUM('1.  LRAMVA Summary'!P$54:P$77)+SUM('1.  LRAMVA Summary'!P$78:P$79)*(MONTH($E137)-1)/12)*$H137</f>
        <v>0</v>
      </c>
      <c r="V137" s="243">
        <f>(SUM('1.  LRAMVA Summary'!Q$54:Q$77)+SUM('1.  LRAMVA Summary'!Q$78:Q$79)*(MONTH($E137)-1)/12)*$H137</f>
        <v>0</v>
      </c>
      <c r="W137" s="244">
        <f t="shared" si="76"/>
        <v>662.08293864392226</v>
      </c>
    </row>
    <row r="138" spans="2:23" s="21" customFormat="1">
      <c r="B138" s="252"/>
      <c r="E138" s="227">
        <v>43556</v>
      </c>
      <c r="F138" s="227" t="s">
        <v>186</v>
      </c>
      <c r="G138" s="228" t="s">
        <v>66</v>
      </c>
      <c r="H138" s="253">
        <f>$C$48/12</f>
        <v>1.8166666666666667E-3</v>
      </c>
      <c r="I138" s="243">
        <f>(SUM('1.  LRAMVA Summary'!D$54:D$77)+SUM('1.  LRAMVA Summary'!D$78:D$79)*(MONTH($E138)-1)/12)*$H138</f>
        <v>296.84498229458677</v>
      </c>
      <c r="J138" s="243">
        <f>(SUM('1.  LRAMVA Summary'!E$54:E$77)+SUM('1.  LRAMVA Summary'!E$78:E$79)*(MONTH($E138)-1)/12)*$H138</f>
        <v>195.27713481455578</v>
      </c>
      <c r="K138" s="243">
        <f>(SUM('1.  LRAMVA Summary'!F$54:F$77)+SUM('1.  LRAMVA Summary'!F$78:F$79)*(MONTH($E138)-1)/12)*$H138</f>
        <v>66.409596001777786</v>
      </c>
      <c r="L138" s="243">
        <f>(SUM('1.  LRAMVA Summary'!G$54:G$77)+SUM('1.  LRAMVA Summary'!G$78:G$79)*(MONTH($E138)-1)/12)*$H138</f>
        <v>52.074710603795161</v>
      </c>
      <c r="M138" s="243">
        <f>(SUM('1.  LRAMVA Summary'!H$54:H$77)+SUM('1.  LRAMVA Summary'!H$78:H$79)*(MONTH($E138)-1)/12)*$H138</f>
        <v>0</v>
      </c>
      <c r="N138" s="243">
        <f>(SUM('1.  LRAMVA Summary'!I$54:I$77)+SUM('1.  LRAMVA Summary'!I$78:I$79)*(MONTH($E138)-1)/12)*$H138</f>
        <v>0</v>
      </c>
      <c r="O138" s="243">
        <f>(SUM('1.  LRAMVA Summary'!J$54:J$77)+SUM('1.  LRAMVA Summary'!J$78:J$79)*(MONTH($E138)-1)/12)*$H138</f>
        <v>-21.487727288694884</v>
      </c>
      <c r="P138" s="243">
        <f>(SUM('1.  LRAMVA Summary'!K$54:K$77)+SUM('1.  LRAMVA Summary'!K$78:K$79)*(MONTH($E138)-1)/12)*$H138</f>
        <v>0</v>
      </c>
      <c r="Q138" s="243">
        <f>(SUM('1.  LRAMVA Summary'!L$54:L$77)+SUM('1.  LRAMVA Summary'!L$78:L$79)*(MONTH($E138)-1)/12)*$H138</f>
        <v>0</v>
      </c>
      <c r="R138" s="243">
        <f>(SUM('1.  LRAMVA Summary'!M$54:M$77)+SUM('1.  LRAMVA Summary'!M$78:M$79)*(MONTH($E138)-1)/12)*$H138</f>
        <v>0</v>
      </c>
      <c r="S138" s="243">
        <f>(SUM('1.  LRAMVA Summary'!N$54:N$77)+SUM('1.  LRAMVA Summary'!N$78:N$79)*(MONTH($E138)-1)/12)*$H138</f>
        <v>0</v>
      </c>
      <c r="T138" s="243">
        <f>(SUM('1.  LRAMVA Summary'!O$54:O$77)+SUM('1.  LRAMVA Summary'!O$78:O$79)*(MONTH($E138)-1)/12)*$H138</f>
        <v>0</v>
      </c>
      <c r="U138" s="243">
        <f>(SUM('1.  LRAMVA Summary'!P$54:P$77)+SUM('1.  LRAMVA Summary'!P$78:P$79)*(MONTH($E138)-1)/12)*$H138</f>
        <v>0</v>
      </c>
      <c r="V138" s="243">
        <f>(SUM('1.  LRAMVA Summary'!Q$54:Q$77)+SUM('1.  LRAMVA Summary'!Q$78:Q$79)*(MONTH($E138)-1)/12)*$H138</f>
        <v>0</v>
      </c>
      <c r="W138" s="244">
        <f t="shared" si="76"/>
        <v>589.11869642602073</v>
      </c>
    </row>
    <row r="139" spans="2:23" s="22" customFormat="1">
      <c r="B139" s="79"/>
      <c r="E139" s="227">
        <v>43586</v>
      </c>
      <c r="F139" s="227" t="s">
        <v>186</v>
      </c>
      <c r="G139" s="228" t="s">
        <v>66</v>
      </c>
      <c r="H139" s="253">
        <f>$C$48/12</f>
        <v>1.8166666666666667E-3</v>
      </c>
      <c r="I139" s="243">
        <f>(SUM('1.  LRAMVA Summary'!D$54:D$77)+SUM('1.  LRAMVA Summary'!D$78:D$79)*(MONTH($E139)-1)/12)*$H139</f>
        <v>296.84498229458677</v>
      </c>
      <c r="J139" s="243">
        <f>(SUM('1.  LRAMVA Summary'!E$54:E$77)+SUM('1.  LRAMVA Summary'!E$78:E$79)*(MONTH($E139)-1)/12)*$H139</f>
        <v>195.27713481455578</v>
      </c>
      <c r="K139" s="243">
        <f>(SUM('1.  LRAMVA Summary'!F$54:F$77)+SUM('1.  LRAMVA Summary'!F$78:F$79)*(MONTH($E139)-1)/12)*$H139</f>
        <v>66.409596001777786</v>
      </c>
      <c r="L139" s="243">
        <f>(SUM('1.  LRAMVA Summary'!G$54:G$77)+SUM('1.  LRAMVA Summary'!G$78:G$79)*(MONTH($E139)-1)/12)*$H139</f>
        <v>52.074710603795161</v>
      </c>
      <c r="M139" s="243">
        <f>(SUM('1.  LRAMVA Summary'!H$54:H$77)+SUM('1.  LRAMVA Summary'!H$78:H$79)*(MONTH($E139)-1)/12)*$H139</f>
        <v>0</v>
      </c>
      <c r="N139" s="243">
        <f>(SUM('1.  LRAMVA Summary'!I$54:I$77)+SUM('1.  LRAMVA Summary'!I$78:I$79)*(MONTH($E139)-1)/12)*$H139</f>
        <v>0</v>
      </c>
      <c r="O139" s="243">
        <f>(SUM('1.  LRAMVA Summary'!J$54:J$77)+SUM('1.  LRAMVA Summary'!J$78:J$79)*(MONTH($E139)-1)/12)*$H139</f>
        <v>-21.487727288694884</v>
      </c>
      <c r="P139" s="243">
        <f>(SUM('1.  LRAMVA Summary'!K$54:K$77)+SUM('1.  LRAMVA Summary'!K$78:K$79)*(MONTH($E139)-1)/12)*$H139</f>
        <v>0</v>
      </c>
      <c r="Q139" s="243">
        <f>(SUM('1.  LRAMVA Summary'!L$54:L$77)+SUM('1.  LRAMVA Summary'!L$78:L$79)*(MONTH($E139)-1)/12)*$H139</f>
        <v>0</v>
      </c>
      <c r="R139" s="243">
        <f>(SUM('1.  LRAMVA Summary'!M$54:M$77)+SUM('1.  LRAMVA Summary'!M$78:M$79)*(MONTH($E139)-1)/12)*$H139</f>
        <v>0</v>
      </c>
      <c r="S139" s="243">
        <f>(SUM('1.  LRAMVA Summary'!N$54:N$77)+SUM('1.  LRAMVA Summary'!N$78:N$79)*(MONTH($E139)-1)/12)*$H139</f>
        <v>0</v>
      </c>
      <c r="T139" s="243">
        <f>(SUM('1.  LRAMVA Summary'!O$54:O$77)+SUM('1.  LRAMVA Summary'!O$78:O$79)*(MONTH($E139)-1)/12)*$H139</f>
        <v>0</v>
      </c>
      <c r="U139" s="243">
        <f>(SUM('1.  LRAMVA Summary'!P$54:P$77)+SUM('1.  LRAMVA Summary'!P$78:P$79)*(MONTH($E139)-1)/12)*$H139</f>
        <v>0</v>
      </c>
      <c r="V139" s="243">
        <f>(SUM('1.  LRAMVA Summary'!Q$54:Q$77)+SUM('1.  LRAMVA Summary'!Q$78:Q$79)*(MONTH($E139)-1)/12)*$H139</f>
        <v>0</v>
      </c>
      <c r="W139" s="244">
        <f t="shared" si="76"/>
        <v>589.11869642602073</v>
      </c>
    </row>
    <row r="140" spans="2:23" s="22" customFormat="1">
      <c r="B140" s="79"/>
      <c r="E140" s="227">
        <v>43617</v>
      </c>
      <c r="F140" s="227" t="s">
        <v>186</v>
      </c>
      <c r="G140" s="228" t="s">
        <v>66</v>
      </c>
      <c r="H140" s="253">
        <f t="shared" ref="H140" si="77">$C$48/12</f>
        <v>1.8166666666666667E-3</v>
      </c>
      <c r="I140" s="243">
        <f>(SUM('1.  LRAMVA Summary'!D$54:D$77)+SUM('1.  LRAMVA Summary'!D$78:D$79)*(MONTH($E140)-1)/12)*$H140</f>
        <v>296.84498229458677</v>
      </c>
      <c r="J140" s="243">
        <f>(SUM('1.  LRAMVA Summary'!E$54:E$77)+SUM('1.  LRAMVA Summary'!E$78:E$79)*(MONTH($E140)-1)/12)*$H140</f>
        <v>195.27713481455578</v>
      </c>
      <c r="K140" s="243">
        <f>(SUM('1.  LRAMVA Summary'!F$54:F$77)+SUM('1.  LRAMVA Summary'!F$78:F$79)*(MONTH($E140)-1)/12)*$H140</f>
        <v>66.409596001777786</v>
      </c>
      <c r="L140" s="243">
        <f>(SUM('1.  LRAMVA Summary'!G$54:G$77)+SUM('1.  LRAMVA Summary'!G$78:G$79)*(MONTH($E140)-1)/12)*$H140</f>
        <v>52.074710603795161</v>
      </c>
      <c r="M140" s="243">
        <f>(SUM('1.  LRAMVA Summary'!H$54:H$77)+SUM('1.  LRAMVA Summary'!H$78:H$79)*(MONTH($E140)-1)/12)*$H140</f>
        <v>0</v>
      </c>
      <c r="N140" s="243">
        <f>(SUM('1.  LRAMVA Summary'!I$54:I$77)+SUM('1.  LRAMVA Summary'!I$78:I$79)*(MONTH($E140)-1)/12)*$H140</f>
        <v>0</v>
      </c>
      <c r="O140" s="243">
        <f>(SUM('1.  LRAMVA Summary'!J$54:J$77)+SUM('1.  LRAMVA Summary'!J$78:J$79)*(MONTH($E140)-1)/12)*$H140</f>
        <v>-21.487727288694884</v>
      </c>
      <c r="P140" s="243">
        <f>(SUM('1.  LRAMVA Summary'!K$54:K$77)+SUM('1.  LRAMVA Summary'!K$78:K$79)*(MONTH($E140)-1)/12)*$H140</f>
        <v>0</v>
      </c>
      <c r="Q140" s="243">
        <f>(SUM('1.  LRAMVA Summary'!L$54:L$77)+SUM('1.  LRAMVA Summary'!L$78:L$79)*(MONTH($E140)-1)/12)*$H140</f>
        <v>0</v>
      </c>
      <c r="R140" s="243">
        <f>(SUM('1.  LRAMVA Summary'!M$54:M$77)+SUM('1.  LRAMVA Summary'!M$78:M$79)*(MONTH($E140)-1)/12)*$H140</f>
        <v>0</v>
      </c>
      <c r="S140" s="243">
        <f>(SUM('1.  LRAMVA Summary'!N$54:N$77)+SUM('1.  LRAMVA Summary'!N$78:N$79)*(MONTH($E140)-1)/12)*$H140</f>
        <v>0</v>
      </c>
      <c r="T140" s="243">
        <f>(SUM('1.  LRAMVA Summary'!O$54:O$77)+SUM('1.  LRAMVA Summary'!O$78:O$79)*(MONTH($E140)-1)/12)*$H140</f>
        <v>0</v>
      </c>
      <c r="U140" s="243">
        <f>(SUM('1.  LRAMVA Summary'!P$54:P$77)+SUM('1.  LRAMVA Summary'!P$78:P$79)*(MONTH($E140)-1)/12)*$H140</f>
        <v>0</v>
      </c>
      <c r="V140" s="243">
        <f>(SUM('1.  LRAMVA Summary'!Q$54:Q$77)+SUM('1.  LRAMVA Summary'!Q$78:Q$79)*(MONTH($E140)-1)/12)*$H140</f>
        <v>0</v>
      </c>
      <c r="W140" s="244">
        <f t="shared" si="76"/>
        <v>589.11869642602073</v>
      </c>
    </row>
    <row r="141" spans="2:23" s="22" customFormat="1">
      <c r="B141" s="79"/>
      <c r="E141" s="227">
        <v>43647</v>
      </c>
      <c r="F141" s="227" t="s">
        <v>186</v>
      </c>
      <c r="G141" s="228" t="s">
        <v>68</v>
      </c>
      <c r="H141" s="253">
        <f>$C$49/12</f>
        <v>1.8166666666666667E-3</v>
      </c>
      <c r="I141" s="243">
        <f>(SUM('1.  LRAMVA Summary'!D$54:D$77)+SUM('1.  LRAMVA Summary'!D$78:D$79)*(MONTH($E141)-1)/12)*$H141</f>
        <v>296.84498229458677</v>
      </c>
      <c r="J141" s="243">
        <f>(SUM('1.  LRAMVA Summary'!E$54:E$77)+SUM('1.  LRAMVA Summary'!E$78:E$79)*(MONTH($E141)-1)/12)*$H141</f>
        <v>195.27713481455578</v>
      </c>
      <c r="K141" s="243">
        <f>(SUM('1.  LRAMVA Summary'!F$54:F$77)+SUM('1.  LRAMVA Summary'!F$78:F$79)*(MONTH($E141)-1)/12)*$H141</f>
        <v>66.409596001777786</v>
      </c>
      <c r="L141" s="243">
        <f>(SUM('1.  LRAMVA Summary'!G$54:G$77)+SUM('1.  LRAMVA Summary'!G$78:G$79)*(MONTH($E141)-1)/12)*$H141</f>
        <v>52.074710603795161</v>
      </c>
      <c r="M141" s="243">
        <f>(SUM('1.  LRAMVA Summary'!H$54:H$77)+SUM('1.  LRAMVA Summary'!H$78:H$79)*(MONTH($E141)-1)/12)*$H141</f>
        <v>0</v>
      </c>
      <c r="N141" s="243">
        <f>(SUM('1.  LRAMVA Summary'!I$54:I$77)+SUM('1.  LRAMVA Summary'!I$78:I$79)*(MONTH($E141)-1)/12)*$H141</f>
        <v>0</v>
      </c>
      <c r="O141" s="243">
        <f>(SUM('1.  LRAMVA Summary'!J$54:J$77)+SUM('1.  LRAMVA Summary'!J$78:J$79)*(MONTH($E141)-1)/12)*$H141</f>
        <v>-21.487727288694884</v>
      </c>
      <c r="P141" s="243">
        <f>(SUM('1.  LRAMVA Summary'!K$54:K$77)+SUM('1.  LRAMVA Summary'!K$78:K$79)*(MONTH($E141)-1)/12)*$H141</f>
        <v>0</v>
      </c>
      <c r="Q141" s="243">
        <f>(SUM('1.  LRAMVA Summary'!L$54:L$77)+SUM('1.  LRAMVA Summary'!L$78:L$79)*(MONTH($E141)-1)/12)*$H141</f>
        <v>0</v>
      </c>
      <c r="R141" s="243">
        <f>(SUM('1.  LRAMVA Summary'!M$54:M$77)+SUM('1.  LRAMVA Summary'!M$78:M$79)*(MONTH($E141)-1)/12)*$H141</f>
        <v>0</v>
      </c>
      <c r="S141" s="243">
        <f>(SUM('1.  LRAMVA Summary'!N$54:N$77)+SUM('1.  LRAMVA Summary'!N$78:N$79)*(MONTH($E141)-1)/12)*$H141</f>
        <v>0</v>
      </c>
      <c r="T141" s="243">
        <f>(SUM('1.  LRAMVA Summary'!O$54:O$77)+SUM('1.  LRAMVA Summary'!O$78:O$79)*(MONTH($E141)-1)/12)*$H141</f>
        <v>0</v>
      </c>
      <c r="U141" s="243">
        <f>(SUM('1.  LRAMVA Summary'!P$54:P$77)+SUM('1.  LRAMVA Summary'!P$78:P$79)*(MONTH($E141)-1)/12)*$H141</f>
        <v>0</v>
      </c>
      <c r="V141" s="243">
        <f>(SUM('1.  LRAMVA Summary'!Q$54:Q$77)+SUM('1.  LRAMVA Summary'!Q$78:Q$79)*(MONTH($E141)-1)/12)*$H141</f>
        <v>0</v>
      </c>
      <c r="W141" s="244">
        <f t="shared" si="76"/>
        <v>589.11869642602073</v>
      </c>
    </row>
    <row r="142" spans="2:23" s="22" customFormat="1">
      <c r="B142" s="79"/>
      <c r="E142" s="227">
        <v>43678</v>
      </c>
      <c r="F142" s="227" t="s">
        <v>186</v>
      </c>
      <c r="G142" s="228" t="s">
        <v>68</v>
      </c>
      <c r="H142" s="253">
        <f t="shared" ref="H142" si="78">$C$49/12</f>
        <v>1.8166666666666667E-3</v>
      </c>
      <c r="I142" s="243">
        <f>(SUM('1.  LRAMVA Summary'!D$54:D$77)+SUM('1.  LRAMVA Summary'!D$78:D$79)*(MONTH($E142)-1)/12)*$H142</f>
        <v>296.84498229458677</v>
      </c>
      <c r="J142" s="243">
        <f>(SUM('1.  LRAMVA Summary'!E$54:E$77)+SUM('1.  LRAMVA Summary'!E$78:E$79)*(MONTH($E142)-1)/12)*$H142</f>
        <v>195.27713481455578</v>
      </c>
      <c r="K142" s="243">
        <f>(SUM('1.  LRAMVA Summary'!F$54:F$77)+SUM('1.  LRAMVA Summary'!F$78:F$79)*(MONTH($E142)-1)/12)*$H142</f>
        <v>66.409596001777786</v>
      </c>
      <c r="L142" s="243">
        <f>(SUM('1.  LRAMVA Summary'!G$54:G$77)+SUM('1.  LRAMVA Summary'!G$78:G$79)*(MONTH($E142)-1)/12)*$H142</f>
        <v>52.074710603795161</v>
      </c>
      <c r="M142" s="243">
        <f>(SUM('1.  LRAMVA Summary'!H$54:H$77)+SUM('1.  LRAMVA Summary'!H$78:H$79)*(MONTH($E142)-1)/12)*$H142</f>
        <v>0</v>
      </c>
      <c r="N142" s="243">
        <f>(SUM('1.  LRAMVA Summary'!I$54:I$77)+SUM('1.  LRAMVA Summary'!I$78:I$79)*(MONTH($E142)-1)/12)*$H142</f>
        <v>0</v>
      </c>
      <c r="O142" s="243">
        <f>(SUM('1.  LRAMVA Summary'!J$54:J$77)+SUM('1.  LRAMVA Summary'!J$78:J$79)*(MONTH($E142)-1)/12)*$H142</f>
        <v>-21.487727288694884</v>
      </c>
      <c r="P142" s="243">
        <f>(SUM('1.  LRAMVA Summary'!K$54:K$77)+SUM('1.  LRAMVA Summary'!K$78:K$79)*(MONTH($E142)-1)/12)*$H142</f>
        <v>0</v>
      </c>
      <c r="Q142" s="243">
        <f>(SUM('1.  LRAMVA Summary'!L$54:L$77)+SUM('1.  LRAMVA Summary'!L$78:L$79)*(MONTH($E142)-1)/12)*$H142</f>
        <v>0</v>
      </c>
      <c r="R142" s="243">
        <f>(SUM('1.  LRAMVA Summary'!M$54:M$77)+SUM('1.  LRAMVA Summary'!M$78:M$79)*(MONTH($E142)-1)/12)*$H142</f>
        <v>0</v>
      </c>
      <c r="S142" s="243">
        <f>(SUM('1.  LRAMVA Summary'!N$54:N$77)+SUM('1.  LRAMVA Summary'!N$78:N$79)*(MONTH($E142)-1)/12)*$H142</f>
        <v>0</v>
      </c>
      <c r="T142" s="243">
        <f>(SUM('1.  LRAMVA Summary'!O$54:O$77)+SUM('1.  LRAMVA Summary'!O$78:O$79)*(MONTH($E142)-1)/12)*$H142</f>
        <v>0</v>
      </c>
      <c r="U142" s="243">
        <f>(SUM('1.  LRAMVA Summary'!P$54:P$77)+SUM('1.  LRAMVA Summary'!P$78:P$79)*(MONTH($E142)-1)/12)*$H142</f>
        <v>0</v>
      </c>
      <c r="V142" s="243">
        <f>(SUM('1.  LRAMVA Summary'!Q$54:Q$77)+SUM('1.  LRAMVA Summary'!Q$78:Q$79)*(MONTH($E142)-1)/12)*$H142</f>
        <v>0</v>
      </c>
      <c r="W142" s="244">
        <f t="shared" si="76"/>
        <v>589.11869642602073</v>
      </c>
    </row>
    <row r="143" spans="2:23" s="22" customFormat="1">
      <c r="B143" s="79"/>
      <c r="E143" s="227">
        <v>43709</v>
      </c>
      <c r="F143" s="227" t="s">
        <v>186</v>
      </c>
      <c r="G143" s="228" t="s">
        <v>68</v>
      </c>
      <c r="H143" s="253">
        <f>$C$49/12</f>
        <v>1.8166666666666667E-3</v>
      </c>
      <c r="I143" s="243">
        <f>(SUM('1.  LRAMVA Summary'!D$54:D$77)+SUM('1.  LRAMVA Summary'!D$78:D$79)*(MONTH($E143)-1)/12)*$H143</f>
        <v>296.84498229458677</v>
      </c>
      <c r="J143" s="243">
        <f>(SUM('1.  LRAMVA Summary'!E$54:E$77)+SUM('1.  LRAMVA Summary'!E$78:E$79)*(MONTH($E143)-1)/12)*$H143</f>
        <v>195.27713481455578</v>
      </c>
      <c r="K143" s="243">
        <f>(SUM('1.  LRAMVA Summary'!F$54:F$77)+SUM('1.  LRAMVA Summary'!F$78:F$79)*(MONTH($E143)-1)/12)*$H143</f>
        <v>66.409596001777786</v>
      </c>
      <c r="L143" s="243">
        <f>(SUM('1.  LRAMVA Summary'!G$54:G$77)+SUM('1.  LRAMVA Summary'!G$78:G$79)*(MONTH($E143)-1)/12)*$H143</f>
        <v>52.074710603795161</v>
      </c>
      <c r="M143" s="243">
        <f>(SUM('1.  LRAMVA Summary'!H$54:H$77)+SUM('1.  LRAMVA Summary'!H$78:H$79)*(MONTH($E143)-1)/12)*$H143</f>
        <v>0</v>
      </c>
      <c r="N143" s="243">
        <f>(SUM('1.  LRAMVA Summary'!I$54:I$77)+SUM('1.  LRAMVA Summary'!I$78:I$79)*(MONTH($E143)-1)/12)*$H143</f>
        <v>0</v>
      </c>
      <c r="O143" s="243">
        <f>(SUM('1.  LRAMVA Summary'!J$54:J$77)+SUM('1.  LRAMVA Summary'!J$78:J$79)*(MONTH($E143)-1)/12)*$H143</f>
        <v>-21.487727288694884</v>
      </c>
      <c r="P143" s="243">
        <f>(SUM('1.  LRAMVA Summary'!K$54:K$77)+SUM('1.  LRAMVA Summary'!K$78:K$79)*(MONTH($E143)-1)/12)*$H143</f>
        <v>0</v>
      </c>
      <c r="Q143" s="243">
        <f>(SUM('1.  LRAMVA Summary'!L$54:L$77)+SUM('1.  LRAMVA Summary'!L$78:L$79)*(MONTH($E143)-1)/12)*$H143</f>
        <v>0</v>
      </c>
      <c r="R143" s="243">
        <f>(SUM('1.  LRAMVA Summary'!M$54:M$77)+SUM('1.  LRAMVA Summary'!M$78:M$79)*(MONTH($E143)-1)/12)*$H143</f>
        <v>0</v>
      </c>
      <c r="S143" s="243">
        <f>(SUM('1.  LRAMVA Summary'!N$54:N$77)+SUM('1.  LRAMVA Summary'!N$78:N$79)*(MONTH($E143)-1)/12)*$H143</f>
        <v>0</v>
      </c>
      <c r="T143" s="243">
        <f>(SUM('1.  LRAMVA Summary'!O$54:O$77)+SUM('1.  LRAMVA Summary'!O$78:O$79)*(MONTH($E143)-1)/12)*$H143</f>
        <v>0</v>
      </c>
      <c r="U143" s="243">
        <f>(SUM('1.  LRAMVA Summary'!P$54:P$77)+SUM('1.  LRAMVA Summary'!P$78:P$79)*(MONTH($E143)-1)/12)*$H143</f>
        <v>0</v>
      </c>
      <c r="V143" s="243">
        <f>(SUM('1.  LRAMVA Summary'!Q$54:Q$77)+SUM('1.  LRAMVA Summary'!Q$78:Q$79)*(MONTH($E143)-1)/12)*$H143</f>
        <v>0</v>
      </c>
      <c r="W143" s="244">
        <f t="shared" si="76"/>
        <v>589.11869642602073</v>
      </c>
    </row>
    <row r="144" spans="2:23" s="22" customFormat="1">
      <c r="B144" s="79"/>
      <c r="E144" s="227">
        <v>43739</v>
      </c>
      <c r="F144" s="227" t="s">
        <v>186</v>
      </c>
      <c r="G144" s="228" t="s">
        <v>69</v>
      </c>
      <c r="H144" s="253">
        <f>$C$50/12</f>
        <v>1.8166666666666667E-3</v>
      </c>
      <c r="I144" s="243">
        <f>(SUM('1.  LRAMVA Summary'!D$54:D$77)+SUM('1.  LRAMVA Summary'!D$78:D$79)*(MONTH($E144)-1)/12)*$H144</f>
        <v>296.84498229458677</v>
      </c>
      <c r="J144" s="243">
        <f>(SUM('1.  LRAMVA Summary'!E$54:E$77)+SUM('1.  LRAMVA Summary'!E$78:E$79)*(MONTH($E144)-1)/12)*$H144</f>
        <v>195.27713481455578</v>
      </c>
      <c r="K144" s="243">
        <f>(SUM('1.  LRAMVA Summary'!F$54:F$77)+SUM('1.  LRAMVA Summary'!F$78:F$79)*(MONTH($E144)-1)/12)*$H144</f>
        <v>66.409596001777786</v>
      </c>
      <c r="L144" s="243">
        <f>(SUM('1.  LRAMVA Summary'!G$54:G$77)+SUM('1.  LRAMVA Summary'!G$78:G$79)*(MONTH($E144)-1)/12)*$H144</f>
        <v>52.074710603795161</v>
      </c>
      <c r="M144" s="243">
        <f>(SUM('1.  LRAMVA Summary'!H$54:H$77)+SUM('1.  LRAMVA Summary'!H$78:H$79)*(MONTH($E144)-1)/12)*$H144</f>
        <v>0</v>
      </c>
      <c r="N144" s="243">
        <f>(SUM('1.  LRAMVA Summary'!I$54:I$77)+SUM('1.  LRAMVA Summary'!I$78:I$79)*(MONTH($E144)-1)/12)*$H144</f>
        <v>0</v>
      </c>
      <c r="O144" s="243">
        <f>(SUM('1.  LRAMVA Summary'!J$54:J$77)+SUM('1.  LRAMVA Summary'!J$78:J$79)*(MONTH($E144)-1)/12)*$H144</f>
        <v>-21.487727288694884</v>
      </c>
      <c r="P144" s="243">
        <f>(SUM('1.  LRAMVA Summary'!K$54:K$77)+SUM('1.  LRAMVA Summary'!K$78:K$79)*(MONTH($E144)-1)/12)*$H144</f>
        <v>0</v>
      </c>
      <c r="Q144" s="243">
        <f>(SUM('1.  LRAMVA Summary'!L$54:L$77)+SUM('1.  LRAMVA Summary'!L$78:L$79)*(MONTH($E144)-1)/12)*$H144</f>
        <v>0</v>
      </c>
      <c r="R144" s="243">
        <f>(SUM('1.  LRAMVA Summary'!M$54:M$77)+SUM('1.  LRAMVA Summary'!M$78:M$79)*(MONTH($E144)-1)/12)*$H144</f>
        <v>0</v>
      </c>
      <c r="S144" s="243">
        <f>(SUM('1.  LRAMVA Summary'!N$54:N$77)+SUM('1.  LRAMVA Summary'!N$78:N$79)*(MONTH($E144)-1)/12)*$H144</f>
        <v>0</v>
      </c>
      <c r="T144" s="243">
        <f>(SUM('1.  LRAMVA Summary'!O$54:O$77)+SUM('1.  LRAMVA Summary'!O$78:O$79)*(MONTH($E144)-1)/12)*$H144</f>
        <v>0</v>
      </c>
      <c r="U144" s="243">
        <f>(SUM('1.  LRAMVA Summary'!P$54:P$77)+SUM('1.  LRAMVA Summary'!P$78:P$79)*(MONTH($E144)-1)/12)*$H144</f>
        <v>0</v>
      </c>
      <c r="V144" s="243">
        <f>(SUM('1.  LRAMVA Summary'!Q$54:Q$77)+SUM('1.  LRAMVA Summary'!Q$78:Q$79)*(MONTH($E144)-1)/12)*$H144</f>
        <v>0</v>
      </c>
      <c r="W144" s="244">
        <f t="shared" si="76"/>
        <v>589.11869642602073</v>
      </c>
    </row>
    <row r="145" spans="2:23" s="22" customFormat="1">
      <c r="B145" s="79"/>
      <c r="E145" s="227">
        <v>43770</v>
      </c>
      <c r="F145" s="227" t="s">
        <v>186</v>
      </c>
      <c r="G145" s="228" t="s">
        <v>69</v>
      </c>
      <c r="H145" s="253">
        <f t="shared" ref="H145:H146" si="79">$C$50/12</f>
        <v>1.8166666666666667E-3</v>
      </c>
      <c r="I145" s="243">
        <f>(SUM('1.  LRAMVA Summary'!D$54:D$77)+SUM('1.  LRAMVA Summary'!D$78:D$79)*(MONTH($E145)-1)/12)*$H145</f>
        <v>296.84498229458677</v>
      </c>
      <c r="J145" s="243">
        <f>(SUM('1.  LRAMVA Summary'!E$54:E$77)+SUM('1.  LRAMVA Summary'!E$78:E$79)*(MONTH($E145)-1)/12)*$H145</f>
        <v>195.27713481455578</v>
      </c>
      <c r="K145" s="243">
        <f>(SUM('1.  LRAMVA Summary'!F$54:F$77)+SUM('1.  LRAMVA Summary'!F$78:F$79)*(MONTH($E145)-1)/12)*$H145</f>
        <v>66.409596001777786</v>
      </c>
      <c r="L145" s="243">
        <f>(SUM('1.  LRAMVA Summary'!G$54:G$77)+SUM('1.  LRAMVA Summary'!G$78:G$79)*(MONTH($E145)-1)/12)*$H145</f>
        <v>52.074710603795161</v>
      </c>
      <c r="M145" s="243">
        <f>(SUM('1.  LRAMVA Summary'!H$54:H$77)+SUM('1.  LRAMVA Summary'!H$78:H$79)*(MONTH($E145)-1)/12)*$H145</f>
        <v>0</v>
      </c>
      <c r="N145" s="243">
        <f>(SUM('1.  LRAMVA Summary'!I$54:I$77)+SUM('1.  LRAMVA Summary'!I$78:I$79)*(MONTH($E145)-1)/12)*$H145</f>
        <v>0</v>
      </c>
      <c r="O145" s="243">
        <f>(SUM('1.  LRAMVA Summary'!J$54:J$77)+SUM('1.  LRAMVA Summary'!J$78:J$79)*(MONTH($E145)-1)/12)*$H145</f>
        <v>-21.487727288694884</v>
      </c>
      <c r="P145" s="243">
        <f>(SUM('1.  LRAMVA Summary'!K$54:K$77)+SUM('1.  LRAMVA Summary'!K$78:K$79)*(MONTH($E145)-1)/12)*$H145</f>
        <v>0</v>
      </c>
      <c r="Q145" s="243">
        <f>(SUM('1.  LRAMVA Summary'!L$54:L$77)+SUM('1.  LRAMVA Summary'!L$78:L$79)*(MONTH($E145)-1)/12)*$H145</f>
        <v>0</v>
      </c>
      <c r="R145" s="243">
        <f>(SUM('1.  LRAMVA Summary'!M$54:M$77)+SUM('1.  LRAMVA Summary'!M$78:M$79)*(MONTH($E145)-1)/12)*$H145</f>
        <v>0</v>
      </c>
      <c r="S145" s="243">
        <f>(SUM('1.  LRAMVA Summary'!N$54:N$77)+SUM('1.  LRAMVA Summary'!N$78:N$79)*(MONTH($E145)-1)/12)*$H145</f>
        <v>0</v>
      </c>
      <c r="T145" s="243">
        <f>(SUM('1.  LRAMVA Summary'!O$54:O$77)+SUM('1.  LRAMVA Summary'!O$78:O$79)*(MONTH($E145)-1)/12)*$H145</f>
        <v>0</v>
      </c>
      <c r="U145" s="243">
        <f>(SUM('1.  LRAMVA Summary'!P$54:P$77)+SUM('1.  LRAMVA Summary'!P$78:P$79)*(MONTH($E145)-1)/12)*$H145</f>
        <v>0</v>
      </c>
      <c r="V145" s="243">
        <f>(SUM('1.  LRAMVA Summary'!Q$54:Q$77)+SUM('1.  LRAMVA Summary'!Q$78:Q$79)*(MONTH($E145)-1)/12)*$H145</f>
        <v>0</v>
      </c>
      <c r="W145" s="244">
        <f t="shared" si="76"/>
        <v>589.11869642602073</v>
      </c>
    </row>
    <row r="146" spans="2:23" s="22" customFormat="1">
      <c r="B146" s="79"/>
      <c r="E146" s="227">
        <v>43800</v>
      </c>
      <c r="F146" s="227" t="s">
        <v>186</v>
      </c>
      <c r="G146" s="228" t="s">
        <v>69</v>
      </c>
      <c r="H146" s="253">
        <f t="shared" si="79"/>
        <v>1.8166666666666667E-3</v>
      </c>
      <c r="I146" s="243">
        <f>(SUM('1.  LRAMVA Summary'!D$54:D$77)+SUM('1.  LRAMVA Summary'!D$78:D$79)*(MONTH($E146)-1)/12)*$H146</f>
        <v>296.84498229458677</v>
      </c>
      <c r="J146" s="243">
        <f>(SUM('1.  LRAMVA Summary'!E$54:E$77)+SUM('1.  LRAMVA Summary'!E$78:E$79)*(MONTH($E146)-1)/12)*$H146</f>
        <v>195.27713481455578</v>
      </c>
      <c r="K146" s="243">
        <f>(SUM('1.  LRAMVA Summary'!F$54:F$77)+SUM('1.  LRAMVA Summary'!F$78:F$79)*(MONTH($E146)-1)/12)*$H146</f>
        <v>66.409596001777786</v>
      </c>
      <c r="L146" s="243">
        <f>(SUM('1.  LRAMVA Summary'!G$54:G$77)+SUM('1.  LRAMVA Summary'!G$78:G$79)*(MONTH($E146)-1)/12)*$H146</f>
        <v>52.074710603795161</v>
      </c>
      <c r="M146" s="243">
        <f>(SUM('1.  LRAMVA Summary'!H$54:H$77)+SUM('1.  LRAMVA Summary'!H$78:H$79)*(MONTH($E146)-1)/12)*$H146</f>
        <v>0</v>
      </c>
      <c r="N146" s="243">
        <f>(SUM('1.  LRAMVA Summary'!I$54:I$77)+SUM('1.  LRAMVA Summary'!I$78:I$79)*(MONTH($E146)-1)/12)*$H146</f>
        <v>0</v>
      </c>
      <c r="O146" s="243">
        <f>(SUM('1.  LRAMVA Summary'!J$54:J$77)+SUM('1.  LRAMVA Summary'!J$78:J$79)*(MONTH($E146)-1)/12)*$H146</f>
        <v>-21.487727288694884</v>
      </c>
      <c r="P146" s="243">
        <f>(SUM('1.  LRAMVA Summary'!K$54:K$77)+SUM('1.  LRAMVA Summary'!K$78:K$79)*(MONTH($E146)-1)/12)*$H146</f>
        <v>0</v>
      </c>
      <c r="Q146" s="243">
        <f>(SUM('1.  LRAMVA Summary'!L$54:L$77)+SUM('1.  LRAMVA Summary'!L$78:L$79)*(MONTH($E146)-1)/12)*$H146</f>
        <v>0</v>
      </c>
      <c r="R146" s="243">
        <f>(SUM('1.  LRAMVA Summary'!M$54:M$77)+SUM('1.  LRAMVA Summary'!M$78:M$79)*(MONTH($E146)-1)/12)*$H146</f>
        <v>0</v>
      </c>
      <c r="S146" s="243">
        <f>(SUM('1.  LRAMVA Summary'!N$54:N$77)+SUM('1.  LRAMVA Summary'!N$78:N$79)*(MONTH($E146)-1)/12)*$H146</f>
        <v>0</v>
      </c>
      <c r="T146" s="243">
        <f>(SUM('1.  LRAMVA Summary'!O$54:O$77)+SUM('1.  LRAMVA Summary'!O$78:O$79)*(MONTH($E146)-1)/12)*$H146</f>
        <v>0</v>
      </c>
      <c r="U146" s="243">
        <f>(SUM('1.  LRAMVA Summary'!P$54:P$77)+SUM('1.  LRAMVA Summary'!P$78:P$79)*(MONTH($E146)-1)/12)*$H146</f>
        <v>0</v>
      </c>
      <c r="V146" s="243">
        <f>(SUM('1.  LRAMVA Summary'!Q$54:Q$77)+SUM('1.  LRAMVA Summary'!Q$78:Q$79)*(MONTH($E146)-1)/12)*$H146</f>
        <v>0</v>
      </c>
      <c r="W146" s="244">
        <f t="shared" si="76"/>
        <v>589.11869642602073</v>
      </c>
    </row>
    <row r="147" spans="2:23" s="22" customFormat="1" ht="15" thickBot="1">
      <c r="B147" s="79"/>
      <c r="E147" s="229" t="s">
        <v>468</v>
      </c>
      <c r="F147" s="229"/>
      <c r="G147" s="230"/>
      <c r="H147" s="231"/>
      <c r="I147" s="232">
        <f>SUM(I134:I146)</f>
        <v>7741.8782283466926</v>
      </c>
      <c r="J147" s="232">
        <f>SUM(J134:J146)</f>
        <v>5288.1918099874383</v>
      </c>
      <c r="K147" s="232">
        <f t="shared" ref="K147:O147" si="80">SUM(K134:K146)</f>
        <v>1985.7286688814204</v>
      </c>
      <c r="L147" s="232">
        <f t="shared" si="80"/>
        <v>1505.877463761617</v>
      </c>
      <c r="M147" s="232">
        <f t="shared" si="80"/>
        <v>0</v>
      </c>
      <c r="N147" s="232">
        <f t="shared" si="80"/>
        <v>0</v>
      </c>
      <c r="O147" s="232">
        <f t="shared" si="80"/>
        <v>-689.26485282893532</v>
      </c>
      <c r="P147" s="232">
        <f t="shared" ref="P147:V147" si="81">SUM(P134:P146)</f>
        <v>0</v>
      </c>
      <c r="Q147" s="232">
        <f t="shared" si="81"/>
        <v>0</v>
      </c>
      <c r="R147" s="232">
        <f t="shared" si="81"/>
        <v>0</v>
      </c>
      <c r="S147" s="232">
        <f t="shared" si="81"/>
        <v>0</v>
      </c>
      <c r="T147" s="232">
        <f t="shared" si="81"/>
        <v>0</v>
      </c>
      <c r="U147" s="232">
        <f t="shared" si="81"/>
        <v>0</v>
      </c>
      <c r="V147" s="232">
        <f t="shared" si="81"/>
        <v>0</v>
      </c>
      <c r="W147" s="232">
        <f>SUM(W134:W146)</f>
        <v>15832.411318148239</v>
      </c>
    </row>
    <row r="148" spans="2:23" s="22" customFormat="1" ht="15" thickTop="1">
      <c r="B148" s="79"/>
      <c r="E148" s="233" t="s">
        <v>67</v>
      </c>
      <c r="F148" s="233"/>
      <c r="G148" s="234"/>
      <c r="H148" s="235"/>
      <c r="I148" s="236"/>
      <c r="J148" s="236"/>
      <c r="K148" s="236"/>
      <c r="L148" s="236"/>
      <c r="M148" s="236"/>
      <c r="N148" s="236"/>
      <c r="O148" s="236"/>
      <c r="P148" s="236"/>
      <c r="Q148" s="236"/>
      <c r="R148" s="236"/>
      <c r="S148" s="236"/>
      <c r="T148" s="236"/>
      <c r="U148" s="236"/>
      <c r="V148" s="236"/>
      <c r="W148" s="237"/>
    </row>
    <row r="149" spans="2:23" s="22" customFormat="1">
      <c r="B149" s="79"/>
      <c r="E149" s="238" t="s">
        <v>432</v>
      </c>
      <c r="F149" s="238"/>
      <c r="G149" s="239"/>
      <c r="H149" s="240"/>
      <c r="I149" s="241">
        <f>I147+I148</f>
        <v>7741.8782283466926</v>
      </c>
      <c r="J149" s="241">
        <f t="shared" ref="J149" si="82">J147+J148</f>
        <v>5288.1918099874383</v>
      </c>
      <c r="K149" s="241">
        <f t="shared" ref="K149" si="83">K147+K148</f>
        <v>1985.7286688814204</v>
      </c>
      <c r="L149" s="241">
        <f t="shared" ref="L149" si="84">L147+L148</f>
        <v>1505.877463761617</v>
      </c>
      <c r="M149" s="241">
        <f t="shared" ref="M149" si="85">M147+M148</f>
        <v>0</v>
      </c>
      <c r="N149" s="241">
        <f t="shared" ref="N149" si="86">N147+N148</f>
        <v>0</v>
      </c>
      <c r="O149" s="241">
        <f t="shared" ref="O149:V149" si="87">O147+O148</f>
        <v>-689.26485282893532</v>
      </c>
      <c r="P149" s="241">
        <f t="shared" si="87"/>
        <v>0</v>
      </c>
      <c r="Q149" s="241">
        <f t="shared" si="87"/>
        <v>0</v>
      </c>
      <c r="R149" s="241">
        <f t="shared" si="87"/>
        <v>0</v>
      </c>
      <c r="S149" s="241">
        <f t="shared" si="87"/>
        <v>0</v>
      </c>
      <c r="T149" s="241">
        <f t="shared" si="87"/>
        <v>0</v>
      </c>
      <c r="U149" s="241">
        <f t="shared" si="87"/>
        <v>0</v>
      </c>
      <c r="V149" s="241">
        <f t="shared" si="87"/>
        <v>0</v>
      </c>
      <c r="W149" s="241">
        <f>W147+W148</f>
        <v>15832.411318148239</v>
      </c>
    </row>
    <row r="150" spans="2:23" s="22" customFormat="1">
      <c r="B150" s="79"/>
      <c r="E150" s="227">
        <v>43831</v>
      </c>
      <c r="F150" s="227" t="s">
        <v>187</v>
      </c>
      <c r="G150" s="228" t="s">
        <v>65</v>
      </c>
      <c r="H150" s="253">
        <f>$C$51/12</f>
        <v>1.8166666666666667E-3</v>
      </c>
      <c r="I150" s="243">
        <f>(SUM('1.  LRAMVA Summary'!D$54:D$80)+SUM('1.  LRAMVA Summary'!D$81:D$82)*(MONTH($E150)-1)/12)*$H150</f>
        <v>296.84498229458677</v>
      </c>
      <c r="J150" s="243">
        <f>(SUM('1.  LRAMVA Summary'!E$54:E$80)+SUM('1.  LRAMVA Summary'!E$81:E$82)*(MONTH($E150)-1)/12)*$H150</f>
        <v>195.27713481455578</v>
      </c>
      <c r="K150" s="243">
        <f>(SUM('1.  LRAMVA Summary'!F$54:F$80)+SUM('1.  LRAMVA Summary'!F$81:F$82)*(MONTH($E150)-1)/12)*$H150</f>
        <v>66.409596001777786</v>
      </c>
      <c r="L150" s="243">
        <f>(SUM('1.  LRAMVA Summary'!G$54:G$80)+SUM('1.  LRAMVA Summary'!G$81:G$82)*(MONTH($E150)-1)/12)*$H150</f>
        <v>52.074710603795161</v>
      </c>
      <c r="M150" s="243">
        <f>(SUM('1.  LRAMVA Summary'!H$54:H$80)+SUM('1.  LRAMVA Summary'!H$81:H$82)*(MONTH($E150)-1)/12)*$H150</f>
        <v>0</v>
      </c>
      <c r="N150" s="243">
        <f>(SUM('1.  LRAMVA Summary'!I$54:I$80)+SUM('1.  LRAMVA Summary'!I$81:I$82)*(MONTH($E150)-1)/12)*$H150</f>
        <v>0</v>
      </c>
      <c r="O150" s="243">
        <f>(SUM('1.  LRAMVA Summary'!J$54:J$80)+SUM('1.  LRAMVA Summary'!J$81:J$82)*(MONTH($E150)-1)/12)*$H150</f>
        <v>-21.487727288694884</v>
      </c>
      <c r="P150" s="243">
        <f>(SUM('1.  LRAMVA Summary'!K$54:K$80)+SUM('1.  LRAMVA Summary'!K$81:K$82)*(MONTH($E150)-1)/12)*$H150</f>
        <v>0</v>
      </c>
      <c r="Q150" s="243">
        <f>(SUM('1.  LRAMVA Summary'!L$54:L$80)+SUM('1.  LRAMVA Summary'!L$81:L$82)*(MONTH($E150)-1)/12)*$H150</f>
        <v>0</v>
      </c>
      <c r="R150" s="243">
        <f>(SUM('1.  LRAMVA Summary'!M$54:M$80)+SUM('1.  LRAMVA Summary'!M$81:M$82)*(MONTH($E150)-1)/12)*$H150</f>
        <v>0</v>
      </c>
      <c r="S150" s="243">
        <f>(SUM('1.  LRAMVA Summary'!N$54:N$80)+SUM('1.  LRAMVA Summary'!N$81:N$82)*(MONTH($E150)-1)/12)*$H150</f>
        <v>0</v>
      </c>
      <c r="T150" s="243">
        <f>(SUM('1.  LRAMVA Summary'!O$54:O$80)+SUM('1.  LRAMVA Summary'!O$81:O$82)*(MONTH($E150)-1)/12)*$H150</f>
        <v>0</v>
      </c>
      <c r="U150" s="243">
        <f>(SUM('1.  LRAMVA Summary'!P$54:P$80)+SUM('1.  LRAMVA Summary'!P$81:P$82)*(MONTH($E150)-1)/12)*$H150</f>
        <v>0</v>
      </c>
      <c r="V150" s="243">
        <f>(SUM('1.  LRAMVA Summary'!Q$54:Q$80)+SUM('1.  LRAMVA Summary'!Q$81:Q$82)*(MONTH($E150)-1)/12)*$H150</f>
        <v>0</v>
      </c>
      <c r="W150" s="244">
        <f>SUM(I150:V150)</f>
        <v>589.11869642602073</v>
      </c>
    </row>
    <row r="151" spans="2:23" s="22" customFormat="1">
      <c r="B151" s="79"/>
      <c r="E151" s="227">
        <v>43862</v>
      </c>
      <c r="F151" s="227" t="s">
        <v>187</v>
      </c>
      <c r="G151" s="228" t="s">
        <v>65</v>
      </c>
      <c r="H151" s="253">
        <f t="shared" ref="H151:H152" si="88">$C$51/12</f>
        <v>1.8166666666666667E-3</v>
      </c>
      <c r="I151" s="243">
        <f>(SUM('1.  LRAMVA Summary'!D$54:D$80)+SUM('1.  LRAMVA Summary'!D$81:D$82)*(MONTH($E151)-1)/12)*$H151</f>
        <v>296.84498229458677</v>
      </c>
      <c r="J151" s="243">
        <f>(SUM('1.  LRAMVA Summary'!E$54:E$80)+SUM('1.  LRAMVA Summary'!E$81:E$82)*(MONTH($E151)-1)/12)*$H151</f>
        <v>195.27713481455578</v>
      </c>
      <c r="K151" s="243">
        <f>(SUM('1.  LRAMVA Summary'!F$54:F$80)+SUM('1.  LRAMVA Summary'!F$81:F$82)*(MONTH($E151)-1)/12)*$H151</f>
        <v>66.409596001777786</v>
      </c>
      <c r="L151" s="243">
        <f>(SUM('1.  LRAMVA Summary'!G$54:G$80)+SUM('1.  LRAMVA Summary'!G$81:G$82)*(MONTH($E151)-1)/12)*$H151</f>
        <v>52.074710603795161</v>
      </c>
      <c r="M151" s="243">
        <f>(SUM('1.  LRAMVA Summary'!H$54:H$80)+SUM('1.  LRAMVA Summary'!H$81:H$82)*(MONTH($E151)-1)/12)*$H151</f>
        <v>0</v>
      </c>
      <c r="N151" s="243">
        <f>(SUM('1.  LRAMVA Summary'!I$54:I$80)+SUM('1.  LRAMVA Summary'!I$81:I$82)*(MONTH($E151)-1)/12)*$H151</f>
        <v>0</v>
      </c>
      <c r="O151" s="243">
        <f>(SUM('1.  LRAMVA Summary'!J$54:J$80)+SUM('1.  LRAMVA Summary'!J$81:J$82)*(MONTH($E151)-1)/12)*$H151</f>
        <v>-21.487727288694884</v>
      </c>
      <c r="P151" s="243">
        <f>(SUM('1.  LRAMVA Summary'!K$54:K$80)+SUM('1.  LRAMVA Summary'!K$81:K$82)*(MONTH($E151)-1)/12)*$H151</f>
        <v>0</v>
      </c>
      <c r="Q151" s="243">
        <f>(SUM('1.  LRAMVA Summary'!L$54:L$80)+SUM('1.  LRAMVA Summary'!L$81:L$82)*(MONTH($E151)-1)/12)*$H151</f>
        <v>0</v>
      </c>
      <c r="R151" s="243">
        <f>(SUM('1.  LRAMVA Summary'!M$54:M$80)+SUM('1.  LRAMVA Summary'!M$81:M$82)*(MONTH($E151)-1)/12)*$H151</f>
        <v>0</v>
      </c>
      <c r="S151" s="243">
        <f>(SUM('1.  LRAMVA Summary'!N$54:N$80)+SUM('1.  LRAMVA Summary'!N$81:N$82)*(MONTH($E151)-1)/12)*$H151</f>
        <v>0</v>
      </c>
      <c r="T151" s="243">
        <f>(SUM('1.  LRAMVA Summary'!O$54:O$80)+SUM('1.  LRAMVA Summary'!O$81:O$82)*(MONTH($E151)-1)/12)*$H151</f>
        <v>0</v>
      </c>
      <c r="U151" s="243">
        <f>(SUM('1.  LRAMVA Summary'!P$54:P$80)+SUM('1.  LRAMVA Summary'!P$81:P$82)*(MONTH($E151)-1)/12)*$H151</f>
        <v>0</v>
      </c>
      <c r="V151" s="243">
        <f>(SUM('1.  LRAMVA Summary'!Q$54:Q$80)+SUM('1.  LRAMVA Summary'!Q$81:Q$82)*(MONTH($E151)-1)/12)*$H151</f>
        <v>0</v>
      </c>
      <c r="W151" s="244">
        <f t="shared" ref="W151:W160" si="89">SUM(I151:V151)</f>
        <v>589.11869642602073</v>
      </c>
    </row>
    <row r="152" spans="2:23" s="22" customFormat="1">
      <c r="B152" s="79"/>
      <c r="E152" s="227">
        <v>43891</v>
      </c>
      <c r="F152" s="227" t="s">
        <v>187</v>
      </c>
      <c r="G152" s="228" t="s">
        <v>65</v>
      </c>
      <c r="H152" s="253">
        <f t="shared" si="88"/>
        <v>1.8166666666666667E-3</v>
      </c>
      <c r="I152" s="243">
        <f>(SUM('1.  LRAMVA Summary'!D$54:D$80)+SUM('1.  LRAMVA Summary'!D$81:D$82)*(MONTH($E152)-1)/12)*$H152</f>
        <v>296.84498229458677</v>
      </c>
      <c r="J152" s="243">
        <f>(SUM('1.  LRAMVA Summary'!E$54:E$80)+SUM('1.  LRAMVA Summary'!E$81:E$82)*(MONTH($E152)-1)/12)*$H152</f>
        <v>195.27713481455578</v>
      </c>
      <c r="K152" s="243">
        <f>(SUM('1.  LRAMVA Summary'!F$54:F$80)+SUM('1.  LRAMVA Summary'!F$81:F$82)*(MONTH($E152)-1)/12)*$H152</f>
        <v>66.409596001777786</v>
      </c>
      <c r="L152" s="243">
        <f>(SUM('1.  LRAMVA Summary'!G$54:G$80)+SUM('1.  LRAMVA Summary'!G$81:G$82)*(MONTH($E152)-1)/12)*$H152</f>
        <v>52.074710603795161</v>
      </c>
      <c r="M152" s="243">
        <f>(SUM('1.  LRAMVA Summary'!H$54:H$80)+SUM('1.  LRAMVA Summary'!H$81:H$82)*(MONTH($E152)-1)/12)*$H152</f>
        <v>0</v>
      </c>
      <c r="N152" s="243">
        <f>(SUM('1.  LRAMVA Summary'!I$54:I$80)+SUM('1.  LRAMVA Summary'!I$81:I$82)*(MONTH($E152)-1)/12)*$H152</f>
        <v>0</v>
      </c>
      <c r="O152" s="243">
        <f>(SUM('1.  LRAMVA Summary'!J$54:J$80)+SUM('1.  LRAMVA Summary'!J$81:J$82)*(MONTH($E152)-1)/12)*$H152</f>
        <v>-21.487727288694884</v>
      </c>
      <c r="P152" s="243">
        <f>(SUM('1.  LRAMVA Summary'!K$54:K$80)+SUM('1.  LRAMVA Summary'!K$81:K$82)*(MONTH($E152)-1)/12)*$H152</f>
        <v>0</v>
      </c>
      <c r="Q152" s="243">
        <f>(SUM('1.  LRAMVA Summary'!L$54:L$80)+SUM('1.  LRAMVA Summary'!L$81:L$82)*(MONTH($E152)-1)/12)*$H152</f>
        <v>0</v>
      </c>
      <c r="R152" s="243">
        <f>(SUM('1.  LRAMVA Summary'!M$54:M$80)+SUM('1.  LRAMVA Summary'!M$81:M$82)*(MONTH($E152)-1)/12)*$H152</f>
        <v>0</v>
      </c>
      <c r="S152" s="243">
        <f>(SUM('1.  LRAMVA Summary'!N$54:N$80)+SUM('1.  LRAMVA Summary'!N$81:N$82)*(MONTH($E152)-1)/12)*$H152</f>
        <v>0</v>
      </c>
      <c r="T152" s="243">
        <f>(SUM('1.  LRAMVA Summary'!O$54:O$80)+SUM('1.  LRAMVA Summary'!O$81:O$82)*(MONTH($E152)-1)/12)*$H152</f>
        <v>0</v>
      </c>
      <c r="U152" s="243">
        <f>(SUM('1.  LRAMVA Summary'!P$54:P$80)+SUM('1.  LRAMVA Summary'!P$81:P$82)*(MONTH($E152)-1)/12)*$H152</f>
        <v>0</v>
      </c>
      <c r="V152" s="243">
        <f>(SUM('1.  LRAMVA Summary'!Q$54:Q$80)+SUM('1.  LRAMVA Summary'!Q$81:Q$82)*(MONTH($E152)-1)/12)*$H152</f>
        <v>0</v>
      </c>
      <c r="W152" s="244">
        <f t="shared" si="89"/>
        <v>589.11869642602073</v>
      </c>
    </row>
    <row r="153" spans="2:23" s="22" customFormat="1">
      <c r="B153" s="79"/>
      <c r="E153" s="227">
        <v>43922</v>
      </c>
      <c r="F153" s="227" t="s">
        <v>187</v>
      </c>
      <c r="G153" s="228" t="s">
        <v>66</v>
      </c>
      <c r="H153" s="253">
        <f>$C$52/12</f>
        <v>1.8166666666666667E-3</v>
      </c>
      <c r="I153" s="243">
        <f>(SUM('1.  LRAMVA Summary'!D$54:D$80)+SUM('1.  LRAMVA Summary'!D$81:D$82)*(MONTH($E153)-1)/12)*$H153</f>
        <v>296.84498229458677</v>
      </c>
      <c r="J153" s="243">
        <f>(SUM('1.  LRAMVA Summary'!E$54:E$80)+SUM('1.  LRAMVA Summary'!E$81:E$82)*(MONTH($E153)-1)/12)*$H153</f>
        <v>195.27713481455578</v>
      </c>
      <c r="K153" s="243">
        <f>(SUM('1.  LRAMVA Summary'!F$54:F$80)+SUM('1.  LRAMVA Summary'!F$81:F$82)*(MONTH($E153)-1)/12)*$H153</f>
        <v>66.409596001777786</v>
      </c>
      <c r="L153" s="243">
        <f>(SUM('1.  LRAMVA Summary'!G$54:G$80)+SUM('1.  LRAMVA Summary'!G$81:G$82)*(MONTH($E153)-1)/12)*$H153</f>
        <v>52.074710603795161</v>
      </c>
      <c r="M153" s="243">
        <f>(SUM('1.  LRAMVA Summary'!H$54:H$80)+SUM('1.  LRAMVA Summary'!H$81:H$82)*(MONTH($E153)-1)/12)*$H153</f>
        <v>0</v>
      </c>
      <c r="N153" s="243">
        <f>(SUM('1.  LRAMVA Summary'!I$54:I$80)+SUM('1.  LRAMVA Summary'!I$81:I$82)*(MONTH($E153)-1)/12)*$H153</f>
        <v>0</v>
      </c>
      <c r="O153" s="243">
        <f>(SUM('1.  LRAMVA Summary'!J$54:J$80)+SUM('1.  LRAMVA Summary'!J$81:J$82)*(MONTH($E153)-1)/12)*$H153</f>
        <v>-21.487727288694884</v>
      </c>
      <c r="P153" s="243">
        <f>(SUM('1.  LRAMVA Summary'!K$54:K$80)+SUM('1.  LRAMVA Summary'!K$81:K$82)*(MONTH($E153)-1)/12)*$H153</f>
        <v>0</v>
      </c>
      <c r="Q153" s="243">
        <f>(SUM('1.  LRAMVA Summary'!L$54:L$80)+SUM('1.  LRAMVA Summary'!L$81:L$82)*(MONTH($E153)-1)/12)*$H153</f>
        <v>0</v>
      </c>
      <c r="R153" s="243">
        <f>(SUM('1.  LRAMVA Summary'!M$54:M$80)+SUM('1.  LRAMVA Summary'!M$81:M$82)*(MONTH($E153)-1)/12)*$H153</f>
        <v>0</v>
      </c>
      <c r="S153" s="243">
        <f>(SUM('1.  LRAMVA Summary'!N$54:N$80)+SUM('1.  LRAMVA Summary'!N$81:N$82)*(MONTH($E153)-1)/12)*$H153</f>
        <v>0</v>
      </c>
      <c r="T153" s="243">
        <f>(SUM('1.  LRAMVA Summary'!O$54:O$80)+SUM('1.  LRAMVA Summary'!O$81:O$82)*(MONTH($E153)-1)/12)*$H153</f>
        <v>0</v>
      </c>
      <c r="U153" s="243">
        <f>(SUM('1.  LRAMVA Summary'!P$54:P$80)+SUM('1.  LRAMVA Summary'!P$81:P$82)*(MONTH($E153)-1)/12)*$H153</f>
        <v>0</v>
      </c>
      <c r="V153" s="243">
        <f>(SUM('1.  LRAMVA Summary'!Q$54:Q$80)+SUM('1.  LRAMVA Summary'!Q$81:Q$82)*(MONTH($E153)-1)/12)*$H153</f>
        <v>0</v>
      </c>
      <c r="W153" s="244">
        <f t="shared" si="89"/>
        <v>589.11869642602073</v>
      </c>
    </row>
    <row r="154" spans="2:23" s="22" customFormat="1">
      <c r="B154" s="79"/>
      <c r="E154" s="227">
        <v>43952</v>
      </c>
      <c r="F154" s="227" t="s">
        <v>187</v>
      </c>
      <c r="G154" s="228" t="s">
        <v>66</v>
      </c>
      <c r="H154" s="253">
        <f t="shared" ref="H154:H155" si="90">$C$52/12</f>
        <v>1.8166666666666667E-3</v>
      </c>
      <c r="I154" s="243">
        <f>(SUM('1.  LRAMVA Summary'!D$54:D$80)+SUM('1.  LRAMVA Summary'!D$81:D$82)*(MONTH($E154)-1)/12)*$H154</f>
        <v>296.84498229458677</v>
      </c>
      <c r="J154" s="243">
        <f>(SUM('1.  LRAMVA Summary'!E$54:E$80)+SUM('1.  LRAMVA Summary'!E$81:E$82)*(MONTH($E154)-1)/12)*$H154</f>
        <v>195.27713481455578</v>
      </c>
      <c r="K154" s="243">
        <f>(SUM('1.  LRAMVA Summary'!F$54:F$80)+SUM('1.  LRAMVA Summary'!F$81:F$82)*(MONTH($E154)-1)/12)*$H154</f>
        <v>66.409596001777786</v>
      </c>
      <c r="L154" s="243">
        <f>(SUM('1.  LRAMVA Summary'!G$54:G$80)+SUM('1.  LRAMVA Summary'!G$81:G$82)*(MONTH($E154)-1)/12)*$H154</f>
        <v>52.074710603795161</v>
      </c>
      <c r="M154" s="243">
        <f>(SUM('1.  LRAMVA Summary'!H$54:H$80)+SUM('1.  LRAMVA Summary'!H$81:H$82)*(MONTH($E154)-1)/12)*$H154</f>
        <v>0</v>
      </c>
      <c r="N154" s="243">
        <f>(SUM('1.  LRAMVA Summary'!I$54:I$80)+SUM('1.  LRAMVA Summary'!I$81:I$82)*(MONTH($E154)-1)/12)*$H154</f>
        <v>0</v>
      </c>
      <c r="O154" s="243">
        <f>(SUM('1.  LRAMVA Summary'!J$54:J$80)+SUM('1.  LRAMVA Summary'!J$81:J$82)*(MONTH($E154)-1)/12)*$H154</f>
        <v>-21.487727288694884</v>
      </c>
      <c r="P154" s="243">
        <f>(SUM('1.  LRAMVA Summary'!K$54:K$80)+SUM('1.  LRAMVA Summary'!K$81:K$82)*(MONTH($E154)-1)/12)*$H154</f>
        <v>0</v>
      </c>
      <c r="Q154" s="243">
        <f>(SUM('1.  LRAMVA Summary'!L$54:L$80)+SUM('1.  LRAMVA Summary'!L$81:L$82)*(MONTH($E154)-1)/12)*$H154</f>
        <v>0</v>
      </c>
      <c r="R154" s="243">
        <f>(SUM('1.  LRAMVA Summary'!M$54:M$80)+SUM('1.  LRAMVA Summary'!M$81:M$82)*(MONTH($E154)-1)/12)*$H154</f>
        <v>0</v>
      </c>
      <c r="S154" s="243">
        <f>(SUM('1.  LRAMVA Summary'!N$54:N$80)+SUM('1.  LRAMVA Summary'!N$81:N$82)*(MONTH($E154)-1)/12)*$H154</f>
        <v>0</v>
      </c>
      <c r="T154" s="243">
        <f>(SUM('1.  LRAMVA Summary'!O$54:O$80)+SUM('1.  LRAMVA Summary'!O$81:O$82)*(MONTH($E154)-1)/12)*$H154</f>
        <v>0</v>
      </c>
      <c r="U154" s="243">
        <f>(SUM('1.  LRAMVA Summary'!P$54:P$80)+SUM('1.  LRAMVA Summary'!P$81:P$82)*(MONTH($E154)-1)/12)*$H154</f>
        <v>0</v>
      </c>
      <c r="V154" s="243">
        <f>(SUM('1.  LRAMVA Summary'!Q$54:Q$80)+SUM('1.  LRAMVA Summary'!Q$81:Q$82)*(MONTH($E154)-1)/12)*$H154</f>
        <v>0</v>
      </c>
      <c r="W154" s="244">
        <f t="shared" si="89"/>
        <v>589.11869642602073</v>
      </c>
    </row>
    <row r="155" spans="2:23" s="22" customFormat="1">
      <c r="B155" s="79"/>
      <c r="E155" s="227">
        <v>43983</v>
      </c>
      <c r="F155" s="227" t="s">
        <v>187</v>
      </c>
      <c r="G155" s="228" t="s">
        <v>66</v>
      </c>
      <c r="H155" s="253">
        <f t="shared" si="90"/>
        <v>1.8166666666666667E-3</v>
      </c>
      <c r="I155" s="243">
        <f>(SUM('1.  LRAMVA Summary'!D$54:D$80)+SUM('1.  LRAMVA Summary'!D$81:D$82)*(MONTH($E155)-1)/12)*$H155</f>
        <v>296.84498229458677</v>
      </c>
      <c r="J155" s="243">
        <f>(SUM('1.  LRAMVA Summary'!E$54:E$80)+SUM('1.  LRAMVA Summary'!E$81:E$82)*(MONTH($E155)-1)/12)*$H155</f>
        <v>195.27713481455578</v>
      </c>
      <c r="K155" s="243">
        <f>(SUM('1.  LRAMVA Summary'!F$54:F$80)+SUM('1.  LRAMVA Summary'!F$81:F$82)*(MONTH($E155)-1)/12)*$H155</f>
        <v>66.409596001777786</v>
      </c>
      <c r="L155" s="243">
        <f>(SUM('1.  LRAMVA Summary'!G$54:G$80)+SUM('1.  LRAMVA Summary'!G$81:G$82)*(MONTH($E155)-1)/12)*$H155</f>
        <v>52.074710603795161</v>
      </c>
      <c r="M155" s="243">
        <f>(SUM('1.  LRAMVA Summary'!H$54:H$80)+SUM('1.  LRAMVA Summary'!H$81:H$82)*(MONTH($E155)-1)/12)*$H155</f>
        <v>0</v>
      </c>
      <c r="N155" s="243">
        <f>(SUM('1.  LRAMVA Summary'!I$54:I$80)+SUM('1.  LRAMVA Summary'!I$81:I$82)*(MONTH($E155)-1)/12)*$H155</f>
        <v>0</v>
      </c>
      <c r="O155" s="243">
        <f>(SUM('1.  LRAMVA Summary'!J$54:J$80)+SUM('1.  LRAMVA Summary'!J$81:J$82)*(MONTH($E155)-1)/12)*$H155</f>
        <v>-21.487727288694884</v>
      </c>
      <c r="P155" s="243">
        <f>(SUM('1.  LRAMVA Summary'!K$54:K$80)+SUM('1.  LRAMVA Summary'!K$81:K$82)*(MONTH($E155)-1)/12)*$H155</f>
        <v>0</v>
      </c>
      <c r="Q155" s="243">
        <f>(SUM('1.  LRAMVA Summary'!L$54:L$80)+SUM('1.  LRAMVA Summary'!L$81:L$82)*(MONTH($E155)-1)/12)*$H155</f>
        <v>0</v>
      </c>
      <c r="R155" s="243">
        <f>(SUM('1.  LRAMVA Summary'!M$54:M$80)+SUM('1.  LRAMVA Summary'!M$81:M$82)*(MONTH($E155)-1)/12)*$H155</f>
        <v>0</v>
      </c>
      <c r="S155" s="243">
        <f>(SUM('1.  LRAMVA Summary'!N$54:N$80)+SUM('1.  LRAMVA Summary'!N$81:N$82)*(MONTH($E155)-1)/12)*$H155</f>
        <v>0</v>
      </c>
      <c r="T155" s="243">
        <f>(SUM('1.  LRAMVA Summary'!O$54:O$80)+SUM('1.  LRAMVA Summary'!O$81:O$82)*(MONTH($E155)-1)/12)*$H155</f>
        <v>0</v>
      </c>
      <c r="U155" s="243">
        <f>(SUM('1.  LRAMVA Summary'!P$54:P$80)+SUM('1.  LRAMVA Summary'!P$81:P$82)*(MONTH($E155)-1)/12)*$H155</f>
        <v>0</v>
      </c>
      <c r="V155" s="243">
        <f>(SUM('1.  LRAMVA Summary'!Q$54:Q$80)+SUM('1.  LRAMVA Summary'!Q$81:Q$82)*(MONTH($E155)-1)/12)*$H155</f>
        <v>0</v>
      </c>
      <c r="W155" s="244">
        <f t="shared" si="89"/>
        <v>589.11869642602073</v>
      </c>
    </row>
    <row r="156" spans="2:23" s="22" customFormat="1">
      <c r="B156" s="79"/>
      <c r="E156" s="227">
        <v>44013</v>
      </c>
      <c r="F156" s="227" t="s">
        <v>187</v>
      </c>
      <c r="G156" s="228" t="s">
        <v>68</v>
      </c>
      <c r="H156" s="253">
        <f>$C$53/12</f>
        <v>4.75E-4</v>
      </c>
      <c r="I156" s="243">
        <f>(SUM('1.  LRAMVA Summary'!D$54:D$80)+SUM('1.  LRAMVA Summary'!D$81:D$82)*(MONTH($E156)-1)/12)*$H156</f>
        <v>77.615431150419482</v>
      </c>
      <c r="J156" s="243">
        <f>(SUM('1.  LRAMVA Summary'!E$54:E$80)+SUM('1.  LRAMVA Summary'!E$81:E$82)*(MONTH($E156)-1)/12)*$H156</f>
        <v>51.058700387292106</v>
      </c>
      <c r="K156" s="243">
        <f>(SUM('1.  LRAMVA Summary'!F$54:F$80)+SUM('1.  LRAMVA Summary'!F$81:F$82)*(MONTH($E156)-1)/12)*$H156</f>
        <v>17.363976936244651</v>
      </c>
      <c r="L156" s="243">
        <f>(SUM('1.  LRAMVA Summary'!G$54:G$80)+SUM('1.  LRAMVA Summary'!G$81:G$82)*(MONTH($E156)-1)/12)*$H156</f>
        <v>13.61586469915745</v>
      </c>
      <c r="M156" s="243">
        <f>(SUM('1.  LRAMVA Summary'!H$54:H$80)+SUM('1.  LRAMVA Summary'!H$81:H$82)*(MONTH($E156)-1)/12)*$H156</f>
        <v>0</v>
      </c>
      <c r="N156" s="243">
        <f>(SUM('1.  LRAMVA Summary'!I$54:I$80)+SUM('1.  LRAMVA Summary'!I$81:I$82)*(MONTH($E156)-1)/12)*$H156</f>
        <v>0</v>
      </c>
      <c r="O156" s="243">
        <f>(SUM('1.  LRAMVA Summary'!J$54:J$80)+SUM('1.  LRAMVA Summary'!J$81:J$82)*(MONTH($E156)-1)/12)*$H156</f>
        <v>-5.6183507130991215</v>
      </c>
      <c r="P156" s="243">
        <f>(SUM('1.  LRAMVA Summary'!K$54:K$80)+SUM('1.  LRAMVA Summary'!K$81:K$82)*(MONTH($E156)-1)/12)*$H156</f>
        <v>0</v>
      </c>
      <c r="Q156" s="243">
        <f>(SUM('1.  LRAMVA Summary'!L$54:L$80)+SUM('1.  LRAMVA Summary'!L$81:L$82)*(MONTH($E156)-1)/12)*$H156</f>
        <v>0</v>
      </c>
      <c r="R156" s="243">
        <f>(SUM('1.  LRAMVA Summary'!M$54:M$80)+SUM('1.  LRAMVA Summary'!M$81:M$82)*(MONTH($E156)-1)/12)*$H156</f>
        <v>0</v>
      </c>
      <c r="S156" s="243">
        <f>(SUM('1.  LRAMVA Summary'!N$54:N$80)+SUM('1.  LRAMVA Summary'!N$81:N$82)*(MONTH($E156)-1)/12)*$H156</f>
        <v>0</v>
      </c>
      <c r="T156" s="243">
        <f>(SUM('1.  LRAMVA Summary'!O$54:O$80)+SUM('1.  LRAMVA Summary'!O$81:O$82)*(MONTH($E156)-1)/12)*$H156</f>
        <v>0</v>
      </c>
      <c r="U156" s="243">
        <f>(SUM('1.  LRAMVA Summary'!P$54:P$80)+SUM('1.  LRAMVA Summary'!P$81:P$82)*(MONTH($E156)-1)/12)*$H156</f>
        <v>0</v>
      </c>
      <c r="V156" s="243">
        <f>(SUM('1.  LRAMVA Summary'!Q$54:Q$80)+SUM('1.  LRAMVA Summary'!Q$81:Q$82)*(MONTH($E156)-1)/12)*$H156</f>
        <v>0</v>
      </c>
      <c r="W156" s="244">
        <f t="shared" si="89"/>
        <v>154.03562246001457</v>
      </c>
    </row>
    <row r="157" spans="2:23" s="22" customFormat="1">
      <c r="B157" s="79"/>
      <c r="D157" s="854"/>
      <c r="E157" s="227">
        <v>44044</v>
      </c>
      <c r="F157" s="227" t="s">
        <v>187</v>
      </c>
      <c r="G157" s="228" t="s">
        <v>68</v>
      </c>
      <c r="H157" s="253">
        <f t="shared" ref="H157:H158" si="91">$C$53/12</f>
        <v>4.75E-4</v>
      </c>
      <c r="I157" s="243">
        <f>(SUM('1.  LRAMVA Summary'!D$54:D$80)+SUM('1.  LRAMVA Summary'!D$81:D$82)*(MONTH($E157)-1)/12)*$H157</f>
        <v>77.615431150419482</v>
      </c>
      <c r="J157" s="243">
        <f>(SUM('1.  LRAMVA Summary'!E$54:E$80)+SUM('1.  LRAMVA Summary'!E$81:E$82)*(MONTH($E157)-1)/12)*$H157</f>
        <v>51.058700387292106</v>
      </c>
      <c r="K157" s="243">
        <f>(SUM('1.  LRAMVA Summary'!F$54:F$80)+SUM('1.  LRAMVA Summary'!F$81:F$82)*(MONTH($E157)-1)/12)*$H157</f>
        <v>17.363976936244651</v>
      </c>
      <c r="L157" s="243">
        <f>(SUM('1.  LRAMVA Summary'!G$54:G$80)+SUM('1.  LRAMVA Summary'!G$81:G$82)*(MONTH($E157)-1)/12)*$H157</f>
        <v>13.61586469915745</v>
      </c>
      <c r="M157" s="243">
        <f>(SUM('1.  LRAMVA Summary'!H$54:H$80)+SUM('1.  LRAMVA Summary'!H$81:H$82)*(MONTH($E157)-1)/12)*$H157</f>
        <v>0</v>
      </c>
      <c r="N157" s="243">
        <f>(SUM('1.  LRAMVA Summary'!I$54:I$80)+SUM('1.  LRAMVA Summary'!I$81:I$82)*(MONTH($E157)-1)/12)*$H157</f>
        <v>0</v>
      </c>
      <c r="O157" s="243">
        <f>(SUM('1.  LRAMVA Summary'!J$54:J$80)+SUM('1.  LRAMVA Summary'!J$81:J$82)*(MONTH($E157)-1)/12)*$H157</f>
        <v>-5.6183507130991215</v>
      </c>
      <c r="P157" s="243">
        <f>(SUM('1.  LRAMVA Summary'!K$54:K$80)+SUM('1.  LRAMVA Summary'!K$81:K$82)*(MONTH($E157)-1)/12)*$H157</f>
        <v>0</v>
      </c>
      <c r="Q157" s="243">
        <f>(SUM('1.  LRAMVA Summary'!L$54:L$80)+SUM('1.  LRAMVA Summary'!L$81:L$82)*(MONTH($E157)-1)/12)*$H157</f>
        <v>0</v>
      </c>
      <c r="R157" s="243">
        <f>(SUM('1.  LRAMVA Summary'!M$54:M$80)+SUM('1.  LRAMVA Summary'!M$81:M$82)*(MONTH($E157)-1)/12)*$H157</f>
        <v>0</v>
      </c>
      <c r="S157" s="243">
        <f>(SUM('1.  LRAMVA Summary'!N$54:N$80)+SUM('1.  LRAMVA Summary'!N$81:N$82)*(MONTH($E157)-1)/12)*$H157</f>
        <v>0</v>
      </c>
      <c r="T157" s="243">
        <f>(SUM('1.  LRAMVA Summary'!O$54:O$80)+SUM('1.  LRAMVA Summary'!O$81:O$82)*(MONTH($E157)-1)/12)*$H157</f>
        <v>0</v>
      </c>
      <c r="U157" s="243">
        <f>(SUM('1.  LRAMVA Summary'!P$54:P$80)+SUM('1.  LRAMVA Summary'!P$81:P$82)*(MONTH($E157)-1)/12)*$H157</f>
        <v>0</v>
      </c>
      <c r="V157" s="243">
        <f>(SUM('1.  LRAMVA Summary'!Q$54:Q$80)+SUM('1.  LRAMVA Summary'!Q$81:Q$82)*(MONTH($E157)-1)/12)*$H157</f>
        <v>0</v>
      </c>
      <c r="W157" s="244">
        <f t="shared" si="89"/>
        <v>154.03562246001457</v>
      </c>
    </row>
    <row r="158" spans="2:23" s="22" customFormat="1">
      <c r="B158" s="79"/>
      <c r="E158" s="227">
        <v>44075</v>
      </c>
      <c r="F158" s="227" t="s">
        <v>187</v>
      </c>
      <c r="G158" s="228" t="s">
        <v>68</v>
      </c>
      <c r="H158" s="253">
        <f t="shared" si="91"/>
        <v>4.75E-4</v>
      </c>
      <c r="I158" s="243">
        <f>(SUM('1.  LRAMVA Summary'!D$54:D$80)+SUM('1.  LRAMVA Summary'!D$81:D$82)*(MONTH($E158)-1)/12)*$H158</f>
        <v>77.615431150419482</v>
      </c>
      <c r="J158" s="243">
        <f>(SUM('1.  LRAMVA Summary'!E$54:E$80)+SUM('1.  LRAMVA Summary'!E$81:E$82)*(MONTH($E158)-1)/12)*$H158</f>
        <v>51.058700387292106</v>
      </c>
      <c r="K158" s="243">
        <f>(SUM('1.  LRAMVA Summary'!F$54:F$80)+SUM('1.  LRAMVA Summary'!F$81:F$82)*(MONTH($E158)-1)/12)*$H158</f>
        <v>17.363976936244651</v>
      </c>
      <c r="L158" s="243">
        <f>(SUM('1.  LRAMVA Summary'!G$54:G$80)+SUM('1.  LRAMVA Summary'!G$81:G$82)*(MONTH($E158)-1)/12)*$H158</f>
        <v>13.61586469915745</v>
      </c>
      <c r="M158" s="243">
        <f>(SUM('1.  LRAMVA Summary'!H$54:H$80)+SUM('1.  LRAMVA Summary'!H$81:H$82)*(MONTH($E158)-1)/12)*$H158</f>
        <v>0</v>
      </c>
      <c r="N158" s="243">
        <f>(SUM('1.  LRAMVA Summary'!I$54:I$80)+SUM('1.  LRAMVA Summary'!I$81:I$82)*(MONTH($E158)-1)/12)*$H158</f>
        <v>0</v>
      </c>
      <c r="O158" s="243">
        <f>(SUM('1.  LRAMVA Summary'!J$54:J$80)+SUM('1.  LRAMVA Summary'!J$81:J$82)*(MONTH($E158)-1)/12)*$H158</f>
        <v>-5.6183507130991215</v>
      </c>
      <c r="P158" s="243">
        <f>(SUM('1.  LRAMVA Summary'!K$54:K$80)+SUM('1.  LRAMVA Summary'!K$81:K$82)*(MONTH($E158)-1)/12)*$H158</f>
        <v>0</v>
      </c>
      <c r="Q158" s="243">
        <f>(SUM('1.  LRAMVA Summary'!L$54:L$80)+SUM('1.  LRAMVA Summary'!L$81:L$82)*(MONTH($E158)-1)/12)*$H158</f>
        <v>0</v>
      </c>
      <c r="R158" s="243">
        <f>(SUM('1.  LRAMVA Summary'!M$54:M$80)+SUM('1.  LRAMVA Summary'!M$81:M$82)*(MONTH($E158)-1)/12)*$H158</f>
        <v>0</v>
      </c>
      <c r="S158" s="243">
        <f>(SUM('1.  LRAMVA Summary'!N$54:N$80)+SUM('1.  LRAMVA Summary'!N$81:N$82)*(MONTH($E158)-1)/12)*$H158</f>
        <v>0</v>
      </c>
      <c r="T158" s="243">
        <f>(SUM('1.  LRAMVA Summary'!O$54:O$80)+SUM('1.  LRAMVA Summary'!O$81:O$82)*(MONTH($E158)-1)/12)*$H158</f>
        <v>0</v>
      </c>
      <c r="U158" s="243">
        <f>(SUM('1.  LRAMVA Summary'!P$54:P$80)+SUM('1.  LRAMVA Summary'!P$81:P$82)*(MONTH($E158)-1)/12)*$H158</f>
        <v>0</v>
      </c>
      <c r="V158" s="243">
        <f>(SUM('1.  LRAMVA Summary'!Q$54:Q$80)+SUM('1.  LRAMVA Summary'!Q$81:Q$82)*(MONTH($E158)-1)/12)*$H158</f>
        <v>0</v>
      </c>
      <c r="W158" s="244">
        <f t="shared" si="89"/>
        <v>154.03562246001457</v>
      </c>
    </row>
    <row r="159" spans="2:23" s="22" customFormat="1">
      <c r="B159" s="79"/>
      <c r="E159" s="227">
        <v>44105</v>
      </c>
      <c r="F159" s="227" t="s">
        <v>187</v>
      </c>
      <c r="G159" s="228" t="s">
        <v>69</v>
      </c>
      <c r="H159" s="253">
        <f>$C$54/12</f>
        <v>4.75E-4</v>
      </c>
      <c r="I159" s="243">
        <f>(SUM('1.  LRAMVA Summary'!D$54:D$80)+SUM('1.  LRAMVA Summary'!D$81:D$82)*(MONTH($E159)-1)/12)*$H159</f>
        <v>77.615431150419482</v>
      </c>
      <c r="J159" s="243">
        <f>(SUM('1.  LRAMVA Summary'!E$54:E$80)+SUM('1.  LRAMVA Summary'!E$81:E$82)*(MONTH($E159)-1)/12)*$H159</f>
        <v>51.058700387292106</v>
      </c>
      <c r="K159" s="243">
        <f>(SUM('1.  LRAMVA Summary'!F$54:F$80)+SUM('1.  LRAMVA Summary'!F$81:F$82)*(MONTH($E159)-1)/12)*$H159</f>
        <v>17.363976936244651</v>
      </c>
      <c r="L159" s="243">
        <f>(SUM('1.  LRAMVA Summary'!G$54:G$80)+SUM('1.  LRAMVA Summary'!G$81:G$82)*(MONTH($E159)-1)/12)*$H159</f>
        <v>13.61586469915745</v>
      </c>
      <c r="M159" s="243">
        <f>(SUM('1.  LRAMVA Summary'!H$54:H$80)+SUM('1.  LRAMVA Summary'!H$81:H$82)*(MONTH($E159)-1)/12)*$H159</f>
        <v>0</v>
      </c>
      <c r="N159" s="243">
        <f>(SUM('1.  LRAMVA Summary'!I$54:I$80)+SUM('1.  LRAMVA Summary'!I$81:I$82)*(MONTH($E159)-1)/12)*$H159</f>
        <v>0</v>
      </c>
      <c r="O159" s="243">
        <f>(SUM('1.  LRAMVA Summary'!J$54:J$80)+SUM('1.  LRAMVA Summary'!J$81:J$82)*(MONTH($E159)-1)/12)*$H159</f>
        <v>-5.6183507130991215</v>
      </c>
      <c r="P159" s="243">
        <f>(SUM('1.  LRAMVA Summary'!K$54:K$80)+SUM('1.  LRAMVA Summary'!K$81:K$82)*(MONTH($E159)-1)/12)*$H159</f>
        <v>0</v>
      </c>
      <c r="Q159" s="243">
        <f>(SUM('1.  LRAMVA Summary'!L$54:L$80)+SUM('1.  LRAMVA Summary'!L$81:L$82)*(MONTH($E159)-1)/12)*$H159</f>
        <v>0</v>
      </c>
      <c r="R159" s="243">
        <f>(SUM('1.  LRAMVA Summary'!M$54:M$80)+SUM('1.  LRAMVA Summary'!M$81:M$82)*(MONTH($E159)-1)/12)*$H159</f>
        <v>0</v>
      </c>
      <c r="S159" s="243">
        <f>(SUM('1.  LRAMVA Summary'!N$54:N$80)+SUM('1.  LRAMVA Summary'!N$81:N$82)*(MONTH($E159)-1)/12)*$H159</f>
        <v>0</v>
      </c>
      <c r="T159" s="243">
        <f>(SUM('1.  LRAMVA Summary'!O$54:O$80)+SUM('1.  LRAMVA Summary'!O$81:O$82)*(MONTH($E159)-1)/12)*$H159</f>
        <v>0</v>
      </c>
      <c r="U159" s="243">
        <f>(SUM('1.  LRAMVA Summary'!P$54:P$80)+SUM('1.  LRAMVA Summary'!P$81:P$82)*(MONTH($E159)-1)/12)*$H159</f>
        <v>0</v>
      </c>
      <c r="V159" s="243">
        <f>(SUM('1.  LRAMVA Summary'!Q$54:Q$80)+SUM('1.  LRAMVA Summary'!Q$81:Q$82)*(MONTH($E159)-1)/12)*$H159</f>
        <v>0</v>
      </c>
      <c r="W159" s="244">
        <f t="shared" si="89"/>
        <v>154.03562246001457</v>
      </c>
    </row>
    <row r="160" spans="2:23" s="22" customFormat="1">
      <c r="B160" s="79"/>
      <c r="E160" s="227">
        <v>44136</v>
      </c>
      <c r="F160" s="227" t="s">
        <v>187</v>
      </c>
      <c r="G160" s="228" t="s">
        <v>69</v>
      </c>
      <c r="H160" s="253">
        <f t="shared" ref="H160:H161" si="92">$C$54/12</f>
        <v>4.75E-4</v>
      </c>
      <c r="I160" s="243">
        <f>(SUM('1.  LRAMVA Summary'!D$54:D$80)+SUM('1.  LRAMVA Summary'!D$81:D$82)*(MONTH($E160)-1)/12)*$H160</f>
        <v>77.615431150419482</v>
      </c>
      <c r="J160" s="243">
        <f>(SUM('1.  LRAMVA Summary'!E$54:E$80)+SUM('1.  LRAMVA Summary'!E$81:E$82)*(MONTH($E160)-1)/12)*$H160</f>
        <v>51.058700387292106</v>
      </c>
      <c r="K160" s="243">
        <f>(SUM('1.  LRAMVA Summary'!F$54:F$80)+SUM('1.  LRAMVA Summary'!F$81:F$82)*(MONTH($E160)-1)/12)*$H160</f>
        <v>17.363976936244651</v>
      </c>
      <c r="L160" s="243">
        <f>(SUM('1.  LRAMVA Summary'!G$54:G$80)+SUM('1.  LRAMVA Summary'!G$81:G$82)*(MONTH($E160)-1)/12)*$H160</f>
        <v>13.61586469915745</v>
      </c>
      <c r="M160" s="243">
        <f>(SUM('1.  LRAMVA Summary'!H$54:H$80)+SUM('1.  LRAMVA Summary'!H$81:H$82)*(MONTH($E160)-1)/12)*$H160</f>
        <v>0</v>
      </c>
      <c r="N160" s="243">
        <f>(SUM('1.  LRAMVA Summary'!I$54:I$80)+SUM('1.  LRAMVA Summary'!I$81:I$82)*(MONTH($E160)-1)/12)*$H160</f>
        <v>0</v>
      </c>
      <c r="O160" s="243">
        <f>(SUM('1.  LRAMVA Summary'!J$54:J$80)+SUM('1.  LRAMVA Summary'!J$81:J$82)*(MONTH($E160)-1)/12)*$H160</f>
        <v>-5.6183507130991215</v>
      </c>
      <c r="P160" s="243">
        <f>(SUM('1.  LRAMVA Summary'!K$54:K$80)+SUM('1.  LRAMVA Summary'!K$81:K$82)*(MONTH($E160)-1)/12)*$H160</f>
        <v>0</v>
      </c>
      <c r="Q160" s="243">
        <f>(SUM('1.  LRAMVA Summary'!L$54:L$80)+SUM('1.  LRAMVA Summary'!L$81:L$82)*(MONTH($E160)-1)/12)*$H160</f>
        <v>0</v>
      </c>
      <c r="R160" s="243">
        <f>(SUM('1.  LRAMVA Summary'!M$54:M$80)+SUM('1.  LRAMVA Summary'!M$81:M$82)*(MONTH($E160)-1)/12)*$H160</f>
        <v>0</v>
      </c>
      <c r="S160" s="243">
        <f>(SUM('1.  LRAMVA Summary'!N$54:N$80)+SUM('1.  LRAMVA Summary'!N$81:N$82)*(MONTH($E160)-1)/12)*$H160</f>
        <v>0</v>
      </c>
      <c r="T160" s="243">
        <f>(SUM('1.  LRAMVA Summary'!O$54:O$80)+SUM('1.  LRAMVA Summary'!O$81:O$82)*(MONTH($E160)-1)/12)*$H160</f>
        <v>0</v>
      </c>
      <c r="U160" s="243">
        <f>(SUM('1.  LRAMVA Summary'!P$54:P$80)+SUM('1.  LRAMVA Summary'!P$81:P$82)*(MONTH($E160)-1)/12)*$H160</f>
        <v>0</v>
      </c>
      <c r="V160" s="243">
        <f>(SUM('1.  LRAMVA Summary'!Q$54:Q$80)+SUM('1.  LRAMVA Summary'!Q$81:Q$82)*(MONTH($E160)-1)/12)*$H160</f>
        <v>0</v>
      </c>
      <c r="W160" s="244">
        <f t="shared" si="89"/>
        <v>154.03562246001457</v>
      </c>
    </row>
    <row r="161" spans="2:23" s="22" customFormat="1">
      <c r="B161" s="79"/>
      <c r="E161" s="227">
        <v>44166</v>
      </c>
      <c r="F161" s="227" t="s">
        <v>187</v>
      </c>
      <c r="G161" s="228" t="s">
        <v>69</v>
      </c>
      <c r="H161" s="253">
        <f t="shared" si="92"/>
        <v>4.75E-4</v>
      </c>
      <c r="I161" s="243">
        <f>(SUM('1.  LRAMVA Summary'!D$54:D$80)+SUM('1.  LRAMVA Summary'!D$81:D$82)*(MONTH($E161)-1)/12)*$H161</f>
        <v>77.615431150419482</v>
      </c>
      <c r="J161" s="243">
        <f>(SUM('1.  LRAMVA Summary'!E$54:E$80)+SUM('1.  LRAMVA Summary'!E$81:E$82)*(MONTH($E161)-1)/12)*$H161</f>
        <v>51.058700387292106</v>
      </c>
      <c r="K161" s="243">
        <f>(SUM('1.  LRAMVA Summary'!F$54:F$80)+SUM('1.  LRAMVA Summary'!F$81:F$82)*(MONTH($E161)-1)/12)*$H161</f>
        <v>17.363976936244651</v>
      </c>
      <c r="L161" s="243">
        <f>(SUM('1.  LRAMVA Summary'!G$54:G$80)+SUM('1.  LRAMVA Summary'!G$81:G$82)*(MONTH($E161)-1)/12)*$H161</f>
        <v>13.61586469915745</v>
      </c>
      <c r="M161" s="243">
        <f>(SUM('1.  LRAMVA Summary'!H$54:H$80)+SUM('1.  LRAMVA Summary'!H$81:H$82)*(MONTH($E161)-1)/12)*$H161</f>
        <v>0</v>
      </c>
      <c r="N161" s="243">
        <f>(SUM('1.  LRAMVA Summary'!I$54:I$80)+SUM('1.  LRAMVA Summary'!I$81:I$82)*(MONTH($E161)-1)/12)*$H161</f>
        <v>0</v>
      </c>
      <c r="O161" s="243">
        <f>(SUM('1.  LRAMVA Summary'!J$54:J$80)+SUM('1.  LRAMVA Summary'!J$81:J$82)*(MONTH($E161)-1)/12)*$H161</f>
        <v>-5.6183507130991215</v>
      </c>
      <c r="P161" s="243">
        <f>(SUM('1.  LRAMVA Summary'!K$54:K$80)+SUM('1.  LRAMVA Summary'!K$81:K$82)*(MONTH($E161)-1)/12)*$H161</f>
        <v>0</v>
      </c>
      <c r="Q161" s="243">
        <f>(SUM('1.  LRAMVA Summary'!L$54:L$80)+SUM('1.  LRAMVA Summary'!L$81:L$82)*(MONTH($E161)-1)/12)*$H161</f>
        <v>0</v>
      </c>
      <c r="R161" s="243">
        <f>(SUM('1.  LRAMVA Summary'!M$54:M$80)+SUM('1.  LRAMVA Summary'!M$81:M$82)*(MONTH($E161)-1)/12)*$H161</f>
        <v>0</v>
      </c>
      <c r="S161" s="243">
        <f>(SUM('1.  LRAMVA Summary'!N$54:N$80)+SUM('1.  LRAMVA Summary'!N$81:N$82)*(MONTH($E161)-1)/12)*$H161</f>
        <v>0</v>
      </c>
      <c r="T161" s="243">
        <f>(SUM('1.  LRAMVA Summary'!O$54:O$80)+SUM('1.  LRAMVA Summary'!O$81:O$82)*(MONTH($E161)-1)/12)*$H161</f>
        <v>0</v>
      </c>
      <c r="U161" s="243">
        <f>(SUM('1.  LRAMVA Summary'!P$54:P$80)+SUM('1.  LRAMVA Summary'!P$81:P$82)*(MONTH($E161)-1)/12)*$H161</f>
        <v>0</v>
      </c>
      <c r="V161" s="243">
        <f>(SUM('1.  LRAMVA Summary'!Q$54:Q$80)+SUM('1.  LRAMVA Summary'!Q$81:Q$82)*(MONTH($E161)-1)/12)*$H161</f>
        <v>0</v>
      </c>
      <c r="W161" s="244">
        <f>SUM(I161:V161)</f>
        <v>154.03562246001457</v>
      </c>
    </row>
    <row r="162" spans="2:23" s="22" customFormat="1" ht="15" thickBot="1">
      <c r="B162" s="79"/>
      <c r="E162" s="229" t="s">
        <v>469</v>
      </c>
      <c r="F162" s="229"/>
      <c r="G162" s="230"/>
      <c r="H162" s="231"/>
      <c r="I162" s="232">
        <f>SUM(I149:I161)</f>
        <v>9988.640709016734</v>
      </c>
      <c r="J162" s="232">
        <f>SUM(J149:J161)</f>
        <v>6766.2068211985297</v>
      </c>
      <c r="K162" s="232">
        <f t="shared" ref="K162:O162" si="93">SUM(K149:K161)</f>
        <v>2488.3701065095552</v>
      </c>
      <c r="L162" s="232">
        <f t="shared" si="93"/>
        <v>1900.0209155793336</v>
      </c>
      <c r="M162" s="232">
        <f t="shared" si="93"/>
        <v>0</v>
      </c>
      <c r="N162" s="232">
        <f t="shared" si="93"/>
        <v>0</v>
      </c>
      <c r="O162" s="232">
        <f t="shared" si="93"/>
        <v>-851.90132083970002</v>
      </c>
      <c r="P162" s="232">
        <f t="shared" ref="P162:V162" si="94">SUM(P149:P161)</f>
        <v>0</v>
      </c>
      <c r="Q162" s="232">
        <f t="shared" si="94"/>
        <v>0</v>
      </c>
      <c r="R162" s="232">
        <f t="shared" si="94"/>
        <v>0</v>
      </c>
      <c r="S162" s="232">
        <f t="shared" si="94"/>
        <v>0</v>
      </c>
      <c r="T162" s="232">
        <f t="shared" si="94"/>
        <v>0</v>
      </c>
      <c r="U162" s="232">
        <f t="shared" si="94"/>
        <v>0</v>
      </c>
      <c r="V162" s="232">
        <f t="shared" si="94"/>
        <v>0</v>
      </c>
      <c r="W162" s="232">
        <f>SUM(W149:W161)</f>
        <v>20291.337231464444</v>
      </c>
    </row>
    <row r="163" spans="2:23" s="22" customFormat="1" ht="15" thickTop="1">
      <c r="B163" s="79"/>
      <c r="E163" s="233" t="s">
        <v>67</v>
      </c>
      <c r="F163" s="233"/>
      <c r="G163" s="234"/>
      <c r="H163" s="235"/>
      <c r="I163" s="236"/>
      <c r="J163" s="236"/>
      <c r="K163" s="236"/>
      <c r="L163" s="236"/>
      <c r="M163" s="236"/>
      <c r="N163" s="236"/>
      <c r="O163" s="236"/>
      <c r="P163" s="236"/>
      <c r="Q163" s="236"/>
      <c r="R163" s="236"/>
      <c r="S163" s="236"/>
      <c r="T163" s="236"/>
      <c r="U163" s="236"/>
      <c r="V163" s="236"/>
      <c r="W163" s="237"/>
    </row>
    <row r="164" spans="2:23" s="22" customFormat="1">
      <c r="B164" s="79"/>
      <c r="E164" s="238" t="s">
        <v>713</v>
      </c>
      <c r="F164" s="238"/>
      <c r="G164" s="239"/>
      <c r="H164" s="240"/>
      <c r="I164" s="241">
        <f>I162+I163</f>
        <v>9988.640709016734</v>
      </c>
      <c r="J164" s="241">
        <f t="shared" ref="J164:U164" si="95">J162+J163</f>
        <v>6766.2068211985297</v>
      </c>
      <c r="K164" s="241">
        <f t="shared" si="95"/>
        <v>2488.3701065095552</v>
      </c>
      <c r="L164" s="241">
        <f t="shared" si="95"/>
        <v>1900.0209155793336</v>
      </c>
      <c r="M164" s="241">
        <f t="shared" si="95"/>
        <v>0</v>
      </c>
      <c r="N164" s="241">
        <f t="shared" si="95"/>
        <v>0</v>
      </c>
      <c r="O164" s="241">
        <f t="shared" si="95"/>
        <v>-851.90132083970002</v>
      </c>
      <c r="P164" s="241">
        <f t="shared" si="95"/>
        <v>0</v>
      </c>
      <c r="Q164" s="241">
        <f t="shared" si="95"/>
        <v>0</v>
      </c>
      <c r="R164" s="241">
        <f t="shared" si="95"/>
        <v>0</v>
      </c>
      <c r="S164" s="241">
        <f t="shared" si="95"/>
        <v>0</v>
      </c>
      <c r="T164" s="241">
        <f t="shared" si="95"/>
        <v>0</v>
      </c>
      <c r="U164" s="241">
        <f t="shared" si="95"/>
        <v>0</v>
      </c>
      <c r="V164" s="241">
        <f>V162+V163</f>
        <v>0</v>
      </c>
      <c r="W164" s="241">
        <f>W162+W163</f>
        <v>20291.337231464444</v>
      </c>
    </row>
    <row r="165" spans="2:23">
      <c r="E165" s="227">
        <v>44197</v>
      </c>
      <c r="F165" s="227" t="s">
        <v>719</v>
      </c>
      <c r="G165" s="228" t="s">
        <v>65</v>
      </c>
      <c r="H165" s="253">
        <f>$C$55/12</f>
        <v>4.75E-4</v>
      </c>
      <c r="I165" s="243">
        <f>(SUM('1.  LRAMVA Summary'!D$54:D$80)+SUM('1.  LRAMVA Summary'!D$81:D$82)*(MONTH($E165)-1)/12)*$H165</f>
        <v>77.615431150419482</v>
      </c>
      <c r="J165" s="243">
        <f>(SUM('1.  LRAMVA Summary'!E$54:E$80)+SUM('1.  LRAMVA Summary'!E$81:E$82)*(MONTH($E165)-1)/12)*$H165</f>
        <v>51.058700387292106</v>
      </c>
      <c r="K165" s="243">
        <f>(SUM('1.  LRAMVA Summary'!F$54:F$80)+SUM('1.  LRAMVA Summary'!F$81:F$82)*(MONTH($E165)-1)/12)*$H165</f>
        <v>17.363976936244651</v>
      </c>
      <c r="L165" s="243">
        <f>(SUM('1.  LRAMVA Summary'!G$54:G$80)+SUM('1.  LRAMVA Summary'!G$81:G$82)*(MONTH($E165)-1)/12)*$H165</f>
        <v>13.61586469915745</v>
      </c>
      <c r="M165" s="243">
        <f>(SUM('1.  LRAMVA Summary'!H$54:H$80)+SUM('1.  LRAMVA Summary'!H$81:H$82)*(MONTH($E165)-1)/12)*$H165</f>
        <v>0</v>
      </c>
      <c r="N165" s="243">
        <f>(SUM('1.  LRAMVA Summary'!I$54:I$80)+SUM('1.  LRAMVA Summary'!I$81:I$82)*(MONTH($E165)-1)/12)*$H165</f>
        <v>0</v>
      </c>
      <c r="O165" s="243">
        <f>(SUM('1.  LRAMVA Summary'!J$54:J$80)+SUM('1.  LRAMVA Summary'!J$81:J$82)*(MONTH($E165)-1)/12)*$H165</f>
        <v>-5.6183507130991215</v>
      </c>
      <c r="P165" s="243">
        <f>(SUM('1.  LRAMVA Summary'!K$54:K$80)+SUM('1.  LRAMVA Summary'!K$81:K$82)*(MONTH($E165)-1)/12)*$H165</f>
        <v>0</v>
      </c>
      <c r="Q165" s="243">
        <f>(SUM('1.  LRAMVA Summary'!L$54:L$80)+SUM('1.  LRAMVA Summary'!L$81:L$82)*(MONTH($E165)-1)/12)*$H165</f>
        <v>0</v>
      </c>
      <c r="R165" s="243">
        <f>(SUM('1.  LRAMVA Summary'!M$54:M$80)+SUM('1.  LRAMVA Summary'!M$81:M$82)*(MONTH($E165)-1)/12)*$H165</f>
        <v>0</v>
      </c>
      <c r="S165" s="243">
        <f>(SUM('1.  LRAMVA Summary'!N$54:N$80)+SUM('1.  LRAMVA Summary'!N$81:N$82)*(MONTH($E165)-1)/12)*$H165</f>
        <v>0</v>
      </c>
      <c r="T165" s="243">
        <f>(SUM('1.  LRAMVA Summary'!O$54:O$80)+SUM('1.  LRAMVA Summary'!O$81:O$82)*(MONTH($E165)-1)/12)*$H165</f>
        <v>0</v>
      </c>
      <c r="U165" s="243">
        <f>(SUM('1.  LRAMVA Summary'!P$54:P$80)+SUM('1.  LRAMVA Summary'!P$81:P$82)*(MONTH($E165)-1)/12)*$H165</f>
        <v>0</v>
      </c>
      <c r="V165" s="243">
        <f>(SUM('1.  LRAMVA Summary'!Q$54:Q$80)+SUM('1.  LRAMVA Summary'!Q$81:Q$82)*(MONTH($E165)-1)/12)*$H165</f>
        <v>0</v>
      </c>
      <c r="W165" s="244">
        <f>SUM(I165:V165)</f>
        <v>154.03562246001457</v>
      </c>
    </row>
    <row r="166" spans="2:23">
      <c r="E166" s="227">
        <v>44228</v>
      </c>
      <c r="F166" s="227" t="s">
        <v>719</v>
      </c>
      <c r="G166" s="228" t="s">
        <v>65</v>
      </c>
      <c r="H166" s="253">
        <f t="shared" ref="H166:H167" si="96">$C$55/12</f>
        <v>4.75E-4</v>
      </c>
      <c r="I166" s="243">
        <f>(SUM('1.  LRAMVA Summary'!D$54:D$80)+SUM('1.  LRAMVA Summary'!D$81:D$82)*(MONTH($E166)-1)/12)*$H166</f>
        <v>77.615431150419482</v>
      </c>
      <c r="J166" s="243">
        <f>(SUM('1.  LRAMVA Summary'!E$54:E$80)+SUM('1.  LRAMVA Summary'!E$81:E$82)*(MONTH($E166)-1)/12)*$H166</f>
        <v>51.058700387292106</v>
      </c>
      <c r="K166" s="243">
        <f>(SUM('1.  LRAMVA Summary'!F$54:F$80)+SUM('1.  LRAMVA Summary'!F$81:F$82)*(MONTH($E166)-1)/12)*$H166</f>
        <v>17.363976936244651</v>
      </c>
      <c r="L166" s="243">
        <f>(SUM('1.  LRAMVA Summary'!G$54:G$80)+SUM('1.  LRAMVA Summary'!G$81:G$82)*(MONTH($E166)-1)/12)*$H166</f>
        <v>13.61586469915745</v>
      </c>
      <c r="M166" s="243">
        <f>(SUM('1.  LRAMVA Summary'!H$54:H$80)+SUM('1.  LRAMVA Summary'!H$81:H$82)*(MONTH($E166)-1)/12)*$H166</f>
        <v>0</v>
      </c>
      <c r="N166" s="243">
        <f>(SUM('1.  LRAMVA Summary'!I$54:I$80)+SUM('1.  LRAMVA Summary'!I$81:I$82)*(MONTH($E166)-1)/12)*$H166</f>
        <v>0</v>
      </c>
      <c r="O166" s="243">
        <f>(SUM('1.  LRAMVA Summary'!J$54:J$80)+SUM('1.  LRAMVA Summary'!J$81:J$82)*(MONTH($E166)-1)/12)*$H166</f>
        <v>-5.6183507130991215</v>
      </c>
      <c r="P166" s="243">
        <f>(SUM('1.  LRAMVA Summary'!K$54:K$80)+SUM('1.  LRAMVA Summary'!K$81:K$82)*(MONTH($E166)-1)/12)*$H166</f>
        <v>0</v>
      </c>
      <c r="Q166" s="243">
        <f>(SUM('1.  LRAMVA Summary'!L$54:L$80)+SUM('1.  LRAMVA Summary'!L$81:L$82)*(MONTH($E166)-1)/12)*$H166</f>
        <v>0</v>
      </c>
      <c r="R166" s="243">
        <f>(SUM('1.  LRAMVA Summary'!M$54:M$80)+SUM('1.  LRAMVA Summary'!M$81:M$82)*(MONTH($E166)-1)/12)*$H166</f>
        <v>0</v>
      </c>
      <c r="S166" s="243">
        <f>(SUM('1.  LRAMVA Summary'!N$54:N$80)+SUM('1.  LRAMVA Summary'!N$81:N$82)*(MONTH($E166)-1)/12)*$H166</f>
        <v>0</v>
      </c>
      <c r="T166" s="243">
        <f>(SUM('1.  LRAMVA Summary'!O$54:O$80)+SUM('1.  LRAMVA Summary'!O$81:O$82)*(MONTH($E166)-1)/12)*$H166</f>
        <v>0</v>
      </c>
      <c r="U166" s="243">
        <f>(SUM('1.  LRAMVA Summary'!P$54:P$80)+SUM('1.  LRAMVA Summary'!P$81:P$82)*(MONTH($E166)-1)/12)*$H166</f>
        <v>0</v>
      </c>
      <c r="V166" s="243">
        <f>(SUM('1.  LRAMVA Summary'!Q$54:Q$80)+SUM('1.  LRAMVA Summary'!Q$81:Q$82)*(MONTH($E166)-1)/12)*$H166</f>
        <v>0</v>
      </c>
      <c r="W166" s="244">
        <f t="shared" ref="W166:W175" si="97">SUM(I166:V166)</f>
        <v>154.03562246001457</v>
      </c>
    </row>
    <row r="167" spans="2:23">
      <c r="E167" s="227">
        <v>44256</v>
      </c>
      <c r="F167" s="227" t="s">
        <v>719</v>
      </c>
      <c r="G167" s="228" t="s">
        <v>65</v>
      </c>
      <c r="H167" s="253">
        <f t="shared" si="96"/>
        <v>4.75E-4</v>
      </c>
      <c r="I167" s="243">
        <f>(SUM('1.  LRAMVA Summary'!D$54:D$80)+SUM('1.  LRAMVA Summary'!D$81:D$82)*(MONTH($E167)-1)/12)*$H167</f>
        <v>77.615431150419482</v>
      </c>
      <c r="J167" s="243">
        <f>(SUM('1.  LRAMVA Summary'!E$54:E$80)+SUM('1.  LRAMVA Summary'!E$81:E$82)*(MONTH($E167)-1)/12)*$H167</f>
        <v>51.058700387292106</v>
      </c>
      <c r="K167" s="243">
        <f>(SUM('1.  LRAMVA Summary'!F$54:F$80)+SUM('1.  LRAMVA Summary'!F$81:F$82)*(MONTH($E167)-1)/12)*$H167</f>
        <v>17.363976936244651</v>
      </c>
      <c r="L167" s="243">
        <f>(SUM('1.  LRAMVA Summary'!G$54:G$80)+SUM('1.  LRAMVA Summary'!G$81:G$82)*(MONTH($E167)-1)/12)*$H167</f>
        <v>13.61586469915745</v>
      </c>
      <c r="M167" s="243">
        <f>(SUM('1.  LRAMVA Summary'!H$54:H$80)+SUM('1.  LRAMVA Summary'!H$81:H$82)*(MONTH($E167)-1)/12)*$H167</f>
        <v>0</v>
      </c>
      <c r="N167" s="243">
        <f>(SUM('1.  LRAMVA Summary'!I$54:I$80)+SUM('1.  LRAMVA Summary'!I$81:I$82)*(MONTH($E167)-1)/12)*$H167</f>
        <v>0</v>
      </c>
      <c r="O167" s="243">
        <f>(SUM('1.  LRAMVA Summary'!J$54:J$80)+SUM('1.  LRAMVA Summary'!J$81:J$82)*(MONTH($E167)-1)/12)*$H167</f>
        <v>-5.6183507130991215</v>
      </c>
      <c r="P167" s="243">
        <f>(SUM('1.  LRAMVA Summary'!K$54:K$80)+SUM('1.  LRAMVA Summary'!K$81:K$82)*(MONTH($E167)-1)/12)*$H167</f>
        <v>0</v>
      </c>
      <c r="Q167" s="243">
        <f>(SUM('1.  LRAMVA Summary'!L$54:L$80)+SUM('1.  LRAMVA Summary'!L$81:L$82)*(MONTH($E167)-1)/12)*$H167</f>
        <v>0</v>
      </c>
      <c r="R167" s="243">
        <f>(SUM('1.  LRAMVA Summary'!M$54:M$80)+SUM('1.  LRAMVA Summary'!M$81:M$82)*(MONTH($E167)-1)/12)*$H167</f>
        <v>0</v>
      </c>
      <c r="S167" s="243">
        <f>(SUM('1.  LRAMVA Summary'!N$54:N$80)+SUM('1.  LRAMVA Summary'!N$81:N$82)*(MONTH($E167)-1)/12)*$H167</f>
        <v>0</v>
      </c>
      <c r="T167" s="243">
        <f>(SUM('1.  LRAMVA Summary'!O$54:O$80)+SUM('1.  LRAMVA Summary'!O$81:O$82)*(MONTH($E167)-1)/12)*$H167</f>
        <v>0</v>
      </c>
      <c r="U167" s="243">
        <f>(SUM('1.  LRAMVA Summary'!P$54:P$80)+SUM('1.  LRAMVA Summary'!P$81:P$82)*(MONTH($E167)-1)/12)*$H167</f>
        <v>0</v>
      </c>
      <c r="V167" s="243">
        <f>(SUM('1.  LRAMVA Summary'!Q$54:Q$80)+SUM('1.  LRAMVA Summary'!Q$81:Q$82)*(MONTH($E167)-1)/12)*$H167</f>
        <v>0</v>
      </c>
      <c r="W167" s="244">
        <f t="shared" si="97"/>
        <v>154.03562246001457</v>
      </c>
    </row>
    <row r="168" spans="2:23">
      <c r="E168" s="227">
        <v>44287</v>
      </c>
      <c r="F168" s="227" t="s">
        <v>719</v>
      </c>
      <c r="G168" s="228" t="s">
        <v>66</v>
      </c>
      <c r="H168" s="253">
        <f>H167</f>
        <v>4.75E-4</v>
      </c>
      <c r="I168" s="243">
        <f>(SUM('1.  LRAMVA Summary'!D$54:D$80)+SUM('1.  LRAMVA Summary'!D$81:D$82)*(MONTH($E168)-1)/12)*$H168</f>
        <v>77.615431150419482</v>
      </c>
      <c r="J168" s="243">
        <f>(SUM('1.  LRAMVA Summary'!E$54:E$80)+SUM('1.  LRAMVA Summary'!E$81:E$82)*(MONTH($E168)-1)/12)*$H168</f>
        <v>51.058700387292106</v>
      </c>
      <c r="K168" s="243">
        <f>(SUM('1.  LRAMVA Summary'!F$54:F$80)+SUM('1.  LRAMVA Summary'!F$81:F$82)*(MONTH($E168)-1)/12)*$H168</f>
        <v>17.363976936244651</v>
      </c>
      <c r="L168" s="243">
        <f>(SUM('1.  LRAMVA Summary'!G$54:G$80)+SUM('1.  LRAMVA Summary'!G$81:G$82)*(MONTH($E168)-1)/12)*$H168</f>
        <v>13.61586469915745</v>
      </c>
      <c r="M168" s="243">
        <f>(SUM('1.  LRAMVA Summary'!H$54:H$80)+SUM('1.  LRAMVA Summary'!H$81:H$82)*(MONTH($E168)-1)/12)*$H168</f>
        <v>0</v>
      </c>
      <c r="N168" s="243">
        <f>(SUM('1.  LRAMVA Summary'!I$54:I$80)+SUM('1.  LRAMVA Summary'!I$81:I$82)*(MONTH($E168)-1)/12)*$H168</f>
        <v>0</v>
      </c>
      <c r="O168" s="243">
        <f>(SUM('1.  LRAMVA Summary'!J$54:J$80)+SUM('1.  LRAMVA Summary'!J$81:J$82)*(MONTH($E168)-1)/12)*$H168</f>
        <v>-5.6183507130991215</v>
      </c>
      <c r="P168" s="243">
        <f>(SUM('1.  LRAMVA Summary'!K$54:K$80)+SUM('1.  LRAMVA Summary'!K$81:K$82)*(MONTH($E168)-1)/12)*$H168</f>
        <v>0</v>
      </c>
      <c r="Q168" s="243">
        <f>(SUM('1.  LRAMVA Summary'!L$54:L$80)+SUM('1.  LRAMVA Summary'!L$81:L$82)*(MONTH($E168)-1)/12)*$H168</f>
        <v>0</v>
      </c>
      <c r="R168" s="243">
        <f>(SUM('1.  LRAMVA Summary'!M$54:M$80)+SUM('1.  LRAMVA Summary'!M$81:M$82)*(MONTH($E168)-1)/12)*$H168</f>
        <v>0</v>
      </c>
      <c r="S168" s="243">
        <f>(SUM('1.  LRAMVA Summary'!N$54:N$80)+SUM('1.  LRAMVA Summary'!N$81:N$82)*(MONTH($E168)-1)/12)*$H168</f>
        <v>0</v>
      </c>
      <c r="T168" s="243">
        <f>(SUM('1.  LRAMVA Summary'!O$54:O$80)+SUM('1.  LRAMVA Summary'!O$81:O$82)*(MONTH($E168)-1)/12)*$H168</f>
        <v>0</v>
      </c>
      <c r="U168" s="243">
        <f>(SUM('1.  LRAMVA Summary'!P$54:P$80)+SUM('1.  LRAMVA Summary'!P$81:P$82)*(MONTH($E168)-1)/12)*$H168</f>
        <v>0</v>
      </c>
      <c r="V168" s="243">
        <f>(SUM('1.  LRAMVA Summary'!Q$54:Q$80)+SUM('1.  LRAMVA Summary'!Q$81:Q$82)*(MONTH($E168)-1)/12)*$H168</f>
        <v>0</v>
      </c>
      <c r="W168" s="244">
        <f t="shared" si="97"/>
        <v>154.03562246001457</v>
      </c>
    </row>
    <row r="169" spans="2:23">
      <c r="E169" s="227">
        <v>44317</v>
      </c>
      <c r="F169" s="227" t="s">
        <v>719</v>
      </c>
      <c r="G169" s="228" t="s">
        <v>66</v>
      </c>
      <c r="H169" s="253"/>
      <c r="I169" s="243">
        <f>(SUM('1.  LRAMVA Summary'!D$54:D$80)+SUM('1.  LRAMVA Summary'!D$81:D$82)*(MONTH($E169)-1)/12)*$H169</f>
        <v>0</v>
      </c>
      <c r="J169" s="243">
        <f>(SUM('1.  LRAMVA Summary'!E$54:E$80)+SUM('1.  LRAMVA Summary'!E$81:E$82)*(MONTH($E169)-1)/12)*$H169</f>
        <v>0</v>
      </c>
      <c r="K169" s="243">
        <f>(SUM('1.  LRAMVA Summary'!F$54:F$80)+SUM('1.  LRAMVA Summary'!F$81:F$82)*(MONTH($E169)-1)/12)*$H169</f>
        <v>0</v>
      </c>
      <c r="L169" s="243">
        <f>(SUM('1.  LRAMVA Summary'!G$54:G$80)+SUM('1.  LRAMVA Summary'!G$81:G$82)*(MONTH($E169)-1)/12)*$H169</f>
        <v>0</v>
      </c>
      <c r="M169" s="243">
        <f>(SUM('1.  LRAMVA Summary'!H$54:H$80)+SUM('1.  LRAMVA Summary'!H$81:H$82)*(MONTH($E169)-1)/12)*$H169</f>
        <v>0</v>
      </c>
      <c r="N169" s="243">
        <f>(SUM('1.  LRAMVA Summary'!I$54:I$80)+SUM('1.  LRAMVA Summary'!I$81:I$82)*(MONTH($E169)-1)/12)*$H169</f>
        <v>0</v>
      </c>
      <c r="O169" s="243">
        <f>(SUM('1.  LRAMVA Summary'!J$54:J$80)+SUM('1.  LRAMVA Summary'!J$81:J$82)*(MONTH($E169)-1)/12)*$H169</f>
        <v>0</v>
      </c>
      <c r="P169" s="243">
        <f>(SUM('1.  LRAMVA Summary'!K$54:K$80)+SUM('1.  LRAMVA Summary'!K$81:K$82)*(MONTH($E169)-1)/12)*$H169</f>
        <v>0</v>
      </c>
      <c r="Q169" s="243">
        <f>(SUM('1.  LRAMVA Summary'!L$54:L$80)+SUM('1.  LRAMVA Summary'!L$81:L$82)*(MONTH($E169)-1)/12)*$H169</f>
        <v>0</v>
      </c>
      <c r="R169" s="243">
        <f>(SUM('1.  LRAMVA Summary'!M$54:M$80)+SUM('1.  LRAMVA Summary'!M$81:M$82)*(MONTH($E169)-1)/12)*$H169</f>
        <v>0</v>
      </c>
      <c r="S169" s="243">
        <f>(SUM('1.  LRAMVA Summary'!N$54:N$80)+SUM('1.  LRAMVA Summary'!N$81:N$82)*(MONTH($E169)-1)/12)*$H169</f>
        <v>0</v>
      </c>
      <c r="T169" s="243">
        <f>(SUM('1.  LRAMVA Summary'!O$54:O$80)+SUM('1.  LRAMVA Summary'!O$81:O$82)*(MONTH($E169)-1)/12)*$H169</f>
        <v>0</v>
      </c>
      <c r="U169" s="243">
        <f>(SUM('1.  LRAMVA Summary'!P$54:P$80)+SUM('1.  LRAMVA Summary'!P$81:P$82)*(MONTH($E169)-1)/12)*$H169</f>
        <v>0</v>
      </c>
      <c r="V169" s="243">
        <f>(SUM('1.  LRAMVA Summary'!Q$54:Q$80)+SUM('1.  LRAMVA Summary'!Q$81:Q$82)*(MONTH($E169)-1)/12)*$H169</f>
        <v>0</v>
      </c>
      <c r="W169" s="244">
        <f t="shared" si="97"/>
        <v>0</v>
      </c>
    </row>
    <row r="170" spans="2:23">
      <c r="E170" s="227">
        <v>44348</v>
      </c>
      <c r="F170" s="227" t="s">
        <v>719</v>
      </c>
      <c r="G170" s="228" t="s">
        <v>66</v>
      </c>
      <c r="H170" s="253"/>
      <c r="I170" s="243">
        <f>(SUM('1.  LRAMVA Summary'!D$54:D$80)+SUM('1.  LRAMVA Summary'!D$81:D$82)*(MONTH($E170)-1)/12)*$H170</f>
        <v>0</v>
      </c>
      <c r="J170" s="243">
        <f>(SUM('1.  LRAMVA Summary'!E$54:E$80)+SUM('1.  LRAMVA Summary'!E$81:E$82)*(MONTH($E170)-1)/12)*$H170</f>
        <v>0</v>
      </c>
      <c r="K170" s="243">
        <f>(SUM('1.  LRAMVA Summary'!F$54:F$80)+SUM('1.  LRAMVA Summary'!F$81:F$82)*(MONTH($E170)-1)/12)*$H170</f>
        <v>0</v>
      </c>
      <c r="L170" s="243">
        <f>(SUM('1.  LRAMVA Summary'!G$54:G$80)+SUM('1.  LRAMVA Summary'!G$81:G$82)*(MONTH($E170)-1)/12)*$H170</f>
        <v>0</v>
      </c>
      <c r="M170" s="243">
        <f>(SUM('1.  LRAMVA Summary'!H$54:H$80)+SUM('1.  LRAMVA Summary'!H$81:H$82)*(MONTH($E170)-1)/12)*$H170</f>
        <v>0</v>
      </c>
      <c r="N170" s="243">
        <f>(SUM('1.  LRAMVA Summary'!I$54:I$80)+SUM('1.  LRAMVA Summary'!I$81:I$82)*(MONTH($E170)-1)/12)*$H170</f>
        <v>0</v>
      </c>
      <c r="O170" s="243">
        <f>(SUM('1.  LRAMVA Summary'!J$54:J$80)+SUM('1.  LRAMVA Summary'!J$81:J$82)*(MONTH($E170)-1)/12)*$H170</f>
        <v>0</v>
      </c>
      <c r="P170" s="243">
        <f>(SUM('1.  LRAMVA Summary'!K$54:K$80)+SUM('1.  LRAMVA Summary'!K$81:K$82)*(MONTH($E170)-1)/12)*$H170</f>
        <v>0</v>
      </c>
      <c r="Q170" s="243">
        <f>(SUM('1.  LRAMVA Summary'!L$54:L$80)+SUM('1.  LRAMVA Summary'!L$81:L$82)*(MONTH($E170)-1)/12)*$H170</f>
        <v>0</v>
      </c>
      <c r="R170" s="243">
        <f>(SUM('1.  LRAMVA Summary'!M$54:M$80)+SUM('1.  LRAMVA Summary'!M$81:M$82)*(MONTH($E170)-1)/12)*$H170</f>
        <v>0</v>
      </c>
      <c r="S170" s="243">
        <f>(SUM('1.  LRAMVA Summary'!N$54:N$80)+SUM('1.  LRAMVA Summary'!N$81:N$82)*(MONTH($E170)-1)/12)*$H170</f>
        <v>0</v>
      </c>
      <c r="T170" s="243">
        <f>(SUM('1.  LRAMVA Summary'!O$54:O$80)+SUM('1.  LRAMVA Summary'!O$81:O$82)*(MONTH($E170)-1)/12)*$H170</f>
        <v>0</v>
      </c>
      <c r="U170" s="243">
        <f>(SUM('1.  LRAMVA Summary'!P$54:P$80)+SUM('1.  LRAMVA Summary'!P$81:P$82)*(MONTH($E170)-1)/12)*$H170</f>
        <v>0</v>
      </c>
      <c r="V170" s="243">
        <f>(SUM('1.  LRAMVA Summary'!Q$54:Q$80)+SUM('1.  LRAMVA Summary'!Q$81:Q$82)*(MONTH($E170)-1)/12)*$H170</f>
        <v>0</v>
      </c>
      <c r="W170" s="244">
        <f t="shared" si="97"/>
        <v>0</v>
      </c>
    </row>
    <row r="171" spans="2:23">
      <c r="E171" s="227">
        <v>44378</v>
      </c>
      <c r="F171" s="227" t="s">
        <v>719</v>
      </c>
      <c r="G171" s="228" t="s">
        <v>68</v>
      </c>
      <c r="H171" s="253"/>
      <c r="I171" s="243">
        <f>(SUM('1.  LRAMVA Summary'!D$54:D$80)+SUM('1.  LRAMVA Summary'!D$81:D$82)*(MONTH($E171)-1)/12)*$H171</f>
        <v>0</v>
      </c>
      <c r="J171" s="243">
        <f>(SUM('1.  LRAMVA Summary'!E$54:E$80)+SUM('1.  LRAMVA Summary'!E$81:E$82)*(MONTH($E171)-1)/12)*$H171</f>
        <v>0</v>
      </c>
      <c r="K171" s="243">
        <f>(SUM('1.  LRAMVA Summary'!F$54:F$80)+SUM('1.  LRAMVA Summary'!F$81:F$82)*(MONTH($E171)-1)/12)*$H171</f>
        <v>0</v>
      </c>
      <c r="L171" s="243">
        <f>(SUM('1.  LRAMVA Summary'!G$54:G$80)+SUM('1.  LRAMVA Summary'!G$81:G$82)*(MONTH($E171)-1)/12)*$H171</f>
        <v>0</v>
      </c>
      <c r="M171" s="243">
        <f>(SUM('1.  LRAMVA Summary'!H$54:H$80)+SUM('1.  LRAMVA Summary'!H$81:H$82)*(MONTH($E171)-1)/12)*$H171</f>
        <v>0</v>
      </c>
      <c r="N171" s="243">
        <f>(SUM('1.  LRAMVA Summary'!I$54:I$80)+SUM('1.  LRAMVA Summary'!I$81:I$82)*(MONTH($E171)-1)/12)*$H171</f>
        <v>0</v>
      </c>
      <c r="O171" s="243">
        <f>(SUM('1.  LRAMVA Summary'!J$54:J$80)+SUM('1.  LRAMVA Summary'!J$81:J$82)*(MONTH($E171)-1)/12)*$H171</f>
        <v>0</v>
      </c>
      <c r="P171" s="243">
        <f>(SUM('1.  LRAMVA Summary'!K$54:K$80)+SUM('1.  LRAMVA Summary'!K$81:K$82)*(MONTH($E171)-1)/12)*$H171</f>
        <v>0</v>
      </c>
      <c r="Q171" s="243">
        <f>(SUM('1.  LRAMVA Summary'!L$54:L$80)+SUM('1.  LRAMVA Summary'!L$81:L$82)*(MONTH($E171)-1)/12)*$H171</f>
        <v>0</v>
      </c>
      <c r="R171" s="243">
        <f>(SUM('1.  LRAMVA Summary'!M$54:M$80)+SUM('1.  LRAMVA Summary'!M$81:M$82)*(MONTH($E171)-1)/12)*$H171</f>
        <v>0</v>
      </c>
      <c r="S171" s="243">
        <f>(SUM('1.  LRAMVA Summary'!N$54:N$80)+SUM('1.  LRAMVA Summary'!N$81:N$82)*(MONTH($E171)-1)/12)*$H171</f>
        <v>0</v>
      </c>
      <c r="T171" s="243">
        <f>(SUM('1.  LRAMVA Summary'!O$54:O$80)+SUM('1.  LRAMVA Summary'!O$81:O$82)*(MONTH($E171)-1)/12)*$H171</f>
        <v>0</v>
      </c>
      <c r="U171" s="243">
        <f>(SUM('1.  LRAMVA Summary'!P$54:P$80)+SUM('1.  LRAMVA Summary'!P$81:P$82)*(MONTH($E171)-1)/12)*$H171</f>
        <v>0</v>
      </c>
      <c r="V171" s="243">
        <f>(SUM('1.  LRAMVA Summary'!Q$54:Q$80)+SUM('1.  LRAMVA Summary'!Q$81:Q$82)*(MONTH($E171)-1)/12)*$H171</f>
        <v>0</v>
      </c>
      <c r="W171" s="244">
        <f t="shared" si="97"/>
        <v>0</v>
      </c>
    </row>
    <row r="172" spans="2:23">
      <c r="E172" s="227">
        <v>44409</v>
      </c>
      <c r="F172" s="227" t="s">
        <v>719</v>
      </c>
      <c r="G172" s="228" t="s">
        <v>68</v>
      </c>
      <c r="H172" s="253"/>
      <c r="I172" s="243">
        <f>(SUM('1.  LRAMVA Summary'!D$54:D$80)+SUM('1.  LRAMVA Summary'!D$81:D$82)*(MONTH($E172)-1)/12)*$H172</f>
        <v>0</v>
      </c>
      <c r="J172" s="243">
        <f>(SUM('1.  LRAMVA Summary'!E$54:E$80)+SUM('1.  LRAMVA Summary'!E$81:E$82)*(MONTH($E172)-1)/12)*$H172</f>
        <v>0</v>
      </c>
      <c r="K172" s="243">
        <f>(SUM('1.  LRAMVA Summary'!F$54:F$80)+SUM('1.  LRAMVA Summary'!F$81:F$82)*(MONTH($E172)-1)/12)*$H172</f>
        <v>0</v>
      </c>
      <c r="L172" s="243">
        <f>(SUM('1.  LRAMVA Summary'!G$54:G$80)+SUM('1.  LRAMVA Summary'!G$81:G$82)*(MONTH($E172)-1)/12)*$H172</f>
        <v>0</v>
      </c>
      <c r="M172" s="243">
        <f>(SUM('1.  LRAMVA Summary'!H$54:H$80)+SUM('1.  LRAMVA Summary'!H$81:H$82)*(MONTH($E172)-1)/12)*$H172</f>
        <v>0</v>
      </c>
      <c r="N172" s="243">
        <f>(SUM('1.  LRAMVA Summary'!I$54:I$80)+SUM('1.  LRAMVA Summary'!I$81:I$82)*(MONTH($E172)-1)/12)*$H172</f>
        <v>0</v>
      </c>
      <c r="O172" s="243">
        <f>(SUM('1.  LRAMVA Summary'!J$54:J$80)+SUM('1.  LRAMVA Summary'!J$81:J$82)*(MONTH($E172)-1)/12)*$H172</f>
        <v>0</v>
      </c>
      <c r="P172" s="243">
        <f>(SUM('1.  LRAMVA Summary'!K$54:K$80)+SUM('1.  LRAMVA Summary'!K$81:K$82)*(MONTH($E172)-1)/12)*$H172</f>
        <v>0</v>
      </c>
      <c r="Q172" s="243">
        <f>(SUM('1.  LRAMVA Summary'!L$54:L$80)+SUM('1.  LRAMVA Summary'!L$81:L$82)*(MONTH($E172)-1)/12)*$H172</f>
        <v>0</v>
      </c>
      <c r="R172" s="243">
        <f>(SUM('1.  LRAMVA Summary'!M$54:M$80)+SUM('1.  LRAMVA Summary'!M$81:M$82)*(MONTH($E172)-1)/12)*$H172</f>
        <v>0</v>
      </c>
      <c r="S172" s="243">
        <f>(SUM('1.  LRAMVA Summary'!N$54:N$80)+SUM('1.  LRAMVA Summary'!N$81:N$82)*(MONTH($E172)-1)/12)*$H172</f>
        <v>0</v>
      </c>
      <c r="T172" s="243">
        <f>(SUM('1.  LRAMVA Summary'!O$54:O$80)+SUM('1.  LRAMVA Summary'!O$81:O$82)*(MONTH($E172)-1)/12)*$H172</f>
        <v>0</v>
      </c>
      <c r="U172" s="243">
        <f>(SUM('1.  LRAMVA Summary'!P$54:P$80)+SUM('1.  LRAMVA Summary'!P$81:P$82)*(MONTH($E172)-1)/12)*$H172</f>
        <v>0</v>
      </c>
      <c r="V172" s="243">
        <f>(SUM('1.  LRAMVA Summary'!Q$54:Q$80)+SUM('1.  LRAMVA Summary'!Q$81:Q$82)*(MONTH($E172)-1)/12)*$H172</f>
        <v>0</v>
      </c>
      <c r="W172" s="244">
        <f t="shared" si="97"/>
        <v>0</v>
      </c>
    </row>
    <row r="173" spans="2:23">
      <c r="E173" s="227">
        <v>44440</v>
      </c>
      <c r="F173" s="227" t="s">
        <v>719</v>
      </c>
      <c r="G173" s="228" t="s">
        <v>68</v>
      </c>
      <c r="H173" s="253"/>
      <c r="I173" s="243">
        <f>(SUM('1.  LRAMVA Summary'!D$54:D$80)+SUM('1.  LRAMVA Summary'!D$81:D$82)*(MONTH($E173)-1)/12)*$H173</f>
        <v>0</v>
      </c>
      <c r="J173" s="243">
        <f>(SUM('1.  LRAMVA Summary'!E$54:E$80)+SUM('1.  LRAMVA Summary'!E$81:E$82)*(MONTH($E173)-1)/12)*$H173</f>
        <v>0</v>
      </c>
      <c r="K173" s="243">
        <f>(SUM('1.  LRAMVA Summary'!F$54:F$80)+SUM('1.  LRAMVA Summary'!F$81:F$82)*(MONTH($E173)-1)/12)*$H173</f>
        <v>0</v>
      </c>
      <c r="L173" s="243">
        <f>(SUM('1.  LRAMVA Summary'!G$54:G$80)+SUM('1.  LRAMVA Summary'!G$81:G$82)*(MONTH($E173)-1)/12)*$H173</f>
        <v>0</v>
      </c>
      <c r="M173" s="243">
        <f>(SUM('1.  LRAMVA Summary'!H$54:H$80)+SUM('1.  LRAMVA Summary'!H$81:H$82)*(MONTH($E173)-1)/12)*$H173</f>
        <v>0</v>
      </c>
      <c r="N173" s="243">
        <f>(SUM('1.  LRAMVA Summary'!I$54:I$80)+SUM('1.  LRAMVA Summary'!I$81:I$82)*(MONTH($E173)-1)/12)*$H173</f>
        <v>0</v>
      </c>
      <c r="O173" s="243">
        <f>(SUM('1.  LRAMVA Summary'!J$54:J$80)+SUM('1.  LRAMVA Summary'!J$81:J$82)*(MONTH($E173)-1)/12)*$H173</f>
        <v>0</v>
      </c>
      <c r="P173" s="243">
        <f>(SUM('1.  LRAMVA Summary'!K$54:K$80)+SUM('1.  LRAMVA Summary'!K$81:K$82)*(MONTH($E173)-1)/12)*$H173</f>
        <v>0</v>
      </c>
      <c r="Q173" s="243">
        <f>(SUM('1.  LRAMVA Summary'!L$54:L$80)+SUM('1.  LRAMVA Summary'!L$81:L$82)*(MONTH($E173)-1)/12)*$H173</f>
        <v>0</v>
      </c>
      <c r="R173" s="243">
        <f>(SUM('1.  LRAMVA Summary'!M$54:M$80)+SUM('1.  LRAMVA Summary'!M$81:M$82)*(MONTH($E173)-1)/12)*$H173</f>
        <v>0</v>
      </c>
      <c r="S173" s="243">
        <f>(SUM('1.  LRAMVA Summary'!N$54:N$80)+SUM('1.  LRAMVA Summary'!N$81:N$82)*(MONTH($E173)-1)/12)*$H173</f>
        <v>0</v>
      </c>
      <c r="T173" s="243">
        <f>(SUM('1.  LRAMVA Summary'!O$54:O$80)+SUM('1.  LRAMVA Summary'!O$81:O$82)*(MONTH($E173)-1)/12)*$H173</f>
        <v>0</v>
      </c>
      <c r="U173" s="243">
        <f>(SUM('1.  LRAMVA Summary'!P$54:P$80)+SUM('1.  LRAMVA Summary'!P$81:P$82)*(MONTH($E173)-1)/12)*$H173</f>
        <v>0</v>
      </c>
      <c r="V173" s="243">
        <f>(SUM('1.  LRAMVA Summary'!Q$54:Q$80)+SUM('1.  LRAMVA Summary'!Q$81:Q$82)*(MONTH($E173)-1)/12)*$H173</f>
        <v>0</v>
      </c>
      <c r="W173" s="244">
        <f t="shared" si="97"/>
        <v>0</v>
      </c>
    </row>
    <row r="174" spans="2:23">
      <c r="E174" s="227">
        <v>44470</v>
      </c>
      <c r="F174" s="227" t="s">
        <v>719</v>
      </c>
      <c r="G174" s="228" t="s">
        <v>69</v>
      </c>
      <c r="H174" s="253"/>
      <c r="I174" s="243">
        <f>(SUM('1.  LRAMVA Summary'!D$54:D$80)+SUM('1.  LRAMVA Summary'!D$81:D$82)*(MONTH($E174)-1)/12)*$H174</f>
        <v>0</v>
      </c>
      <c r="J174" s="243">
        <f>(SUM('1.  LRAMVA Summary'!E$54:E$80)+SUM('1.  LRAMVA Summary'!E$81:E$82)*(MONTH($E174)-1)/12)*$H174</f>
        <v>0</v>
      </c>
      <c r="K174" s="243">
        <f>(SUM('1.  LRAMVA Summary'!F$54:F$80)+SUM('1.  LRAMVA Summary'!F$81:F$82)*(MONTH($E174)-1)/12)*$H174</f>
        <v>0</v>
      </c>
      <c r="L174" s="243">
        <f>(SUM('1.  LRAMVA Summary'!G$54:G$80)+SUM('1.  LRAMVA Summary'!G$81:G$82)*(MONTH($E174)-1)/12)*$H174</f>
        <v>0</v>
      </c>
      <c r="M174" s="243">
        <f>(SUM('1.  LRAMVA Summary'!H$54:H$80)+SUM('1.  LRAMVA Summary'!H$81:H$82)*(MONTH($E174)-1)/12)*$H174</f>
        <v>0</v>
      </c>
      <c r="N174" s="243">
        <f>(SUM('1.  LRAMVA Summary'!I$54:I$80)+SUM('1.  LRAMVA Summary'!I$81:I$82)*(MONTH($E174)-1)/12)*$H174</f>
        <v>0</v>
      </c>
      <c r="O174" s="243">
        <f>(SUM('1.  LRAMVA Summary'!J$54:J$80)+SUM('1.  LRAMVA Summary'!J$81:J$82)*(MONTH($E174)-1)/12)*$H174</f>
        <v>0</v>
      </c>
      <c r="P174" s="243">
        <f>(SUM('1.  LRAMVA Summary'!K$54:K$80)+SUM('1.  LRAMVA Summary'!K$81:K$82)*(MONTH($E174)-1)/12)*$H174</f>
        <v>0</v>
      </c>
      <c r="Q174" s="243">
        <f>(SUM('1.  LRAMVA Summary'!L$54:L$80)+SUM('1.  LRAMVA Summary'!L$81:L$82)*(MONTH($E174)-1)/12)*$H174</f>
        <v>0</v>
      </c>
      <c r="R174" s="243">
        <f>(SUM('1.  LRAMVA Summary'!M$54:M$80)+SUM('1.  LRAMVA Summary'!M$81:M$82)*(MONTH($E174)-1)/12)*$H174</f>
        <v>0</v>
      </c>
      <c r="S174" s="243">
        <f>(SUM('1.  LRAMVA Summary'!N$54:N$80)+SUM('1.  LRAMVA Summary'!N$81:N$82)*(MONTH($E174)-1)/12)*$H174</f>
        <v>0</v>
      </c>
      <c r="T174" s="243">
        <f>(SUM('1.  LRAMVA Summary'!O$54:O$80)+SUM('1.  LRAMVA Summary'!O$81:O$82)*(MONTH($E174)-1)/12)*$H174</f>
        <v>0</v>
      </c>
      <c r="U174" s="243">
        <f>(SUM('1.  LRAMVA Summary'!P$54:P$80)+SUM('1.  LRAMVA Summary'!P$81:P$82)*(MONTH($E174)-1)/12)*$H174</f>
        <v>0</v>
      </c>
      <c r="V174" s="243">
        <f>(SUM('1.  LRAMVA Summary'!Q$54:Q$80)+SUM('1.  LRAMVA Summary'!Q$81:Q$82)*(MONTH($E174)-1)/12)*$H174</f>
        <v>0</v>
      </c>
      <c r="W174" s="244">
        <f t="shared" si="97"/>
        <v>0</v>
      </c>
    </row>
    <row r="175" spans="2:23">
      <c r="E175" s="227">
        <v>44501</v>
      </c>
      <c r="F175" s="227" t="s">
        <v>719</v>
      </c>
      <c r="G175" s="228" t="s">
        <v>69</v>
      </c>
      <c r="H175" s="253"/>
      <c r="I175" s="243">
        <f>(SUM('1.  LRAMVA Summary'!D$54:D$80)+SUM('1.  LRAMVA Summary'!D$81:D$82)*(MONTH($E175)-1)/12)*$H175</f>
        <v>0</v>
      </c>
      <c r="J175" s="243">
        <f>(SUM('1.  LRAMVA Summary'!E$54:E$80)+SUM('1.  LRAMVA Summary'!E$81:E$82)*(MONTH($E175)-1)/12)*$H175</f>
        <v>0</v>
      </c>
      <c r="K175" s="243">
        <f>(SUM('1.  LRAMVA Summary'!F$54:F$80)+SUM('1.  LRAMVA Summary'!F$81:F$82)*(MONTH($E175)-1)/12)*$H175</f>
        <v>0</v>
      </c>
      <c r="L175" s="243">
        <f>(SUM('1.  LRAMVA Summary'!G$54:G$80)+SUM('1.  LRAMVA Summary'!G$81:G$82)*(MONTH($E175)-1)/12)*$H175</f>
        <v>0</v>
      </c>
      <c r="M175" s="243">
        <f>(SUM('1.  LRAMVA Summary'!H$54:H$80)+SUM('1.  LRAMVA Summary'!H$81:H$82)*(MONTH($E175)-1)/12)*$H175</f>
        <v>0</v>
      </c>
      <c r="N175" s="243">
        <f>(SUM('1.  LRAMVA Summary'!I$54:I$80)+SUM('1.  LRAMVA Summary'!I$81:I$82)*(MONTH($E175)-1)/12)*$H175</f>
        <v>0</v>
      </c>
      <c r="O175" s="243">
        <f>(SUM('1.  LRAMVA Summary'!J$54:J$80)+SUM('1.  LRAMVA Summary'!J$81:J$82)*(MONTH($E175)-1)/12)*$H175</f>
        <v>0</v>
      </c>
      <c r="P175" s="243">
        <f>(SUM('1.  LRAMVA Summary'!K$54:K$80)+SUM('1.  LRAMVA Summary'!K$81:K$82)*(MONTH($E175)-1)/12)*$H175</f>
        <v>0</v>
      </c>
      <c r="Q175" s="243">
        <f>(SUM('1.  LRAMVA Summary'!L$54:L$80)+SUM('1.  LRAMVA Summary'!L$81:L$82)*(MONTH($E175)-1)/12)*$H175</f>
        <v>0</v>
      </c>
      <c r="R175" s="243">
        <f>(SUM('1.  LRAMVA Summary'!M$54:M$80)+SUM('1.  LRAMVA Summary'!M$81:M$82)*(MONTH($E175)-1)/12)*$H175</f>
        <v>0</v>
      </c>
      <c r="S175" s="243">
        <f>(SUM('1.  LRAMVA Summary'!N$54:N$80)+SUM('1.  LRAMVA Summary'!N$81:N$82)*(MONTH($E175)-1)/12)*$H175</f>
        <v>0</v>
      </c>
      <c r="T175" s="243">
        <f>(SUM('1.  LRAMVA Summary'!O$54:O$80)+SUM('1.  LRAMVA Summary'!O$81:O$82)*(MONTH($E175)-1)/12)*$H175</f>
        <v>0</v>
      </c>
      <c r="U175" s="243">
        <f>(SUM('1.  LRAMVA Summary'!P$54:P$80)+SUM('1.  LRAMVA Summary'!P$81:P$82)*(MONTH($E175)-1)/12)*$H175</f>
        <v>0</v>
      </c>
      <c r="V175" s="243">
        <f>(SUM('1.  LRAMVA Summary'!Q$54:Q$80)+SUM('1.  LRAMVA Summary'!Q$81:Q$82)*(MONTH($E175)-1)/12)*$H175</f>
        <v>0</v>
      </c>
      <c r="W175" s="244">
        <f t="shared" si="97"/>
        <v>0</v>
      </c>
    </row>
    <row r="176" spans="2:23">
      <c r="E176" s="227">
        <v>44531</v>
      </c>
      <c r="F176" s="227" t="s">
        <v>719</v>
      </c>
      <c r="G176" s="228" t="s">
        <v>69</v>
      </c>
      <c r="H176" s="253"/>
      <c r="I176" s="243">
        <f>(SUM('1.  LRAMVA Summary'!D$54:D$80)+SUM('1.  LRAMVA Summary'!D$81:D$82)*(MONTH($E176)-1)/12)*$H176</f>
        <v>0</v>
      </c>
      <c r="J176" s="243">
        <f>(SUM('1.  LRAMVA Summary'!E$54:E$80)+SUM('1.  LRAMVA Summary'!E$81:E$82)*(MONTH($E176)-1)/12)*$H176</f>
        <v>0</v>
      </c>
      <c r="K176" s="243">
        <f>(SUM('1.  LRAMVA Summary'!F$54:F$80)+SUM('1.  LRAMVA Summary'!F$81:F$82)*(MONTH($E176)-1)/12)*$H176</f>
        <v>0</v>
      </c>
      <c r="L176" s="243">
        <f>(SUM('1.  LRAMVA Summary'!G$54:G$80)+SUM('1.  LRAMVA Summary'!G$81:G$82)*(MONTH($E176)-1)/12)*$H176</f>
        <v>0</v>
      </c>
      <c r="M176" s="243">
        <f>(SUM('1.  LRAMVA Summary'!H$54:H$80)+SUM('1.  LRAMVA Summary'!H$81:H$82)*(MONTH($E176)-1)/12)*$H176</f>
        <v>0</v>
      </c>
      <c r="N176" s="243">
        <f>(SUM('1.  LRAMVA Summary'!I$54:I$80)+SUM('1.  LRAMVA Summary'!I$81:I$82)*(MONTH($E176)-1)/12)*$H176</f>
        <v>0</v>
      </c>
      <c r="O176" s="243">
        <f>(SUM('1.  LRAMVA Summary'!J$54:J$80)+SUM('1.  LRAMVA Summary'!J$81:J$82)*(MONTH($E176)-1)/12)*$H176</f>
        <v>0</v>
      </c>
      <c r="P176" s="243">
        <f>(SUM('1.  LRAMVA Summary'!K$54:K$80)+SUM('1.  LRAMVA Summary'!K$81:K$82)*(MONTH($E176)-1)/12)*$H176</f>
        <v>0</v>
      </c>
      <c r="Q176" s="243">
        <f>(SUM('1.  LRAMVA Summary'!L$54:L$80)+SUM('1.  LRAMVA Summary'!L$81:L$82)*(MONTH($E176)-1)/12)*$H176</f>
        <v>0</v>
      </c>
      <c r="R176" s="243">
        <f>(SUM('1.  LRAMVA Summary'!M$54:M$80)+SUM('1.  LRAMVA Summary'!M$81:M$82)*(MONTH($E176)-1)/12)*$H176</f>
        <v>0</v>
      </c>
      <c r="S176" s="243">
        <f>(SUM('1.  LRAMVA Summary'!N$54:N$80)+SUM('1.  LRAMVA Summary'!N$81:N$82)*(MONTH($E176)-1)/12)*$H176</f>
        <v>0</v>
      </c>
      <c r="T176" s="243">
        <f>(SUM('1.  LRAMVA Summary'!O$54:O$80)+SUM('1.  LRAMVA Summary'!O$81:O$82)*(MONTH($E176)-1)/12)*$H176</f>
        <v>0</v>
      </c>
      <c r="U176" s="243">
        <f>(SUM('1.  LRAMVA Summary'!P$54:P$80)+SUM('1.  LRAMVA Summary'!P$81:P$82)*(MONTH($E176)-1)/12)*$H176</f>
        <v>0</v>
      </c>
      <c r="V176" s="243">
        <f>(SUM('1.  LRAMVA Summary'!Q$54:Q$80)+SUM('1.  LRAMVA Summary'!Q$81:Q$82)*(MONTH($E176)-1)/12)*$H176</f>
        <v>0</v>
      </c>
      <c r="W176" s="244">
        <f>SUM(I176:V176)</f>
        <v>0</v>
      </c>
    </row>
    <row r="177" spans="5:23" ht="15" thickBot="1">
      <c r="E177" s="229" t="s">
        <v>714</v>
      </c>
      <c r="F177" s="229"/>
      <c r="G177" s="230"/>
      <c r="H177" s="231"/>
      <c r="I177" s="232">
        <f>SUM(I164:I176)</f>
        <v>10299.102433618413</v>
      </c>
      <c r="J177" s="232">
        <f>SUM(J164:J176)</f>
        <v>6970.4416227476995</v>
      </c>
      <c r="K177" s="232">
        <f t="shared" ref="K177:V177" si="98">SUM(K164:K176)</f>
        <v>2557.8260142545346</v>
      </c>
      <c r="L177" s="232">
        <f t="shared" si="98"/>
        <v>1954.4843743759639</v>
      </c>
      <c r="M177" s="232">
        <f t="shared" si="98"/>
        <v>0</v>
      </c>
      <c r="N177" s="232">
        <f t="shared" si="98"/>
        <v>0</v>
      </c>
      <c r="O177" s="232">
        <f t="shared" si="98"/>
        <v>-874.37472369209672</v>
      </c>
      <c r="P177" s="232">
        <f t="shared" si="98"/>
        <v>0</v>
      </c>
      <c r="Q177" s="232">
        <f t="shared" si="98"/>
        <v>0</v>
      </c>
      <c r="R177" s="232">
        <f t="shared" si="98"/>
        <v>0</v>
      </c>
      <c r="S177" s="232">
        <f t="shared" si="98"/>
        <v>0</v>
      </c>
      <c r="T177" s="232">
        <f t="shared" si="98"/>
        <v>0</v>
      </c>
      <c r="U177" s="232">
        <f t="shared" si="98"/>
        <v>0</v>
      </c>
      <c r="V177" s="232">
        <f t="shared" si="98"/>
        <v>0</v>
      </c>
      <c r="W177" s="232">
        <f>SUM(W164:W176)</f>
        <v>20907.479721304502</v>
      </c>
    </row>
    <row r="178" spans="5:23" ht="15" thickTop="1">
      <c r="E178" s="233" t="s">
        <v>67</v>
      </c>
      <c r="F178" s="233"/>
      <c r="G178" s="234"/>
      <c r="H178" s="235"/>
      <c r="I178" s="236"/>
      <c r="J178" s="236"/>
      <c r="K178" s="236"/>
      <c r="L178" s="236"/>
      <c r="M178" s="236"/>
      <c r="N178" s="236"/>
      <c r="O178" s="236"/>
      <c r="P178" s="236"/>
      <c r="Q178" s="236"/>
      <c r="R178" s="236"/>
      <c r="S178" s="236"/>
      <c r="T178" s="236"/>
      <c r="U178" s="236"/>
      <c r="V178" s="236"/>
      <c r="W178" s="237"/>
    </row>
    <row r="179" spans="5:23">
      <c r="E179" s="238" t="s">
        <v>715</v>
      </c>
      <c r="F179" s="238"/>
      <c r="G179" s="239"/>
      <c r="H179" s="240"/>
      <c r="I179" s="241">
        <f>I177+I178</f>
        <v>10299.102433618413</v>
      </c>
      <c r="J179" s="241">
        <f t="shared" ref="J179:U179" si="99">J177+J178</f>
        <v>6970.4416227476995</v>
      </c>
      <c r="K179" s="241">
        <f t="shared" si="99"/>
        <v>2557.8260142545346</v>
      </c>
      <c r="L179" s="241">
        <f t="shared" si="99"/>
        <v>1954.4843743759639</v>
      </c>
      <c r="M179" s="241">
        <f t="shared" si="99"/>
        <v>0</v>
      </c>
      <c r="N179" s="241">
        <f t="shared" si="99"/>
        <v>0</v>
      </c>
      <c r="O179" s="241">
        <f t="shared" si="99"/>
        <v>-874.37472369209672</v>
      </c>
      <c r="P179" s="241">
        <f t="shared" si="99"/>
        <v>0</v>
      </c>
      <c r="Q179" s="241">
        <f t="shared" si="99"/>
        <v>0</v>
      </c>
      <c r="R179" s="241">
        <f t="shared" si="99"/>
        <v>0</v>
      </c>
      <c r="S179" s="241">
        <f t="shared" si="99"/>
        <v>0</v>
      </c>
      <c r="T179" s="241">
        <f t="shared" si="99"/>
        <v>0</v>
      </c>
      <c r="U179" s="241">
        <f t="shared" si="99"/>
        <v>0</v>
      </c>
      <c r="V179" s="241">
        <f>V177+V178</f>
        <v>0</v>
      </c>
      <c r="W179" s="241">
        <f>W177+W178</f>
        <v>20907.479721304502</v>
      </c>
    </row>
    <row r="180" spans="5:23">
      <c r="E180" s="227">
        <v>44562</v>
      </c>
      <c r="F180" s="227" t="s">
        <v>720</v>
      </c>
      <c r="G180" s="228" t="s">
        <v>65</v>
      </c>
      <c r="H180" s="253"/>
      <c r="I180" s="243">
        <f>(SUM('1.  LRAMVA Summary'!D$54:D$80)+SUM('1.  LRAMVA Summary'!D$81:D$82)*(MONTH($E180)-1)/12)*$H180</f>
        <v>0</v>
      </c>
      <c r="J180" s="243">
        <f>(SUM('1.  LRAMVA Summary'!E$54:E$80)+SUM('1.  LRAMVA Summary'!E$81:E$82)*(MONTH($E180)-1)/12)*$H180</f>
        <v>0</v>
      </c>
      <c r="K180" s="243">
        <f>(SUM('1.  LRAMVA Summary'!F$54:F$80)+SUM('1.  LRAMVA Summary'!F$81:F$82)*(MONTH($E180)-1)/12)*$H180</f>
        <v>0</v>
      </c>
      <c r="L180" s="243">
        <f>(SUM('1.  LRAMVA Summary'!G$54:G$80)+SUM('1.  LRAMVA Summary'!G$81:G$82)*(MONTH($E180)-1)/12)*$H180</f>
        <v>0</v>
      </c>
      <c r="M180" s="243">
        <f>(SUM('1.  LRAMVA Summary'!H$54:H$80)+SUM('1.  LRAMVA Summary'!H$81:H$82)*(MONTH($E180)-1)/12)*$H180</f>
        <v>0</v>
      </c>
      <c r="N180" s="243">
        <f>(SUM('1.  LRAMVA Summary'!I$54:I$80)+SUM('1.  LRAMVA Summary'!I$81:I$82)*(MONTH($E180)-1)/12)*$H180</f>
        <v>0</v>
      </c>
      <c r="O180" s="243">
        <f>(SUM('1.  LRAMVA Summary'!J$54:J$80)+SUM('1.  LRAMVA Summary'!J$81:J$82)*(MONTH($E180)-1)/12)*$H180</f>
        <v>0</v>
      </c>
      <c r="P180" s="243">
        <f>(SUM('1.  LRAMVA Summary'!K$54:K$80)+SUM('1.  LRAMVA Summary'!K$81:K$82)*(MONTH($E180)-1)/12)*$H180</f>
        <v>0</v>
      </c>
      <c r="Q180" s="243">
        <f>(SUM('1.  LRAMVA Summary'!L$54:L$80)+SUM('1.  LRAMVA Summary'!L$81:L$82)*(MONTH($E180)-1)/12)*$H180</f>
        <v>0</v>
      </c>
      <c r="R180" s="243">
        <f>(SUM('1.  LRAMVA Summary'!M$54:M$80)+SUM('1.  LRAMVA Summary'!M$81:M$82)*(MONTH($E180)-1)/12)*$H180</f>
        <v>0</v>
      </c>
      <c r="S180" s="243">
        <f>(SUM('1.  LRAMVA Summary'!N$54:N$80)+SUM('1.  LRAMVA Summary'!N$81:N$82)*(MONTH($E180)-1)/12)*$H180</f>
        <v>0</v>
      </c>
      <c r="T180" s="243">
        <f>(SUM('1.  LRAMVA Summary'!O$54:O$80)+SUM('1.  LRAMVA Summary'!O$81:O$82)*(MONTH($E180)-1)/12)*$H180</f>
        <v>0</v>
      </c>
      <c r="U180" s="243">
        <f>(SUM('1.  LRAMVA Summary'!P$54:P$80)+SUM('1.  LRAMVA Summary'!P$81:P$82)*(MONTH($E180)-1)/12)*$H180</f>
        <v>0</v>
      </c>
      <c r="V180" s="243">
        <f>(SUM('1.  LRAMVA Summary'!Q$54:Q$80)+SUM('1.  LRAMVA Summary'!Q$81:Q$82)*(MONTH($E180)-1)/12)*$H180</f>
        <v>0</v>
      </c>
      <c r="W180" s="244">
        <f>SUM(I180:V180)</f>
        <v>0</v>
      </c>
    </row>
    <row r="181" spans="5:23">
      <c r="E181" s="227">
        <v>44593</v>
      </c>
      <c r="F181" s="227" t="s">
        <v>720</v>
      </c>
      <c r="G181" s="228" t="s">
        <v>65</v>
      </c>
      <c r="H181" s="253"/>
      <c r="I181" s="243">
        <f>(SUM('1.  LRAMVA Summary'!D$54:D$80)+SUM('1.  LRAMVA Summary'!D$81:D$82)*(MONTH($E181)-1)/12)*$H181</f>
        <v>0</v>
      </c>
      <c r="J181" s="243">
        <f>(SUM('1.  LRAMVA Summary'!E$54:E$80)+SUM('1.  LRAMVA Summary'!E$81:E$82)*(MONTH($E181)-1)/12)*$H181</f>
        <v>0</v>
      </c>
      <c r="K181" s="243">
        <f>(SUM('1.  LRAMVA Summary'!F$54:F$80)+SUM('1.  LRAMVA Summary'!F$81:F$82)*(MONTH($E181)-1)/12)*$H181</f>
        <v>0</v>
      </c>
      <c r="L181" s="243">
        <f>(SUM('1.  LRAMVA Summary'!G$54:G$80)+SUM('1.  LRAMVA Summary'!G$81:G$82)*(MONTH($E181)-1)/12)*$H181</f>
        <v>0</v>
      </c>
      <c r="M181" s="243">
        <f>(SUM('1.  LRAMVA Summary'!H$54:H$80)+SUM('1.  LRAMVA Summary'!H$81:H$82)*(MONTH($E181)-1)/12)*$H181</f>
        <v>0</v>
      </c>
      <c r="N181" s="243">
        <f>(SUM('1.  LRAMVA Summary'!I$54:I$80)+SUM('1.  LRAMVA Summary'!I$81:I$82)*(MONTH($E181)-1)/12)*$H181</f>
        <v>0</v>
      </c>
      <c r="O181" s="243">
        <f>(SUM('1.  LRAMVA Summary'!J$54:J$80)+SUM('1.  LRAMVA Summary'!J$81:J$82)*(MONTH($E181)-1)/12)*$H181</f>
        <v>0</v>
      </c>
      <c r="P181" s="243">
        <f>(SUM('1.  LRAMVA Summary'!K$54:K$80)+SUM('1.  LRAMVA Summary'!K$81:K$82)*(MONTH($E181)-1)/12)*$H181</f>
        <v>0</v>
      </c>
      <c r="Q181" s="243">
        <f>(SUM('1.  LRAMVA Summary'!L$54:L$80)+SUM('1.  LRAMVA Summary'!L$81:L$82)*(MONTH($E181)-1)/12)*$H181</f>
        <v>0</v>
      </c>
      <c r="R181" s="243">
        <f>(SUM('1.  LRAMVA Summary'!M$54:M$80)+SUM('1.  LRAMVA Summary'!M$81:M$82)*(MONTH($E181)-1)/12)*$H181</f>
        <v>0</v>
      </c>
      <c r="S181" s="243">
        <f>(SUM('1.  LRAMVA Summary'!N$54:N$80)+SUM('1.  LRAMVA Summary'!N$81:N$82)*(MONTH($E181)-1)/12)*$H181</f>
        <v>0</v>
      </c>
      <c r="T181" s="243">
        <f>(SUM('1.  LRAMVA Summary'!O$54:O$80)+SUM('1.  LRAMVA Summary'!O$81:O$82)*(MONTH($E181)-1)/12)*$H181</f>
        <v>0</v>
      </c>
      <c r="U181" s="243">
        <f>(SUM('1.  LRAMVA Summary'!P$54:P$80)+SUM('1.  LRAMVA Summary'!P$81:P$82)*(MONTH($E181)-1)/12)*$H181</f>
        <v>0</v>
      </c>
      <c r="V181" s="243">
        <f>(SUM('1.  LRAMVA Summary'!Q$54:Q$80)+SUM('1.  LRAMVA Summary'!Q$81:Q$82)*(MONTH($E181)-1)/12)*$H181</f>
        <v>0</v>
      </c>
      <c r="W181" s="244">
        <f t="shared" ref="W181:W190" si="100">SUM(I181:V181)</f>
        <v>0</v>
      </c>
    </row>
    <row r="182" spans="5:23">
      <c r="E182" s="227">
        <v>44621</v>
      </c>
      <c r="F182" s="227" t="s">
        <v>720</v>
      </c>
      <c r="G182" s="228" t="s">
        <v>65</v>
      </c>
      <c r="H182" s="253"/>
      <c r="I182" s="243">
        <f>(SUM('1.  LRAMVA Summary'!D$54:D$80)+SUM('1.  LRAMVA Summary'!D$81:D$82)*(MONTH($E182)-1)/12)*$H182</f>
        <v>0</v>
      </c>
      <c r="J182" s="243">
        <f>(SUM('1.  LRAMVA Summary'!E$54:E$80)+SUM('1.  LRAMVA Summary'!E$81:E$82)*(MONTH($E182)-1)/12)*$H182</f>
        <v>0</v>
      </c>
      <c r="K182" s="243">
        <f>(SUM('1.  LRAMVA Summary'!F$54:F$80)+SUM('1.  LRAMVA Summary'!F$81:F$82)*(MONTH($E182)-1)/12)*$H182</f>
        <v>0</v>
      </c>
      <c r="L182" s="243">
        <f>(SUM('1.  LRAMVA Summary'!G$54:G$80)+SUM('1.  LRAMVA Summary'!G$81:G$82)*(MONTH($E182)-1)/12)*$H182</f>
        <v>0</v>
      </c>
      <c r="M182" s="243">
        <f>(SUM('1.  LRAMVA Summary'!H$54:H$80)+SUM('1.  LRAMVA Summary'!H$81:H$82)*(MONTH($E182)-1)/12)*$H182</f>
        <v>0</v>
      </c>
      <c r="N182" s="243">
        <f>(SUM('1.  LRAMVA Summary'!I$54:I$80)+SUM('1.  LRAMVA Summary'!I$81:I$82)*(MONTH($E182)-1)/12)*$H182</f>
        <v>0</v>
      </c>
      <c r="O182" s="243">
        <f>(SUM('1.  LRAMVA Summary'!J$54:J$80)+SUM('1.  LRAMVA Summary'!J$81:J$82)*(MONTH($E182)-1)/12)*$H182</f>
        <v>0</v>
      </c>
      <c r="P182" s="243">
        <f>(SUM('1.  LRAMVA Summary'!K$54:K$80)+SUM('1.  LRAMVA Summary'!K$81:K$82)*(MONTH($E182)-1)/12)*$H182</f>
        <v>0</v>
      </c>
      <c r="Q182" s="243">
        <f>(SUM('1.  LRAMVA Summary'!L$54:L$80)+SUM('1.  LRAMVA Summary'!L$81:L$82)*(MONTH($E182)-1)/12)*$H182</f>
        <v>0</v>
      </c>
      <c r="R182" s="243">
        <f>(SUM('1.  LRAMVA Summary'!M$54:M$80)+SUM('1.  LRAMVA Summary'!M$81:M$82)*(MONTH($E182)-1)/12)*$H182</f>
        <v>0</v>
      </c>
      <c r="S182" s="243">
        <f>(SUM('1.  LRAMVA Summary'!N$54:N$80)+SUM('1.  LRAMVA Summary'!N$81:N$82)*(MONTH($E182)-1)/12)*$H182</f>
        <v>0</v>
      </c>
      <c r="T182" s="243">
        <f>(SUM('1.  LRAMVA Summary'!O$54:O$80)+SUM('1.  LRAMVA Summary'!O$81:O$82)*(MONTH($E182)-1)/12)*$H182</f>
        <v>0</v>
      </c>
      <c r="U182" s="243">
        <f>(SUM('1.  LRAMVA Summary'!P$54:P$80)+SUM('1.  LRAMVA Summary'!P$81:P$82)*(MONTH($E182)-1)/12)*$H182</f>
        <v>0</v>
      </c>
      <c r="V182" s="243">
        <f>(SUM('1.  LRAMVA Summary'!Q$54:Q$80)+SUM('1.  LRAMVA Summary'!Q$81:Q$82)*(MONTH($E182)-1)/12)*$H182</f>
        <v>0</v>
      </c>
      <c r="W182" s="244">
        <f t="shared" si="100"/>
        <v>0</v>
      </c>
    </row>
    <row r="183" spans="5:23">
      <c r="E183" s="227">
        <v>44652</v>
      </c>
      <c r="F183" s="227" t="s">
        <v>720</v>
      </c>
      <c r="G183" s="228" t="s">
        <v>66</v>
      </c>
      <c r="H183" s="253"/>
      <c r="I183" s="243">
        <f>(SUM('1.  LRAMVA Summary'!D$54:D$80)+SUM('1.  LRAMVA Summary'!D$81:D$82)*(MONTH($E183)-1)/12)*$H183</f>
        <v>0</v>
      </c>
      <c r="J183" s="243">
        <f>(SUM('1.  LRAMVA Summary'!E$54:E$80)+SUM('1.  LRAMVA Summary'!E$81:E$82)*(MONTH($E183)-1)/12)*$H183</f>
        <v>0</v>
      </c>
      <c r="K183" s="243">
        <f>(SUM('1.  LRAMVA Summary'!F$54:F$80)+SUM('1.  LRAMVA Summary'!F$81:F$82)*(MONTH($E183)-1)/12)*$H183</f>
        <v>0</v>
      </c>
      <c r="L183" s="243">
        <f>(SUM('1.  LRAMVA Summary'!G$54:G$80)+SUM('1.  LRAMVA Summary'!G$81:G$82)*(MONTH($E183)-1)/12)*$H183</f>
        <v>0</v>
      </c>
      <c r="M183" s="243">
        <f>(SUM('1.  LRAMVA Summary'!H$54:H$80)+SUM('1.  LRAMVA Summary'!H$81:H$82)*(MONTH($E183)-1)/12)*$H183</f>
        <v>0</v>
      </c>
      <c r="N183" s="243">
        <f>(SUM('1.  LRAMVA Summary'!I$54:I$80)+SUM('1.  LRAMVA Summary'!I$81:I$82)*(MONTH($E183)-1)/12)*$H183</f>
        <v>0</v>
      </c>
      <c r="O183" s="243">
        <f>(SUM('1.  LRAMVA Summary'!J$54:J$80)+SUM('1.  LRAMVA Summary'!J$81:J$82)*(MONTH($E183)-1)/12)*$H183</f>
        <v>0</v>
      </c>
      <c r="P183" s="243">
        <f>(SUM('1.  LRAMVA Summary'!K$54:K$80)+SUM('1.  LRAMVA Summary'!K$81:K$82)*(MONTH($E183)-1)/12)*$H183</f>
        <v>0</v>
      </c>
      <c r="Q183" s="243">
        <f>(SUM('1.  LRAMVA Summary'!L$54:L$80)+SUM('1.  LRAMVA Summary'!L$81:L$82)*(MONTH($E183)-1)/12)*$H183</f>
        <v>0</v>
      </c>
      <c r="R183" s="243">
        <f>(SUM('1.  LRAMVA Summary'!M$54:M$80)+SUM('1.  LRAMVA Summary'!M$81:M$82)*(MONTH($E183)-1)/12)*$H183</f>
        <v>0</v>
      </c>
      <c r="S183" s="243">
        <f>(SUM('1.  LRAMVA Summary'!N$54:N$80)+SUM('1.  LRAMVA Summary'!N$81:N$82)*(MONTH($E183)-1)/12)*$H183</f>
        <v>0</v>
      </c>
      <c r="T183" s="243">
        <f>(SUM('1.  LRAMVA Summary'!O$54:O$80)+SUM('1.  LRAMVA Summary'!O$81:O$82)*(MONTH($E183)-1)/12)*$H183</f>
        <v>0</v>
      </c>
      <c r="U183" s="243">
        <f>(SUM('1.  LRAMVA Summary'!P$54:P$80)+SUM('1.  LRAMVA Summary'!P$81:P$82)*(MONTH($E183)-1)/12)*$H183</f>
        <v>0</v>
      </c>
      <c r="V183" s="243">
        <f>(SUM('1.  LRAMVA Summary'!Q$54:Q$80)+SUM('1.  LRAMVA Summary'!Q$81:Q$82)*(MONTH($E183)-1)/12)*$H183</f>
        <v>0</v>
      </c>
      <c r="W183" s="244">
        <f t="shared" si="100"/>
        <v>0</v>
      </c>
    </row>
    <row r="184" spans="5:23">
      <c r="E184" s="227">
        <v>44682</v>
      </c>
      <c r="F184" s="227" t="s">
        <v>720</v>
      </c>
      <c r="G184" s="228" t="s">
        <v>66</v>
      </c>
      <c r="H184" s="253"/>
      <c r="I184" s="243">
        <f>(SUM('1.  LRAMVA Summary'!D$54:D$80)+SUM('1.  LRAMVA Summary'!D$81:D$82)*(MONTH($E184)-1)/12)*$H184</f>
        <v>0</v>
      </c>
      <c r="J184" s="243">
        <f>(SUM('1.  LRAMVA Summary'!E$54:E$80)+SUM('1.  LRAMVA Summary'!E$81:E$82)*(MONTH($E184)-1)/12)*$H184</f>
        <v>0</v>
      </c>
      <c r="K184" s="243">
        <f>(SUM('1.  LRAMVA Summary'!F$54:F$80)+SUM('1.  LRAMVA Summary'!F$81:F$82)*(MONTH($E184)-1)/12)*$H184</f>
        <v>0</v>
      </c>
      <c r="L184" s="243">
        <f>(SUM('1.  LRAMVA Summary'!G$54:G$80)+SUM('1.  LRAMVA Summary'!G$81:G$82)*(MONTH($E184)-1)/12)*$H184</f>
        <v>0</v>
      </c>
      <c r="M184" s="243">
        <f>(SUM('1.  LRAMVA Summary'!H$54:H$80)+SUM('1.  LRAMVA Summary'!H$81:H$82)*(MONTH($E184)-1)/12)*$H184</f>
        <v>0</v>
      </c>
      <c r="N184" s="243">
        <f>(SUM('1.  LRAMVA Summary'!I$54:I$80)+SUM('1.  LRAMVA Summary'!I$81:I$82)*(MONTH($E184)-1)/12)*$H184</f>
        <v>0</v>
      </c>
      <c r="O184" s="243">
        <f>(SUM('1.  LRAMVA Summary'!J$54:J$80)+SUM('1.  LRAMVA Summary'!J$81:J$82)*(MONTH($E184)-1)/12)*$H184</f>
        <v>0</v>
      </c>
      <c r="P184" s="243">
        <f>(SUM('1.  LRAMVA Summary'!K$54:K$80)+SUM('1.  LRAMVA Summary'!K$81:K$82)*(MONTH($E184)-1)/12)*$H184</f>
        <v>0</v>
      </c>
      <c r="Q184" s="243">
        <f>(SUM('1.  LRAMVA Summary'!L$54:L$80)+SUM('1.  LRAMVA Summary'!L$81:L$82)*(MONTH($E184)-1)/12)*$H184</f>
        <v>0</v>
      </c>
      <c r="R184" s="243">
        <f>(SUM('1.  LRAMVA Summary'!M$54:M$80)+SUM('1.  LRAMVA Summary'!M$81:M$82)*(MONTH($E184)-1)/12)*$H184</f>
        <v>0</v>
      </c>
      <c r="S184" s="243">
        <f>(SUM('1.  LRAMVA Summary'!N$54:N$80)+SUM('1.  LRAMVA Summary'!N$81:N$82)*(MONTH($E184)-1)/12)*$H184</f>
        <v>0</v>
      </c>
      <c r="T184" s="243">
        <f>(SUM('1.  LRAMVA Summary'!O$54:O$80)+SUM('1.  LRAMVA Summary'!O$81:O$82)*(MONTH($E184)-1)/12)*$H184</f>
        <v>0</v>
      </c>
      <c r="U184" s="243">
        <f>(SUM('1.  LRAMVA Summary'!P$54:P$80)+SUM('1.  LRAMVA Summary'!P$81:P$82)*(MONTH($E184)-1)/12)*$H184</f>
        <v>0</v>
      </c>
      <c r="V184" s="243">
        <f>(SUM('1.  LRAMVA Summary'!Q$54:Q$80)+SUM('1.  LRAMVA Summary'!Q$81:Q$82)*(MONTH($E184)-1)/12)*$H184</f>
        <v>0</v>
      </c>
      <c r="W184" s="244">
        <f t="shared" si="100"/>
        <v>0</v>
      </c>
    </row>
    <row r="185" spans="5:23">
      <c r="E185" s="227">
        <v>44713</v>
      </c>
      <c r="F185" s="227" t="s">
        <v>720</v>
      </c>
      <c r="G185" s="228" t="s">
        <v>66</v>
      </c>
      <c r="H185" s="253"/>
      <c r="I185" s="243">
        <f>(SUM('1.  LRAMVA Summary'!D$54:D$80)+SUM('1.  LRAMVA Summary'!D$81:D$82)*(MONTH($E185)-1)/12)*$H185</f>
        <v>0</v>
      </c>
      <c r="J185" s="243">
        <f>(SUM('1.  LRAMVA Summary'!E$54:E$80)+SUM('1.  LRAMVA Summary'!E$81:E$82)*(MONTH($E185)-1)/12)*$H185</f>
        <v>0</v>
      </c>
      <c r="K185" s="243">
        <f>(SUM('1.  LRAMVA Summary'!F$54:F$80)+SUM('1.  LRAMVA Summary'!F$81:F$82)*(MONTH($E185)-1)/12)*$H185</f>
        <v>0</v>
      </c>
      <c r="L185" s="243">
        <f>(SUM('1.  LRAMVA Summary'!G$54:G$80)+SUM('1.  LRAMVA Summary'!G$81:G$82)*(MONTH($E185)-1)/12)*$H185</f>
        <v>0</v>
      </c>
      <c r="M185" s="243">
        <f>(SUM('1.  LRAMVA Summary'!H$54:H$80)+SUM('1.  LRAMVA Summary'!H$81:H$82)*(MONTH($E185)-1)/12)*$H185</f>
        <v>0</v>
      </c>
      <c r="N185" s="243">
        <f>(SUM('1.  LRAMVA Summary'!I$54:I$80)+SUM('1.  LRAMVA Summary'!I$81:I$82)*(MONTH($E185)-1)/12)*$H185</f>
        <v>0</v>
      </c>
      <c r="O185" s="243">
        <f>(SUM('1.  LRAMVA Summary'!J$54:J$80)+SUM('1.  LRAMVA Summary'!J$81:J$82)*(MONTH($E185)-1)/12)*$H185</f>
        <v>0</v>
      </c>
      <c r="P185" s="243">
        <f>(SUM('1.  LRAMVA Summary'!K$54:K$80)+SUM('1.  LRAMVA Summary'!K$81:K$82)*(MONTH($E185)-1)/12)*$H185</f>
        <v>0</v>
      </c>
      <c r="Q185" s="243">
        <f>(SUM('1.  LRAMVA Summary'!L$54:L$80)+SUM('1.  LRAMVA Summary'!L$81:L$82)*(MONTH($E185)-1)/12)*$H185</f>
        <v>0</v>
      </c>
      <c r="R185" s="243">
        <f>(SUM('1.  LRAMVA Summary'!M$54:M$80)+SUM('1.  LRAMVA Summary'!M$81:M$82)*(MONTH($E185)-1)/12)*$H185</f>
        <v>0</v>
      </c>
      <c r="S185" s="243">
        <f>(SUM('1.  LRAMVA Summary'!N$54:N$80)+SUM('1.  LRAMVA Summary'!N$81:N$82)*(MONTH($E185)-1)/12)*$H185</f>
        <v>0</v>
      </c>
      <c r="T185" s="243">
        <f>(SUM('1.  LRAMVA Summary'!O$54:O$80)+SUM('1.  LRAMVA Summary'!O$81:O$82)*(MONTH($E185)-1)/12)*$H185</f>
        <v>0</v>
      </c>
      <c r="U185" s="243">
        <f>(SUM('1.  LRAMVA Summary'!P$54:P$80)+SUM('1.  LRAMVA Summary'!P$81:P$82)*(MONTH($E185)-1)/12)*$H185</f>
        <v>0</v>
      </c>
      <c r="V185" s="243">
        <f>(SUM('1.  LRAMVA Summary'!Q$54:Q$80)+SUM('1.  LRAMVA Summary'!Q$81:Q$82)*(MONTH($E185)-1)/12)*$H185</f>
        <v>0</v>
      </c>
      <c r="W185" s="244">
        <f t="shared" si="100"/>
        <v>0</v>
      </c>
    </row>
    <row r="186" spans="5:23">
      <c r="E186" s="227">
        <v>44743</v>
      </c>
      <c r="F186" s="227" t="s">
        <v>720</v>
      </c>
      <c r="G186" s="228" t="s">
        <v>68</v>
      </c>
      <c r="H186" s="253"/>
      <c r="I186" s="243">
        <f>(SUM('1.  LRAMVA Summary'!D$54:D$80)+SUM('1.  LRAMVA Summary'!D$81:D$82)*(MONTH($E186)-1)/12)*$H186</f>
        <v>0</v>
      </c>
      <c r="J186" s="243">
        <f>(SUM('1.  LRAMVA Summary'!E$54:E$80)+SUM('1.  LRAMVA Summary'!E$81:E$82)*(MONTH($E186)-1)/12)*$H186</f>
        <v>0</v>
      </c>
      <c r="K186" s="243">
        <f>(SUM('1.  LRAMVA Summary'!F$54:F$80)+SUM('1.  LRAMVA Summary'!F$81:F$82)*(MONTH($E186)-1)/12)*$H186</f>
        <v>0</v>
      </c>
      <c r="L186" s="243">
        <f>(SUM('1.  LRAMVA Summary'!G$54:G$80)+SUM('1.  LRAMVA Summary'!G$81:G$82)*(MONTH($E186)-1)/12)*$H186</f>
        <v>0</v>
      </c>
      <c r="M186" s="243">
        <f>(SUM('1.  LRAMVA Summary'!H$54:H$80)+SUM('1.  LRAMVA Summary'!H$81:H$82)*(MONTH($E186)-1)/12)*$H186</f>
        <v>0</v>
      </c>
      <c r="N186" s="243">
        <f>(SUM('1.  LRAMVA Summary'!I$54:I$80)+SUM('1.  LRAMVA Summary'!I$81:I$82)*(MONTH($E186)-1)/12)*$H186</f>
        <v>0</v>
      </c>
      <c r="O186" s="243">
        <f>(SUM('1.  LRAMVA Summary'!J$54:J$80)+SUM('1.  LRAMVA Summary'!J$81:J$82)*(MONTH($E186)-1)/12)*$H186</f>
        <v>0</v>
      </c>
      <c r="P186" s="243">
        <f>(SUM('1.  LRAMVA Summary'!K$54:K$80)+SUM('1.  LRAMVA Summary'!K$81:K$82)*(MONTH($E186)-1)/12)*$H186</f>
        <v>0</v>
      </c>
      <c r="Q186" s="243">
        <f>(SUM('1.  LRAMVA Summary'!L$54:L$80)+SUM('1.  LRAMVA Summary'!L$81:L$82)*(MONTH($E186)-1)/12)*$H186</f>
        <v>0</v>
      </c>
      <c r="R186" s="243">
        <f>(SUM('1.  LRAMVA Summary'!M$54:M$80)+SUM('1.  LRAMVA Summary'!M$81:M$82)*(MONTH($E186)-1)/12)*$H186</f>
        <v>0</v>
      </c>
      <c r="S186" s="243">
        <f>(SUM('1.  LRAMVA Summary'!N$54:N$80)+SUM('1.  LRAMVA Summary'!N$81:N$82)*(MONTH($E186)-1)/12)*$H186</f>
        <v>0</v>
      </c>
      <c r="T186" s="243">
        <f>(SUM('1.  LRAMVA Summary'!O$54:O$80)+SUM('1.  LRAMVA Summary'!O$81:O$82)*(MONTH($E186)-1)/12)*$H186</f>
        <v>0</v>
      </c>
      <c r="U186" s="243">
        <f>(SUM('1.  LRAMVA Summary'!P$54:P$80)+SUM('1.  LRAMVA Summary'!P$81:P$82)*(MONTH($E186)-1)/12)*$H186</f>
        <v>0</v>
      </c>
      <c r="V186" s="243">
        <f>(SUM('1.  LRAMVA Summary'!Q$54:Q$80)+SUM('1.  LRAMVA Summary'!Q$81:Q$82)*(MONTH($E186)-1)/12)*$H186</f>
        <v>0</v>
      </c>
      <c r="W186" s="244">
        <f t="shared" si="100"/>
        <v>0</v>
      </c>
    </row>
    <row r="187" spans="5:23">
      <c r="E187" s="227">
        <v>44774</v>
      </c>
      <c r="F187" s="227" t="s">
        <v>720</v>
      </c>
      <c r="G187" s="228" t="s">
        <v>68</v>
      </c>
      <c r="H187" s="253"/>
      <c r="I187" s="243">
        <f>(SUM('1.  LRAMVA Summary'!D$54:D$80)+SUM('1.  LRAMVA Summary'!D$81:D$82)*(MONTH($E187)-1)/12)*$H187</f>
        <v>0</v>
      </c>
      <c r="J187" s="243">
        <f>(SUM('1.  LRAMVA Summary'!E$54:E$80)+SUM('1.  LRAMVA Summary'!E$81:E$82)*(MONTH($E187)-1)/12)*$H187</f>
        <v>0</v>
      </c>
      <c r="K187" s="243">
        <f>(SUM('1.  LRAMVA Summary'!F$54:F$80)+SUM('1.  LRAMVA Summary'!F$81:F$82)*(MONTH($E187)-1)/12)*$H187</f>
        <v>0</v>
      </c>
      <c r="L187" s="243">
        <f>(SUM('1.  LRAMVA Summary'!G$54:G$80)+SUM('1.  LRAMVA Summary'!G$81:G$82)*(MONTH($E187)-1)/12)*$H187</f>
        <v>0</v>
      </c>
      <c r="M187" s="243">
        <f>(SUM('1.  LRAMVA Summary'!H$54:H$80)+SUM('1.  LRAMVA Summary'!H$81:H$82)*(MONTH($E187)-1)/12)*$H187</f>
        <v>0</v>
      </c>
      <c r="N187" s="243">
        <f>(SUM('1.  LRAMVA Summary'!I$54:I$80)+SUM('1.  LRAMVA Summary'!I$81:I$82)*(MONTH($E187)-1)/12)*$H187</f>
        <v>0</v>
      </c>
      <c r="O187" s="243">
        <f>(SUM('1.  LRAMVA Summary'!J$54:J$80)+SUM('1.  LRAMVA Summary'!J$81:J$82)*(MONTH($E187)-1)/12)*$H187</f>
        <v>0</v>
      </c>
      <c r="P187" s="243">
        <f>(SUM('1.  LRAMVA Summary'!K$54:K$80)+SUM('1.  LRAMVA Summary'!K$81:K$82)*(MONTH($E187)-1)/12)*$H187</f>
        <v>0</v>
      </c>
      <c r="Q187" s="243">
        <f>(SUM('1.  LRAMVA Summary'!L$54:L$80)+SUM('1.  LRAMVA Summary'!L$81:L$82)*(MONTH($E187)-1)/12)*$H187</f>
        <v>0</v>
      </c>
      <c r="R187" s="243">
        <f>(SUM('1.  LRAMVA Summary'!M$54:M$80)+SUM('1.  LRAMVA Summary'!M$81:M$82)*(MONTH($E187)-1)/12)*$H187</f>
        <v>0</v>
      </c>
      <c r="S187" s="243">
        <f>(SUM('1.  LRAMVA Summary'!N$54:N$80)+SUM('1.  LRAMVA Summary'!N$81:N$82)*(MONTH($E187)-1)/12)*$H187</f>
        <v>0</v>
      </c>
      <c r="T187" s="243">
        <f>(SUM('1.  LRAMVA Summary'!O$54:O$80)+SUM('1.  LRAMVA Summary'!O$81:O$82)*(MONTH($E187)-1)/12)*$H187</f>
        <v>0</v>
      </c>
      <c r="U187" s="243">
        <f>(SUM('1.  LRAMVA Summary'!P$54:P$80)+SUM('1.  LRAMVA Summary'!P$81:P$82)*(MONTH($E187)-1)/12)*$H187</f>
        <v>0</v>
      </c>
      <c r="V187" s="243">
        <f>(SUM('1.  LRAMVA Summary'!Q$54:Q$80)+SUM('1.  LRAMVA Summary'!Q$81:Q$82)*(MONTH($E187)-1)/12)*$H187</f>
        <v>0</v>
      </c>
      <c r="W187" s="244">
        <f t="shared" si="100"/>
        <v>0</v>
      </c>
    </row>
    <row r="188" spans="5:23">
      <c r="E188" s="227">
        <v>44805</v>
      </c>
      <c r="F188" s="227" t="s">
        <v>720</v>
      </c>
      <c r="G188" s="228" t="s">
        <v>68</v>
      </c>
      <c r="H188" s="253"/>
      <c r="I188" s="243">
        <f>(SUM('1.  LRAMVA Summary'!D$54:D$80)+SUM('1.  LRAMVA Summary'!D$81:D$82)*(MONTH($E188)-1)/12)*$H188</f>
        <v>0</v>
      </c>
      <c r="J188" s="243">
        <f>(SUM('1.  LRAMVA Summary'!E$54:E$80)+SUM('1.  LRAMVA Summary'!E$81:E$82)*(MONTH($E188)-1)/12)*$H188</f>
        <v>0</v>
      </c>
      <c r="K188" s="243">
        <f>(SUM('1.  LRAMVA Summary'!F$54:F$80)+SUM('1.  LRAMVA Summary'!F$81:F$82)*(MONTH($E188)-1)/12)*$H188</f>
        <v>0</v>
      </c>
      <c r="L188" s="243">
        <f>(SUM('1.  LRAMVA Summary'!G$54:G$80)+SUM('1.  LRAMVA Summary'!G$81:G$82)*(MONTH($E188)-1)/12)*$H188</f>
        <v>0</v>
      </c>
      <c r="M188" s="243">
        <f>(SUM('1.  LRAMVA Summary'!H$54:H$80)+SUM('1.  LRAMVA Summary'!H$81:H$82)*(MONTH($E188)-1)/12)*$H188</f>
        <v>0</v>
      </c>
      <c r="N188" s="243">
        <f>(SUM('1.  LRAMVA Summary'!I$54:I$80)+SUM('1.  LRAMVA Summary'!I$81:I$82)*(MONTH($E188)-1)/12)*$H188</f>
        <v>0</v>
      </c>
      <c r="O188" s="243">
        <f>(SUM('1.  LRAMVA Summary'!J$54:J$80)+SUM('1.  LRAMVA Summary'!J$81:J$82)*(MONTH($E188)-1)/12)*$H188</f>
        <v>0</v>
      </c>
      <c r="P188" s="243">
        <f>(SUM('1.  LRAMVA Summary'!K$54:K$80)+SUM('1.  LRAMVA Summary'!K$81:K$82)*(MONTH($E188)-1)/12)*$H188</f>
        <v>0</v>
      </c>
      <c r="Q188" s="243">
        <f>(SUM('1.  LRAMVA Summary'!L$54:L$80)+SUM('1.  LRAMVA Summary'!L$81:L$82)*(MONTH($E188)-1)/12)*$H188</f>
        <v>0</v>
      </c>
      <c r="R188" s="243">
        <f>(SUM('1.  LRAMVA Summary'!M$54:M$80)+SUM('1.  LRAMVA Summary'!M$81:M$82)*(MONTH($E188)-1)/12)*$H188</f>
        <v>0</v>
      </c>
      <c r="S188" s="243">
        <f>(SUM('1.  LRAMVA Summary'!N$54:N$80)+SUM('1.  LRAMVA Summary'!N$81:N$82)*(MONTH($E188)-1)/12)*$H188</f>
        <v>0</v>
      </c>
      <c r="T188" s="243">
        <f>(SUM('1.  LRAMVA Summary'!O$54:O$80)+SUM('1.  LRAMVA Summary'!O$81:O$82)*(MONTH($E188)-1)/12)*$H188</f>
        <v>0</v>
      </c>
      <c r="U188" s="243">
        <f>(SUM('1.  LRAMVA Summary'!P$54:P$80)+SUM('1.  LRAMVA Summary'!P$81:P$82)*(MONTH($E188)-1)/12)*$H188</f>
        <v>0</v>
      </c>
      <c r="V188" s="243">
        <f>(SUM('1.  LRAMVA Summary'!Q$54:Q$80)+SUM('1.  LRAMVA Summary'!Q$81:Q$82)*(MONTH($E188)-1)/12)*$H188</f>
        <v>0</v>
      </c>
      <c r="W188" s="244">
        <f t="shared" si="100"/>
        <v>0</v>
      </c>
    </row>
    <row r="189" spans="5:23">
      <c r="E189" s="227">
        <v>44835</v>
      </c>
      <c r="F189" s="227" t="s">
        <v>720</v>
      </c>
      <c r="G189" s="228" t="s">
        <v>69</v>
      </c>
      <c r="H189" s="253"/>
      <c r="I189" s="243">
        <f>(SUM('1.  LRAMVA Summary'!D$54:D$80)+SUM('1.  LRAMVA Summary'!D$81:D$82)*(MONTH($E189)-1)/12)*$H189</f>
        <v>0</v>
      </c>
      <c r="J189" s="243">
        <f>(SUM('1.  LRAMVA Summary'!E$54:E$80)+SUM('1.  LRAMVA Summary'!E$81:E$82)*(MONTH($E189)-1)/12)*$H189</f>
        <v>0</v>
      </c>
      <c r="K189" s="243">
        <f>(SUM('1.  LRAMVA Summary'!F$54:F$80)+SUM('1.  LRAMVA Summary'!F$81:F$82)*(MONTH($E189)-1)/12)*$H189</f>
        <v>0</v>
      </c>
      <c r="L189" s="243">
        <f>(SUM('1.  LRAMVA Summary'!G$54:G$80)+SUM('1.  LRAMVA Summary'!G$81:G$82)*(MONTH($E189)-1)/12)*$H189</f>
        <v>0</v>
      </c>
      <c r="M189" s="243">
        <f>(SUM('1.  LRAMVA Summary'!H$54:H$80)+SUM('1.  LRAMVA Summary'!H$81:H$82)*(MONTH($E189)-1)/12)*$H189</f>
        <v>0</v>
      </c>
      <c r="N189" s="243">
        <f>(SUM('1.  LRAMVA Summary'!I$54:I$80)+SUM('1.  LRAMVA Summary'!I$81:I$82)*(MONTH($E189)-1)/12)*$H189</f>
        <v>0</v>
      </c>
      <c r="O189" s="243">
        <f>(SUM('1.  LRAMVA Summary'!J$54:J$80)+SUM('1.  LRAMVA Summary'!J$81:J$82)*(MONTH($E189)-1)/12)*$H189</f>
        <v>0</v>
      </c>
      <c r="P189" s="243">
        <f>(SUM('1.  LRAMVA Summary'!K$54:K$80)+SUM('1.  LRAMVA Summary'!K$81:K$82)*(MONTH($E189)-1)/12)*$H189</f>
        <v>0</v>
      </c>
      <c r="Q189" s="243">
        <f>(SUM('1.  LRAMVA Summary'!L$54:L$80)+SUM('1.  LRAMVA Summary'!L$81:L$82)*(MONTH($E189)-1)/12)*$H189</f>
        <v>0</v>
      </c>
      <c r="R189" s="243">
        <f>(SUM('1.  LRAMVA Summary'!M$54:M$80)+SUM('1.  LRAMVA Summary'!M$81:M$82)*(MONTH($E189)-1)/12)*$H189</f>
        <v>0</v>
      </c>
      <c r="S189" s="243">
        <f>(SUM('1.  LRAMVA Summary'!N$54:N$80)+SUM('1.  LRAMVA Summary'!N$81:N$82)*(MONTH($E189)-1)/12)*$H189</f>
        <v>0</v>
      </c>
      <c r="T189" s="243">
        <f>(SUM('1.  LRAMVA Summary'!O$54:O$80)+SUM('1.  LRAMVA Summary'!O$81:O$82)*(MONTH($E189)-1)/12)*$H189</f>
        <v>0</v>
      </c>
      <c r="U189" s="243">
        <f>(SUM('1.  LRAMVA Summary'!P$54:P$80)+SUM('1.  LRAMVA Summary'!P$81:P$82)*(MONTH($E189)-1)/12)*$H189</f>
        <v>0</v>
      </c>
      <c r="V189" s="243">
        <f>(SUM('1.  LRAMVA Summary'!Q$54:Q$80)+SUM('1.  LRAMVA Summary'!Q$81:Q$82)*(MONTH($E189)-1)/12)*$H189</f>
        <v>0</v>
      </c>
      <c r="W189" s="244">
        <f t="shared" si="100"/>
        <v>0</v>
      </c>
    </row>
    <row r="190" spans="5:23">
      <c r="E190" s="227">
        <v>44866</v>
      </c>
      <c r="F190" s="227" t="s">
        <v>720</v>
      </c>
      <c r="G190" s="228" t="s">
        <v>69</v>
      </c>
      <c r="H190" s="253"/>
      <c r="I190" s="243">
        <f>(SUM('1.  LRAMVA Summary'!D$54:D$80)+SUM('1.  LRAMVA Summary'!D$81:D$82)*(MONTH($E190)-1)/12)*$H190</f>
        <v>0</v>
      </c>
      <c r="J190" s="243">
        <f>(SUM('1.  LRAMVA Summary'!E$54:E$80)+SUM('1.  LRAMVA Summary'!E$81:E$82)*(MONTH($E190)-1)/12)*$H190</f>
        <v>0</v>
      </c>
      <c r="K190" s="243">
        <f>(SUM('1.  LRAMVA Summary'!F$54:F$80)+SUM('1.  LRAMVA Summary'!F$81:F$82)*(MONTH($E190)-1)/12)*$H190</f>
        <v>0</v>
      </c>
      <c r="L190" s="243">
        <f>(SUM('1.  LRAMVA Summary'!G$54:G$80)+SUM('1.  LRAMVA Summary'!G$81:G$82)*(MONTH($E190)-1)/12)*$H190</f>
        <v>0</v>
      </c>
      <c r="M190" s="243">
        <f>(SUM('1.  LRAMVA Summary'!H$54:H$80)+SUM('1.  LRAMVA Summary'!H$81:H$82)*(MONTH($E190)-1)/12)*$H190</f>
        <v>0</v>
      </c>
      <c r="N190" s="243">
        <f>(SUM('1.  LRAMVA Summary'!I$54:I$80)+SUM('1.  LRAMVA Summary'!I$81:I$82)*(MONTH($E190)-1)/12)*$H190</f>
        <v>0</v>
      </c>
      <c r="O190" s="243">
        <f>(SUM('1.  LRAMVA Summary'!J$54:J$80)+SUM('1.  LRAMVA Summary'!J$81:J$82)*(MONTH($E190)-1)/12)*$H190</f>
        <v>0</v>
      </c>
      <c r="P190" s="243">
        <f>(SUM('1.  LRAMVA Summary'!K$54:K$80)+SUM('1.  LRAMVA Summary'!K$81:K$82)*(MONTH($E190)-1)/12)*$H190</f>
        <v>0</v>
      </c>
      <c r="Q190" s="243">
        <f>(SUM('1.  LRAMVA Summary'!L$54:L$80)+SUM('1.  LRAMVA Summary'!L$81:L$82)*(MONTH($E190)-1)/12)*$H190</f>
        <v>0</v>
      </c>
      <c r="R190" s="243">
        <f>(SUM('1.  LRAMVA Summary'!M$54:M$80)+SUM('1.  LRAMVA Summary'!M$81:M$82)*(MONTH($E190)-1)/12)*$H190</f>
        <v>0</v>
      </c>
      <c r="S190" s="243">
        <f>(SUM('1.  LRAMVA Summary'!N$54:N$80)+SUM('1.  LRAMVA Summary'!N$81:N$82)*(MONTH($E190)-1)/12)*$H190</f>
        <v>0</v>
      </c>
      <c r="T190" s="243">
        <f>(SUM('1.  LRAMVA Summary'!O$54:O$80)+SUM('1.  LRAMVA Summary'!O$81:O$82)*(MONTH($E190)-1)/12)*$H190</f>
        <v>0</v>
      </c>
      <c r="U190" s="243">
        <f>(SUM('1.  LRAMVA Summary'!P$54:P$80)+SUM('1.  LRAMVA Summary'!P$81:P$82)*(MONTH($E190)-1)/12)*$H190</f>
        <v>0</v>
      </c>
      <c r="V190" s="243">
        <f>(SUM('1.  LRAMVA Summary'!Q$54:Q$80)+SUM('1.  LRAMVA Summary'!Q$81:Q$82)*(MONTH($E190)-1)/12)*$H190</f>
        <v>0</v>
      </c>
      <c r="W190" s="244">
        <f t="shared" si="100"/>
        <v>0</v>
      </c>
    </row>
    <row r="191" spans="5:23">
      <c r="E191" s="227">
        <v>44896</v>
      </c>
      <c r="F191" s="227" t="s">
        <v>720</v>
      </c>
      <c r="G191" s="228" t="s">
        <v>69</v>
      </c>
      <c r="H191" s="253"/>
      <c r="I191" s="243">
        <f>(SUM('1.  LRAMVA Summary'!D$54:D$80)+SUM('1.  LRAMVA Summary'!D$81:D$82)*(MONTH($E191)-1)/12)*$H191</f>
        <v>0</v>
      </c>
      <c r="J191" s="243">
        <f>(SUM('1.  LRAMVA Summary'!E$54:E$80)+SUM('1.  LRAMVA Summary'!E$81:E$82)*(MONTH($E191)-1)/12)*$H191</f>
        <v>0</v>
      </c>
      <c r="K191" s="243">
        <f>(SUM('1.  LRAMVA Summary'!F$54:F$80)+SUM('1.  LRAMVA Summary'!F$81:F$82)*(MONTH($E191)-1)/12)*$H191</f>
        <v>0</v>
      </c>
      <c r="L191" s="243">
        <f>(SUM('1.  LRAMVA Summary'!G$54:G$80)+SUM('1.  LRAMVA Summary'!G$81:G$82)*(MONTH($E191)-1)/12)*$H191</f>
        <v>0</v>
      </c>
      <c r="M191" s="243">
        <f>(SUM('1.  LRAMVA Summary'!H$54:H$80)+SUM('1.  LRAMVA Summary'!H$81:H$82)*(MONTH($E191)-1)/12)*$H191</f>
        <v>0</v>
      </c>
      <c r="N191" s="243">
        <f>(SUM('1.  LRAMVA Summary'!I$54:I$80)+SUM('1.  LRAMVA Summary'!I$81:I$82)*(MONTH($E191)-1)/12)*$H191</f>
        <v>0</v>
      </c>
      <c r="O191" s="243">
        <f>(SUM('1.  LRAMVA Summary'!J$54:J$80)+SUM('1.  LRAMVA Summary'!J$81:J$82)*(MONTH($E191)-1)/12)*$H191</f>
        <v>0</v>
      </c>
      <c r="P191" s="243">
        <f>(SUM('1.  LRAMVA Summary'!K$54:K$80)+SUM('1.  LRAMVA Summary'!K$81:K$82)*(MONTH($E191)-1)/12)*$H191</f>
        <v>0</v>
      </c>
      <c r="Q191" s="243">
        <f>(SUM('1.  LRAMVA Summary'!L$54:L$80)+SUM('1.  LRAMVA Summary'!L$81:L$82)*(MONTH($E191)-1)/12)*$H191</f>
        <v>0</v>
      </c>
      <c r="R191" s="243">
        <f>(SUM('1.  LRAMVA Summary'!M$54:M$80)+SUM('1.  LRAMVA Summary'!M$81:M$82)*(MONTH($E191)-1)/12)*$H191</f>
        <v>0</v>
      </c>
      <c r="S191" s="243">
        <f>(SUM('1.  LRAMVA Summary'!N$54:N$80)+SUM('1.  LRAMVA Summary'!N$81:N$82)*(MONTH($E191)-1)/12)*$H191</f>
        <v>0</v>
      </c>
      <c r="T191" s="243">
        <f>(SUM('1.  LRAMVA Summary'!O$54:O$80)+SUM('1.  LRAMVA Summary'!O$81:O$82)*(MONTH($E191)-1)/12)*$H191</f>
        <v>0</v>
      </c>
      <c r="U191" s="243">
        <f>(SUM('1.  LRAMVA Summary'!P$54:P$80)+SUM('1.  LRAMVA Summary'!P$81:P$82)*(MONTH($E191)-1)/12)*$H191</f>
        <v>0</v>
      </c>
      <c r="V191" s="243">
        <f>(SUM('1.  LRAMVA Summary'!Q$54:Q$80)+SUM('1.  LRAMVA Summary'!Q$81:Q$82)*(MONTH($E191)-1)/12)*$H191</f>
        <v>0</v>
      </c>
      <c r="W191" s="244">
        <f>SUM(I191:V191)</f>
        <v>0</v>
      </c>
    </row>
    <row r="192" spans="5:23" ht="15" thickBot="1">
      <c r="E192" s="229" t="s">
        <v>716</v>
      </c>
      <c r="F192" s="229"/>
      <c r="G192" s="230"/>
      <c r="H192" s="231"/>
      <c r="I192" s="232">
        <f>SUM(I179:I191)</f>
        <v>10299.102433618413</v>
      </c>
      <c r="J192" s="232">
        <f>SUM(J179:J191)</f>
        <v>6970.4416227476995</v>
      </c>
      <c r="K192" s="232">
        <f t="shared" ref="K192:V192" si="101">SUM(K179:K191)</f>
        <v>2557.8260142545346</v>
      </c>
      <c r="L192" s="232">
        <f t="shared" si="101"/>
        <v>1954.4843743759639</v>
      </c>
      <c r="M192" s="232">
        <f t="shared" si="101"/>
        <v>0</v>
      </c>
      <c r="N192" s="232">
        <f t="shared" si="101"/>
        <v>0</v>
      </c>
      <c r="O192" s="232">
        <f t="shared" si="101"/>
        <v>-874.37472369209672</v>
      </c>
      <c r="P192" s="232">
        <f t="shared" si="101"/>
        <v>0</v>
      </c>
      <c r="Q192" s="232">
        <f t="shared" si="101"/>
        <v>0</v>
      </c>
      <c r="R192" s="232">
        <f t="shared" si="101"/>
        <v>0</v>
      </c>
      <c r="S192" s="232">
        <f t="shared" si="101"/>
        <v>0</v>
      </c>
      <c r="T192" s="232">
        <f t="shared" si="101"/>
        <v>0</v>
      </c>
      <c r="U192" s="232">
        <f t="shared" si="101"/>
        <v>0</v>
      </c>
      <c r="V192" s="232">
        <f t="shared" si="101"/>
        <v>0</v>
      </c>
      <c r="W192" s="232">
        <f>SUM(W179:W191)</f>
        <v>20907.479721304502</v>
      </c>
    </row>
    <row r="193" spans="5:23" ht="15" thickTop="1">
      <c r="E193" s="233" t="s">
        <v>67</v>
      </c>
      <c r="F193" s="233"/>
      <c r="G193" s="234"/>
      <c r="H193" s="235"/>
      <c r="I193" s="236"/>
      <c r="J193" s="236"/>
      <c r="K193" s="236"/>
      <c r="L193" s="236"/>
      <c r="M193" s="236"/>
      <c r="N193" s="236"/>
      <c r="O193" s="236"/>
      <c r="P193" s="236"/>
      <c r="Q193" s="236"/>
      <c r="R193" s="236"/>
      <c r="S193" s="236"/>
      <c r="T193" s="236"/>
      <c r="U193" s="236"/>
      <c r="V193" s="236"/>
      <c r="W193" s="237"/>
    </row>
    <row r="194" spans="5:23">
      <c r="E194" s="238" t="s">
        <v>717</v>
      </c>
      <c r="F194" s="238"/>
      <c r="G194" s="239"/>
      <c r="H194" s="240"/>
      <c r="I194" s="241">
        <f>I192+I193</f>
        <v>10299.102433618413</v>
      </c>
      <c r="J194" s="241">
        <f t="shared" ref="J194:U194" si="102">J192+J193</f>
        <v>6970.4416227476995</v>
      </c>
      <c r="K194" s="241">
        <f t="shared" si="102"/>
        <v>2557.8260142545346</v>
      </c>
      <c r="L194" s="241">
        <f t="shared" si="102"/>
        <v>1954.4843743759639</v>
      </c>
      <c r="M194" s="241">
        <f t="shared" si="102"/>
        <v>0</v>
      </c>
      <c r="N194" s="241">
        <f t="shared" si="102"/>
        <v>0</v>
      </c>
      <c r="O194" s="241">
        <f t="shared" si="102"/>
        <v>-874.37472369209672</v>
      </c>
      <c r="P194" s="241">
        <f t="shared" si="102"/>
        <v>0</v>
      </c>
      <c r="Q194" s="241">
        <f t="shared" si="102"/>
        <v>0</v>
      </c>
      <c r="R194" s="241">
        <f t="shared" si="102"/>
        <v>0</v>
      </c>
      <c r="S194" s="241">
        <f t="shared" si="102"/>
        <v>0</v>
      </c>
      <c r="T194" s="241">
        <f t="shared" si="102"/>
        <v>0</v>
      </c>
      <c r="U194" s="241">
        <f t="shared" si="102"/>
        <v>0</v>
      </c>
      <c r="V194" s="241">
        <f>V192+V193</f>
        <v>0</v>
      </c>
      <c r="W194" s="241">
        <f>W192+W193</f>
        <v>20907.479721304502</v>
      </c>
    </row>
    <row r="195" spans="5:23">
      <c r="E195" s="227">
        <v>44927</v>
      </c>
      <c r="F195" s="227" t="s">
        <v>721</v>
      </c>
      <c r="G195" s="228" t="s">
        <v>65</v>
      </c>
      <c r="H195" s="253"/>
      <c r="I195" s="243">
        <f>(SUM('1.  LRAMVA Summary'!D$54:D$80)+SUM('1.  LRAMVA Summary'!D$81:D$82)*(MONTH($E195)-1)/12)*$H195</f>
        <v>0</v>
      </c>
      <c r="J195" s="243">
        <f>(SUM('1.  LRAMVA Summary'!E$54:E$80)+SUM('1.  LRAMVA Summary'!E$81:E$82)*(MONTH($E195)-1)/12)*$H195</f>
        <v>0</v>
      </c>
      <c r="K195" s="243">
        <f>(SUM('1.  LRAMVA Summary'!F$54:F$80)+SUM('1.  LRAMVA Summary'!F$81:F$82)*(MONTH($E195)-1)/12)*$H195</f>
        <v>0</v>
      </c>
      <c r="L195" s="243">
        <f>(SUM('1.  LRAMVA Summary'!G$54:G$80)+SUM('1.  LRAMVA Summary'!G$81:G$82)*(MONTH($E195)-1)/12)*$H195</f>
        <v>0</v>
      </c>
      <c r="M195" s="243">
        <f>(SUM('1.  LRAMVA Summary'!H$54:H$80)+SUM('1.  LRAMVA Summary'!H$81:H$82)*(MONTH($E195)-1)/12)*$H195</f>
        <v>0</v>
      </c>
      <c r="N195" s="243">
        <f>(SUM('1.  LRAMVA Summary'!I$54:I$80)+SUM('1.  LRAMVA Summary'!I$81:I$82)*(MONTH($E195)-1)/12)*$H195</f>
        <v>0</v>
      </c>
      <c r="O195" s="243">
        <f>(SUM('1.  LRAMVA Summary'!J$54:J$80)+SUM('1.  LRAMVA Summary'!J$81:J$82)*(MONTH($E195)-1)/12)*$H195</f>
        <v>0</v>
      </c>
      <c r="P195" s="243">
        <f>(SUM('1.  LRAMVA Summary'!K$54:K$80)+SUM('1.  LRAMVA Summary'!K$81:K$82)*(MONTH($E195)-1)/12)*$H195</f>
        <v>0</v>
      </c>
      <c r="Q195" s="243">
        <f>(SUM('1.  LRAMVA Summary'!L$54:L$80)+SUM('1.  LRAMVA Summary'!L$81:L$82)*(MONTH($E195)-1)/12)*$H195</f>
        <v>0</v>
      </c>
      <c r="R195" s="243">
        <f>(SUM('1.  LRAMVA Summary'!M$54:M$80)+SUM('1.  LRAMVA Summary'!M$81:M$82)*(MONTH($E195)-1)/12)*$H195</f>
        <v>0</v>
      </c>
      <c r="S195" s="243">
        <f>(SUM('1.  LRAMVA Summary'!N$54:N$80)+SUM('1.  LRAMVA Summary'!N$81:N$82)*(MONTH($E195)-1)/12)*$H195</f>
        <v>0</v>
      </c>
      <c r="T195" s="243">
        <f>(SUM('1.  LRAMVA Summary'!O$54:O$80)+SUM('1.  LRAMVA Summary'!O$81:O$82)*(MONTH($E195)-1)/12)*$H195</f>
        <v>0</v>
      </c>
      <c r="U195" s="243">
        <f>(SUM('1.  LRAMVA Summary'!P$54:P$80)+SUM('1.  LRAMVA Summary'!P$81:P$82)*(MONTH($E195)-1)/12)*$H195</f>
        <v>0</v>
      </c>
      <c r="V195" s="243">
        <f>(SUM('1.  LRAMVA Summary'!Q$54:Q$80)+SUM('1.  LRAMVA Summary'!Q$81:Q$82)*(MONTH($E195)-1)/12)*$H195</f>
        <v>0</v>
      </c>
      <c r="W195" s="244">
        <f>SUM(I195:V195)</f>
        <v>0</v>
      </c>
    </row>
    <row r="196" spans="5:23">
      <c r="E196" s="227">
        <v>44958</v>
      </c>
      <c r="F196" s="227" t="s">
        <v>721</v>
      </c>
      <c r="G196" s="228" t="s">
        <v>65</v>
      </c>
      <c r="H196" s="253"/>
      <c r="I196" s="243">
        <f>(SUM('1.  LRAMVA Summary'!D$54:D$80)+SUM('1.  LRAMVA Summary'!D$81:D$82)*(MONTH($E196)-1)/12)*$H196</f>
        <v>0</v>
      </c>
      <c r="J196" s="243">
        <f>(SUM('1.  LRAMVA Summary'!E$54:E$80)+SUM('1.  LRAMVA Summary'!E$81:E$82)*(MONTH($E196)-1)/12)*$H196</f>
        <v>0</v>
      </c>
      <c r="K196" s="243">
        <f>(SUM('1.  LRAMVA Summary'!F$54:F$80)+SUM('1.  LRAMVA Summary'!F$81:F$82)*(MONTH($E196)-1)/12)*$H196</f>
        <v>0</v>
      </c>
      <c r="L196" s="243">
        <f>(SUM('1.  LRAMVA Summary'!G$54:G$80)+SUM('1.  LRAMVA Summary'!G$81:G$82)*(MONTH($E196)-1)/12)*$H196</f>
        <v>0</v>
      </c>
      <c r="M196" s="243">
        <f>(SUM('1.  LRAMVA Summary'!H$54:H$80)+SUM('1.  LRAMVA Summary'!H$81:H$82)*(MONTH($E196)-1)/12)*$H196</f>
        <v>0</v>
      </c>
      <c r="N196" s="243">
        <f>(SUM('1.  LRAMVA Summary'!I$54:I$80)+SUM('1.  LRAMVA Summary'!I$81:I$82)*(MONTH($E196)-1)/12)*$H196</f>
        <v>0</v>
      </c>
      <c r="O196" s="243">
        <f>(SUM('1.  LRAMVA Summary'!J$54:J$80)+SUM('1.  LRAMVA Summary'!J$81:J$82)*(MONTH($E196)-1)/12)*$H196</f>
        <v>0</v>
      </c>
      <c r="P196" s="243">
        <f>(SUM('1.  LRAMVA Summary'!K$54:K$80)+SUM('1.  LRAMVA Summary'!K$81:K$82)*(MONTH($E196)-1)/12)*$H196</f>
        <v>0</v>
      </c>
      <c r="Q196" s="243">
        <f>(SUM('1.  LRAMVA Summary'!L$54:L$80)+SUM('1.  LRAMVA Summary'!L$81:L$82)*(MONTH($E196)-1)/12)*$H196</f>
        <v>0</v>
      </c>
      <c r="R196" s="243">
        <f>(SUM('1.  LRAMVA Summary'!M$54:M$80)+SUM('1.  LRAMVA Summary'!M$81:M$82)*(MONTH($E196)-1)/12)*$H196</f>
        <v>0</v>
      </c>
      <c r="S196" s="243">
        <f>(SUM('1.  LRAMVA Summary'!N$54:N$80)+SUM('1.  LRAMVA Summary'!N$81:N$82)*(MONTH($E196)-1)/12)*$H196</f>
        <v>0</v>
      </c>
      <c r="T196" s="243">
        <f>(SUM('1.  LRAMVA Summary'!O$54:O$80)+SUM('1.  LRAMVA Summary'!O$81:O$82)*(MONTH($E196)-1)/12)*$H196</f>
        <v>0</v>
      </c>
      <c r="U196" s="243">
        <f>(SUM('1.  LRAMVA Summary'!P$54:P$80)+SUM('1.  LRAMVA Summary'!P$81:P$82)*(MONTH($E196)-1)/12)*$H196</f>
        <v>0</v>
      </c>
      <c r="V196" s="243">
        <f>(SUM('1.  LRAMVA Summary'!Q$54:Q$80)+SUM('1.  LRAMVA Summary'!Q$81:Q$82)*(MONTH($E196)-1)/12)*$H196</f>
        <v>0</v>
      </c>
      <c r="W196" s="244">
        <f t="shared" ref="W196:W205" si="103">SUM(I196:V196)</f>
        <v>0</v>
      </c>
    </row>
    <row r="197" spans="5:23">
      <c r="E197" s="227">
        <v>44986</v>
      </c>
      <c r="F197" s="227" t="s">
        <v>721</v>
      </c>
      <c r="G197" s="228" t="s">
        <v>65</v>
      </c>
      <c r="H197" s="253"/>
      <c r="I197" s="243">
        <f>(SUM('1.  LRAMVA Summary'!D$54:D$80)+SUM('1.  LRAMVA Summary'!D$81:D$82)*(MONTH($E197)-1)/12)*$H197</f>
        <v>0</v>
      </c>
      <c r="J197" s="243">
        <f>(SUM('1.  LRAMVA Summary'!E$54:E$80)+SUM('1.  LRAMVA Summary'!E$81:E$82)*(MONTH($E197)-1)/12)*$H197</f>
        <v>0</v>
      </c>
      <c r="K197" s="243">
        <f>(SUM('1.  LRAMVA Summary'!F$54:F$80)+SUM('1.  LRAMVA Summary'!F$81:F$82)*(MONTH($E197)-1)/12)*$H197</f>
        <v>0</v>
      </c>
      <c r="L197" s="243">
        <f>(SUM('1.  LRAMVA Summary'!G$54:G$80)+SUM('1.  LRAMVA Summary'!G$81:G$82)*(MONTH($E197)-1)/12)*$H197</f>
        <v>0</v>
      </c>
      <c r="M197" s="243">
        <f>(SUM('1.  LRAMVA Summary'!H$54:H$80)+SUM('1.  LRAMVA Summary'!H$81:H$82)*(MONTH($E197)-1)/12)*$H197</f>
        <v>0</v>
      </c>
      <c r="N197" s="243">
        <f>(SUM('1.  LRAMVA Summary'!I$54:I$80)+SUM('1.  LRAMVA Summary'!I$81:I$82)*(MONTH($E197)-1)/12)*$H197</f>
        <v>0</v>
      </c>
      <c r="O197" s="243">
        <f>(SUM('1.  LRAMVA Summary'!J$54:J$80)+SUM('1.  LRAMVA Summary'!J$81:J$82)*(MONTH($E197)-1)/12)*$H197</f>
        <v>0</v>
      </c>
      <c r="P197" s="243">
        <f>(SUM('1.  LRAMVA Summary'!K$54:K$80)+SUM('1.  LRAMVA Summary'!K$81:K$82)*(MONTH($E197)-1)/12)*$H197</f>
        <v>0</v>
      </c>
      <c r="Q197" s="243">
        <f>(SUM('1.  LRAMVA Summary'!L$54:L$80)+SUM('1.  LRAMVA Summary'!L$81:L$82)*(MONTH($E197)-1)/12)*$H197</f>
        <v>0</v>
      </c>
      <c r="R197" s="243">
        <f>(SUM('1.  LRAMVA Summary'!M$54:M$80)+SUM('1.  LRAMVA Summary'!M$81:M$82)*(MONTH($E197)-1)/12)*$H197</f>
        <v>0</v>
      </c>
      <c r="S197" s="243">
        <f>(SUM('1.  LRAMVA Summary'!N$54:N$80)+SUM('1.  LRAMVA Summary'!N$81:N$82)*(MONTH($E197)-1)/12)*$H197</f>
        <v>0</v>
      </c>
      <c r="T197" s="243">
        <f>(SUM('1.  LRAMVA Summary'!O$54:O$80)+SUM('1.  LRAMVA Summary'!O$81:O$82)*(MONTH($E197)-1)/12)*$H197</f>
        <v>0</v>
      </c>
      <c r="U197" s="243">
        <f>(SUM('1.  LRAMVA Summary'!P$54:P$80)+SUM('1.  LRAMVA Summary'!P$81:P$82)*(MONTH($E197)-1)/12)*$H197</f>
        <v>0</v>
      </c>
      <c r="V197" s="243">
        <f>(SUM('1.  LRAMVA Summary'!Q$54:Q$80)+SUM('1.  LRAMVA Summary'!Q$81:Q$82)*(MONTH($E197)-1)/12)*$H197</f>
        <v>0</v>
      </c>
      <c r="W197" s="244">
        <f t="shared" si="103"/>
        <v>0</v>
      </c>
    </row>
    <row r="198" spans="5:23">
      <c r="E198" s="227">
        <v>45017</v>
      </c>
      <c r="F198" s="227" t="s">
        <v>721</v>
      </c>
      <c r="G198" s="228" t="s">
        <v>66</v>
      </c>
      <c r="H198" s="253"/>
      <c r="I198" s="243">
        <f>(SUM('1.  LRAMVA Summary'!D$54:D$80)+SUM('1.  LRAMVA Summary'!D$81:D$82)*(MONTH($E198)-1)/12)*$H198</f>
        <v>0</v>
      </c>
      <c r="J198" s="243">
        <f>(SUM('1.  LRAMVA Summary'!E$54:E$80)+SUM('1.  LRAMVA Summary'!E$81:E$82)*(MONTH($E198)-1)/12)*$H198</f>
        <v>0</v>
      </c>
      <c r="K198" s="243">
        <f>(SUM('1.  LRAMVA Summary'!F$54:F$80)+SUM('1.  LRAMVA Summary'!F$81:F$82)*(MONTH($E198)-1)/12)*$H198</f>
        <v>0</v>
      </c>
      <c r="L198" s="243">
        <f>(SUM('1.  LRAMVA Summary'!G$54:G$80)+SUM('1.  LRAMVA Summary'!G$81:G$82)*(MONTH($E198)-1)/12)*$H198</f>
        <v>0</v>
      </c>
      <c r="M198" s="243">
        <f>(SUM('1.  LRAMVA Summary'!H$54:H$80)+SUM('1.  LRAMVA Summary'!H$81:H$82)*(MONTH($E198)-1)/12)*$H198</f>
        <v>0</v>
      </c>
      <c r="N198" s="243">
        <f>(SUM('1.  LRAMVA Summary'!I$54:I$80)+SUM('1.  LRAMVA Summary'!I$81:I$82)*(MONTH($E198)-1)/12)*$H198</f>
        <v>0</v>
      </c>
      <c r="O198" s="243">
        <f>(SUM('1.  LRAMVA Summary'!J$54:J$80)+SUM('1.  LRAMVA Summary'!J$81:J$82)*(MONTH($E198)-1)/12)*$H198</f>
        <v>0</v>
      </c>
      <c r="P198" s="243">
        <f>(SUM('1.  LRAMVA Summary'!K$54:K$80)+SUM('1.  LRAMVA Summary'!K$81:K$82)*(MONTH($E198)-1)/12)*$H198</f>
        <v>0</v>
      </c>
      <c r="Q198" s="243">
        <f>(SUM('1.  LRAMVA Summary'!L$54:L$80)+SUM('1.  LRAMVA Summary'!L$81:L$82)*(MONTH($E198)-1)/12)*$H198</f>
        <v>0</v>
      </c>
      <c r="R198" s="243">
        <f>(SUM('1.  LRAMVA Summary'!M$54:M$80)+SUM('1.  LRAMVA Summary'!M$81:M$82)*(MONTH($E198)-1)/12)*$H198</f>
        <v>0</v>
      </c>
      <c r="S198" s="243">
        <f>(SUM('1.  LRAMVA Summary'!N$54:N$80)+SUM('1.  LRAMVA Summary'!N$81:N$82)*(MONTH($E198)-1)/12)*$H198</f>
        <v>0</v>
      </c>
      <c r="T198" s="243">
        <f>(SUM('1.  LRAMVA Summary'!O$54:O$80)+SUM('1.  LRAMVA Summary'!O$81:O$82)*(MONTH($E198)-1)/12)*$H198</f>
        <v>0</v>
      </c>
      <c r="U198" s="243">
        <f>(SUM('1.  LRAMVA Summary'!P$54:P$80)+SUM('1.  LRAMVA Summary'!P$81:P$82)*(MONTH($E198)-1)/12)*$H198</f>
        <v>0</v>
      </c>
      <c r="V198" s="243">
        <f>(SUM('1.  LRAMVA Summary'!Q$54:Q$80)+SUM('1.  LRAMVA Summary'!Q$81:Q$82)*(MONTH($E198)-1)/12)*$H198</f>
        <v>0</v>
      </c>
      <c r="W198" s="244">
        <f t="shared" si="103"/>
        <v>0</v>
      </c>
    </row>
    <row r="199" spans="5:23">
      <c r="E199" s="227">
        <v>45047</v>
      </c>
      <c r="F199" s="227" t="s">
        <v>721</v>
      </c>
      <c r="G199" s="228" t="s">
        <v>66</v>
      </c>
      <c r="H199" s="253"/>
      <c r="I199" s="243">
        <f>(SUM('1.  LRAMVA Summary'!D$54:D$80)+SUM('1.  LRAMVA Summary'!D$81:D$82)*(MONTH($E199)-1)/12)*$H199</f>
        <v>0</v>
      </c>
      <c r="J199" s="243">
        <f>(SUM('1.  LRAMVA Summary'!E$54:E$80)+SUM('1.  LRAMVA Summary'!E$81:E$82)*(MONTH($E199)-1)/12)*$H199</f>
        <v>0</v>
      </c>
      <c r="K199" s="243">
        <f>(SUM('1.  LRAMVA Summary'!F$54:F$80)+SUM('1.  LRAMVA Summary'!F$81:F$82)*(MONTH($E199)-1)/12)*$H199</f>
        <v>0</v>
      </c>
      <c r="L199" s="243">
        <f>(SUM('1.  LRAMVA Summary'!G$54:G$80)+SUM('1.  LRAMVA Summary'!G$81:G$82)*(MONTH($E199)-1)/12)*$H199</f>
        <v>0</v>
      </c>
      <c r="M199" s="243">
        <f>(SUM('1.  LRAMVA Summary'!H$54:H$80)+SUM('1.  LRAMVA Summary'!H$81:H$82)*(MONTH($E199)-1)/12)*$H199</f>
        <v>0</v>
      </c>
      <c r="N199" s="243">
        <f>(SUM('1.  LRAMVA Summary'!I$54:I$80)+SUM('1.  LRAMVA Summary'!I$81:I$82)*(MONTH($E199)-1)/12)*$H199</f>
        <v>0</v>
      </c>
      <c r="O199" s="243">
        <f>(SUM('1.  LRAMVA Summary'!J$54:J$80)+SUM('1.  LRAMVA Summary'!J$81:J$82)*(MONTH($E199)-1)/12)*$H199</f>
        <v>0</v>
      </c>
      <c r="P199" s="243">
        <f>(SUM('1.  LRAMVA Summary'!K$54:K$80)+SUM('1.  LRAMVA Summary'!K$81:K$82)*(MONTH($E199)-1)/12)*$H199</f>
        <v>0</v>
      </c>
      <c r="Q199" s="243">
        <f>(SUM('1.  LRAMVA Summary'!L$54:L$80)+SUM('1.  LRAMVA Summary'!L$81:L$82)*(MONTH($E199)-1)/12)*$H199</f>
        <v>0</v>
      </c>
      <c r="R199" s="243">
        <f>(SUM('1.  LRAMVA Summary'!M$54:M$80)+SUM('1.  LRAMVA Summary'!M$81:M$82)*(MONTH($E199)-1)/12)*$H199</f>
        <v>0</v>
      </c>
      <c r="S199" s="243">
        <f>(SUM('1.  LRAMVA Summary'!N$54:N$80)+SUM('1.  LRAMVA Summary'!N$81:N$82)*(MONTH($E199)-1)/12)*$H199</f>
        <v>0</v>
      </c>
      <c r="T199" s="243">
        <f>(SUM('1.  LRAMVA Summary'!O$54:O$80)+SUM('1.  LRAMVA Summary'!O$81:O$82)*(MONTH($E199)-1)/12)*$H199</f>
        <v>0</v>
      </c>
      <c r="U199" s="243">
        <f>(SUM('1.  LRAMVA Summary'!P$54:P$80)+SUM('1.  LRAMVA Summary'!P$81:P$82)*(MONTH($E199)-1)/12)*$H199</f>
        <v>0</v>
      </c>
      <c r="V199" s="243">
        <f>(SUM('1.  LRAMVA Summary'!Q$54:Q$80)+SUM('1.  LRAMVA Summary'!Q$81:Q$82)*(MONTH($E199)-1)/12)*$H199</f>
        <v>0</v>
      </c>
      <c r="W199" s="244">
        <f t="shared" si="103"/>
        <v>0</v>
      </c>
    </row>
    <row r="200" spans="5:23">
      <c r="E200" s="227">
        <v>45078</v>
      </c>
      <c r="F200" s="227" t="s">
        <v>721</v>
      </c>
      <c r="G200" s="228" t="s">
        <v>66</v>
      </c>
      <c r="H200" s="253"/>
      <c r="I200" s="243">
        <f>(SUM('1.  LRAMVA Summary'!D$54:D$80)+SUM('1.  LRAMVA Summary'!D$81:D$82)*(MONTH($E200)-1)/12)*$H200</f>
        <v>0</v>
      </c>
      <c r="J200" s="243">
        <f>(SUM('1.  LRAMVA Summary'!E$54:E$80)+SUM('1.  LRAMVA Summary'!E$81:E$82)*(MONTH($E200)-1)/12)*$H200</f>
        <v>0</v>
      </c>
      <c r="K200" s="243">
        <f>(SUM('1.  LRAMVA Summary'!F$54:F$80)+SUM('1.  LRAMVA Summary'!F$81:F$82)*(MONTH($E200)-1)/12)*$H200</f>
        <v>0</v>
      </c>
      <c r="L200" s="243">
        <f>(SUM('1.  LRAMVA Summary'!G$54:G$80)+SUM('1.  LRAMVA Summary'!G$81:G$82)*(MONTH($E200)-1)/12)*$H200</f>
        <v>0</v>
      </c>
      <c r="M200" s="243">
        <f>(SUM('1.  LRAMVA Summary'!H$54:H$80)+SUM('1.  LRAMVA Summary'!H$81:H$82)*(MONTH($E200)-1)/12)*$H200</f>
        <v>0</v>
      </c>
      <c r="N200" s="243">
        <f>(SUM('1.  LRAMVA Summary'!I$54:I$80)+SUM('1.  LRAMVA Summary'!I$81:I$82)*(MONTH($E200)-1)/12)*$H200</f>
        <v>0</v>
      </c>
      <c r="O200" s="243">
        <f>(SUM('1.  LRAMVA Summary'!J$54:J$80)+SUM('1.  LRAMVA Summary'!J$81:J$82)*(MONTH($E200)-1)/12)*$H200</f>
        <v>0</v>
      </c>
      <c r="P200" s="243">
        <f>(SUM('1.  LRAMVA Summary'!K$54:K$80)+SUM('1.  LRAMVA Summary'!K$81:K$82)*(MONTH($E200)-1)/12)*$H200</f>
        <v>0</v>
      </c>
      <c r="Q200" s="243">
        <f>(SUM('1.  LRAMVA Summary'!L$54:L$80)+SUM('1.  LRAMVA Summary'!L$81:L$82)*(MONTH($E200)-1)/12)*$H200</f>
        <v>0</v>
      </c>
      <c r="R200" s="243">
        <f>(SUM('1.  LRAMVA Summary'!M$54:M$80)+SUM('1.  LRAMVA Summary'!M$81:M$82)*(MONTH($E200)-1)/12)*$H200</f>
        <v>0</v>
      </c>
      <c r="S200" s="243">
        <f>(SUM('1.  LRAMVA Summary'!N$54:N$80)+SUM('1.  LRAMVA Summary'!N$81:N$82)*(MONTH($E200)-1)/12)*$H200</f>
        <v>0</v>
      </c>
      <c r="T200" s="243">
        <f>(SUM('1.  LRAMVA Summary'!O$54:O$80)+SUM('1.  LRAMVA Summary'!O$81:O$82)*(MONTH($E200)-1)/12)*$H200</f>
        <v>0</v>
      </c>
      <c r="U200" s="243">
        <f>(SUM('1.  LRAMVA Summary'!P$54:P$80)+SUM('1.  LRAMVA Summary'!P$81:P$82)*(MONTH($E200)-1)/12)*$H200</f>
        <v>0</v>
      </c>
      <c r="V200" s="243">
        <f>(SUM('1.  LRAMVA Summary'!Q$54:Q$80)+SUM('1.  LRAMVA Summary'!Q$81:Q$82)*(MONTH($E200)-1)/12)*$H200</f>
        <v>0</v>
      </c>
      <c r="W200" s="244">
        <f t="shared" si="103"/>
        <v>0</v>
      </c>
    </row>
    <row r="201" spans="5:23">
      <c r="E201" s="227">
        <v>45108</v>
      </c>
      <c r="F201" s="227" t="s">
        <v>721</v>
      </c>
      <c r="G201" s="228" t="s">
        <v>68</v>
      </c>
      <c r="H201" s="253"/>
      <c r="I201" s="243">
        <f>(SUM('1.  LRAMVA Summary'!D$54:D$80)+SUM('1.  LRAMVA Summary'!D$81:D$82)*(MONTH($E201)-1)/12)*$H201</f>
        <v>0</v>
      </c>
      <c r="J201" s="243">
        <f>(SUM('1.  LRAMVA Summary'!E$54:E$80)+SUM('1.  LRAMVA Summary'!E$81:E$82)*(MONTH($E201)-1)/12)*$H201</f>
        <v>0</v>
      </c>
      <c r="K201" s="243">
        <f>(SUM('1.  LRAMVA Summary'!F$54:F$80)+SUM('1.  LRAMVA Summary'!F$81:F$82)*(MONTH($E201)-1)/12)*$H201</f>
        <v>0</v>
      </c>
      <c r="L201" s="243">
        <f>(SUM('1.  LRAMVA Summary'!G$54:G$80)+SUM('1.  LRAMVA Summary'!G$81:G$82)*(MONTH($E201)-1)/12)*$H201</f>
        <v>0</v>
      </c>
      <c r="M201" s="243">
        <f>(SUM('1.  LRAMVA Summary'!H$54:H$80)+SUM('1.  LRAMVA Summary'!H$81:H$82)*(MONTH($E201)-1)/12)*$H201</f>
        <v>0</v>
      </c>
      <c r="N201" s="243">
        <f>(SUM('1.  LRAMVA Summary'!I$54:I$80)+SUM('1.  LRAMVA Summary'!I$81:I$82)*(MONTH($E201)-1)/12)*$H201</f>
        <v>0</v>
      </c>
      <c r="O201" s="243">
        <f>(SUM('1.  LRAMVA Summary'!J$54:J$80)+SUM('1.  LRAMVA Summary'!J$81:J$82)*(MONTH($E201)-1)/12)*$H201</f>
        <v>0</v>
      </c>
      <c r="P201" s="243">
        <f>(SUM('1.  LRAMVA Summary'!K$54:K$80)+SUM('1.  LRAMVA Summary'!K$81:K$82)*(MONTH($E201)-1)/12)*$H201</f>
        <v>0</v>
      </c>
      <c r="Q201" s="243">
        <f>(SUM('1.  LRAMVA Summary'!L$54:L$80)+SUM('1.  LRAMVA Summary'!L$81:L$82)*(MONTH($E201)-1)/12)*$H201</f>
        <v>0</v>
      </c>
      <c r="R201" s="243">
        <f>(SUM('1.  LRAMVA Summary'!M$54:M$80)+SUM('1.  LRAMVA Summary'!M$81:M$82)*(MONTH($E201)-1)/12)*$H201</f>
        <v>0</v>
      </c>
      <c r="S201" s="243">
        <f>(SUM('1.  LRAMVA Summary'!N$54:N$80)+SUM('1.  LRAMVA Summary'!N$81:N$82)*(MONTH($E201)-1)/12)*$H201</f>
        <v>0</v>
      </c>
      <c r="T201" s="243">
        <f>(SUM('1.  LRAMVA Summary'!O$54:O$80)+SUM('1.  LRAMVA Summary'!O$81:O$82)*(MONTH($E201)-1)/12)*$H201</f>
        <v>0</v>
      </c>
      <c r="U201" s="243">
        <f>(SUM('1.  LRAMVA Summary'!P$54:P$80)+SUM('1.  LRAMVA Summary'!P$81:P$82)*(MONTH($E201)-1)/12)*$H201</f>
        <v>0</v>
      </c>
      <c r="V201" s="243">
        <f>(SUM('1.  LRAMVA Summary'!Q$54:Q$80)+SUM('1.  LRAMVA Summary'!Q$81:Q$82)*(MONTH($E201)-1)/12)*$H201</f>
        <v>0</v>
      </c>
      <c r="W201" s="244">
        <f t="shared" si="103"/>
        <v>0</v>
      </c>
    </row>
    <row r="202" spans="5:23">
      <c r="E202" s="227">
        <v>45139</v>
      </c>
      <c r="F202" s="227" t="s">
        <v>721</v>
      </c>
      <c r="G202" s="228" t="s">
        <v>68</v>
      </c>
      <c r="H202" s="253"/>
      <c r="I202" s="243">
        <f>(SUM('1.  LRAMVA Summary'!D$54:D$80)+SUM('1.  LRAMVA Summary'!D$81:D$82)*(MONTH($E202)-1)/12)*$H202</f>
        <v>0</v>
      </c>
      <c r="J202" s="243">
        <f>(SUM('1.  LRAMVA Summary'!E$54:E$80)+SUM('1.  LRAMVA Summary'!E$81:E$82)*(MONTH($E202)-1)/12)*$H202</f>
        <v>0</v>
      </c>
      <c r="K202" s="243">
        <f>(SUM('1.  LRAMVA Summary'!F$54:F$80)+SUM('1.  LRAMVA Summary'!F$81:F$82)*(MONTH($E202)-1)/12)*$H202</f>
        <v>0</v>
      </c>
      <c r="L202" s="243">
        <f>(SUM('1.  LRAMVA Summary'!G$54:G$80)+SUM('1.  LRAMVA Summary'!G$81:G$82)*(MONTH($E202)-1)/12)*$H202</f>
        <v>0</v>
      </c>
      <c r="M202" s="243">
        <f>(SUM('1.  LRAMVA Summary'!H$54:H$80)+SUM('1.  LRAMVA Summary'!H$81:H$82)*(MONTH($E202)-1)/12)*$H202</f>
        <v>0</v>
      </c>
      <c r="N202" s="243">
        <f>(SUM('1.  LRAMVA Summary'!I$54:I$80)+SUM('1.  LRAMVA Summary'!I$81:I$82)*(MONTH($E202)-1)/12)*$H202</f>
        <v>0</v>
      </c>
      <c r="O202" s="243">
        <f>(SUM('1.  LRAMVA Summary'!J$54:J$80)+SUM('1.  LRAMVA Summary'!J$81:J$82)*(MONTH($E202)-1)/12)*$H202</f>
        <v>0</v>
      </c>
      <c r="P202" s="243">
        <f>(SUM('1.  LRAMVA Summary'!K$54:K$80)+SUM('1.  LRAMVA Summary'!K$81:K$82)*(MONTH($E202)-1)/12)*$H202</f>
        <v>0</v>
      </c>
      <c r="Q202" s="243">
        <f>(SUM('1.  LRAMVA Summary'!L$54:L$80)+SUM('1.  LRAMVA Summary'!L$81:L$82)*(MONTH($E202)-1)/12)*$H202</f>
        <v>0</v>
      </c>
      <c r="R202" s="243">
        <f>(SUM('1.  LRAMVA Summary'!M$54:M$80)+SUM('1.  LRAMVA Summary'!M$81:M$82)*(MONTH($E202)-1)/12)*$H202</f>
        <v>0</v>
      </c>
      <c r="S202" s="243">
        <f>(SUM('1.  LRAMVA Summary'!N$54:N$80)+SUM('1.  LRAMVA Summary'!N$81:N$82)*(MONTH($E202)-1)/12)*$H202</f>
        <v>0</v>
      </c>
      <c r="T202" s="243">
        <f>(SUM('1.  LRAMVA Summary'!O$54:O$80)+SUM('1.  LRAMVA Summary'!O$81:O$82)*(MONTH($E202)-1)/12)*$H202</f>
        <v>0</v>
      </c>
      <c r="U202" s="243">
        <f>(SUM('1.  LRAMVA Summary'!P$54:P$80)+SUM('1.  LRAMVA Summary'!P$81:P$82)*(MONTH($E202)-1)/12)*$H202</f>
        <v>0</v>
      </c>
      <c r="V202" s="243">
        <f>(SUM('1.  LRAMVA Summary'!Q$54:Q$80)+SUM('1.  LRAMVA Summary'!Q$81:Q$82)*(MONTH($E202)-1)/12)*$H202</f>
        <v>0</v>
      </c>
      <c r="W202" s="244">
        <f t="shared" si="103"/>
        <v>0</v>
      </c>
    </row>
    <row r="203" spans="5:23">
      <c r="E203" s="227">
        <v>45170</v>
      </c>
      <c r="F203" s="227" t="s">
        <v>721</v>
      </c>
      <c r="G203" s="228" t="s">
        <v>68</v>
      </c>
      <c r="H203" s="253"/>
      <c r="I203" s="243">
        <f>(SUM('1.  LRAMVA Summary'!D$54:D$80)+SUM('1.  LRAMVA Summary'!D$81:D$82)*(MONTH($E203)-1)/12)*$H203</f>
        <v>0</v>
      </c>
      <c r="J203" s="243">
        <f>(SUM('1.  LRAMVA Summary'!E$54:E$80)+SUM('1.  LRAMVA Summary'!E$81:E$82)*(MONTH($E203)-1)/12)*$H203</f>
        <v>0</v>
      </c>
      <c r="K203" s="243">
        <f>(SUM('1.  LRAMVA Summary'!F$54:F$80)+SUM('1.  LRAMVA Summary'!F$81:F$82)*(MONTH($E203)-1)/12)*$H203</f>
        <v>0</v>
      </c>
      <c r="L203" s="243">
        <f>(SUM('1.  LRAMVA Summary'!G$54:G$80)+SUM('1.  LRAMVA Summary'!G$81:G$82)*(MONTH($E203)-1)/12)*$H203</f>
        <v>0</v>
      </c>
      <c r="M203" s="243">
        <f>(SUM('1.  LRAMVA Summary'!H$54:H$80)+SUM('1.  LRAMVA Summary'!H$81:H$82)*(MONTH($E203)-1)/12)*$H203</f>
        <v>0</v>
      </c>
      <c r="N203" s="243">
        <f>(SUM('1.  LRAMVA Summary'!I$54:I$80)+SUM('1.  LRAMVA Summary'!I$81:I$82)*(MONTH($E203)-1)/12)*$H203</f>
        <v>0</v>
      </c>
      <c r="O203" s="243">
        <f>(SUM('1.  LRAMVA Summary'!J$54:J$80)+SUM('1.  LRAMVA Summary'!J$81:J$82)*(MONTH($E203)-1)/12)*$H203</f>
        <v>0</v>
      </c>
      <c r="P203" s="243">
        <f>(SUM('1.  LRAMVA Summary'!K$54:K$80)+SUM('1.  LRAMVA Summary'!K$81:K$82)*(MONTH($E203)-1)/12)*$H203</f>
        <v>0</v>
      </c>
      <c r="Q203" s="243">
        <f>(SUM('1.  LRAMVA Summary'!L$54:L$80)+SUM('1.  LRAMVA Summary'!L$81:L$82)*(MONTH($E203)-1)/12)*$H203</f>
        <v>0</v>
      </c>
      <c r="R203" s="243">
        <f>(SUM('1.  LRAMVA Summary'!M$54:M$80)+SUM('1.  LRAMVA Summary'!M$81:M$82)*(MONTH($E203)-1)/12)*$H203</f>
        <v>0</v>
      </c>
      <c r="S203" s="243">
        <f>(SUM('1.  LRAMVA Summary'!N$54:N$80)+SUM('1.  LRAMVA Summary'!N$81:N$82)*(MONTH($E203)-1)/12)*$H203</f>
        <v>0</v>
      </c>
      <c r="T203" s="243">
        <f>(SUM('1.  LRAMVA Summary'!O$54:O$80)+SUM('1.  LRAMVA Summary'!O$81:O$82)*(MONTH($E203)-1)/12)*$H203</f>
        <v>0</v>
      </c>
      <c r="U203" s="243">
        <f>(SUM('1.  LRAMVA Summary'!P$54:P$80)+SUM('1.  LRAMVA Summary'!P$81:P$82)*(MONTH($E203)-1)/12)*$H203</f>
        <v>0</v>
      </c>
      <c r="V203" s="243">
        <f>(SUM('1.  LRAMVA Summary'!Q$54:Q$80)+SUM('1.  LRAMVA Summary'!Q$81:Q$82)*(MONTH($E203)-1)/12)*$H203</f>
        <v>0</v>
      </c>
      <c r="W203" s="244">
        <f t="shared" si="103"/>
        <v>0</v>
      </c>
    </row>
    <row r="204" spans="5:23">
      <c r="E204" s="227">
        <v>45200</v>
      </c>
      <c r="F204" s="227" t="s">
        <v>721</v>
      </c>
      <c r="G204" s="228" t="s">
        <v>69</v>
      </c>
      <c r="H204" s="253"/>
      <c r="I204" s="243">
        <f>(SUM('1.  LRAMVA Summary'!D$54:D$80)+SUM('1.  LRAMVA Summary'!D$81:D$82)*(MONTH($E204)-1)/12)*$H204</f>
        <v>0</v>
      </c>
      <c r="J204" s="243">
        <f>(SUM('1.  LRAMVA Summary'!E$54:E$80)+SUM('1.  LRAMVA Summary'!E$81:E$82)*(MONTH($E204)-1)/12)*$H204</f>
        <v>0</v>
      </c>
      <c r="K204" s="243">
        <f>(SUM('1.  LRAMVA Summary'!F$54:F$80)+SUM('1.  LRAMVA Summary'!F$81:F$82)*(MONTH($E204)-1)/12)*$H204</f>
        <v>0</v>
      </c>
      <c r="L204" s="243">
        <f>(SUM('1.  LRAMVA Summary'!G$54:G$80)+SUM('1.  LRAMVA Summary'!G$81:G$82)*(MONTH($E204)-1)/12)*$H204</f>
        <v>0</v>
      </c>
      <c r="M204" s="243">
        <f>(SUM('1.  LRAMVA Summary'!H$54:H$80)+SUM('1.  LRAMVA Summary'!H$81:H$82)*(MONTH($E204)-1)/12)*$H204</f>
        <v>0</v>
      </c>
      <c r="N204" s="243">
        <f>(SUM('1.  LRAMVA Summary'!I$54:I$80)+SUM('1.  LRAMVA Summary'!I$81:I$82)*(MONTH($E204)-1)/12)*$H204</f>
        <v>0</v>
      </c>
      <c r="O204" s="243">
        <f>(SUM('1.  LRAMVA Summary'!J$54:J$80)+SUM('1.  LRAMVA Summary'!J$81:J$82)*(MONTH($E204)-1)/12)*$H204</f>
        <v>0</v>
      </c>
      <c r="P204" s="243">
        <f>(SUM('1.  LRAMVA Summary'!K$54:K$80)+SUM('1.  LRAMVA Summary'!K$81:K$82)*(MONTH($E204)-1)/12)*$H204</f>
        <v>0</v>
      </c>
      <c r="Q204" s="243">
        <f>(SUM('1.  LRAMVA Summary'!L$54:L$80)+SUM('1.  LRAMVA Summary'!L$81:L$82)*(MONTH($E204)-1)/12)*$H204</f>
        <v>0</v>
      </c>
      <c r="R204" s="243">
        <f>(SUM('1.  LRAMVA Summary'!M$54:M$80)+SUM('1.  LRAMVA Summary'!M$81:M$82)*(MONTH($E204)-1)/12)*$H204</f>
        <v>0</v>
      </c>
      <c r="S204" s="243">
        <f>(SUM('1.  LRAMVA Summary'!N$54:N$80)+SUM('1.  LRAMVA Summary'!N$81:N$82)*(MONTH($E204)-1)/12)*$H204</f>
        <v>0</v>
      </c>
      <c r="T204" s="243">
        <f>(SUM('1.  LRAMVA Summary'!O$54:O$80)+SUM('1.  LRAMVA Summary'!O$81:O$82)*(MONTH($E204)-1)/12)*$H204</f>
        <v>0</v>
      </c>
      <c r="U204" s="243">
        <f>(SUM('1.  LRAMVA Summary'!P$54:P$80)+SUM('1.  LRAMVA Summary'!P$81:P$82)*(MONTH($E204)-1)/12)*$H204</f>
        <v>0</v>
      </c>
      <c r="V204" s="243">
        <f>(SUM('1.  LRAMVA Summary'!Q$54:Q$80)+SUM('1.  LRAMVA Summary'!Q$81:Q$82)*(MONTH($E204)-1)/12)*$H204</f>
        <v>0</v>
      </c>
      <c r="W204" s="244">
        <f t="shared" si="103"/>
        <v>0</v>
      </c>
    </row>
    <row r="205" spans="5:23">
      <c r="E205" s="227">
        <v>45231</v>
      </c>
      <c r="F205" s="227" t="s">
        <v>721</v>
      </c>
      <c r="G205" s="228" t="s">
        <v>69</v>
      </c>
      <c r="H205" s="253"/>
      <c r="I205" s="243">
        <f>(SUM('1.  LRAMVA Summary'!D$54:D$80)+SUM('1.  LRAMVA Summary'!D$81:D$82)*(MONTH($E205)-1)/12)*$H205</f>
        <v>0</v>
      </c>
      <c r="J205" s="243">
        <f>(SUM('1.  LRAMVA Summary'!E$54:E$80)+SUM('1.  LRAMVA Summary'!E$81:E$82)*(MONTH($E205)-1)/12)*$H205</f>
        <v>0</v>
      </c>
      <c r="K205" s="243">
        <f>(SUM('1.  LRAMVA Summary'!F$54:F$80)+SUM('1.  LRAMVA Summary'!F$81:F$82)*(MONTH($E205)-1)/12)*$H205</f>
        <v>0</v>
      </c>
      <c r="L205" s="243">
        <f>(SUM('1.  LRAMVA Summary'!G$54:G$80)+SUM('1.  LRAMVA Summary'!G$81:G$82)*(MONTH($E205)-1)/12)*$H205</f>
        <v>0</v>
      </c>
      <c r="M205" s="243">
        <f>(SUM('1.  LRAMVA Summary'!H$54:H$80)+SUM('1.  LRAMVA Summary'!H$81:H$82)*(MONTH($E205)-1)/12)*$H205</f>
        <v>0</v>
      </c>
      <c r="N205" s="243">
        <f>(SUM('1.  LRAMVA Summary'!I$54:I$80)+SUM('1.  LRAMVA Summary'!I$81:I$82)*(MONTH($E205)-1)/12)*$H205</f>
        <v>0</v>
      </c>
      <c r="O205" s="243">
        <f>(SUM('1.  LRAMVA Summary'!J$54:J$80)+SUM('1.  LRAMVA Summary'!J$81:J$82)*(MONTH($E205)-1)/12)*$H205</f>
        <v>0</v>
      </c>
      <c r="P205" s="243">
        <f>(SUM('1.  LRAMVA Summary'!K$54:K$80)+SUM('1.  LRAMVA Summary'!K$81:K$82)*(MONTH($E205)-1)/12)*$H205</f>
        <v>0</v>
      </c>
      <c r="Q205" s="243">
        <f>(SUM('1.  LRAMVA Summary'!L$54:L$80)+SUM('1.  LRAMVA Summary'!L$81:L$82)*(MONTH($E205)-1)/12)*$H205</f>
        <v>0</v>
      </c>
      <c r="R205" s="243">
        <f>(SUM('1.  LRAMVA Summary'!M$54:M$80)+SUM('1.  LRAMVA Summary'!M$81:M$82)*(MONTH($E205)-1)/12)*$H205</f>
        <v>0</v>
      </c>
      <c r="S205" s="243">
        <f>(SUM('1.  LRAMVA Summary'!N$54:N$80)+SUM('1.  LRAMVA Summary'!N$81:N$82)*(MONTH($E205)-1)/12)*$H205</f>
        <v>0</v>
      </c>
      <c r="T205" s="243">
        <f>(SUM('1.  LRAMVA Summary'!O$54:O$80)+SUM('1.  LRAMVA Summary'!O$81:O$82)*(MONTH($E205)-1)/12)*$H205</f>
        <v>0</v>
      </c>
      <c r="U205" s="243">
        <f>(SUM('1.  LRAMVA Summary'!P$54:P$80)+SUM('1.  LRAMVA Summary'!P$81:P$82)*(MONTH($E205)-1)/12)*$H205</f>
        <v>0</v>
      </c>
      <c r="V205" s="243">
        <f>(SUM('1.  LRAMVA Summary'!Q$54:Q$80)+SUM('1.  LRAMVA Summary'!Q$81:Q$82)*(MONTH($E205)-1)/12)*$H205</f>
        <v>0</v>
      </c>
      <c r="W205" s="244">
        <f t="shared" si="103"/>
        <v>0</v>
      </c>
    </row>
    <row r="206" spans="5:23">
      <c r="E206" s="227">
        <v>45261</v>
      </c>
      <c r="F206" s="227" t="s">
        <v>721</v>
      </c>
      <c r="G206" s="228" t="s">
        <v>69</v>
      </c>
      <c r="H206" s="253"/>
      <c r="I206" s="243">
        <f>(SUM('1.  LRAMVA Summary'!D$54:D$80)+SUM('1.  LRAMVA Summary'!D$81:D$82)*(MONTH($E206)-1)/12)*$H206</f>
        <v>0</v>
      </c>
      <c r="J206" s="243">
        <f>(SUM('1.  LRAMVA Summary'!E$54:E$80)+SUM('1.  LRAMVA Summary'!E$81:E$82)*(MONTH($E206)-1)/12)*$H206</f>
        <v>0</v>
      </c>
      <c r="K206" s="243">
        <f>(SUM('1.  LRAMVA Summary'!F$54:F$80)+SUM('1.  LRAMVA Summary'!F$81:F$82)*(MONTH($E206)-1)/12)*$H206</f>
        <v>0</v>
      </c>
      <c r="L206" s="243">
        <f>(SUM('1.  LRAMVA Summary'!G$54:G$80)+SUM('1.  LRAMVA Summary'!G$81:G$82)*(MONTH($E206)-1)/12)*$H206</f>
        <v>0</v>
      </c>
      <c r="M206" s="243">
        <f>(SUM('1.  LRAMVA Summary'!H$54:H$80)+SUM('1.  LRAMVA Summary'!H$81:H$82)*(MONTH($E206)-1)/12)*$H206</f>
        <v>0</v>
      </c>
      <c r="N206" s="243">
        <f>(SUM('1.  LRAMVA Summary'!I$54:I$80)+SUM('1.  LRAMVA Summary'!I$81:I$82)*(MONTH($E206)-1)/12)*$H206</f>
        <v>0</v>
      </c>
      <c r="O206" s="243">
        <f>(SUM('1.  LRAMVA Summary'!J$54:J$80)+SUM('1.  LRAMVA Summary'!J$81:J$82)*(MONTH($E206)-1)/12)*$H206</f>
        <v>0</v>
      </c>
      <c r="P206" s="243">
        <f>(SUM('1.  LRAMVA Summary'!K$54:K$80)+SUM('1.  LRAMVA Summary'!K$81:K$82)*(MONTH($E206)-1)/12)*$H206</f>
        <v>0</v>
      </c>
      <c r="Q206" s="243">
        <f>(SUM('1.  LRAMVA Summary'!L$54:L$80)+SUM('1.  LRAMVA Summary'!L$81:L$82)*(MONTH($E206)-1)/12)*$H206</f>
        <v>0</v>
      </c>
      <c r="R206" s="243">
        <f>(SUM('1.  LRAMVA Summary'!M$54:M$80)+SUM('1.  LRAMVA Summary'!M$81:M$82)*(MONTH($E206)-1)/12)*$H206</f>
        <v>0</v>
      </c>
      <c r="S206" s="243">
        <f>(SUM('1.  LRAMVA Summary'!N$54:N$80)+SUM('1.  LRAMVA Summary'!N$81:N$82)*(MONTH($E206)-1)/12)*$H206</f>
        <v>0</v>
      </c>
      <c r="T206" s="243">
        <f>(SUM('1.  LRAMVA Summary'!O$54:O$80)+SUM('1.  LRAMVA Summary'!O$81:O$82)*(MONTH($E206)-1)/12)*$H206</f>
        <v>0</v>
      </c>
      <c r="U206" s="243">
        <f>(SUM('1.  LRAMVA Summary'!P$54:P$80)+SUM('1.  LRAMVA Summary'!P$81:P$82)*(MONTH($E206)-1)/12)*$H206</f>
        <v>0</v>
      </c>
      <c r="V206" s="243">
        <f>(SUM('1.  LRAMVA Summary'!Q$54:Q$80)+SUM('1.  LRAMVA Summary'!Q$81:Q$82)*(MONTH($E206)-1)/12)*$H206</f>
        <v>0</v>
      </c>
      <c r="W206" s="244">
        <f>SUM(I206:V206)</f>
        <v>0</v>
      </c>
    </row>
    <row r="207" spans="5:23" ht="15" thickBot="1">
      <c r="E207" s="229" t="s">
        <v>718</v>
      </c>
      <c r="F207" s="229"/>
      <c r="G207" s="230"/>
      <c r="H207" s="231"/>
      <c r="I207" s="232">
        <f>SUM(I194:I206)</f>
        <v>10299.102433618413</v>
      </c>
      <c r="J207" s="232">
        <f>SUM(J194:J206)</f>
        <v>6970.4416227476995</v>
      </c>
      <c r="K207" s="232">
        <f t="shared" ref="K207:V207" si="104">SUM(K194:K206)</f>
        <v>2557.8260142545346</v>
      </c>
      <c r="L207" s="232">
        <f t="shared" si="104"/>
        <v>1954.4843743759639</v>
      </c>
      <c r="M207" s="232">
        <f t="shared" si="104"/>
        <v>0</v>
      </c>
      <c r="N207" s="232">
        <f t="shared" si="104"/>
        <v>0</v>
      </c>
      <c r="O207" s="232">
        <f t="shared" si="104"/>
        <v>-874.37472369209672</v>
      </c>
      <c r="P207" s="232">
        <f t="shared" si="104"/>
        <v>0</v>
      </c>
      <c r="Q207" s="232">
        <f t="shared" si="104"/>
        <v>0</v>
      </c>
      <c r="R207" s="232">
        <f t="shared" si="104"/>
        <v>0</v>
      </c>
      <c r="S207" s="232">
        <f t="shared" si="104"/>
        <v>0</v>
      </c>
      <c r="T207" s="232">
        <f t="shared" si="104"/>
        <v>0</v>
      </c>
      <c r="U207" s="232">
        <f t="shared" si="104"/>
        <v>0</v>
      </c>
      <c r="V207" s="232">
        <f t="shared" si="104"/>
        <v>0</v>
      </c>
      <c r="W207" s="232">
        <f>SUM(W194:W206)</f>
        <v>20907.479721304502</v>
      </c>
    </row>
    <row r="208" spans="5:23" ht="15" thickTop="1">
      <c r="E208" s="233" t="s">
        <v>67</v>
      </c>
      <c r="F208" s="233"/>
      <c r="G208" s="234"/>
      <c r="H208" s="235"/>
      <c r="I208" s="236"/>
      <c r="J208" s="236"/>
      <c r="K208" s="236"/>
      <c r="L208" s="236"/>
      <c r="M208" s="236"/>
      <c r="N208" s="236"/>
      <c r="O208" s="236"/>
      <c r="P208" s="236"/>
      <c r="Q208" s="236"/>
      <c r="R208" s="236"/>
      <c r="S208" s="236"/>
      <c r="T208" s="236"/>
      <c r="U208" s="236"/>
      <c r="V208" s="236"/>
      <c r="W208" s="237"/>
    </row>
    <row r="209" spans="5:23">
      <c r="E209" s="238" t="s">
        <v>736</v>
      </c>
      <c r="F209" s="238"/>
      <c r="G209" s="239"/>
      <c r="H209" s="240"/>
      <c r="I209" s="241">
        <f>I207+I208</f>
        <v>10299.102433618413</v>
      </c>
      <c r="J209" s="241">
        <f t="shared" ref="J209:U209" si="105">J207+J208</f>
        <v>6970.4416227476995</v>
      </c>
      <c r="K209" s="241">
        <f t="shared" si="105"/>
        <v>2557.8260142545346</v>
      </c>
      <c r="L209" s="241">
        <f t="shared" si="105"/>
        <v>1954.4843743759639</v>
      </c>
      <c r="M209" s="241">
        <f t="shared" si="105"/>
        <v>0</v>
      </c>
      <c r="N209" s="241">
        <f t="shared" si="105"/>
        <v>0</v>
      </c>
      <c r="O209" s="241">
        <f t="shared" si="105"/>
        <v>-874.37472369209672</v>
      </c>
      <c r="P209" s="241">
        <f t="shared" si="105"/>
        <v>0</v>
      </c>
      <c r="Q209" s="241">
        <f t="shared" si="105"/>
        <v>0</v>
      </c>
      <c r="R209" s="241">
        <f t="shared" si="105"/>
        <v>0</v>
      </c>
      <c r="S209" s="241">
        <f t="shared" si="105"/>
        <v>0</v>
      </c>
      <c r="T209" s="241">
        <f t="shared" si="105"/>
        <v>0</v>
      </c>
      <c r="U209" s="241">
        <f t="shared" si="105"/>
        <v>0</v>
      </c>
      <c r="V209" s="241">
        <f>V207+V208</f>
        <v>0</v>
      </c>
      <c r="W209" s="241">
        <f>W207+W208</f>
        <v>20907.479721304502</v>
      </c>
    </row>
    <row r="210" spans="5:23">
      <c r="E210" s="227">
        <v>45292</v>
      </c>
      <c r="F210" s="227" t="s">
        <v>740</v>
      </c>
      <c r="G210" s="228" t="s">
        <v>65</v>
      </c>
      <c r="H210" s="253"/>
      <c r="I210" s="243">
        <f>(SUM('1.  LRAMVA Summary'!D$54:D$80)+SUM('1.  LRAMVA Summary'!D$81:D$82)*(MONTH($E210)-1)/12)*$H210</f>
        <v>0</v>
      </c>
      <c r="J210" s="243">
        <f>(SUM('1.  LRAMVA Summary'!E$54:E$80)+SUM('1.  LRAMVA Summary'!E$81:E$82)*(MONTH($E210)-1)/12)*$H210</f>
        <v>0</v>
      </c>
      <c r="K210" s="243">
        <f>(SUM('1.  LRAMVA Summary'!F$54:F$80)+SUM('1.  LRAMVA Summary'!F$81:F$82)*(MONTH($E210)-1)/12)*$H210</f>
        <v>0</v>
      </c>
      <c r="L210" s="243">
        <f>(SUM('1.  LRAMVA Summary'!G$54:G$80)+SUM('1.  LRAMVA Summary'!G$81:G$82)*(MONTH($E210)-1)/12)*$H210</f>
        <v>0</v>
      </c>
      <c r="M210" s="243">
        <f>(SUM('1.  LRAMVA Summary'!H$54:H$80)+SUM('1.  LRAMVA Summary'!H$81:H$82)*(MONTH($E210)-1)/12)*$H210</f>
        <v>0</v>
      </c>
      <c r="N210" s="243">
        <f>(SUM('1.  LRAMVA Summary'!I$54:I$80)+SUM('1.  LRAMVA Summary'!I$81:I$82)*(MONTH($E210)-1)/12)*$H210</f>
        <v>0</v>
      </c>
      <c r="O210" s="243">
        <f>(SUM('1.  LRAMVA Summary'!J$54:J$80)+SUM('1.  LRAMVA Summary'!J$81:J$82)*(MONTH($E210)-1)/12)*$H210</f>
        <v>0</v>
      </c>
      <c r="P210" s="243">
        <f>(SUM('1.  LRAMVA Summary'!K$54:K$80)+SUM('1.  LRAMVA Summary'!K$81:K$82)*(MONTH($E210)-1)/12)*$H210</f>
        <v>0</v>
      </c>
      <c r="Q210" s="243">
        <f>(SUM('1.  LRAMVA Summary'!L$54:L$80)+SUM('1.  LRAMVA Summary'!L$81:L$82)*(MONTH($E210)-1)/12)*$H210</f>
        <v>0</v>
      </c>
      <c r="R210" s="243">
        <f>(SUM('1.  LRAMVA Summary'!M$54:M$80)+SUM('1.  LRAMVA Summary'!M$81:M$82)*(MONTH($E210)-1)/12)*$H210</f>
        <v>0</v>
      </c>
      <c r="S210" s="243">
        <f>(SUM('1.  LRAMVA Summary'!N$54:N$80)+SUM('1.  LRAMVA Summary'!N$81:N$82)*(MONTH($E210)-1)/12)*$H210</f>
        <v>0</v>
      </c>
      <c r="T210" s="243">
        <f>(SUM('1.  LRAMVA Summary'!O$54:O$80)+SUM('1.  LRAMVA Summary'!O$81:O$82)*(MONTH($E210)-1)/12)*$H210</f>
        <v>0</v>
      </c>
      <c r="U210" s="243">
        <f>(SUM('1.  LRAMVA Summary'!P$54:P$80)+SUM('1.  LRAMVA Summary'!P$81:P$82)*(MONTH($E210)-1)/12)*$H210</f>
        <v>0</v>
      </c>
      <c r="V210" s="243">
        <f>(SUM('1.  LRAMVA Summary'!Q$54:Q$80)+SUM('1.  LRAMVA Summary'!Q$81:Q$82)*(MONTH($E210)-1)/12)*$H210</f>
        <v>0</v>
      </c>
      <c r="W210" s="244">
        <f>SUM(I210:V210)</f>
        <v>0</v>
      </c>
    </row>
    <row r="211" spans="5:23">
      <c r="E211" s="227">
        <v>45323</v>
      </c>
      <c r="F211" s="227" t="s">
        <v>740</v>
      </c>
      <c r="G211" s="228" t="s">
        <v>65</v>
      </c>
      <c r="H211" s="253"/>
      <c r="I211" s="243">
        <f>(SUM('1.  LRAMVA Summary'!D$54:D$80)+SUM('1.  LRAMVA Summary'!D$81:D$82)*(MONTH($E211)-1)/12)*$H211</f>
        <v>0</v>
      </c>
      <c r="J211" s="243">
        <f>(SUM('1.  LRAMVA Summary'!E$54:E$80)+SUM('1.  LRAMVA Summary'!E$81:E$82)*(MONTH($E211)-1)/12)*$H211</f>
        <v>0</v>
      </c>
      <c r="K211" s="243">
        <f>(SUM('1.  LRAMVA Summary'!F$54:F$80)+SUM('1.  LRAMVA Summary'!F$81:F$82)*(MONTH($E211)-1)/12)*$H211</f>
        <v>0</v>
      </c>
      <c r="L211" s="243">
        <f>(SUM('1.  LRAMVA Summary'!G$54:G$80)+SUM('1.  LRAMVA Summary'!G$81:G$82)*(MONTH($E211)-1)/12)*$H211</f>
        <v>0</v>
      </c>
      <c r="M211" s="243">
        <f>(SUM('1.  LRAMVA Summary'!H$54:H$80)+SUM('1.  LRAMVA Summary'!H$81:H$82)*(MONTH($E211)-1)/12)*$H211</f>
        <v>0</v>
      </c>
      <c r="N211" s="243">
        <f>(SUM('1.  LRAMVA Summary'!I$54:I$80)+SUM('1.  LRAMVA Summary'!I$81:I$82)*(MONTH($E211)-1)/12)*$H211</f>
        <v>0</v>
      </c>
      <c r="O211" s="243">
        <f>(SUM('1.  LRAMVA Summary'!J$54:J$80)+SUM('1.  LRAMVA Summary'!J$81:J$82)*(MONTH($E211)-1)/12)*$H211</f>
        <v>0</v>
      </c>
      <c r="P211" s="243">
        <f>(SUM('1.  LRAMVA Summary'!K$54:K$80)+SUM('1.  LRAMVA Summary'!K$81:K$82)*(MONTH($E211)-1)/12)*$H211</f>
        <v>0</v>
      </c>
      <c r="Q211" s="243">
        <f>(SUM('1.  LRAMVA Summary'!L$54:L$80)+SUM('1.  LRAMVA Summary'!L$81:L$82)*(MONTH($E211)-1)/12)*$H211</f>
        <v>0</v>
      </c>
      <c r="R211" s="243">
        <f>(SUM('1.  LRAMVA Summary'!M$54:M$80)+SUM('1.  LRAMVA Summary'!M$81:M$82)*(MONTH($E211)-1)/12)*$H211</f>
        <v>0</v>
      </c>
      <c r="S211" s="243">
        <f>(SUM('1.  LRAMVA Summary'!N$54:N$80)+SUM('1.  LRAMVA Summary'!N$81:N$82)*(MONTH($E211)-1)/12)*$H211</f>
        <v>0</v>
      </c>
      <c r="T211" s="243">
        <f>(SUM('1.  LRAMVA Summary'!O$54:O$80)+SUM('1.  LRAMVA Summary'!O$81:O$82)*(MONTH($E211)-1)/12)*$H211</f>
        <v>0</v>
      </c>
      <c r="U211" s="243">
        <f>(SUM('1.  LRAMVA Summary'!P$54:P$80)+SUM('1.  LRAMVA Summary'!P$81:P$82)*(MONTH($E211)-1)/12)*$H211</f>
        <v>0</v>
      </c>
      <c r="V211" s="243">
        <f>(SUM('1.  LRAMVA Summary'!Q$54:Q$80)+SUM('1.  LRAMVA Summary'!Q$81:Q$82)*(MONTH($E211)-1)/12)*$H211</f>
        <v>0</v>
      </c>
      <c r="W211" s="244">
        <f t="shared" ref="W211:W220" si="106">SUM(I211:V211)</f>
        <v>0</v>
      </c>
    </row>
    <row r="212" spans="5:23">
      <c r="E212" s="227">
        <v>45352</v>
      </c>
      <c r="F212" s="227" t="s">
        <v>740</v>
      </c>
      <c r="G212" s="228" t="s">
        <v>65</v>
      </c>
      <c r="H212" s="253"/>
      <c r="I212" s="243">
        <f>(SUM('1.  LRAMVA Summary'!D$54:D$80)+SUM('1.  LRAMVA Summary'!D$81:D$82)*(MONTH($E212)-1)/12)*$H212</f>
        <v>0</v>
      </c>
      <c r="J212" s="243">
        <f>(SUM('1.  LRAMVA Summary'!E$54:E$80)+SUM('1.  LRAMVA Summary'!E$81:E$82)*(MONTH($E212)-1)/12)*$H212</f>
        <v>0</v>
      </c>
      <c r="K212" s="243">
        <f>(SUM('1.  LRAMVA Summary'!F$54:F$80)+SUM('1.  LRAMVA Summary'!F$81:F$82)*(MONTH($E212)-1)/12)*$H212</f>
        <v>0</v>
      </c>
      <c r="L212" s="243">
        <f>(SUM('1.  LRAMVA Summary'!G$54:G$80)+SUM('1.  LRAMVA Summary'!G$81:G$82)*(MONTH($E212)-1)/12)*$H212</f>
        <v>0</v>
      </c>
      <c r="M212" s="243">
        <f>(SUM('1.  LRAMVA Summary'!H$54:H$80)+SUM('1.  LRAMVA Summary'!H$81:H$82)*(MONTH($E212)-1)/12)*$H212</f>
        <v>0</v>
      </c>
      <c r="N212" s="243">
        <f>(SUM('1.  LRAMVA Summary'!I$54:I$80)+SUM('1.  LRAMVA Summary'!I$81:I$82)*(MONTH($E212)-1)/12)*$H212</f>
        <v>0</v>
      </c>
      <c r="O212" s="243">
        <f>(SUM('1.  LRAMVA Summary'!J$54:J$80)+SUM('1.  LRAMVA Summary'!J$81:J$82)*(MONTH($E212)-1)/12)*$H212</f>
        <v>0</v>
      </c>
      <c r="P212" s="243">
        <f>(SUM('1.  LRAMVA Summary'!K$54:K$80)+SUM('1.  LRAMVA Summary'!K$81:K$82)*(MONTH($E212)-1)/12)*$H212</f>
        <v>0</v>
      </c>
      <c r="Q212" s="243">
        <f>(SUM('1.  LRAMVA Summary'!L$54:L$80)+SUM('1.  LRAMVA Summary'!L$81:L$82)*(MONTH($E212)-1)/12)*$H212</f>
        <v>0</v>
      </c>
      <c r="R212" s="243">
        <f>(SUM('1.  LRAMVA Summary'!M$54:M$80)+SUM('1.  LRAMVA Summary'!M$81:M$82)*(MONTH($E212)-1)/12)*$H212</f>
        <v>0</v>
      </c>
      <c r="S212" s="243">
        <f>(SUM('1.  LRAMVA Summary'!N$54:N$80)+SUM('1.  LRAMVA Summary'!N$81:N$82)*(MONTH($E212)-1)/12)*$H212</f>
        <v>0</v>
      </c>
      <c r="T212" s="243">
        <f>(SUM('1.  LRAMVA Summary'!O$54:O$80)+SUM('1.  LRAMVA Summary'!O$81:O$82)*(MONTH($E212)-1)/12)*$H212</f>
        <v>0</v>
      </c>
      <c r="U212" s="243">
        <f>(SUM('1.  LRAMVA Summary'!P$54:P$80)+SUM('1.  LRAMVA Summary'!P$81:P$82)*(MONTH($E212)-1)/12)*$H212</f>
        <v>0</v>
      </c>
      <c r="V212" s="243">
        <f>(SUM('1.  LRAMVA Summary'!Q$54:Q$80)+SUM('1.  LRAMVA Summary'!Q$81:Q$82)*(MONTH($E212)-1)/12)*$H212</f>
        <v>0</v>
      </c>
      <c r="W212" s="244">
        <f t="shared" si="106"/>
        <v>0</v>
      </c>
    </row>
    <row r="213" spans="5:23">
      <c r="E213" s="227">
        <v>45383</v>
      </c>
      <c r="F213" s="227" t="s">
        <v>740</v>
      </c>
      <c r="G213" s="228" t="s">
        <v>66</v>
      </c>
      <c r="H213" s="253"/>
      <c r="I213" s="243">
        <f>(SUM('1.  LRAMVA Summary'!D$54:D$80)+SUM('1.  LRAMVA Summary'!D$81:D$82)*(MONTH($E213)-1)/12)*$H213</f>
        <v>0</v>
      </c>
      <c r="J213" s="243">
        <f>(SUM('1.  LRAMVA Summary'!E$54:E$80)+SUM('1.  LRAMVA Summary'!E$81:E$82)*(MONTH($E213)-1)/12)*$H213</f>
        <v>0</v>
      </c>
      <c r="K213" s="243">
        <f>(SUM('1.  LRAMVA Summary'!F$54:F$80)+SUM('1.  LRAMVA Summary'!F$81:F$82)*(MONTH($E213)-1)/12)*$H213</f>
        <v>0</v>
      </c>
      <c r="L213" s="243">
        <f>(SUM('1.  LRAMVA Summary'!G$54:G$80)+SUM('1.  LRAMVA Summary'!G$81:G$82)*(MONTH($E213)-1)/12)*$H213</f>
        <v>0</v>
      </c>
      <c r="M213" s="243">
        <f>(SUM('1.  LRAMVA Summary'!H$54:H$80)+SUM('1.  LRAMVA Summary'!H$81:H$82)*(MONTH($E213)-1)/12)*$H213</f>
        <v>0</v>
      </c>
      <c r="N213" s="243">
        <f>(SUM('1.  LRAMVA Summary'!I$54:I$80)+SUM('1.  LRAMVA Summary'!I$81:I$82)*(MONTH($E213)-1)/12)*$H213</f>
        <v>0</v>
      </c>
      <c r="O213" s="243">
        <f>(SUM('1.  LRAMVA Summary'!J$54:J$80)+SUM('1.  LRAMVA Summary'!J$81:J$82)*(MONTH($E213)-1)/12)*$H213</f>
        <v>0</v>
      </c>
      <c r="P213" s="243">
        <f>(SUM('1.  LRAMVA Summary'!K$54:K$80)+SUM('1.  LRAMVA Summary'!K$81:K$82)*(MONTH($E213)-1)/12)*$H213</f>
        <v>0</v>
      </c>
      <c r="Q213" s="243">
        <f>(SUM('1.  LRAMVA Summary'!L$54:L$80)+SUM('1.  LRAMVA Summary'!L$81:L$82)*(MONTH($E213)-1)/12)*$H213</f>
        <v>0</v>
      </c>
      <c r="R213" s="243">
        <f>(SUM('1.  LRAMVA Summary'!M$54:M$80)+SUM('1.  LRAMVA Summary'!M$81:M$82)*(MONTH($E213)-1)/12)*$H213</f>
        <v>0</v>
      </c>
      <c r="S213" s="243">
        <f>(SUM('1.  LRAMVA Summary'!N$54:N$80)+SUM('1.  LRAMVA Summary'!N$81:N$82)*(MONTH($E213)-1)/12)*$H213</f>
        <v>0</v>
      </c>
      <c r="T213" s="243">
        <f>(SUM('1.  LRAMVA Summary'!O$54:O$80)+SUM('1.  LRAMVA Summary'!O$81:O$82)*(MONTH($E213)-1)/12)*$H213</f>
        <v>0</v>
      </c>
      <c r="U213" s="243">
        <f>(SUM('1.  LRAMVA Summary'!P$54:P$80)+SUM('1.  LRAMVA Summary'!P$81:P$82)*(MONTH($E213)-1)/12)*$H213</f>
        <v>0</v>
      </c>
      <c r="V213" s="243">
        <f>(SUM('1.  LRAMVA Summary'!Q$54:Q$80)+SUM('1.  LRAMVA Summary'!Q$81:Q$82)*(MONTH($E213)-1)/12)*$H213</f>
        <v>0</v>
      </c>
      <c r="W213" s="244">
        <f t="shared" si="106"/>
        <v>0</v>
      </c>
    </row>
    <row r="214" spans="5:23">
      <c r="E214" s="227">
        <v>45413</v>
      </c>
      <c r="F214" s="227" t="s">
        <v>740</v>
      </c>
      <c r="G214" s="228" t="s">
        <v>66</v>
      </c>
      <c r="H214" s="253"/>
      <c r="I214" s="243">
        <f>(SUM('1.  LRAMVA Summary'!D$54:D$80)+SUM('1.  LRAMVA Summary'!D$81:D$82)*(MONTH($E214)-1)/12)*$H214</f>
        <v>0</v>
      </c>
      <c r="J214" s="243">
        <f>(SUM('1.  LRAMVA Summary'!E$54:E$80)+SUM('1.  LRAMVA Summary'!E$81:E$82)*(MONTH($E214)-1)/12)*$H214</f>
        <v>0</v>
      </c>
      <c r="K214" s="243">
        <f>(SUM('1.  LRAMVA Summary'!F$54:F$80)+SUM('1.  LRAMVA Summary'!F$81:F$82)*(MONTH($E214)-1)/12)*$H214</f>
        <v>0</v>
      </c>
      <c r="L214" s="243">
        <f>(SUM('1.  LRAMVA Summary'!G$54:G$80)+SUM('1.  LRAMVA Summary'!G$81:G$82)*(MONTH($E214)-1)/12)*$H214</f>
        <v>0</v>
      </c>
      <c r="M214" s="243">
        <f>(SUM('1.  LRAMVA Summary'!H$54:H$80)+SUM('1.  LRAMVA Summary'!H$81:H$82)*(MONTH($E214)-1)/12)*$H214</f>
        <v>0</v>
      </c>
      <c r="N214" s="243">
        <f>(SUM('1.  LRAMVA Summary'!I$54:I$80)+SUM('1.  LRAMVA Summary'!I$81:I$82)*(MONTH($E214)-1)/12)*$H214</f>
        <v>0</v>
      </c>
      <c r="O214" s="243">
        <f>(SUM('1.  LRAMVA Summary'!J$54:J$80)+SUM('1.  LRAMVA Summary'!J$81:J$82)*(MONTH($E214)-1)/12)*$H214</f>
        <v>0</v>
      </c>
      <c r="P214" s="243">
        <f>(SUM('1.  LRAMVA Summary'!K$54:K$80)+SUM('1.  LRAMVA Summary'!K$81:K$82)*(MONTH($E214)-1)/12)*$H214</f>
        <v>0</v>
      </c>
      <c r="Q214" s="243">
        <f>(SUM('1.  LRAMVA Summary'!L$54:L$80)+SUM('1.  LRAMVA Summary'!L$81:L$82)*(MONTH($E214)-1)/12)*$H214</f>
        <v>0</v>
      </c>
      <c r="R214" s="243">
        <f>(SUM('1.  LRAMVA Summary'!M$54:M$80)+SUM('1.  LRAMVA Summary'!M$81:M$82)*(MONTH($E214)-1)/12)*$H214</f>
        <v>0</v>
      </c>
      <c r="S214" s="243">
        <f>(SUM('1.  LRAMVA Summary'!N$54:N$80)+SUM('1.  LRAMVA Summary'!N$81:N$82)*(MONTH($E214)-1)/12)*$H214</f>
        <v>0</v>
      </c>
      <c r="T214" s="243">
        <f>(SUM('1.  LRAMVA Summary'!O$54:O$80)+SUM('1.  LRAMVA Summary'!O$81:O$82)*(MONTH($E214)-1)/12)*$H214</f>
        <v>0</v>
      </c>
      <c r="U214" s="243">
        <f>(SUM('1.  LRAMVA Summary'!P$54:P$80)+SUM('1.  LRAMVA Summary'!P$81:P$82)*(MONTH($E214)-1)/12)*$H214</f>
        <v>0</v>
      </c>
      <c r="V214" s="243">
        <f>(SUM('1.  LRAMVA Summary'!Q$54:Q$80)+SUM('1.  LRAMVA Summary'!Q$81:Q$82)*(MONTH($E214)-1)/12)*$H214</f>
        <v>0</v>
      </c>
      <c r="W214" s="244">
        <f t="shared" si="106"/>
        <v>0</v>
      </c>
    </row>
    <row r="215" spans="5:23">
      <c r="E215" s="227">
        <v>45444</v>
      </c>
      <c r="F215" s="227" t="s">
        <v>740</v>
      </c>
      <c r="G215" s="228" t="s">
        <v>66</v>
      </c>
      <c r="H215" s="253"/>
      <c r="I215" s="243">
        <f>(SUM('1.  LRAMVA Summary'!D$54:D$80)+SUM('1.  LRAMVA Summary'!D$81:D$82)*(MONTH($E215)-1)/12)*$H215</f>
        <v>0</v>
      </c>
      <c r="J215" s="243">
        <f>(SUM('1.  LRAMVA Summary'!E$54:E$80)+SUM('1.  LRAMVA Summary'!E$81:E$82)*(MONTH($E215)-1)/12)*$H215</f>
        <v>0</v>
      </c>
      <c r="K215" s="243">
        <f>(SUM('1.  LRAMVA Summary'!F$54:F$80)+SUM('1.  LRAMVA Summary'!F$81:F$82)*(MONTH($E215)-1)/12)*$H215</f>
        <v>0</v>
      </c>
      <c r="L215" s="243">
        <f>(SUM('1.  LRAMVA Summary'!G$54:G$80)+SUM('1.  LRAMVA Summary'!G$81:G$82)*(MONTH($E215)-1)/12)*$H215</f>
        <v>0</v>
      </c>
      <c r="M215" s="243">
        <f>(SUM('1.  LRAMVA Summary'!H$54:H$80)+SUM('1.  LRAMVA Summary'!H$81:H$82)*(MONTH($E215)-1)/12)*$H215</f>
        <v>0</v>
      </c>
      <c r="N215" s="243">
        <f>(SUM('1.  LRAMVA Summary'!I$54:I$80)+SUM('1.  LRAMVA Summary'!I$81:I$82)*(MONTH($E215)-1)/12)*$H215</f>
        <v>0</v>
      </c>
      <c r="O215" s="243">
        <f>(SUM('1.  LRAMVA Summary'!J$54:J$80)+SUM('1.  LRAMVA Summary'!J$81:J$82)*(MONTH($E215)-1)/12)*$H215</f>
        <v>0</v>
      </c>
      <c r="P215" s="243">
        <f>(SUM('1.  LRAMVA Summary'!K$54:K$80)+SUM('1.  LRAMVA Summary'!K$81:K$82)*(MONTH($E215)-1)/12)*$H215</f>
        <v>0</v>
      </c>
      <c r="Q215" s="243">
        <f>(SUM('1.  LRAMVA Summary'!L$54:L$80)+SUM('1.  LRAMVA Summary'!L$81:L$82)*(MONTH($E215)-1)/12)*$H215</f>
        <v>0</v>
      </c>
      <c r="R215" s="243">
        <f>(SUM('1.  LRAMVA Summary'!M$54:M$80)+SUM('1.  LRAMVA Summary'!M$81:M$82)*(MONTH($E215)-1)/12)*$H215</f>
        <v>0</v>
      </c>
      <c r="S215" s="243">
        <f>(SUM('1.  LRAMVA Summary'!N$54:N$80)+SUM('1.  LRAMVA Summary'!N$81:N$82)*(MONTH($E215)-1)/12)*$H215</f>
        <v>0</v>
      </c>
      <c r="T215" s="243">
        <f>(SUM('1.  LRAMVA Summary'!O$54:O$80)+SUM('1.  LRAMVA Summary'!O$81:O$82)*(MONTH($E215)-1)/12)*$H215</f>
        <v>0</v>
      </c>
      <c r="U215" s="243">
        <f>(SUM('1.  LRAMVA Summary'!P$54:P$80)+SUM('1.  LRAMVA Summary'!P$81:P$82)*(MONTH($E215)-1)/12)*$H215</f>
        <v>0</v>
      </c>
      <c r="V215" s="243">
        <f>(SUM('1.  LRAMVA Summary'!Q$54:Q$80)+SUM('1.  LRAMVA Summary'!Q$81:Q$82)*(MONTH($E215)-1)/12)*$H215</f>
        <v>0</v>
      </c>
      <c r="W215" s="244">
        <f t="shared" si="106"/>
        <v>0</v>
      </c>
    </row>
    <row r="216" spans="5:23">
      <c r="E216" s="227">
        <v>45474</v>
      </c>
      <c r="F216" s="227" t="s">
        <v>740</v>
      </c>
      <c r="G216" s="228" t="s">
        <v>68</v>
      </c>
      <c r="H216" s="253"/>
      <c r="I216" s="243">
        <f>(SUM('1.  LRAMVA Summary'!D$54:D$80)+SUM('1.  LRAMVA Summary'!D$81:D$82)*(MONTH($E216)-1)/12)*$H216</f>
        <v>0</v>
      </c>
      <c r="J216" s="243">
        <f>(SUM('1.  LRAMVA Summary'!E$54:E$80)+SUM('1.  LRAMVA Summary'!E$81:E$82)*(MONTH($E216)-1)/12)*$H216</f>
        <v>0</v>
      </c>
      <c r="K216" s="243">
        <f>(SUM('1.  LRAMVA Summary'!F$54:F$80)+SUM('1.  LRAMVA Summary'!F$81:F$82)*(MONTH($E216)-1)/12)*$H216</f>
        <v>0</v>
      </c>
      <c r="L216" s="243">
        <f>(SUM('1.  LRAMVA Summary'!G$54:G$80)+SUM('1.  LRAMVA Summary'!G$81:G$82)*(MONTH($E216)-1)/12)*$H216</f>
        <v>0</v>
      </c>
      <c r="M216" s="243">
        <f>(SUM('1.  LRAMVA Summary'!H$54:H$80)+SUM('1.  LRAMVA Summary'!H$81:H$82)*(MONTH($E216)-1)/12)*$H216</f>
        <v>0</v>
      </c>
      <c r="N216" s="243">
        <f>(SUM('1.  LRAMVA Summary'!I$54:I$80)+SUM('1.  LRAMVA Summary'!I$81:I$82)*(MONTH($E216)-1)/12)*$H216</f>
        <v>0</v>
      </c>
      <c r="O216" s="243">
        <f>(SUM('1.  LRAMVA Summary'!J$54:J$80)+SUM('1.  LRAMVA Summary'!J$81:J$82)*(MONTH($E216)-1)/12)*$H216</f>
        <v>0</v>
      </c>
      <c r="P216" s="243">
        <f>(SUM('1.  LRAMVA Summary'!K$54:K$80)+SUM('1.  LRAMVA Summary'!K$81:K$82)*(MONTH($E216)-1)/12)*$H216</f>
        <v>0</v>
      </c>
      <c r="Q216" s="243">
        <f>(SUM('1.  LRAMVA Summary'!L$54:L$80)+SUM('1.  LRAMVA Summary'!L$81:L$82)*(MONTH($E216)-1)/12)*$H216</f>
        <v>0</v>
      </c>
      <c r="R216" s="243">
        <f>(SUM('1.  LRAMVA Summary'!M$54:M$80)+SUM('1.  LRAMVA Summary'!M$81:M$82)*(MONTH($E216)-1)/12)*$H216</f>
        <v>0</v>
      </c>
      <c r="S216" s="243">
        <f>(SUM('1.  LRAMVA Summary'!N$54:N$80)+SUM('1.  LRAMVA Summary'!N$81:N$82)*(MONTH($E216)-1)/12)*$H216</f>
        <v>0</v>
      </c>
      <c r="T216" s="243">
        <f>(SUM('1.  LRAMVA Summary'!O$54:O$80)+SUM('1.  LRAMVA Summary'!O$81:O$82)*(MONTH($E216)-1)/12)*$H216</f>
        <v>0</v>
      </c>
      <c r="U216" s="243">
        <f>(SUM('1.  LRAMVA Summary'!P$54:P$80)+SUM('1.  LRAMVA Summary'!P$81:P$82)*(MONTH($E216)-1)/12)*$H216</f>
        <v>0</v>
      </c>
      <c r="V216" s="243">
        <f>(SUM('1.  LRAMVA Summary'!Q$54:Q$80)+SUM('1.  LRAMVA Summary'!Q$81:Q$82)*(MONTH($E216)-1)/12)*$H216</f>
        <v>0</v>
      </c>
      <c r="W216" s="244">
        <f t="shared" si="106"/>
        <v>0</v>
      </c>
    </row>
    <row r="217" spans="5:23">
      <c r="E217" s="227">
        <v>45505</v>
      </c>
      <c r="F217" s="227" t="s">
        <v>740</v>
      </c>
      <c r="G217" s="228" t="s">
        <v>68</v>
      </c>
      <c r="H217" s="253"/>
      <c r="I217" s="243">
        <f>(SUM('1.  LRAMVA Summary'!D$54:D$80)+SUM('1.  LRAMVA Summary'!D$81:D$82)*(MONTH($E217)-1)/12)*$H217</f>
        <v>0</v>
      </c>
      <c r="J217" s="243">
        <f>(SUM('1.  LRAMVA Summary'!E$54:E$80)+SUM('1.  LRAMVA Summary'!E$81:E$82)*(MONTH($E217)-1)/12)*$H217</f>
        <v>0</v>
      </c>
      <c r="K217" s="243">
        <f>(SUM('1.  LRAMVA Summary'!F$54:F$80)+SUM('1.  LRAMVA Summary'!F$81:F$82)*(MONTH($E217)-1)/12)*$H217</f>
        <v>0</v>
      </c>
      <c r="L217" s="243">
        <f>(SUM('1.  LRAMVA Summary'!G$54:G$80)+SUM('1.  LRAMVA Summary'!G$81:G$82)*(MONTH($E217)-1)/12)*$H217</f>
        <v>0</v>
      </c>
      <c r="M217" s="243">
        <f>(SUM('1.  LRAMVA Summary'!H$54:H$80)+SUM('1.  LRAMVA Summary'!H$81:H$82)*(MONTH($E217)-1)/12)*$H217</f>
        <v>0</v>
      </c>
      <c r="N217" s="243">
        <f>(SUM('1.  LRAMVA Summary'!I$54:I$80)+SUM('1.  LRAMVA Summary'!I$81:I$82)*(MONTH($E217)-1)/12)*$H217</f>
        <v>0</v>
      </c>
      <c r="O217" s="243">
        <f>(SUM('1.  LRAMVA Summary'!J$54:J$80)+SUM('1.  LRAMVA Summary'!J$81:J$82)*(MONTH($E217)-1)/12)*$H217</f>
        <v>0</v>
      </c>
      <c r="P217" s="243">
        <f>(SUM('1.  LRAMVA Summary'!K$54:K$80)+SUM('1.  LRAMVA Summary'!K$81:K$82)*(MONTH($E217)-1)/12)*$H217</f>
        <v>0</v>
      </c>
      <c r="Q217" s="243">
        <f>(SUM('1.  LRAMVA Summary'!L$54:L$80)+SUM('1.  LRAMVA Summary'!L$81:L$82)*(MONTH($E217)-1)/12)*$H217</f>
        <v>0</v>
      </c>
      <c r="R217" s="243">
        <f>(SUM('1.  LRAMVA Summary'!M$54:M$80)+SUM('1.  LRAMVA Summary'!M$81:M$82)*(MONTH($E217)-1)/12)*$H217</f>
        <v>0</v>
      </c>
      <c r="S217" s="243">
        <f>(SUM('1.  LRAMVA Summary'!N$54:N$80)+SUM('1.  LRAMVA Summary'!N$81:N$82)*(MONTH($E217)-1)/12)*$H217</f>
        <v>0</v>
      </c>
      <c r="T217" s="243">
        <f>(SUM('1.  LRAMVA Summary'!O$54:O$80)+SUM('1.  LRAMVA Summary'!O$81:O$82)*(MONTH($E217)-1)/12)*$H217</f>
        <v>0</v>
      </c>
      <c r="U217" s="243">
        <f>(SUM('1.  LRAMVA Summary'!P$54:P$80)+SUM('1.  LRAMVA Summary'!P$81:P$82)*(MONTH($E217)-1)/12)*$H217</f>
        <v>0</v>
      </c>
      <c r="V217" s="243">
        <f>(SUM('1.  LRAMVA Summary'!Q$54:Q$80)+SUM('1.  LRAMVA Summary'!Q$81:Q$82)*(MONTH($E217)-1)/12)*$H217</f>
        <v>0</v>
      </c>
      <c r="W217" s="244">
        <f t="shared" si="106"/>
        <v>0</v>
      </c>
    </row>
    <row r="218" spans="5:23">
      <c r="E218" s="227">
        <v>45536</v>
      </c>
      <c r="F218" s="227" t="s">
        <v>740</v>
      </c>
      <c r="G218" s="228" t="s">
        <v>68</v>
      </c>
      <c r="H218" s="253"/>
      <c r="I218" s="243">
        <f>(SUM('1.  LRAMVA Summary'!D$54:D$80)+SUM('1.  LRAMVA Summary'!D$81:D$82)*(MONTH($E218)-1)/12)*$H218</f>
        <v>0</v>
      </c>
      <c r="J218" s="243">
        <f>(SUM('1.  LRAMVA Summary'!E$54:E$80)+SUM('1.  LRAMVA Summary'!E$81:E$82)*(MONTH($E218)-1)/12)*$H218</f>
        <v>0</v>
      </c>
      <c r="K218" s="243">
        <f>(SUM('1.  LRAMVA Summary'!F$54:F$80)+SUM('1.  LRAMVA Summary'!F$81:F$82)*(MONTH($E218)-1)/12)*$H218</f>
        <v>0</v>
      </c>
      <c r="L218" s="243">
        <f>(SUM('1.  LRAMVA Summary'!G$54:G$80)+SUM('1.  LRAMVA Summary'!G$81:G$82)*(MONTH($E218)-1)/12)*$H218</f>
        <v>0</v>
      </c>
      <c r="M218" s="243">
        <f>(SUM('1.  LRAMVA Summary'!H$54:H$80)+SUM('1.  LRAMVA Summary'!H$81:H$82)*(MONTH($E218)-1)/12)*$H218</f>
        <v>0</v>
      </c>
      <c r="N218" s="243">
        <f>(SUM('1.  LRAMVA Summary'!I$54:I$80)+SUM('1.  LRAMVA Summary'!I$81:I$82)*(MONTH($E218)-1)/12)*$H218</f>
        <v>0</v>
      </c>
      <c r="O218" s="243">
        <f>(SUM('1.  LRAMVA Summary'!J$54:J$80)+SUM('1.  LRAMVA Summary'!J$81:J$82)*(MONTH($E218)-1)/12)*$H218</f>
        <v>0</v>
      </c>
      <c r="P218" s="243">
        <f>(SUM('1.  LRAMVA Summary'!K$54:K$80)+SUM('1.  LRAMVA Summary'!K$81:K$82)*(MONTH($E218)-1)/12)*$H218</f>
        <v>0</v>
      </c>
      <c r="Q218" s="243">
        <f>(SUM('1.  LRAMVA Summary'!L$54:L$80)+SUM('1.  LRAMVA Summary'!L$81:L$82)*(MONTH($E218)-1)/12)*$H218</f>
        <v>0</v>
      </c>
      <c r="R218" s="243">
        <f>(SUM('1.  LRAMVA Summary'!M$54:M$80)+SUM('1.  LRAMVA Summary'!M$81:M$82)*(MONTH($E218)-1)/12)*$H218</f>
        <v>0</v>
      </c>
      <c r="S218" s="243">
        <f>(SUM('1.  LRAMVA Summary'!N$54:N$80)+SUM('1.  LRAMVA Summary'!N$81:N$82)*(MONTH($E218)-1)/12)*$H218</f>
        <v>0</v>
      </c>
      <c r="T218" s="243">
        <f>(SUM('1.  LRAMVA Summary'!O$54:O$80)+SUM('1.  LRAMVA Summary'!O$81:O$82)*(MONTH($E218)-1)/12)*$H218</f>
        <v>0</v>
      </c>
      <c r="U218" s="243">
        <f>(SUM('1.  LRAMVA Summary'!P$54:P$80)+SUM('1.  LRAMVA Summary'!P$81:P$82)*(MONTH($E218)-1)/12)*$H218</f>
        <v>0</v>
      </c>
      <c r="V218" s="243">
        <f>(SUM('1.  LRAMVA Summary'!Q$54:Q$80)+SUM('1.  LRAMVA Summary'!Q$81:Q$82)*(MONTH($E218)-1)/12)*$H218</f>
        <v>0</v>
      </c>
      <c r="W218" s="244">
        <f t="shared" si="106"/>
        <v>0</v>
      </c>
    </row>
    <row r="219" spans="5:23">
      <c r="E219" s="227">
        <v>45566</v>
      </c>
      <c r="F219" s="227" t="s">
        <v>740</v>
      </c>
      <c r="G219" s="228" t="s">
        <v>69</v>
      </c>
      <c r="H219" s="253"/>
      <c r="I219" s="243">
        <f>(SUM('1.  LRAMVA Summary'!D$54:D$80)+SUM('1.  LRAMVA Summary'!D$81:D$82)*(MONTH($E219)-1)/12)*$H219</f>
        <v>0</v>
      </c>
      <c r="J219" s="243">
        <f>(SUM('1.  LRAMVA Summary'!E$54:E$80)+SUM('1.  LRAMVA Summary'!E$81:E$82)*(MONTH($E219)-1)/12)*$H219</f>
        <v>0</v>
      </c>
      <c r="K219" s="243">
        <f>(SUM('1.  LRAMVA Summary'!F$54:F$80)+SUM('1.  LRAMVA Summary'!F$81:F$82)*(MONTH($E219)-1)/12)*$H219</f>
        <v>0</v>
      </c>
      <c r="L219" s="243">
        <f>(SUM('1.  LRAMVA Summary'!G$54:G$80)+SUM('1.  LRAMVA Summary'!G$81:G$82)*(MONTH($E219)-1)/12)*$H219</f>
        <v>0</v>
      </c>
      <c r="M219" s="243">
        <f>(SUM('1.  LRAMVA Summary'!H$54:H$80)+SUM('1.  LRAMVA Summary'!H$81:H$82)*(MONTH($E219)-1)/12)*$H219</f>
        <v>0</v>
      </c>
      <c r="N219" s="243">
        <f>(SUM('1.  LRAMVA Summary'!I$54:I$80)+SUM('1.  LRAMVA Summary'!I$81:I$82)*(MONTH($E219)-1)/12)*$H219</f>
        <v>0</v>
      </c>
      <c r="O219" s="243">
        <f>(SUM('1.  LRAMVA Summary'!J$54:J$80)+SUM('1.  LRAMVA Summary'!J$81:J$82)*(MONTH($E219)-1)/12)*$H219</f>
        <v>0</v>
      </c>
      <c r="P219" s="243">
        <f>(SUM('1.  LRAMVA Summary'!K$54:K$80)+SUM('1.  LRAMVA Summary'!K$81:K$82)*(MONTH($E219)-1)/12)*$H219</f>
        <v>0</v>
      </c>
      <c r="Q219" s="243">
        <f>(SUM('1.  LRAMVA Summary'!L$54:L$80)+SUM('1.  LRAMVA Summary'!L$81:L$82)*(MONTH($E219)-1)/12)*$H219</f>
        <v>0</v>
      </c>
      <c r="R219" s="243">
        <f>(SUM('1.  LRAMVA Summary'!M$54:M$80)+SUM('1.  LRAMVA Summary'!M$81:M$82)*(MONTH($E219)-1)/12)*$H219</f>
        <v>0</v>
      </c>
      <c r="S219" s="243">
        <f>(SUM('1.  LRAMVA Summary'!N$54:N$80)+SUM('1.  LRAMVA Summary'!N$81:N$82)*(MONTH($E219)-1)/12)*$H219</f>
        <v>0</v>
      </c>
      <c r="T219" s="243">
        <f>(SUM('1.  LRAMVA Summary'!O$54:O$80)+SUM('1.  LRAMVA Summary'!O$81:O$82)*(MONTH($E219)-1)/12)*$H219</f>
        <v>0</v>
      </c>
      <c r="U219" s="243">
        <f>(SUM('1.  LRAMVA Summary'!P$54:P$80)+SUM('1.  LRAMVA Summary'!P$81:P$82)*(MONTH($E219)-1)/12)*$H219</f>
        <v>0</v>
      </c>
      <c r="V219" s="243">
        <f>(SUM('1.  LRAMVA Summary'!Q$54:Q$80)+SUM('1.  LRAMVA Summary'!Q$81:Q$82)*(MONTH($E219)-1)/12)*$H219</f>
        <v>0</v>
      </c>
      <c r="W219" s="244">
        <f t="shared" si="106"/>
        <v>0</v>
      </c>
    </row>
    <row r="220" spans="5:23">
      <c r="E220" s="227">
        <v>45597</v>
      </c>
      <c r="F220" s="227" t="s">
        <v>740</v>
      </c>
      <c r="G220" s="228" t="s">
        <v>69</v>
      </c>
      <c r="H220" s="253"/>
      <c r="I220" s="243">
        <f>(SUM('1.  LRAMVA Summary'!D$54:D$80)+SUM('1.  LRAMVA Summary'!D$81:D$82)*(MONTH($E220)-1)/12)*$H220</f>
        <v>0</v>
      </c>
      <c r="J220" s="243">
        <f>(SUM('1.  LRAMVA Summary'!E$54:E$80)+SUM('1.  LRAMVA Summary'!E$81:E$82)*(MONTH($E220)-1)/12)*$H220</f>
        <v>0</v>
      </c>
      <c r="K220" s="243">
        <f>(SUM('1.  LRAMVA Summary'!F$54:F$80)+SUM('1.  LRAMVA Summary'!F$81:F$82)*(MONTH($E220)-1)/12)*$H220</f>
        <v>0</v>
      </c>
      <c r="L220" s="243">
        <f>(SUM('1.  LRAMVA Summary'!G$54:G$80)+SUM('1.  LRAMVA Summary'!G$81:G$82)*(MONTH($E220)-1)/12)*$H220</f>
        <v>0</v>
      </c>
      <c r="M220" s="243">
        <f>(SUM('1.  LRAMVA Summary'!H$54:H$80)+SUM('1.  LRAMVA Summary'!H$81:H$82)*(MONTH($E220)-1)/12)*$H220</f>
        <v>0</v>
      </c>
      <c r="N220" s="243">
        <f>(SUM('1.  LRAMVA Summary'!I$54:I$80)+SUM('1.  LRAMVA Summary'!I$81:I$82)*(MONTH($E220)-1)/12)*$H220</f>
        <v>0</v>
      </c>
      <c r="O220" s="243">
        <f>(SUM('1.  LRAMVA Summary'!J$54:J$80)+SUM('1.  LRAMVA Summary'!J$81:J$82)*(MONTH($E220)-1)/12)*$H220</f>
        <v>0</v>
      </c>
      <c r="P220" s="243">
        <f>(SUM('1.  LRAMVA Summary'!K$54:K$80)+SUM('1.  LRAMVA Summary'!K$81:K$82)*(MONTH($E220)-1)/12)*$H220</f>
        <v>0</v>
      </c>
      <c r="Q220" s="243">
        <f>(SUM('1.  LRAMVA Summary'!L$54:L$80)+SUM('1.  LRAMVA Summary'!L$81:L$82)*(MONTH($E220)-1)/12)*$H220</f>
        <v>0</v>
      </c>
      <c r="R220" s="243">
        <f>(SUM('1.  LRAMVA Summary'!M$54:M$80)+SUM('1.  LRAMVA Summary'!M$81:M$82)*(MONTH($E220)-1)/12)*$H220</f>
        <v>0</v>
      </c>
      <c r="S220" s="243">
        <f>(SUM('1.  LRAMVA Summary'!N$54:N$80)+SUM('1.  LRAMVA Summary'!N$81:N$82)*(MONTH($E220)-1)/12)*$H220</f>
        <v>0</v>
      </c>
      <c r="T220" s="243">
        <f>(SUM('1.  LRAMVA Summary'!O$54:O$80)+SUM('1.  LRAMVA Summary'!O$81:O$82)*(MONTH($E220)-1)/12)*$H220</f>
        <v>0</v>
      </c>
      <c r="U220" s="243">
        <f>(SUM('1.  LRAMVA Summary'!P$54:P$80)+SUM('1.  LRAMVA Summary'!P$81:P$82)*(MONTH($E220)-1)/12)*$H220</f>
        <v>0</v>
      </c>
      <c r="V220" s="243">
        <f>(SUM('1.  LRAMVA Summary'!Q$54:Q$80)+SUM('1.  LRAMVA Summary'!Q$81:Q$82)*(MONTH($E220)-1)/12)*$H220</f>
        <v>0</v>
      </c>
      <c r="W220" s="244">
        <f t="shared" si="106"/>
        <v>0</v>
      </c>
    </row>
    <row r="221" spans="5:23">
      <c r="E221" s="227">
        <v>45627</v>
      </c>
      <c r="F221" s="227" t="s">
        <v>740</v>
      </c>
      <c r="G221" s="228" t="s">
        <v>69</v>
      </c>
      <c r="H221" s="253"/>
      <c r="I221" s="243">
        <f>(SUM('1.  LRAMVA Summary'!D$54:D$80)+SUM('1.  LRAMVA Summary'!D$81:D$82)*(MONTH($E221)-1)/12)*$H221</f>
        <v>0</v>
      </c>
      <c r="J221" s="243">
        <f>(SUM('1.  LRAMVA Summary'!E$54:E$80)+SUM('1.  LRAMVA Summary'!E$81:E$82)*(MONTH($E221)-1)/12)*$H221</f>
        <v>0</v>
      </c>
      <c r="K221" s="243">
        <f>(SUM('1.  LRAMVA Summary'!F$54:F$80)+SUM('1.  LRAMVA Summary'!F$81:F$82)*(MONTH($E221)-1)/12)*$H221</f>
        <v>0</v>
      </c>
      <c r="L221" s="243">
        <f>(SUM('1.  LRAMVA Summary'!G$54:G$80)+SUM('1.  LRAMVA Summary'!G$81:G$82)*(MONTH($E221)-1)/12)*$H221</f>
        <v>0</v>
      </c>
      <c r="M221" s="243">
        <f>(SUM('1.  LRAMVA Summary'!H$54:H$80)+SUM('1.  LRAMVA Summary'!H$81:H$82)*(MONTH($E221)-1)/12)*$H221</f>
        <v>0</v>
      </c>
      <c r="N221" s="243">
        <f>(SUM('1.  LRAMVA Summary'!I$54:I$80)+SUM('1.  LRAMVA Summary'!I$81:I$82)*(MONTH($E221)-1)/12)*$H221</f>
        <v>0</v>
      </c>
      <c r="O221" s="243">
        <f>(SUM('1.  LRAMVA Summary'!J$54:J$80)+SUM('1.  LRAMVA Summary'!J$81:J$82)*(MONTH($E221)-1)/12)*$H221</f>
        <v>0</v>
      </c>
      <c r="P221" s="243">
        <f>(SUM('1.  LRAMVA Summary'!K$54:K$80)+SUM('1.  LRAMVA Summary'!K$81:K$82)*(MONTH($E221)-1)/12)*$H221</f>
        <v>0</v>
      </c>
      <c r="Q221" s="243">
        <f>(SUM('1.  LRAMVA Summary'!L$54:L$80)+SUM('1.  LRAMVA Summary'!L$81:L$82)*(MONTH($E221)-1)/12)*$H221</f>
        <v>0</v>
      </c>
      <c r="R221" s="243">
        <f>(SUM('1.  LRAMVA Summary'!M$54:M$80)+SUM('1.  LRAMVA Summary'!M$81:M$82)*(MONTH($E221)-1)/12)*$H221</f>
        <v>0</v>
      </c>
      <c r="S221" s="243">
        <f>(SUM('1.  LRAMVA Summary'!N$54:N$80)+SUM('1.  LRAMVA Summary'!N$81:N$82)*(MONTH($E221)-1)/12)*$H221</f>
        <v>0</v>
      </c>
      <c r="T221" s="243">
        <f>(SUM('1.  LRAMVA Summary'!O$54:O$80)+SUM('1.  LRAMVA Summary'!O$81:O$82)*(MONTH($E221)-1)/12)*$H221</f>
        <v>0</v>
      </c>
      <c r="U221" s="243">
        <f>(SUM('1.  LRAMVA Summary'!P$54:P$80)+SUM('1.  LRAMVA Summary'!P$81:P$82)*(MONTH($E221)-1)/12)*$H221</f>
        <v>0</v>
      </c>
      <c r="V221" s="243">
        <f>(SUM('1.  LRAMVA Summary'!Q$54:Q$80)+SUM('1.  LRAMVA Summary'!Q$81:Q$82)*(MONTH($E221)-1)/12)*$H221</f>
        <v>0</v>
      </c>
      <c r="W221" s="244">
        <f>SUM(I221:V221)</f>
        <v>0</v>
      </c>
    </row>
    <row r="222" spans="5:23" ht="15" thickBot="1">
      <c r="E222" s="229" t="s">
        <v>738</v>
      </c>
      <c r="F222" s="229"/>
      <c r="G222" s="230"/>
      <c r="H222" s="231"/>
      <c r="I222" s="232">
        <f>SUM(I209:I221)</f>
        <v>10299.102433618413</v>
      </c>
      <c r="J222" s="232">
        <f>SUM(J209:J221)</f>
        <v>6970.4416227476995</v>
      </c>
      <c r="K222" s="232">
        <f t="shared" ref="K222:V222" si="107">SUM(K209:K221)</f>
        <v>2557.8260142545346</v>
      </c>
      <c r="L222" s="232">
        <f t="shared" si="107"/>
        <v>1954.4843743759639</v>
      </c>
      <c r="M222" s="232">
        <f t="shared" si="107"/>
        <v>0</v>
      </c>
      <c r="N222" s="232">
        <f t="shared" si="107"/>
        <v>0</v>
      </c>
      <c r="O222" s="232">
        <f t="shared" si="107"/>
        <v>-874.37472369209672</v>
      </c>
      <c r="P222" s="232">
        <f t="shared" si="107"/>
        <v>0</v>
      </c>
      <c r="Q222" s="232">
        <f t="shared" si="107"/>
        <v>0</v>
      </c>
      <c r="R222" s="232">
        <f t="shared" si="107"/>
        <v>0</v>
      </c>
      <c r="S222" s="232">
        <f t="shared" si="107"/>
        <v>0</v>
      </c>
      <c r="T222" s="232">
        <f t="shared" si="107"/>
        <v>0</v>
      </c>
      <c r="U222" s="232">
        <f t="shared" si="107"/>
        <v>0</v>
      </c>
      <c r="V222" s="232">
        <f t="shared" si="107"/>
        <v>0</v>
      </c>
      <c r="W222" s="232">
        <f>SUM(W209:W221)</f>
        <v>20907.479721304502</v>
      </c>
    </row>
    <row r="223" spans="5:23" ht="15" thickTop="1">
      <c r="E223" s="233" t="s">
        <v>67</v>
      </c>
      <c r="F223" s="233"/>
      <c r="G223" s="234"/>
      <c r="H223" s="235"/>
      <c r="I223" s="236"/>
      <c r="J223" s="236"/>
      <c r="K223" s="236"/>
      <c r="L223" s="236"/>
      <c r="M223" s="236"/>
      <c r="N223" s="236"/>
      <c r="O223" s="236"/>
      <c r="P223" s="236"/>
      <c r="Q223" s="236"/>
      <c r="R223" s="236"/>
      <c r="S223" s="236"/>
      <c r="T223" s="236"/>
      <c r="U223" s="236"/>
      <c r="V223" s="236"/>
      <c r="W223" s="237"/>
    </row>
    <row r="224" spans="5:23">
      <c r="E224" s="238" t="s">
        <v>737</v>
      </c>
      <c r="F224" s="238"/>
      <c r="G224" s="239"/>
      <c r="H224" s="240"/>
      <c r="I224" s="241">
        <f>I222+I223</f>
        <v>10299.102433618413</v>
      </c>
      <c r="J224" s="241">
        <f t="shared" ref="J224:U224" si="108">J222+J223</f>
        <v>6970.4416227476995</v>
      </c>
      <c r="K224" s="241">
        <f t="shared" si="108"/>
        <v>2557.8260142545346</v>
      </c>
      <c r="L224" s="241">
        <f t="shared" si="108"/>
        <v>1954.4843743759639</v>
      </c>
      <c r="M224" s="241">
        <f t="shared" si="108"/>
        <v>0</v>
      </c>
      <c r="N224" s="241">
        <f t="shared" si="108"/>
        <v>0</v>
      </c>
      <c r="O224" s="241">
        <f t="shared" si="108"/>
        <v>-874.37472369209672</v>
      </c>
      <c r="P224" s="241">
        <f t="shared" si="108"/>
        <v>0</v>
      </c>
      <c r="Q224" s="241">
        <f t="shared" si="108"/>
        <v>0</v>
      </c>
      <c r="R224" s="241">
        <f t="shared" si="108"/>
        <v>0</v>
      </c>
      <c r="S224" s="241">
        <f t="shared" si="108"/>
        <v>0</v>
      </c>
      <c r="T224" s="241">
        <f t="shared" si="108"/>
        <v>0</v>
      </c>
      <c r="U224" s="241">
        <f t="shared" si="108"/>
        <v>0</v>
      </c>
      <c r="V224" s="241">
        <f>V222+V223</f>
        <v>0</v>
      </c>
      <c r="W224" s="241">
        <f>W222+W223</f>
        <v>20907.479721304502</v>
      </c>
    </row>
    <row r="225" spans="5:23">
      <c r="E225" s="227">
        <v>45658</v>
      </c>
      <c r="F225" s="227" t="s">
        <v>741</v>
      </c>
      <c r="G225" s="228" t="s">
        <v>65</v>
      </c>
      <c r="H225" s="253"/>
      <c r="I225" s="243">
        <f>(SUM('1.  LRAMVA Summary'!D$54:D$80)+SUM('1.  LRAMVA Summary'!D$81:D$82)*(MONTH($E225)-1)/12)*$H225</f>
        <v>0</v>
      </c>
      <c r="J225" s="243">
        <f>(SUM('1.  LRAMVA Summary'!E$54:E$80)+SUM('1.  LRAMVA Summary'!E$81:E$82)*(MONTH($E225)-1)/12)*$H225</f>
        <v>0</v>
      </c>
      <c r="K225" s="243">
        <f>(SUM('1.  LRAMVA Summary'!F$54:F$80)+SUM('1.  LRAMVA Summary'!F$81:F$82)*(MONTH($E225)-1)/12)*$H225</f>
        <v>0</v>
      </c>
      <c r="L225" s="243">
        <f>(SUM('1.  LRAMVA Summary'!G$54:G$80)+SUM('1.  LRAMVA Summary'!G$81:G$82)*(MONTH($E225)-1)/12)*$H225</f>
        <v>0</v>
      </c>
      <c r="M225" s="243">
        <f>(SUM('1.  LRAMVA Summary'!H$54:H$80)+SUM('1.  LRAMVA Summary'!H$81:H$82)*(MONTH($E225)-1)/12)*$H225</f>
        <v>0</v>
      </c>
      <c r="N225" s="243">
        <f>(SUM('1.  LRAMVA Summary'!I$54:I$80)+SUM('1.  LRAMVA Summary'!I$81:I$82)*(MONTH($E225)-1)/12)*$H225</f>
        <v>0</v>
      </c>
      <c r="O225" s="243">
        <f>(SUM('1.  LRAMVA Summary'!J$54:J$80)+SUM('1.  LRAMVA Summary'!J$81:J$82)*(MONTH($E225)-1)/12)*$H225</f>
        <v>0</v>
      </c>
      <c r="P225" s="243">
        <f>(SUM('1.  LRAMVA Summary'!K$54:K$80)+SUM('1.  LRAMVA Summary'!K$81:K$82)*(MONTH($E225)-1)/12)*$H225</f>
        <v>0</v>
      </c>
      <c r="Q225" s="243">
        <f>(SUM('1.  LRAMVA Summary'!L$54:L$80)+SUM('1.  LRAMVA Summary'!L$81:L$82)*(MONTH($E225)-1)/12)*$H225</f>
        <v>0</v>
      </c>
      <c r="R225" s="243">
        <f>(SUM('1.  LRAMVA Summary'!M$54:M$80)+SUM('1.  LRAMVA Summary'!M$81:M$82)*(MONTH($E225)-1)/12)*$H225</f>
        <v>0</v>
      </c>
      <c r="S225" s="243">
        <f>(SUM('1.  LRAMVA Summary'!N$54:N$80)+SUM('1.  LRAMVA Summary'!N$81:N$82)*(MONTH($E225)-1)/12)*$H225</f>
        <v>0</v>
      </c>
      <c r="T225" s="243">
        <f>(SUM('1.  LRAMVA Summary'!O$54:O$80)+SUM('1.  LRAMVA Summary'!O$81:O$82)*(MONTH($E225)-1)/12)*$H225</f>
        <v>0</v>
      </c>
      <c r="U225" s="243">
        <f>(SUM('1.  LRAMVA Summary'!P$54:P$80)+SUM('1.  LRAMVA Summary'!P$81:P$82)*(MONTH($E225)-1)/12)*$H225</f>
        <v>0</v>
      </c>
      <c r="V225" s="243">
        <f>(SUM('1.  LRAMVA Summary'!Q$54:Q$80)+SUM('1.  LRAMVA Summary'!Q$81:Q$82)*(MONTH($E225)-1)/12)*$H225</f>
        <v>0</v>
      </c>
      <c r="W225" s="244">
        <f>SUM(I225:V225)</f>
        <v>0</v>
      </c>
    </row>
    <row r="226" spans="5:23">
      <c r="E226" s="227">
        <v>45689</v>
      </c>
      <c r="F226" s="227" t="s">
        <v>741</v>
      </c>
      <c r="G226" s="228" t="s">
        <v>65</v>
      </c>
      <c r="H226" s="253"/>
      <c r="I226" s="243">
        <f>(SUM('1.  LRAMVA Summary'!D$54:D$80)+SUM('1.  LRAMVA Summary'!D$81:D$82)*(MONTH($E226)-1)/12)*$H226</f>
        <v>0</v>
      </c>
      <c r="J226" s="243">
        <f>(SUM('1.  LRAMVA Summary'!E$54:E$80)+SUM('1.  LRAMVA Summary'!E$81:E$82)*(MONTH($E226)-1)/12)*$H226</f>
        <v>0</v>
      </c>
      <c r="K226" s="243">
        <f>(SUM('1.  LRAMVA Summary'!F$54:F$80)+SUM('1.  LRAMVA Summary'!F$81:F$82)*(MONTH($E226)-1)/12)*$H226</f>
        <v>0</v>
      </c>
      <c r="L226" s="243">
        <f>(SUM('1.  LRAMVA Summary'!G$54:G$80)+SUM('1.  LRAMVA Summary'!G$81:G$82)*(MONTH($E226)-1)/12)*$H226</f>
        <v>0</v>
      </c>
      <c r="M226" s="243">
        <f>(SUM('1.  LRAMVA Summary'!H$54:H$80)+SUM('1.  LRAMVA Summary'!H$81:H$82)*(MONTH($E226)-1)/12)*$H226</f>
        <v>0</v>
      </c>
      <c r="N226" s="243">
        <f>(SUM('1.  LRAMVA Summary'!I$54:I$80)+SUM('1.  LRAMVA Summary'!I$81:I$82)*(MONTH($E226)-1)/12)*$H226</f>
        <v>0</v>
      </c>
      <c r="O226" s="243">
        <f>(SUM('1.  LRAMVA Summary'!J$54:J$80)+SUM('1.  LRAMVA Summary'!J$81:J$82)*(MONTH($E226)-1)/12)*$H226</f>
        <v>0</v>
      </c>
      <c r="P226" s="243">
        <f>(SUM('1.  LRAMVA Summary'!K$54:K$80)+SUM('1.  LRAMVA Summary'!K$81:K$82)*(MONTH($E226)-1)/12)*$H226</f>
        <v>0</v>
      </c>
      <c r="Q226" s="243">
        <f>(SUM('1.  LRAMVA Summary'!L$54:L$80)+SUM('1.  LRAMVA Summary'!L$81:L$82)*(MONTH($E226)-1)/12)*$H226</f>
        <v>0</v>
      </c>
      <c r="R226" s="243">
        <f>(SUM('1.  LRAMVA Summary'!M$54:M$80)+SUM('1.  LRAMVA Summary'!M$81:M$82)*(MONTH($E226)-1)/12)*$H226</f>
        <v>0</v>
      </c>
      <c r="S226" s="243">
        <f>(SUM('1.  LRAMVA Summary'!N$54:N$80)+SUM('1.  LRAMVA Summary'!N$81:N$82)*(MONTH($E226)-1)/12)*$H226</f>
        <v>0</v>
      </c>
      <c r="T226" s="243">
        <f>(SUM('1.  LRAMVA Summary'!O$54:O$80)+SUM('1.  LRAMVA Summary'!O$81:O$82)*(MONTH($E226)-1)/12)*$H226</f>
        <v>0</v>
      </c>
      <c r="U226" s="243">
        <f>(SUM('1.  LRAMVA Summary'!P$54:P$80)+SUM('1.  LRAMVA Summary'!P$81:P$82)*(MONTH($E226)-1)/12)*$H226</f>
        <v>0</v>
      </c>
      <c r="V226" s="243">
        <f>(SUM('1.  LRAMVA Summary'!Q$54:Q$80)+SUM('1.  LRAMVA Summary'!Q$81:Q$82)*(MONTH($E226)-1)/12)*$H226</f>
        <v>0</v>
      </c>
      <c r="W226" s="244">
        <f t="shared" ref="W226:W235" si="109">SUM(I226:V226)</f>
        <v>0</v>
      </c>
    </row>
    <row r="227" spans="5:23">
      <c r="E227" s="227">
        <v>45717</v>
      </c>
      <c r="F227" s="227" t="s">
        <v>741</v>
      </c>
      <c r="G227" s="228" t="s">
        <v>65</v>
      </c>
      <c r="H227" s="253"/>
      <c r="I227" s="243">
        <f>(SUM('1.  LRAMVA Summary'!D$54:D$80)+SUM('1.  LRAMVA Summary'!D$81:D$82)*(MONTH($E227)-1)/12)*$H227</f>
        <v>0</v>
      </c>
      <c r="J227" s="243">
        <f>(SUM('1.  LRAMVA Summary'!E$54:E$80)+SUM('1.  LRAMVA Summary'!E$81:E$82)*(MONTH($E227)-1)/12)*$H227</f>
        <v>0</v>
      </c>
      <c r="K227" s="243">
        <f>(SUM('1.  LRAMVA Summary'!F$54:F$80)+SUM('1.  LRAMVA Summary'!F$81:F$82)*(MONTH($E227)-1)/12)*$H227</f>
        <v>0</v>
      </c>
      <c r="L227" s="243">
        <f>(SUM('1.  LRAMVA Summary'!G$54:G$80)+SUM('1.  LRAMVA Summary'!G$81:G$82)*(MONTH($E227)-1)/12)*$H227</f>
        <v>0</v>
      </c>
      <c r="M227" s="243">
        <f>(SUM('1.  LRAMVA Summary'!H$54:H$80)+SUM('1.  LRAMVA Summary'!H$81:H$82)*(MONTH($E227)-1)/12)*$H227</f>
        <v>0</v>
      </c>
      <c r="N227" s="243">
        <f>(SUM('1.  LRAMVA Summary'!I$54:I$80)+SUM('1.  LRAMVA Summary'!I$81:I$82)*(MONTH($E227)-1)/12)*$H227</f>
        <v>0</v>
      </c>
      <c r="O227" s="243">
        <f>(SUM('1.  LRAMVA Summary'!J$54:J$80)+SUM('1.  LRAMVA Summary'!J$81:J$82)*(MONTH($E227)-1)/12)*$H227</f>
        <v>0</v>
      </c>
      <c r="P227" s="243">
        <f>(SUM('1.  LRAMVA Summary'!K$54:K$80)+SUM('1.  LRAMVA Summary'!K$81:K$82)*(MONTH($E227)-1)/12)*$H227</f>
        <v>0</v>
      </c>
      <c r="Q227" s="243">
        <f>(SUM('1.  LRAMVA Summary'!L$54:L$80)+SUM('1.  LRAMVA Summary'!L$81:L$82)*(MONTH($E227)-1)/12)*$H227</f>
        <v>0</v>
      </c>
      <c r="R227" s="243">
        <f>(SUM('1.  LRAMVA Summary'!M$54:M$80)+SUM('1.  LRAMVA Summary'!M$81:M$82)*(MONTH($E227)-1)/12)*$H227</f>
        <v>0</v>
      </c>
      <c r="S227" s="243">
        <f>(SUM('1.  LRAMVA Summary'!N$54:N$80)+SUM('1.  LRAMVA Summary'!N$81:N$82)*(MONTH($E227)-1)/12)*$H227</f>
        <v>0</v>
      </c>
      <c r="T227" s="243">
        <f>(SUM('1.  LRAMVA Summary'!O$54:O$80)+SUM('1.  LRAMVA Summary'!O$81:O$82)*(MONTH($E227)-1)/12)*$H227</f>
        <v>0</v>
      </c>
      <c r="U227" s="243">
        <f>(SUM('1.  LRAMVA Summary'!P$54:P$80)+SUM('1.  LRAMVA Summary'!P$81:P$82)*(MONTH($E227)-1)/12)*$H227</f>
        <v>0</v>
      </c>
      <c r="V227" s="243">
        <f>(SUM('1.  LRAMVA Summary'!Q$54:Q$80)+SUM('1.  LRAMVA Summary'!Q$81:Q$82)*(MONTH($E227)-1)/12)*$H227</f>
        <v>0</v>
      </c>
      <c r="W227" s="244">
        <f t="shared" si="109"/>
        <v>0</v>
      </c>
    </row>
    <row r="228" spans="5:23">
      <c r="E228" s="227">
        <v>45748</v>
      </c>
      <c r="F228" s="227" t="s">
        <v>741</v>
      </c>
      <c r="G228" s="228" t="s">
        <v>66</v>
      </c>
      <c r="H228" s="253"/>
      <c r="I228" s="243">
        <f>(SUM('1.  LRAMVA Summary'!D$54:D$80)+SUM('1.  LRAMVA Summary'!D$81:D$82)*(MONTH($E228)-1)/12)*$H228</f>
        <v>0</v>
      </c>
      <c r="J228" s="243">
        <f>(SUM('1.  LRAMVA Summary'!E$54:E$80)+SUM('1.  LRAMVA Summary'!E$81:E$82)*(MONTH($E228)-1)/12)*$H228</f>
        <v>0</v>
      </c>
      <c r="K228" s="243">
        <f>(SUM('1.  LRAMVA Summary'!F$54:F$80)+SUM('1.  LRAMVA Summary'!F$81:F$82)*(MONTH($E228)-1)/12)*$H228</f>
        <v>0</v>
      </c>
      <c r="L228" s="243">
        <f>(SUM('1.  LRAMVA Summary'!G$54:G$80)+SUM('1.  LRAMVA Summary'!G$81:G$82)*(MONTH($E228)-1)/12)*$H228</f>
        <v>0</v>
      </c>
      <c r="M228" s="243">
        <f>(SUM('1.  LRAMVA Summary'!H$54:H$80)+SUM('1.  LRAMVA Summary'!H$81:H$82)*(MONTH($E228)-1)/12)*$H228</f>
        <v>0</v>
      </c>
      <c r="N228" s="243">
        <f>(SUM('1.  LRAMVA Summary'!I$54:I$80)+SUM('1.  LRAMVA Summary'!I$81:I$82)*(MONTH($E228)-1)/12)*$H228</f>
        <v>0</v>
      </c>
      <c r="O228" s="243">
        <f>(SUM('1.  LRAMVA Summary'!J$54:J$80)+SUM('1.  LRAMVA Summary'!J$81:J$82)*(MONTH($E228)-1)/12)*$H228</f>
        <v>0</v>
      </c>
      <c r="P228" s="243">
        <f>(SUM('1.  LRAMVA Summary'!K$54:K$80)+SUM('1.  LRAMVA Summary'!K$81:K$82)*(MONTH($E228)-1)/12)*$H228</f>
        <v>0</v>
      </c>
      <c r="Q228" s="243">
        <f>(SUM('1.  LRAMVA Summary'!L$54:L$80)+SUM('1.  LRAMVA Summary'!L$81:L$82)*(MONTH($E228)-1)/12)*$H228</f>
        <v>0</v>
      </c>
      <c r="R228" s="243">
        <f>(SUM('1.  LRAMVA Summary'!M$54:M$80)+SUM('1.  LRAMVA Summary'!M$81:M$82)*(MONTH($E228)-1)/12)*$H228</f>
        <v>0</v>
      </c>
      <c r="S228" s="243">
        <f>(SUM('1.  LRAMVA Summary'!N$54:N$80)+SUM('1.  LRAMVA Summary'!N$81:N$82)*(MONTH($E228)-1)/12)*$H228</f>
        <v>0</v>
      </c>
      <c r="T228" s="243">
        <f>(SUM('1.  LRAMVA Summary'!O$54:O$80)+SUM('1.  LRAMVA Summary'!O$81:O$82)*(MONTH($E228)-1)/12)*$H228</f>
        <v>0</v>
      </c>
      <c r="U228" s="243">
        <f>(SUM('1.  LRAMVA Summary'!P$54:P$80)+SUM('1.  LRAMVA Summary'!P$81:P$82)*(MONTH($E228)-1)/12)*$H228</f>
        <v>0</v>
      </c>
      <c r="V228" s="243">
        <f>(SUM('1.  LRAMVA Summary'!Q$54:Q$80)+SUM('1.  LRAMVA Summary'!Q$81:Q$82)*(MONTH($E228)-1)/12)*$H228</f>
        <v>0</v>
      </c>
      <c r="W228" s="244">
        <f t="shared" si="109"/>
        <v>0</v>
      </c>
    </row>
    <row r="229" spans="5:23">
      <c r="E229" s="227">
        <v>45778</v>
      </c>
      <c r="F229" s="227" t="s">
        <v>741</v>
      </c>
      <c r="G229" s="228" t="s">
        <v>66</v>
      </c>
      <c r="H229" s="253"/>
      <c r="I229" s="243">
        <f>(SUM('1.  LRAMVA Summary'!D$54:D$80)+SUM('1.  LRAMVA Summary'!D$81:D$82)*(MONTH($E229)-1)/12)*$H229</f>
        <v>0</v>
      </c>
      <c r="J229" s="243">
        <f>(SUM('1.  LRAMVA Summary'!E$54:E$80)+SUM('1.  LRAMVA Summary'!E$81:E$82)*(MONTH($E229)-1)/12)*$H229</f>
        <v>0</v>
      </c>
      <c r="K229" s="243">
        <f>(SUM('1.  LRAMVA Summary'!F$54:F$80)+SUM('1.  LRAMVA Summary'!F$81:F$82)*(MONTH($E229)-1)/12)*$H229</f>
        <v>0</v>
      </c>
      <c r="L229" s="243">
        <f>(SUM('1.  LRAMVA Summary'!G$54:G$80)+SUM('1.  LRAMVA Summary'!G$81:G$82)*(MONTH($E229)-1)/12)*$H229</f>
        <v>0</v>
      </c>
      <c r="M229" s="243">
        <f>(SUM('1.  LRAMVA Summary'!H$54:H$80)+SUM('1.  LRAMVA Summary'!H$81:H$82)*(MONTH($E229)-1)/12)*$H229</f>
        <v>0</v>
      </c>
      <c r="N229" s="243">
        <f>(SUM('1.  LRAMVA Summary'!I$54:I$80)+SUM('1.  LRAMVA Summary'!I$81:I$82)*(MONTH($E229)-1)/12)*$H229</f>
        <v>0</v>
      </c>
      <c r="O229" s="243">
        <f>(SUM('1.  LRAMVA Summary'!J$54:J$80)+SUM('1.  LRAMVA Summary'!J$81:J$82)*(MONTH($E229)-1)/12)*$H229</f>
        <v>0</v>
      </c>
      <c r="P229" s="243">
        <f>(SUM('1.  LRAMVA Summary'!K$54:K$80)+SUM('1.  LRAMVA Summary'!K$81:K$82)*(MONTH($E229)-1)/12)*$H229</f>
        <v>0</v>
      </c>
      <c r="Q229" s="243">
        <f>(SUM('1.  LRAMVA Summary'!L$54:L$80)+SUM('1.  LRAMVA Summary'!L$81:L$82)*(MONTH($E229)-1)/12)*$H229</f>
        <v>0</v>
      </c>
      <c r="R229" s="243">
        <f>(SUM('1.  LRAMVA Summary'!M$54:M$80)+SUM('1.  LRAMVA Summary'!M$81:M$82)*(MONTH($E229)-1)/12)*$H229</f>
        <v>0</v>
      </c>
      <c r="S229" s="243">
        <f>(SUM('1.  LRAMVA Summary'!N$54:N$80)+SUM('1.  LRAMVA Summary'!N$81:N$82)*(MONTH($E229)-1)/12)*$H229</f>
        <v>0</v>
      </c>
      <c r="T229" s="243">
        <f>(SUM('1.  LRAMVA Summary'!O$54:O$80)+SUM('1.  LRAMVA Summary'!O$81:O$82)*(MONTH($E229)-1)/12)*$H229</f>
        <v>0</v>
      </c>
      <c r="U229" s="243">
        <f>(SUM('1.  LRAMVA Summary'!P$54:P$80)+SUM('1.  LRAMVA Summary'!P$81:P$82)*(MONTH($E229)-1)/12)*$H229</f>
        <v>0</v>
      </c>
      <c r="V229" s="243">
        <f>(SUM('1.  LRAMVA Summary'!Q$54:Q$80)+SUM('1.  LRAMVA Summary'!Q$81:Q$82)*(MONTH($E229)-1)/12)*$H229</f>
        <v>0</v>
      </c>
      <c r="W229" s="244">
        <f t="shared" si="109"/>
        <v>0</v>
      </c>
    </row>
    <row r="230" spans="5:23">
      <c r="E230" s="227">
        <v>45809</v>
      </c>
      <c r="F230" s="227" t="s">
        <v>741</v>
      </c>
      <c r="G230" s="228" t="s">
        <v>66</v>
      </c>
      <c r="H230" s="253"/>
      <c r="I230" s="243">
        <f>(SUM('1.  LRAMVA Summary'!D$54:D$80)+SUM('1.  LRAMVA Summary'!D$81:D$82)*(MONTH($E230)-1)/12)*$H230</f>
        <v>0</v>
      </c>
      <c r="J230" s="243">
        <f>(SUM('1.  LRAMVA Summary'!E$54:E$80)+SUM('1.  LRAMVA Summary'!E$81:E$82)*(MONTH($E230)-1)/12)*$H230</f>
        <v>0</v>
      </c>
      <c r="K230" s="243">
        <f>(SUM('1.  LRAMVA Summary'!F$54:F$80)+SUM('1.  LRAMVA Summary'!F$81:F$82)*(MONTH($E230)-1)/12)*$H230</f>
        <v>0</v>
      </c>
      <c r="L230" s="243">
        <f>(SUM('1.  LRAMVA Summary'!G$54:G$80)+SUM('1.  LRAMVA Summary'!G$81:G$82)*(MONTH($E230)-1)/12)*$H230</f>
        <v>0</v>
      </c>
      <c r="M230" s="243">
        <f>(SUM('1.  LRAMVA Summary'!H$54:H$80)+SUM('1.  LRAMVA Summary'!H$81:H$82)*(MONTH($E230)-1)/12)*$H230</f>
        <v>0</v>
      </c>
      <c r="N230" s="243">
        <f>(SUM('1.  LRAMVA Summary'!I$54:I$80)+SUM('1.  LRAMVA Summary'!I$81:I$82)*(MONTH($E230)-1)/12)*$H230</f>
        <v>0</v>
      </c>
      <c r="O230" s="243">
        <f>(SUM('1.  LRAMVA Summary'!J$54:J$80)+SUM('1.  LRAMVA Summary'!J$81:J$82)*(MONTH($E230)-1)/12)*$H230</f>
        <v>0</v>
      </c>
      <c r="P230" s="243">
        <f>(SUM('1.  LRAMVA Summary'!K$54:K$80)+SUM('1.  LRAMVA Summary'!K$81:K$82)*(MONTH($E230)-1)/12)*$H230</f>
        <v>0</v>
      </c>
      <c r="Q230" s="243">
        <f>(SUM('1.  LRAMVA Summary'!L$54:L$80)+SUM('1.  LRAMVA Summary'!L$81:L$82)*(MONTH($E230)-1)/12)*$H230</f>
        <v>0</v>
      </c>
      <c r="R230" s="243">
        <f>(SUM('1.  LRAMVA Summary'!M$54:M$80)+SUM('1.  LRAMVA Summary'!M$81:M$82)*(MONTH($E230)-1)/12)*$H230</f>
        <v>0</v>
      </c>
      <c r="S230" s="243">
        <f>(SUM('1.  LRAMVA Summary'!N$54:N$80)+SUM('1.  LRAMVA Summary'!N$81:N$82)*(MONTH($E230)-1)/12)*$H230</f>
        <v>0</v>
      </c>
      <c r="T230" s="243">
        <f>(SUM('1.  LRAMVA Summary'!O$54:O$80)+SUM('1.  LRAMVA Summary'!O$81:O$82)*(MONTH($E230)-1)/12)*$H230</f>
        <v>0</v>
      </c>
      <c r="U230" s="243">
        <f>(SUM('1.  LRAMVA Summary'!P$54:P$80)+SUM('1.  LRAMVA Summary'!P$81:P$82)*(MONTH($E230)-1)/12)*$H230</f>
        <v>0</v>
      </c>
      <c r="V230" s="243">
        <f>(SUM('1.  LRAMVA Summary'!Q$54:Q$80)+SUM('1.  LRAMVA Summary'!Q$81:Q$82)*(MONTH($E230)-1)/12)*$H230</f>
        <v>0</v>
      </c>
      <c r="W230" s="244">
        <f t="shared" si="109"/>
        <v>0</v>
      </c>
    </row>
    <row r="231" spans="5:23">
      <c r="E231" s="227">
        <v>45839</v>
      </c>
      <c r="F231" s="227" t="s">
        <v>741</v>
      </c>
      <c r="G231" s="228" t="s">
        <v>68</v>
      </c>
      <c r="H231" s="253"/>
      <c r="I231" s="243">
        <f>(SUM('1.  LRAMVA Summary'!D$54:D$80)+SUM('1.  LRAMVA Summary'!D$81:D$82)*(MONTH($E231)-1)/12)*$H231</f>
        <v>0</v>
      </c>
      <c r="J231" s="243">
        <f>(SUM('1.  LRAMVA Summary'!E$54:E$80)+SUM('1.  LRAMVA Summary'!E$81:E$82)*(MONTH($E231)-1)/12)*$H231</f>
        <v>0</v>
      </c>
      <c r="K231" s="243">
        <f>(SUM('1.  LRAMVA Summary'!F$54:F$80)+SUM('1.  LRAMVA Summary'!F$81:F$82)*(MONTH($E231)-1)/12)*$H231</f>
        <v>0</v>
      </c>
      <c r="L231" s="243">
        <f>(SUM('1.  LRAMVA Summary'!G$54:G$80)+SUM('1.  LRAMVA Summary'!G$81:G$82)*(MONTH($E231)-1)/12)*$H231</f>
        <v>0</v>
      </c>
      <c r="M231" s="243">
        <f>(SUM('1.  LRAMVA Summary'!H$54:H$80)+SUM('1.  LRAMVA Summary'!H$81:H$82)*(MONTH($E231)-1)/12)*$H231</f>
        <v>0</v>
      </c>
      <c r="N231" s="243">
        <f>(SUM('1.  LRAMVA Summary'!I$54:I$80)+SUM('1.  LRAMVA Summary'!I$81:I$82)*(MONTH($E231)-1)/12)*$H231</f>
        <v>0</v>
      </c>
      <c r="O231" s="243">
        <f>(SUM('1.  LRAMVA Summary'!J$54:J$80)+SUM('1.  LRAMVA Summary'!J$81:J$82)*(MONTH($E231)-1)/12)*$H231</f>
        <v>0</v>
      </c>
      <c r="P231" s="243">
        <f>(SUM('1.  LRAMVA Summary'!K$54:K$80)+SUM('1.  LRAMVA Summary'!K$81:K$82)*(MONTH($E231)-1)/12)*$H231</f>
        <v>0</v>
      </c>
      <c r="Q231" s="243">
        <f>(SUM('1.  LRAMVA Summary'!L$54:L$80)+SUM('1.  LRAMVA Summary'!L$81:L$82)*(MONTH($E231)-1)/12)*$H231</f>
        <v>0</v>
      </c>
      <c r="R231" s="243">
        <f>(SUM('1.  LRAMVA Summary'!M$54:M$80)+SUM('1.  LRAMVA Summary'!M$81:M$82)*(MONTH($E231)-1)/12)*$H231</f>
        <v>0</v>
      </c>
      <c r="S231" s="243">
        <f>(SUM('1.  LRAMVA Summary'!N$54:N$80)+SUM('1.  LRAMVA Summary'!N$81:N$82)*(MONTH($E231)-1)/12)*$H231</f>
        <v>0</v>
      </c>
      <c r="T231" s="243">
        <f>(SUM('1.  LRAMVA Summary'!O$54:O$80)+SUM('1.  LRAMVA Summary'!O$81:O$82)*(MONTH($E231)-1)/12)*$H231</f>
        <v>0</v>
      </c>
      <c r="U231" s="243">
        <f>(SUM('1.  LRAMVA Summary'!P$54:P$80)+SUM('1.  LRAMVA Summary'!P$81:P$82)*(MONTH($E231)-1)/12)*$H231</f>
        <v>0</v>
      </c>
      <c r="V231" s="243">
        <f>(SUM('1.  LRAMVA Summary'!Q$54:Q$80)+SUM('1.  LRAMVA Summary'!Q$81:Q$82)*(MONTH($E231)-1)/12)*$H231</f>
        <v>0</v>
      </c>
      <c r="W231" s="244">
        <f t="shared" si="109"/>
        <v>0</v>
      </c>
    </row>
    <row r="232" spans="5:23">
      <c r="E232" s="227">
        <v>45870</v>
      </c>
      <c r="F232" s="227" t="s">
        <v>741</v>
      </c>
      <c r="G232" s="228" t="s">
        <v>68</v>
      </c>
      <c r="H232" s="253"/>
      <c r="I232" s="243">
        <f>(SUM('1.  LRAMVA Summary'!D$54:D$80)+SUM('1.  LRAMVA Summary'!D$81:D$82)*(MONTH($E232)-1)/12)*$H232</f>
        <v>0</v>
      </c>
      <c r="J232" s="243">
        <f>(SUM('1.  LRAMVA Summary'!E$54:E$80)+SUM('1.  LRAMVA Summary'!E$81:E$82)*(MONTH($E232)-1)/12)*$H232</f>
        <v>0</v>
      </c>
      <c r="K232" s="243">
        <f>(SUM('1.  LRAMVA Summary'!F$54:F$80)+SUM('1.  LRAMVA Summary'!F$81:F$82)*(MONTH($E232)-1)/12)*$H232</f>
        <v>0</v>
      </c>
      <c r="L232" s="243">
        <f>(SUM('1.  LRAMVA Summary'!G$54:G$80)+SUM('1.  LRAMVA Summary'!G$81:G$82)*(MONTH($E232)-1)/12)*$H232</f>
        <v>0</v>
      </c>
      <c r="M232" s="243">
        <f>(SUM('1.  LRAMVA Summary'!H$54:H$80)+SUM('1.  LRAMVA Summary'!H$81:H$82)*(MONTH($E232)-1)/12)*$H232</f>
        <v>0</v>
      </c>
      <c r="N232" s="243">
        <f>(SUM('1.  LRAMVA Summary'!I$54:I$80)+SUM('1.  LRAMVA Summary'!I$81:I$82)*(MONTH($E232)-1)/12)*$H232</f>
        <v>0</v>
      </c>
      <c r="O232" s="243">
        <f>(SUM('1.  LRAMVA Summary'!J$54:J$80)+SUM('1.  LRAMVA Summary'!J$81:J$82)*(MONTH($E232)-1)/12)*$H232</f>
        <v>0</v>
      </c>
      <c r="P232" s="243">
        <f>(SUM('1.  LRAMVA Summary'!K$54:K$80)+SUM('1.  LRAMVA Summary'!K$81:K$82)*(MONTH($E232)-1)/12)*$H232</f>
        <v>0</v>
      </c>
      <c r="Q232" s="243">
        <f>(SUM('1.  LRAMVA Summary'!L$54:L$80)+SUM('1.  LRAMVA Summary'!L$81:L$82)*(MONTH($E232)-1)/12)*$H232</f>
        <v>0</v>
      </c>
      <c r="R232" s="243">
        <f>(SUM('1.  LRAMVA Summary'!M$54:M$80)+SUM('1.  LRAMVA Summary'!M$81:M$82)*(MONTH($E232)-1)/12)*$H232</f>
        <v>0</v>
      </c>
      <c r="S232" s="243">
        <f>(SUM('1.  LRAMVA Summary'!N$54:N$80)+SUM('1.  LRAMVA Summary'!N$81:N$82)*(MONTH($E232)-1)/12)*$H232</f>
        <v>0</v>
      </c>
      <c r="T232" s="243">
        <f>(SUM('1.  LRAMVA Summary'!O$54:O$80)+SUM('1.  LRAMVA Summary'!O$81:O$82)*(MONTH($E232)-1)/12)*$H232</f>
        <v>0</v>
      </c>
      <c r="U232" s="243">
        <f>(SUM('1.  LRAMVA Summary'!P$54:P$80)+SUM('1.  LRAMVA Summary'!P$81:P$82)*(MONTH($E232)-1)/12)*$H232</f>
        <v>0</v>
      </c>
      <c r="V232" s="243">
        <f>(SUM('1.  LRAMVA Summary'!Q$54:Q$80)+SUM('1.  LRAMVA Summary'!Q$81:Q$82)*(MONTH($E232)-1)/12)*$H232</f>
        <v>0</v>
      </c>
      <c r="W232" s="244">
        <f t="shared" si="109"/>
        <v>0</v>
      </c>
    </row>
    <row r="233" spans="5:23">
      <c r="E233" s="227">
        <v>45901</v>
      </c>
      <c r="F233" s="227" t="s">
        <v>741</v>
      </c>
      <c r="G233" s="228" t="s">
        <v>68</v>
      </c>
      <c r="H233" s="253"/>
      <c r="I233" s="243">
        <f>(SUM('1.  LRAMVA Summary'!D$54:D$80)+SUM('1.  LRAMVA Summary'!D$81:D$82)*(MONTH($E233)-1)/12)*$H233</f>
        <v>0</v>
      </c>
      <c r="J233" s="243">
        <f>(SUM('1.  LRAMVA Summary'!E$54:E$80)+SUM('1.  LRAMVA Summary'!E$81:E$82)*(MONTH($E233)-1)/12)*$H233</f>
        <v>0</v>
      </c>
      <c r="K233" s="243">
        <f>(SUM('1.  LRAMVA Summary'!F$54:F$80)+SUM('1.  LRAMVA Summary'!F$81:F$82)*(MONTH($E233)-1)/12)*$H233</f>
        <v>0</v>
      </c>
      <c r="L233" s="243">
        <f>(SUM('1.  LRAMVA Summary'!G$54:G$80)+SUM('1.  LRAMVA Summary'!G$81:G$82)*(MONTH($E233)-1)/12)*$H233</f>
        <v>0</v>
      </c>
      <c r="M233" s="243">
        <f>(SUM('1.  LRAMVA Summary'!H$54:H$80)+SUM('1.  LRAMVA Summary'!H$81:H$82)*(MONTH($E233)-1)/12)*$H233</f>
        <v>0</v>
      </c>
      <c r="N233" s="243">
        <f>(SUM('1.  LRAMVA Summary'!I$54:I$80)+SUM('1.  LRAMVA Summary'!I$81:I$82)*(MONTH($E233)-1)/12)*$H233</f>
        <v>0</v>
      </c>
      <c r="O233" s="243">
        <f>(SUM('1.  LRAMVA Summary'!J$54:J$80)+SUM('1.  LRAMVA Summary'!J$81:J$82)*(MONTH($E233)-1)/12)*$H233</f>
        <v>0</v>
      </c>
      <c r="P233" s="243">
        <f>(SUM('1.  LRAMVA Summary'!K$54:K$80)+SUM('1.  LRAMVA Summary'!K$81:K$82)*(MONTH($E233)-1)/12)*$H233</f>
        <v>0</v>
      </c>
      <c r="Q233" s="243">
        <f>(SUM('1.  LRAMVA Summary'!L$54:L$80)+SUM('1.  LRAMVA Summary'!L$81:L$82)*(MONTH($E233)-1)/12)*$H233</f>
        <v>0</v>
      </c>
      <c r="R233" s="243">
        <f>(SUM('1.  LRAMVA Summary'!M$54:M$80)+SUM('1.  LRAMVA Summary'!M$81:M$82)*(MONTH($E233)-1)/12)*$H233</f>
        <v>0</v>
      </c>
      <c r="S233" s="243">
        <f>(SUM('1.  LRAMVA Summary'!N$54:N$80)+SUM('1.  LRAMVA Summary'!N$81:N$82)*(MONTH($E233)-1)/12)*$H233</f>
        <v>0</v>
      </c>
      <c r="T233" s="243">
        <f>(SUM('1.  LRAMVA Summary'!O$54:O$80)+SUM('1.  LRAMVA Summary'!O$81:O$82)*(MONTH($E233)-1)/12)*$H233</f>
        <v>0</v>
      </c>
      <c r="U233" s="243">
        <f>(SUM('1.  LRAMVA Summary'!P$54:P$80)+SUM('1.  LRAMVA Summary'!P$81:P$82)*(MONTH($E233)-1)/12)*$H233</f>
        <v>0</v>
      </c>
      <c r="V233" s="243">
        <f>(SUM('1.  LRAMVA Summary'!Q$54:Q$80)+SUM('1.  LRAMVA Summary'!Q$81:Q$82)*(MONTH($E233)-1)/12)*$H233</f>
        <v>0</v>
      </c>
      <c r="W233" s="244">
        <f t="shared" si="109"/>
        <v>0</v>
      </c>
    </row>
    <row r="234" spans="5:23">
      <c r="E234" s="227">
        <v>45931</v>
      </c>
      <c r="F234" s="227" t="s">
        <v>741</v>
      </c>
      <c r="G234" s="228" t="s">
        <v>69</v>
      </c>
      <c r="H234" s="253"/>
      <c r="I234" s="243">
        <f>(SUM('1.  LRAMVA Summary'!D$54:D$80)+SUM('1.  LRAMVA Summary'!D$81:D$82)*(MONTH($E234)-1)/12)*$H234</f>
        <v>0</v>
      </c>
      <c r="J234" s="243">
        <f>(SUM('1.  LRAMVA Summary'!E$54:E$80)+SUM('1.  LRAMVA Summary'!E$81:E$82)*(MONTH($E234)-1)/12)*$H234</f>
        <v>0</v>
      </c>
      <c r="K234" s="243">
        <f>(SUM('1.  LRAMVA Summary'!F$54:F$80)+SUM('1.  LRAMVA Summary'!F$81:F$82)*(MONTH($E234)-1)/12)*$H234</f>
        <v>0</v>
      </c>
      <c r="L234" s="243">
        <f>(SUM('1.  LRAMVA Summary'!G$54:G$80)+SUM('1.  LRAMVA Summary'!G$81:G$82)*(MONTH($E234)-1)/12)*$H234</f>
        <v>0</v>
      </c>
      <c r="M234" s="243">
        <f>(SUM('1.  LRAMVA Summary'!H$54:H$80)+SUM('1.  LRAMVA Summary'!H$81:H$82)*(MONTH($E234)-1)/12)*$H234</f>
        <v>0</v>
      </c>
      <c r="N234" s="243">
        <f>(SUM('1.  LRAMVA Summary'!I$54:I$80)+SUM('1.  LRAMVA Summary'!I$81:I$82)*(MONTH($E234)-1)/12)*$H234</f>
        <v>0</v>
      </c>
      <c r="O234" s="243">
        <f>(SUM('1.  LRAMVA Summary'!J$54:J$80)+SUM('1.  LRAMVA Summary'!J$81:J$82)*(MONTH($E234)-1)/12)*$H234</f>
        <v>0</v>
      </c>
      <c r="P234" s="243">
        <f>(SUM('1.  LRAMVA Summary'!K$54:K$80)+SUM('1.  LRAMVA Summary'!K$81:K$82)*(MONTH($E234)-1)/12)*$H234</f>
        <v>0</v>
      </c>
      <c r="Q234" s="243">
        <f>(SUM('1.  LRAMVA Summary'!L$54:L$80)+SUM('1.  LRAMVA Summary'!L$81:L$82)*(MONTH($E234)-1)/12)*$H234</f>
        <v>0</v>
      </c>
      <c r="R234" s="243">
        <f>(SUM('1.  LRAMVA Summary'!M$54:M$80)+SUM('1.  LRAMVA Summary'!M$81:M$82)*(MONTH($E234)-1)/12)*$H234</f>
        <v>0</v>
      </c>
      <c r="S234" s="243">
        <f>(SUM('1.  LRAMVA Summary'!N$54:N$80)+SUM('1.  LRAMVA Summary'!N$81:N$82)*(MONTH($E234)-1)/12)*$H234</f>
        <v>0</v>
      </c>
      <c r="T234" s="243">
        <f>(SUM('1.  LRAMVA Summary'!O$54:O$80)+SUM('1.  LRAMVA Summary'!O$81:O$82)*(MONTH($E234)-1)/12)*$H234</f>
        <v>0</v>
      </c>
      <c r="U234" s="243">
        <f>(SUM('1.  LRAMVA Summary'!P$54:P$80)+SUM('1.  LRAMVA Summary'!P$81:P$82)*(MONTH($E234)-1)/12)*$H234</f>
        <v>0</v>
      </c>
      <c r="V234" s="243">
        <f>(SUM('1.  LRAMVA Summary'!Q$54:Q$80)+SUM('1.  LRAMVA Summary'!Q$81:Q$82)*(MONTH($E234)-1)/12)*$H234</f>
        <v>0</v>
      </c>
      <c r="W234" s="244">
        <f t="shared" si="109"/>
        <v>0</v>
      </c>
    </row>
    <row r="235" spans="5:23">
      <c r="E235" s="227">
        <v>45962</v>
      </c>
      <c r="F235" s="227" t="s">
        <v>741</v>
      </c>
      <c r="G235" s="228" t="s">
        <v>69</v>
      </c>
      <c r="H235" s="253"/>
      <c r="I235" s="243">
        <f>(SUM('1.  LRAMVA Summary'!D$54:D$80)+SUM('1.  LRAMVA Summary'!D$81:D$82)*(MONTH($E235)-1)/12)*$H235</f>
        <v>0</v>
      </c>
      <c r="J235" s="243">
        <f>(SUM('1.  LRAMVA Summary'!E$54:E$80)+SUM('1.  LRAMVA Summary'!E$81:E$82)*(MONTH($E235)-1)/12)*$H235</f>
        <v>0</v>
      </c>
      <c r="K235" s="243">
        <f>(SUM('1.  LRAMVA Summary'!F$54:F$80)+SUM('1.  LRAMVA Summary'!F$81:F$82)*(MONTH($E235)-1)/12)*$H235</f>
        <v>0</v>
      </c>
      <c r="L235" s="243">
        <f>(SUM('1.  LRAMVA Summary'!G$54:G$80)+SUM('1.  LRAMVA Summary'!G$81:G$82)*(MONTH($E235)-1)/12)*$H235</f>
        <v>0</v>
      </c>
      <c r="M235" s="243">
        <f>(SUM('1.  LRAMVA Summary'!H$54:H$80)+SUM('1.  LRAMVA Summary'!H$81:H$82)*(MONTH($E235)-1)/12)*$H235</f>
        <v>0</v>
      </c>
      <c r="N235" s="243">
        <f>(SUM('1.  LRAMVA Summary'!I$54:I$80)+SUM('1.  LRAMVA Summary'!I$81:I$82)*(MONTH($E235)-1)/12)*$H235</f>
        <v>0</v>
      </c>
      <c r="O235" s="243">
        <f>(SUM('1.  LRAMVA Summary'!J$54:J$80)+SUM('1.  LRAMVA Summary'!J$81:J$82)*(MONTH($E235)-1)/12)*$H235</f>
        <v>0</v>
      </c>
      <c r="P235" s="243">
        <f>(SUM('1.  LRAMVA Summary'!K$54:K$80)+SUM('1.  LRAMVA Summary'!K$81:K$82)*(MONTH($E235)-1)/12)*$H235</f>
        <v>0</v>
      </c>
      <c r="Q235" s="243">
        <f>(SUM('1.  LRAMVA Summary'!L$54:L$80)+SUM('1.  LRAMVA Summary'!L$81:L$82)*(MONTH($E235)-1)/12)*$H235</f>
        <v>0</v>
      </c>
      <c r="R235" s="243">
        <f>(SUM('1.  LRAMVA Summary'!M$54:M$80)+SUM('1.  LRAMVA Summary'!M$81:M$82)*(MONTH($E235)-1)/12)*$H235</f>
        <v>0</v>
      </c>
      <c r="S235" s="243">
        <f>(SUM('1.  LRAMVA Summary'!N$54:N$80)+SUM('1.  LRAMVA Summary'!N$81:N$82)*(MONTH($E235)-1)/12)*$H235</f>
        <v>0</v>
      </c>
      <c r="T235" s="243">
        <f>(SUM('1.  LRAMVA Summary'!O$54:O$80)+SUM('1.  LRAMVA Summary'!O$81:O$82)*(MONTH($E235)-1)/12)*$H235</f>
        <v>0</v>
      </c>
      <c r="U235" s="243">
        <f>(SUM('1.  LRAMVA Summary'!P$54:P$80)+SUM('1.  LRAMVA Summary'!P$81:P$82)*(MONTH($E235)-1)/12)*$H235</f>
        <v>0</v>
      </c>
      <c r="V235" s="243">
        <f>(SUM('1.  LRAMVA Summary'!Q$54:Q$80)+SUM('1.  LRAMVA Summary'!Q$81:Q$82)*(MONTH($E235)-1)/12)*$H235</f>
        <v>0</v>
      </c>
      <c r="W235" s="244">
        <f t="shared" si="109"/>
        <v>0</v>
      </c>
    </row>
    <row r="236" spans="5:23">
      <c r="E236" s="227">
        <v>45992</v>
      </c>
      <c r="F236" s="227" t="s">
        <v>741</v>
      </c>
      <c r="G236" s="228" t="s">
        <v>69</v>
      </c>
      <c r="H236" s="253"/>
      <c r="I236" s="243">
        <f>(SUM('1.  LRAMVA Summary'!D$54:D$80)+SUM('1.  LRAMVA Summary'!D$81:D$82)*(MONTH($E236)-1)/12)*$H236</f>
        <v>0</v>
      </c>
      <c r="J236" s="243">
        <f>(SUM('1.  LRAMVA Summary'!E$54:E$80)+SUM('1.  LRAMVA Summary'!E$81:E$82)*(MONTH($E236)-1)/12)*$H236</f>
        <v>0</v>
      </c>
      <c r="K236" s="243">
        <f>(SUM('1.  LRAMVA Summary'!F$54:F$80)+SUM('1.  LRAMVA Summary'!F$81:F$82)*(MONTH($E236)-1)/12)*$H236</f>
        <v>0</v>
      </c>
      <c r="L236" s="243">
        <f>(SUM('1.  LRAMVA Summary'!G$54:G$80)+SUM('1.  LRAMVA Summary'!G$81:G$82)*(MONTH($E236)-1)/12)*$H236</f>
        <v>0</v>
      </c>
      <c r="M236" s="243">
        <f>(SUM('1.  LRAMVA Summary'!H$54:H$80)+SUM('1.  LRAMVA Summary'!H$81:H$82)*(MONTH($E236)-1)/12)*$H236</f>
        <v>0</v>
      </c>
      <c r="N236" s="243">
        <f>(SUM('1.  LRAMVA Summary'!I$54:I$80)+SUM('1.  LRAMVA Summary'!I$81:I$82)*(MONTH($E236)-1)/12)*$H236</f>
        <v>0</v>
      </c>
      <c r="O236" s="243">
        <f>(SUM('1.  LRAMVA Summary'!J$54:J$80)+SUM('1.  LRAMVA Summary'!J$81:J$82)*(MONTH($E236)-1)/12)*$H236</f>
        <v>0</v>
      </c>
      <c r="P236" s="243">
        <f>(SUM('1.  LRAMVA Summary'!K$54:K$80)+SUM('1.  LRAMVA Summary'!K$81:K$82)*(MONTH($E236)-1)/12)*$H236</f>
        <v>0</v>
      </c>
      <c r="Q236" s="243">
        <f>(SUM('1.  LRAMVA Summary'!L$54:L$80)+SUM('1.  LRAMVA Summary'!L$81:L$82)*(MONTH($E236)-1)/12)*$H236</f>
        <v>0</v>
      </c>
      <c r="R236" s="243">
        <f>(SUM('1.  LRAMVA Summary'!M$54:M$80)+SUM('1.  LRAMVA Summary'!M$81:M$82)*(MONTH($E236)-1)/12)*$H236</f>
        <v>0</v>
      </c>
      <c r="S236" s="243">
        <f>(SUM('1.  LRAMVA Summary'!N$54:N$80)+SUM('1.  LRAMVA Summary'!N$81:N$82)*(MONTH($E236)-1)/12)*$H236</f>
        <v>0</v>
      </c>
      <c r="T236" s="243">
        <f>(SUM('1.  LRAMVA Summary'!O$54:O$80)+SUM('1.  LRAMVA Summary'!O$81:O$82)*(MONTH($E236)-1)/12)*$H236</f>
        <v>0</v>
      </c>
      <c r="U236" s="243">
        <f>(SUM('1.  LRAMVA Summary'!P$54:P$80)+SUM('1.  LRAMVA Summary'!P$81:P$82)*(MONTH($E236)-1)/12)*$H236</f>
        <v>0</v>
      </c>
      <c r="V236" s="243">
        <f>(SUM('1.  LRAMVA Summary'!Q$54:Q$80)+SUM('1.  LRAMVA Summary'!Q$81:Q$82)*(MONTH($E236)-1)/12)*$H236</f>
        <v>0</v>
      </c>
      <c r="W236" s="244">
        <f>SUM(I236:V236)</f>
        <v>0</v>
      </c>
    </row>
    <row r="237" spans="5:23" ht="15" thickBot="1">
      <c r="E237" s="229" t="s">
        <v>739</v>
      </c>
      <c r="F237" s="229"/>
      <c r="G237" s="230"/>
      <c r="H237" s="231"/>
      <c r="I237" s="232">
        <f>SUM(I224:I236)</f>
        <v>10299.102433618413</v>
      </c>
      <c r="J237" s="232">
        <f>SUM(J224:J236)</f>
        <v>6970.4416227476995</v>
      </c>
      <c r="K237" s="232">
        <f t="shared" ref="K237:U237" si="110">SUM(K224:K236)</f>
        <v>2557.8260142545346</v>
      </c>
      <c r="L237" s="232">
        <f t="shared" si="110"/>
        <v>1954.4843743759639</v>
      </c>
      <c r="M237" s="232">
        <f>SUM(M224:M236)</f>
        <v>0</v>
      </c>
      <c r="N237" s="232">
        <f t="shared" si="110"/>
        <v>0</v>
      </c>
      <c r="O237" s="232">
        <f t="shared" si="110"/>
        <v>-874.37472369209672</v>
      </c>
      <c r="P237" s="232">
        <f t="shared" si="110"/>
        <v>0</v>
      </c>
      <c r="Q237" s="232">
        <f t="shared" si="110"/>
        <v>0</v>
      </c>
      <c r="R237" s="232">
        <f t="shared" si="110"/>
        <v>0</v>
      </c>
      <c r="S237" s="232">
        <f t="shared" si="110"/>
        <v>0</v>
      </c>
      <c r="T237" s="232">
        <f t="shared" si="110"/>
        <v>0</v>
      </c>
      <c r="U237" s="232">
        <f t="shared" si="110"/>
        <v>0</v>
      </c>
      <c r="V237" s="232">
        <f>SUM(V224:V236)</f>
        <v>0</v>
      </c>
      <c r="W237" s="232">
        <f>SUM(W224:W236)</f>
        <v>20907.479721304502</v>
      </c>
    </row>
    <row r="238" spans="5:23" ht="15" thickTop="1">
      <c r="E238" s="233" t="s">
        <v>67</v>
      </c>
      <c r="F238" s="233"/>
      <c r="G238" s="234"/>
      <c r="H238" s="235"/>
      <c r="I238" s="236"/>
      <c r="J238" s="236"/>
      <c r="K238" s="236"/>
      <c r="L238" s="236"/>
      <c r="M238" s="236"/>
      <c r="N238" s="236"/>
      <c r="O238" s="236"/>
      <c r="P238" s="236"/>
      <c r="Q238" s="236"/>
      <c r="R238" s="236"/>
      <c r="S238" s="236"/>
      <c r="T238" s="236"/>
      <c r="U238" s="236"/>
      <c r="V238" s="236"/>
      <c r="W238" s="237"/>
    </row>
  </sheetData>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96"/>
  <sheetViews>
    <sheetView topLeftCell="F118" zoomScale="90" zoomScaleNormal="90" workbookViewId="0">
      <selection activeCell="I147" sqref="I147"/>
    </sheetView>
  </sheetViews>
  <sheetFormatPr defaultColWidth="9" defaultRowHeight="14.4" outlineLevelRow="1"/>
  <cols>
    <col min="1" max="1" width="6" style="25" customWidth="1"/>
    <col min="2" max="2" width="24.44140625" style="25" customWidth="1"/>
    <col min="3" max="3" width="11.44140625" style="25" customWidth="1"/>
    <col min="4" max="4" width="37.5546875" style="25" customWidth="1"/>
    <col min="5" max="5" width="35" style="25" bestFit="1" customWidth="1"/>
    <col min="6" max="6" width="26.5546875" style="25" customWidth="1"/>
    <col min="7" max="7" width="17" style="25" customWidth="1"/>
    <col min="8" max="8" width="19.44140625" style="25" customWidth="1"/>
    <col min="9" max="10" width="23" style="640" customWidth="1"/>
    <col min="11" max="11" width="2" style="29" customWidth="1"/>
    <col min="12" max="24" width="9" style="25"/>
    <col min="25" max="25" width="11.109375" style="25" bestFit="1" customWidth="1"/>
    <col min="26" max="41" width="9" style="25"/>
    <col min="42" max="42" width="2" style="25" customWidth="1"/>
    <col min="43" max="43" width="12.5546875" style="25" customWidth="1"/>
    <col min="44" max="64" width="12" style="25" bestFit="1" customWidth="1"/>
    <col min="65" max="72" width="9" style="25"/>
    <col min="73" max="73" width="9" style="29"/>
    <col min="74" max="16384" width="9" style="25"/>
  </cols>
  <sheetData>
    <row r="1" spans="2:73">
      <c r="I1" s="25"/>
      <c r="J1" s="25"/>
    </row>
    <row r="2" spans="2:73">
      <c r="I2" s="25"/>
      <c r="J2" s="25"/>
    </row>
    <row r="3" spans="2:73">
      <c r="I3" s="25"/>
      <c r="J3" s="25"/>
    </row>
    <row r="4" spans="2:73">
      <c r="I4" s="25"/>
      <c r="J4" s="25"/>
    </row>
    <row r="5" spans="2:73">
      <c r="I5" s="25"/>
      <c r="J5" s="25"/>
    </row>
    <row r="6" spans="2:73">
      <c r="I6" s="25"/>
      <c r="J6" s="25"/>
    </row>
    <row r="7" spans="2:73">
      <c r="I7" s="25"/>
      <c r="J7" s="25"/>
    </row>
    <row r="8" spans="2:73">
      <c r="I8" s="25"/>
      <c r="J8" s="25"/>
    </row>
    <row r="9" spans="2:73">
      <c r="I9" s="25"/>
      <c r="J9" s="25"/>
    </row>
    <row r="10" spans="2:73">
      <c r="I10" s="25"/>
      <c r="J10" s="25"/>
    </row>
    <row r="11" spans="2:73" ht="15" thickBot="1">
      <c r="I11" s="25"/>
      <c r="J11" s="25"/>
    </row>
    <row r="12" spans="2:73" s="22" customFormat="1" ht="25.5" customHeight="1" outlineLevel="1" thickBot="1">
      <c r="B12" s="132" t="s">
        <v>171</v>
      </c>
      <c r="D12" s="139" t="s">
        <v>175</v>
      </c>
      <c r="E12" s="30"/>
      <c r="F12" s="190"/>
      <c r="G12" s="191"/>
      <c r="H12" s="192"/>
      <c r="K12" s="192"/>
      <c r="L12" s="190"/>
      <c r="M12" s="190"/>
      <c r="N12" s="190"/>
      <c r="O12" s="190"/>
      <c r="P12" s="190"/>
      <c r="Q12" s="193"/>
    </row>
    <row r="13" spans="2:73" s="22" customFormat="1" ht="25.5" customHeight="1" outlineLevel="1" thickBot="1">
      <c r="B13" s="557"/>
      <c r="D13" s="642" t="s">
        <v>406</v>
      </c>
      <c r="E13" s="30"/>
      <c r="F13" s="190"/>
      <c r="G13" s="191"/>
      <c r="H13" s="192"/>
      <c r="K13" s="192"/>
      <c r="L13" s="190"/>
      <c r="M13" s="190"/>
      <c r="N13" s="190"/>
      <c r="O13" s="190"/>
      <c r="P13" s="190"/>
      <c r="Q13" s="193"/>
    </row>
    <row r="14" spans="2:73" ht="30" customHeight="1" outlineLevel="1" thickBot="1">
      <c r="B14" s="103"/>
      <c r="D14" s="616" t="s">
        <v>550</v>
      </c>
      <c r="I14" s="25"/>
      <c r="J14" s="25"/>
      <c r="BU14" s="25"/>
    </row>
    <row r="15" spans="2:73" ht="26.25" customHeight="1" outlineLevel="1">
      <c r="C15" s="103"/>
      <c r="I15" s="25"/>
      <c r="J15" s="25"/>
    </row>
    <row r="16" spans="2:73" ht="23.25" customHeight="1" outlineLevel="1">
      <c r="B16" s="129" t="s">
        <v>504</v>
      </c>
      <c r="C16" s="103"/>
      <c r="D16" s="621" t="s">
        <v>613</v>
      </c>
      <c r="E16" s="611"/>
      <c r="F16" s="611"/>
      <c r="G16" s="622"/>
      <c r="H16" s="611"/>
      <c r="I16" s="611"/>
      <c r="J16" s="611"/>
      <c r="K16" s="645"/>
      <c r="L16" s="611"/>
      <c r="M16" s="611"/>
      <c r="N16" s="611"/>
      <c r="O16" s="611"/>
      <c r="P16" s="611"/>
      <c r="Q16" s="611"/>
      <c r="R16" s="611"/>
      <c r="S16" s="611"/>
      <c r="T16" s="611"/>
      <c r="U16" s="611"/>
      <c r="V16" s="611"/>
      <c r="W16" s="611"/>
      <c r="X16" s="611"/>
      <c r="Y16" s="611"/>
      <c r="Z16" s="611"/>
      <c r="AA16" s="611"/>
      <c r="AB16" s="611"/>
      <c r="AC16" s="611"/>
      <c r="AD16" s="611"/>
      <c r="AE16" s="611"/>
      <c r="AF16" s="611"/>
      <c r="AG16" s="611"/>
    </row>
    <row r="17" spans="2:73" ht="23.25" customHeight="1" outlineLevel="1">
      <c r="B17" s="695" t="s">
        <v>607</v>
      </c>
      <c r="C17" s="103"/>
      <c r="D17" s="617" t="s">
        <v>585</v>
      </c>
      <c r="E17" s="611"/>
      <c r="F17" s="611"/>
      <c r="G17" s="622"/>
      <c r="H17" s="611"/>
      <c r="I17" s="611"/>
      <c r="J17" s="611"/>
      <c r="K17" s="645"/>
      <c r="L17" s="611"/>
      <c r="M17" s="611"/>
      <c r="N17" s="611"/>
      <c r="O17" s="611"/>
      <c r="P17" s="611"/>
      <c r="Q17" s="611"/>
      <c r="R17" s="611"/>
      <c r="S17" s="611"/>
      <c r="T17" s="611"/>
      <c r="U17" s="611"/>
      <c r="V17" s="611"/>
      <c r="W17" s="611"/>
      <c r="X17" s="611"/>
      <c r="Y17" s="611"/>
      <c r="Z17" s="611"/>
      <c r="AA17" s="611"/>
      <c r="AB17" s="611"/>
      <c r="AC17" s="611"/>
      <c r="AD17" s="611"/>
      <c r="AE17" s="611"/>
      <c r="AF17" s="611"/>
      <c r="AG17" s="611"/>
    </row>
    <row r="18" spans="2:73" ht="23.25" customHeight="1" outlineLevel="1">
      <c r="C18" s="103"/>
      <c r="D18" s="617" t="s">
        <v>620</v>
      </c>
      <c r="E18" s="611"/>
      <c r="F18" s="611"/>
      <c r="G18" s="622"/>
      <c r="H18" s="611"/>
      <c r="I18" s="611"/>
      <c r="J18" s="611"/>
      <c r="K18" s="645"/>
      <c r="L18" s="611"/>
      <c r="M18" s="611"/>
      <c r="N18" s="611"/>
      <c r="O18" s="611"/>
      <c r="P18" s="611"/>
      <c r="Q18" s="611"/>
      <c r="R18" s="611"/>
      <c r="S18" s="611"/>
      <c r="T18" s="611"/>
      <c r="U18" s="611"/>
      <c r="V18" s="611"/>
      <c r="W18" s="611"/>
      <c r="X18" s="611"/>
      <c r="Y18" s="611"/>
      <c r="Z18" s="611"/>
      <c r="AA18" s="611"/>
      <c r="AB18" s="611"/>
      <c r="AC18" s="611"/>
      <c r="AD18" s="611"/>
      <c r="AE18" s="611"/>
      <c r="AF18" s="611"/>
      <c r="AG18" s="611"/>
    </row>
    <row r="19" spans="2:73" ht="23.25" customHeight="1" outlineLevel="1">
      <c r="C19" s="103"/>
      <c r="D19" s="617" t="s">
        <v>619</v>
      </c>
      <c r="E19" s="611"/>
      <c r="F19" s="611"/>
      <c r="G19" s="622"/>
      <c r="H19" s="611"/>
      <c r="I19" s="611"/>
      <c r="J19" s="611"/>
      <c r="K19" s="645"/>
      <c r="L19" s="611"/>
      <c r="M19" s="611"/>
      <c r="N19" s="611"/>
      <c r="O19" s="611"/>
      <c r="P19" s="611"/>
      <c r="Q19" s="611"/>
      <c r="R19" s="611"/>
      <c r="S19" s="611"/>
      <c r="T19" s="611"/>
      <c r="U19" s="611"/>
      <c r="V19" s="611"/>
      <c r="W19" s="611"/>
      <c r="X19" s="611"/>
      <c r="Y19" s="611"/>
      <c r="Z19" s="611"/>
      <c r="AA19" s="611"/>
      <c r="AB19" s="611"/>
      <c r="AC19" s="611"/>
      <c r="AD19" s="611"/>
      <c r="AE19" s="611"/>
      <c r="AF19" s="611"/>
      <c r="AG19" s="611"/>
    </row>
    <row r="20" spans="2:73" ht="23.25" customHeight="1" outlineLevel="1">
      <c r="C20" s="103"/>
      <c r="D20" s="617" t="s">
        <v>621</v>
      </c>
      <c r="E20" s="611"/>
      <c r="F20" s="611"/>
      <c r="G20" s="622"/>
      <c r="H20" s="611"/>
      <c r="I20" s="611"/>
      <c r="J20" s="611"/>
      <c r="K20" s="645"/>
      <c r="L20" s="611"/>
      <c r="M20" s="611"/>
      <c r="N20" s="611"/>
      <c r="O20" s="611"/>
      <c r="P20" s="611"/>
      <c r="Q20" s="611"/>
      <c r="R20" s="611"/>
      <c r="S20" s="611"/>
      <c r="T20" s="611"/>
      <c r="U20" s="611"/>
      <c r="V20" s="611"/>
      <c r="W20" s="611"/>
      <c r="X20" s="611"/>
      <c r="Y20" s="611"/>
      <c r="Z20" s="611"/>
      <c r="AA20" s="611"/>
      <c r="AB20" s="611"/>
      <c r="AC20" s="611"/>
      <c r="AD20" s="611"/>
      <c r="AE20" s="611"/>
      <c r="AF20" s="611"/>
      <c r="AG20" s="611"/>
    </row>
    <row r="21" spans="2:73" ht="23.25" customHeight="1" outlineLevel="1">
      <c r="C21" s="103"/>
      <c r="D21" s="698" t="s">
        <v>631</v>
      </c>
      <c r="E21" s="611"/>
      <c r="F21" s="611"/>
      <c r="G21" s="622"/>
      <c r="H21" s="611"/>
      <c r="I21" s="611"/>
      <c r="J21" s="611"/>
      <c r="K21" s="645"/>
      <c r="L21" s="611"/>
      <c r="M21" s="611"/>
      <c r="N21" s="611"/>
      <c r="O21" s="611"/>
      <c r="P21" s="611"/>
      <c r="Q21" s="611"/>
      <c r="R21" s="611"/>
      <c r="S21" s="611"/>
      <c r="T21" s="611"/>
      <c r="U21" s="611"/>
      <c r="V21" s="611"/>
      <c r="W21" s="611"/>
      <c r="X21" s="611"/>
      <c r="Y21" s="611"/>
      <c r="Z21" s="611"/>
      <c r="AA21" s="611"/>
      <c r="AB21" s="611"/>
      <c r="AC21" s="611"/>
      <c r="AD21" s="611"/>
      <c r="AE21" s="611"/>
      <c r="AF21" s="611"/>
      <c r="AG21" s="611"/>
    </row>
    <row r="22" spans="2:73">
      <c r="I22" s="25"/>
      <c r="J22" s="25"/>
    </row>
    <row r="23" spans="2:73" ht="15.6">
      <c r="B23" s="195" t="s">
        <v>590</v>
      </c>
      <c r="H23" s="23"/>
      <c r="I23" s="23"/>
      <c r="J23" s="23"/>
    </row>
    <row r="24" spans="2:73" s="675" customFormat="1" ht="21" customHeight="1">
      <c r="B24" s="697" t="s">
        <v>594</v>
      </c>
      <c r="C24" s="915" t="s">
        <v>595</v>
      </c>
      <c r="D24" s="915"/>
      <c r="E24" s="915"/>
      <c r="F24" s="915"/>
      <c r="G24" s="915"/>
      <c r="H24" s="683" t="s">
        <v>592</v>
      </c>
      <c r="I24" s="683" t="s">
        <v>591</v>
      </c>
      <c r="J24" s="683" t="s">
        <v>593</v>
      </c>
      <c r="K24" s="674"/>
      <c r="L24" s="675" t="s">
        <v>595</v>
      </c>
      <c r="AQ24" s="675" t="s">
        <v>595</v>
      </c>
      <c r="BU24" s="674"/>
    </row>
    <row r="25" spans="2:73" s="263" customFormat="1" ht="49.5" customHeight="1">
      <c r="B25" s="258" t="s">
        <v>472</v>
      </c>
      <c r="C25" s="258" t="s">
        <v>211</v>
      </c>
      <c r="D25" s="634" t="s">
        <v>473</v>
      </c>
      <c r="E25" s="258" t="s">
        <v>208</v>
      </c>
      <c r="F25" s="258" t="s">
        <v>474</v>
      </c>
      <c r="G25" s="258" t="s">
        <v>475</v>
      </c>
      <c r="H25" s="634" t="s">
        <v>476</v>
      </c>
      <c r="I25" s="641" t="s">
        <v>583</v>
      </c>
      <c r="J25" s="648" t="s">
        <v>584</v>
      </c>
      <c r="K25" s="646"/>
      <c r="L25" s="259" t="s">
        <v>477</v>
      </c>
      <c r="M25" s="260"/>
      <c r="N25" s="260"/>
      <c r="O25" s="260"/>
      <c r="P25" s="260"/>
      <c r="Q25" s="260"/>
      <c r="R25" s="260"/>
      <c r="S25" s="260"/>
      <c r="T25" s="260"/>
      <c r="U25" s="260"/>
      <c r="V25" s="260"/>
      <c r="W25" s="260"/>
      <c r="X25" s="260"/>
      <c r="Y25" s="260"/>
      <c r="Z25" s="260"/>
      <c r="AA25" s="260"/>
      <c r="AB25" s="260"/>
      <c r="AC25" s="260"/>
      <c r="AD25" s="260"/>
      <c r="AE25" s="260"/>
      <c r="AF25" s="260"/>
      <c r="AG25" s="260"/>
      <c r="AH25" s="260"/>
      <c r="AI25" s="260"/>
      <c r="AJ25" s="260"/>
      <c r="AK25" s="260"/>
      <c r="AL25" s="260"/>
      <c r="AM25" s="260"/>
      <c r="AN25" s="260"/>
      <c r="AO25" s="261"/>
      <c r="AP25" s="262"/>
      <c r="AQ25" s="259" t="s">
        <v>478</v>
      </c>
      <c r="AR25" s="260"/>
      <c r="AS25" s="260"/>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1"/>
      <c r="BU25" s="262"/>
    </row>
    <row r="26" spans="2:73" s="263" customFormat="1" ht="30" customHeight="1">
      <c r="B26" s="264"/>
      <c r="C26" s="264"/>
      <c r="D26" s="264"/>
      <c r="E26" s="264"/>
      <c r="F26" s="264"/>
      <c r="G26" s="264"/>
      <c r="H26" s="696"/>
      <c r="I26" s="639"/>
      <c r="J26" s="639"/>
      <c r="K26" s="647"/>
      <c r="L26" s="265">
        <v>2011</v>
      </c>
      <c r="M26" s="265">
        <v>2012</v>
      </c>
      <c r="N26" s="265">
        <v>2013</v>
      </c>
      <c r="O26" s="265">
        <v>2014</v>
      </c>
      <c r="P26" s="265">
        <v>2015</v>
      </c>
      <c r="Q26" s="265">
        <v>2016</v>
      </c>
      <c r="R26" s="265">
        <v>2017</v>
      </c>
      <c r="S26" s="265">
        <v>2018</v>
      </c>
      <c r="T26" s="265">
        <v>2019</v>
      </c>
      <c r="U26" s="265">
        <v>2020</v>
      </c>
      <c r="V26" s="265">
        <v>2021</v>
      </c>
      <c r="W26" s="265">
        <v>2022</v>
      </c>
      <c r="X26" s="265">
        <v>2023</v>
      </c>
      <c r="Y26" s="265">
        <v>2024</v>
      </c>
      <c r="Z26" s="265">
        <v>2025</v>
      </c>
      <c r="AA26" s="265">
        <v>2026</v>
      </c>
      <c r="AB26" s="265">
        <v>2027</v>
      </c>
      <c r="AC26" s="265">
        <v>2028</v>
      </c>
      <c r="AD26" s="265">
        <v>2029</v>
      </c>
      <c r="AE26" s="265">
        <v>2030</v>
      </c>
      <c r="AF26" s="265">
        <v>2031</v>
      </c>
      <c r="AG26" s="265">
        <v>2032</v>
      </c>
      <c r="AH26" s="265">
        <v>2033</v>
      </c>
      <c r="AI26" s="265">
        <v>2034</v>
      </c>
      <c r="AJ26" s="265">
        <v>2035</v>
      </c>
      <c r="AK26" s="265">
        <v>2036</v>
      </c>
      <c r="AL26" s="265">
        <v>2037</v>
      </c>
      <c r="AM26" s="265">
        <v>2038</v>
      </c>
      <c r="AN26" s="265">
        <v>2039</v>
      </c>
      <c r="AO26" s="265">
        <v>2040</v>
      </c>
      <c r="AP26" s="262"/>
      <c r="AQ26" s="265">
        <v>2011</v>
      </c>
      <c r="AR26" s="265">
        <v>2012</v>
      </c>
      <c r="AS26" s="265">
        <v>2013</v>
      </c>
      <c r="AT26" s="265">
        <v>2014</v>
      </c>
      <c r="AU26" s="265">
        <v>2015</v>
      </c>
      <c r="AV26" s="265">
        <v>2016</v>
      </c>
      <c r="AW26" s="265">
        <v>2017</v>
      </c>
      <c r="AX26" s="265">
        <v>2018</v>
      </c>
      <c r="AY26" s="265">
        <v>2019</v>
      </c>
      <c r="AZ26" s="265">
        <v>2020</v>
      </c>
      <c r="BA26" s="265">
        <v>2021</v>
      </c>
      <c r="BB26" s="265">
        <v>2022</v>
      </c>
      <c r="BC26" s="265">
        <v>2023</v>
      </c>
      <c r="BD26" s="265">
        <v>2024</v>
      </c>
      <c r="BE26" s="265">
        <v>2025</v>
      </c>
      <c r="BF26" s="265">
        <v>2026</v>
      </c>
      <c r="BG26" s="265">
        <v>2027</v>
      </c>
      <c r="BH26" s="265">
        <v>2028</v>
      </c>
      <c r="BI26" s="265">
        <v>2029</v>
      </c>
      <c r="BJ26" s="265">
        <v>2030</v>
      </c>
      <c r="BK26" s="265">
        <v>2031</v>
      </c>
      <c r="BL26" s="265">
        <v>2032</v>
      </c>
      <c r="BM26" s="265">
        <v>2033</v>
      </c>
      <c r="BN26" s="265">
        <v>2034</v>
      </c>
      <c r="BO26" s="265">
        <v>2035</v>
      </c>
      <c r="BP26" s="265">
        <v>2036</v>
      </c>
      <c r="BQ26" s="265">
        <v>2037</v>
      </c>
      <c r="BR26" s="265">
        <v>2038</v>
      </c>
      <c r="BS26" s="265">
        <v>2039</v>
      </c>
      <c r="BT26" s="265">
        <v>2040</v>
      </c>
      <c r="BU26" s="262"/>
    </row>
    <row r="27" spans="2:73" s="30" customFormat="1" ht="15.6">
      <c r="B27" s="750" t="s">
        <v>743</v>
      </c>
      <c r="C27" s="750" t="s">
        <v>744</v>
      </c>
      <c r="D27" s="750" t="s">
        <v>2</v>
      </c>
      <c r="E27" s="750" t="s">
        <v>745</v>
      </c>
      <c r="F27" s="750" t="s">
        <v>29</v>
      </c>
      <c r="G27" s="750" t="s">
        <v>746</v>
      </c>
      <c r="H27" s="750">
        <v>2011</v>
      </c>
      <c r="I27" s="649" t="s">
        <v>571</v>
      </c>
      <c r="J27" s="649" t="s">
        <v>589</v>
      </c>
      <c r="K27" s="63"/>
      <c r="L27" s="751">
        <v>1.15898497970758</v>
      </c>
      <c r="M27" s="752">
        <v>1.15898497970758</v>
      </c>
      <c r="N27" s="752">
        <v>1.15898497970758</v>
      </c>
      <c r="O27" s="752">
        <v>0.17483904409957066</v>
      </c>
      <c r="P27" s="752">
        <v>0</v>
      </c>
      <c r="Q27" s="752">
        <v>0</v>
      </c>
      <c r="R27" s="752">
        <v>0</v>
      </c>
      <c r="S27" s="752">
        <v>0</v>
      </c>
      <c r="T27" s="752">
        <v>0</v>
      </c>
      <c r="U27" s="752">
        <v>0</v>
      </c>
      <c r="V27" s="752">
        <v>0</v>
      </c>
      <c r="W27" s="752">
        <v>0</v>
      </c>
      <c r="X27" s="752">
        <v>0</v>
      </c>
      <c r="Y27" s="752">
        <v>0</v>
      </c>
      <c r="Z27" s="752">
        <v>0</v>
      </c>
      <c r="AA27" s="752">
        <v>0</v>
      </c>
      <c r="AB27" s="752">
        <v>0</v>
      </c>
      <c r="AC27" s="752">
        <v>0</v>
      </c>
      <c r="AD27" s="752">
        <v>0</v>
      </c>
      <c r="AE27" s="752">
        <v>0</v>
      </c>
      <c r="AF27" s="752">
        <v>0</v>
      </c>
      <c r="AG27" s="752">
        <v>0</v>
      </c>
      <c r="AH27" s="752">
        <v>0</v>
      </c>
      <c r="AI27" s="752">
        <v>0</v>
      </c>
      <c r="AJ27" s="752">
        <v>0</v>
      </c>
      <c r="AK27" s="752">
        <v>0</v>
      </c>
      <c r="AL27" s="752">
        <v>0</v>
      </c>
      <c r="AM27" s="752">
        <v>0</v>
      </c>
      <c r="AN27" s="752">
        <v>0</v>
      </c>
      <c r="AO27" s="753">
        <v>0</v>
      </c>
      <c r="AP27" s="63"/>
      <c r="AQ27" s="751">
        <v>1191.8256694305676</v>
      </c>
      <c r="AR27" s="752">
        <v>1191.8256694305676</v>
      </c>
      <c r="AS27" s="752">
        <v>1191.8256694305676</v>
      </c>
      <c r="AT27" s="752">
        <v>311.74881627297452</v>
      </c>
      <c r="AU27" s="752">
        <v>0</v>
      </c>
      <c r="AV27" s="752">
        <v>0</v>
      </c>
      <c r="AW27" s="752">
        <v>0</v>
      </c>
      <c r="AX27" s="752">
        <v>0</v>
      </c>
      <c r="AY27" s="752">
        <v>0</v>
      </c>
      <c r="AZ27" s="752">
        <v>0</v>
      </c>
      <c r="BA27" s="752">
        <v>0</v>
      </c>
      <c r="BB27" s="752">
        <v>0</v>
      </c>
      <c r="BC27" s="752">
        <v>0</v>
      </c>
      <c r="BD27" s="752">
        <v>0</v>
      </c>
      <c r="BE27" s="752">
        <v>0</v>
      </c>
      <c r="BF27" s="752">
        <v>0</v>
      </c>
      <c r="BG27" s="752">
        <v>0</v>
      </c>
      <c r="BH27" s="752">
        <v>0</v>
      </c>
      <c r="BI27" s="752">
        <v>0</v>
      </c>
      <c r="BJ27" s="752">
        <v>0</v>
      </c>
      <c r="BK27" s="752">
        <v>0</v>
      </c>
      <c r="BL27" s="752">
        <v>0</v>
      </c>
      <c r="BM27" s="752">
        <v>0</v>
      </c>
      <c r="BN27" s="752">
        <v>0</v>
      </c>
      <c r="BO27" s="752">
        <v>0</v>
      </c>
      <c r="BP27" s="752">
        <v>0</v>
      </c>
      <c r="BQ27" s="752">
        <v>0</v>
      </c>
      <c r="BR27" s="752">
        <v>0</v>
      </c>
      <c r="BS27" s="752">
        <v>0</v>
      </c>
      <c r="BT27" s="753">
        <v>0</v>
      </c>
      <c r="BU27" s="29"/>
    </row>
    <row r="28" spans="2:73" s="30" customFormat="1" ht="15.6">
      <c r="B28" s="750" t="s">
        <v>743</v>
      </c>
      <c r="C28" s="750" t="s">
        <v>744</v>
      </c>
      <c r="D28" s="750" t="s">
        <v>1</v>
      </c>
      <c r="E28" s="750" t="s">
        <v>745</v>
      </c>
      <c r="F28" s="750" t="s">
        <v>29</v>
      </c>
      <c r="G28" s="750" t="s">
        <v>746</v>
      </c>
      <c r="H28" s="750">
        <v>2011</v>
      </c>
      <c r="I28" s="649" t="s">
        <v>571</v>
      </c>
      <c r="J28" s="649" t="s">
        <v>589</v>
      </c>
      <c r="K28" s="63"/>
      <c r="L28" s="751">
        <v>13.143572862414077</v>
      </c>
      <c r="M28" s="752">
        <v>13.143572862414077</v>
      </c>
      <c r="N28" s="752">
        <v>13.143572862414077</v>
      </c>
      <c r="O28" s="752">
        <v>12.691103462922259</v>
      </c>
      <c r="P28" s="752">
        <v>8.6332304347704252</v>
      </c>
      <c r="Q28" s="752">
        <v>0</v>
      </c>
      <c r="R28" s="752">
        <v>0</v>
      </c>
      <c r="S28" s="752">
        <v>0</v>
      </c>
      <c r="T28" s="752">
        <v>0</v>
      </c>
      <c r="U28" s="752">
        <v>0</v>
      </c>
      <c r="V28" s="752">
        <v>0</v>
      </c>
      <c r="W28" s="752">
        <v>0</v>
      </c>
      <c r="X28" s="752">
        <v>0</v>
      </c>
      <c r="Y28" s="752">
        <v>0</v>
      </c>
      <c r="Z28" s="752">
        <v>0</v>
      </c>
      <c r="AA28" s="752">
        <v>0</v>
      </c>
      <c r="AB28" s="752">
        <v>0</v>
      </c>
      <c r="AC28" s="752">
        <v>0</v>
      </c>
      <c r="AD28" s="752">
        <v>0</v>
      </c>
      <c r="AE28" s="752">
        <v>0</v>
      </c>
      <c r="AF28" s="752">
        <v>0</v>
      </c>
      <c r="AG28" s="752">
        <v>0</v>
      </c>
      <c r="AH28" s="752">
        <v>0</v>
      </c>
      <c r="AI28" s="752">
        <v>0</v>
      </c>
      <c r="AJ28" s="752">
        <v>0</v>
      </c>
      <c r="AK28" s="752">
        <v>0</v>
      </c>
      <c r="AL28" s="752">
        <v>0</v>
      </c>
      <c r="AM28" s="752">
        <v>0</v>
      </c>
      <c r="AN28" s="752">
        <v>0</v>
      </c>
      <c r="AO28" s="753">
        <v>0</v>
      </c>
      <c r="AP28" s="63"/>
      <c r="AQ28" s="751">
        <v>94293.954810742347</v>
      </c>
      <c r="AR28" s="752">
        <v>94293.954810742347</v>
      </c>
      <c r="AS28" s="752">
        <v>94293.954810742347</v>
      </c>
      <c r="AT28" s="752">
        <v>93889.332050187164</v>
      </c>
      <c r="AU28" s="752">
        <v>65662.06723699157</v>
      </c>
      <c r="AV28" s="752">
        <v>0</v>
      </c>
      <c r="AW28" s="752">
        <v>0</v>
      </c>
      <c r="AX28" s="752">
        <v>0</v>
      </c>
      <c r="AY28" s="752">
        <v>0</v>
      </c>
      <c r="AZ28" s="752">
        <v>0</v>
      </c>
      <c r="BA28" s="752">
        <v>0</v>
      </c>
      <c r="BB28" s="752">
        <v>0</v>
      </c>
      <c r="BC28" s="752">
        <v>0</v>
      </c>
      <c r="BD28" s="752">
        <v>0</v>
      </c>
      <c r="BE28" s="752">
        <v>0</v>
      </c>
      <c r="BF28" s="752">
        <v>0</v>
      </c>
      <c r="BG28" s="752">
        <v>0</v>
      </c>
      <c r="BH28" s="752">
        <v>0</v>
      </c>
      <c r="BI28" s="752">
        <v>0</v>
      </c>
      <c r="BJ28" s="752">
        <v>0</v>
      </c>
      <c r="BK28" s="752">
        <v>0</v>
      </c>
      <c r="BL28" s="752">
        <v>0</v>
      </c>
      <c r="BM28" s="752">
        <v>0</v>
      </c>
      <c r="BN28" s="752">
        <v>0</v>
      </c>
      <c r="BO28" s="752">
        <v>0</v>
      </c>
      <c r="BP28" s="752">
        <v>0</v>
      </c>
      <c r="BQ28" s="752">
        <v>0</v>
      </c>
      <c r="BR28" s="752">
        <v>0</v>
      </c>
      <c r="BS28" s="752">
        <v>0</v>
      </c>
      <c r="BT28" s="753">
        <v>0</v>
      </c>
      <c r="BU28" s="29"/>
    </row>
    <row r="29" spans="2:73" s="30" customFormat="1" ht="16.5" customHeight="1">
      <c r="B29" s="750" t="s">
        <v>743</v>
      </c>
      <c r="C29" s="750" t="s">
        <v>744</v>
      </c>
      <c r="D29" s="750" t="s">
        <v>5</v>
      </c>
      <c r="E29" s="750" t="s">
        <v>745</v>
      </c>
      <c r="F29" s="750" t="s">
        <v>29</v>
      </c>
      <c r="G29" s="750" t="s">
        <v>746</v>
      </c>
      <c r="H29" s="750">
        <v>2011</v>
      </c>
      <c r="I29" s="649" t="s">
        <v>571</v>
      </c>
      <c r="J29" s="649" t="s">
        <v>589</v>
      </c>
      <c r="K29" s="63"/>
      <c r="L29" s="751">
        <v>9.2056720221538342</v>
      </c>
      <c r="M29" s="752">
        <v>9.2056720221538342</v>
      </c>
      <c r="N29" s="752">
        <v>9.2056720221538342</v>
      </c>
      <c r="O29" s="752">
        <v>9.2056720221538342</v>
      </c>
      <c r="P29" s="752">
        <v>8.5644545974788038</v>
      </c>
      <c r="Q29" s="752">
        <v>7.8639515709887728</v>
      </c>
      <c r="R29" s="752">
        <v>6.3610146855747889</v>
      </c>
      <c r="S29" s="752">
        <v>6.3195989840675342</v>
      </c>
      <c r="T29" s="752">
        <v>7.6613194352325964</v>
      </c>
      <c r="U29" s="752">
        <v>3.6342716373239101</v>
      </c>
      <c r="V29" s="752">
        <v>0.51682807847110401</v>
      </c>
      <c r="W29" s="752">
        <v>0.51661310299359453</v>
      </c>
      <c r="X29" s="752">
        <v>0.51661310299359453</v>
      </c>
      <c r="Y29" s="752">
        <v>0.47950849413533125</v>
      </c>
      <c r="Z29" s="752">
        <v>0.47950849413533125</v>
      </c>
      <c r="AA29" s="752">
        <v>0.40472294452098118</v>
      </c>
      <c r="AB29" s="752">
        <v>0</v>
      </c>
      <c r="AC29" s="752">
        <v>0</v>
      </c>
      <c r="AD29" s="752">
        <v>0</v>
      </c>
      <c r="AE29" s="752">
        <v>0</v>
      </c>
      <c r="AF29" s="752">
        <v>0</v>
      </c>
      <c r="AG29" s="752">
        <v>0</v>
      </c>
      <c r="AH29" s="752">
        <v>0</v>
      </c>
      <c r="AI29" s="752">
        <v>0</v>
      </c>
      <c r="AJ29" s="752">
        <v>0</v>
      </c>
      <c r="AK29" s="752">
        <v>0</v>
      </c>
      <c r="AL29" s="752">
        <v>0</v>
      </c>
      <c r="AM29" s="752">
        <v>0</v>
      </c>
      <c r="AN29" s="752">
        <v>0</v>
      </c>
      <c r="AO29" s="753">
        <v>0</v>
      </c>
      <c r="AP29" s="63"/>
      <c r="AQ29" s="751">
        <v>160889.03977032742</v>
      </c>
      <c r="AR29" s="752">
        <v>160889.03977032742</v>
      </c>
      <c r="AS29" s="752">
        <v>160889.03977032742</v>
      </c>
      <c r="AT29" s="752">
        <v>160889.03977032742</v>
      </c>
      <c r="AU29" s="752">
        <v>147040.73370669939</v>
      </c>
      <c r="AV29" s="752">
        <v>131912.04266364471</v>
      </c>
      <c r="AW29" s="752">
        <v>99453.270985571769</v>
      </c>
      <c r="AX29" s="752">
        <v>99090.469440368208</v>
      </c>
      <c r="AY29" s="752">
        <v>128067.46654705094</v>
      </c>
      <c r="AZ29" s="752">
        <v>41095.733883107736</v>
      </c>
      <c r="BA29" s="752">
        <v>14797.244230862518</v>
      </c>
      <c r="BB29" s="752">
        <v>13025.600371925431</v>
      </c>
      <c r="BC29" s="752">
        <v>13025.600371925431</v>
      </c>
      <c r="BD29" s="752">
        <v>9619.9529718551094</v>
      </c>
      <c r="BE29" s="752">
        <v>9619.9529718551094</v>
      </c>
      <c r="BF29" s="752">
        <v>8740.7593602743837</v>
      </c>
      <c r="BG29" s="752">
        <v>0</v>
      </c>
      <c r="BH29" s="752">
        <v>0</v>
      </c>
      <c r="BI29" s="752">
        <v>0</v>
      </c>
      <c r="BJ29" s="752">
        <v>0</v>
      </c>
      <c r="BK29" s="752">
        <v>0</v>
      </c>
      <c r="BL29" s="752">
        <v>0</v>
      </c>
      <c r="BM29" s="752">
        <v>0</v>
      </c>
      <c r="BN29" s="752">
        <v>0</v>
      </c>
      <c r="BO29" s="752">
        <v>0</v>
      </c>
      <c r="BP29" s="752">
        <v>0</v>
      </c>
      <c r="BQ29" s="752">
        <v>0</v>
      </c>
      <c r="BR29" s="752">
        <v>0</v>
      </c>
      <c r="BS29" s="752">
        <v>0</v>
      </c>
      <c r="BT29" s="753">
        <v>0</v>
      </c>
      <c r="BU29" s="29"/>
    </row>
    <row r="30" spans="2:73" s="30" customFormat="1" ht="15.6">
      <c r="B30" s="750" t="s">
        <v>743</v>
      </c>
      <c r="C30" s="750" t="s">
        <v>744</v>
      </c>
      <c r="D30" s="750" t="s">
        <v>4</v>
      </c>
      <c r="E30" s="750" t="s">
        <v>745</v>
      </c>
      <c r="F30" s="750" t="s">
        <v>29</v>
      </c>
      <c r="G30" s="750" t="s">
        <v>746</v>
      </c>
      <c r="H30" s="750">
        <v>2011</v>
      </c>
      <c r="I30" s="649" t="s">
        <v>571</v>
      </c>
      <c r="J30" s="649" t="s">
        <v>589</v>
      </c>
      <c r="K30" s="63"/>
      <c r="L30" s="751">
        <v>6.4310738102669633</v>
      </c>
      <c r="M30" s="752">
        <v>6.4310738102669633</v>
      </c>
      <c r="N30" s="752">
        <v>6.4310738102669633</v>
      </c>
      <c r="O30" s="752">
        <v>6.4310738102669633</v>
      </c>
      <c r="P30" s="752">
        <v>6.0483262908920059</v>
      </c>
      <c r="Q30" s="752">
        <v>5.6301907484282427</v>
      </c>
      <c r="R30" s="752">
        <v>4.757597350032075</v>
      </c>
      <c r="S30" s="752">
        <v>4.7085559003107864</v>
      </c>
      <c r="T30" s="752">
        <v>5.5094389621495079</v>
      </c>
      <c r="U30" s="752">
        <v>3.1056637437279355</v>
      </c>
      <c r="V30" s="752">
        <v>0.38346014121241384</v>
      </c>
      <c r="W30" s="752">
        <v>0.38323003877096151</v>
      </c>
      <c r="X30" s="752">
        <v>0.38323003877096151</v>
      </c>
      <c r="Y30" s="752">
        <v>0.37581991431039191</v>
      </c>
      <c r="Z30" s="752">
        <v>0.37581991431039191</v>
      </c>
      <c r="AA30" s="752">
        <v>0.3574312605254728</v>
      </c>
      <c r="AB30" s="752">
        <v>0</v>
      </c>
      <c r="AC30" s="752">
        <v>0</v>
      </c>
      <c r="AD30" s="752">
        <v>0</v>
      </c>
      <c r="AE30" s="752">
        <v>0</v>
      </c>
      <c r="AF30" s="752">
        <v>0</v>
      </c>
      <c r="AG30" s="752">
        <v>0</v>
      </c>
      <c r="AH30" s="752">
        <v>0</v>
      </c>
      <c r="AI30" s="752">
        <v>0</v>
      </c>
      <c r="AJ30" s="752">
        <v>0</v>
      </c>
      <c r="AK30" s="752">
        <v>0</v>
      </c>
      <c r="AL30" s="752">
        <v>0</v>
      </c>
      <c r="AM30" s="752">
        <v>0</v>
      </c>
      <c r="AN30" s="752">
        <v>0</v>
      </c>
      <c r="AO30" s="753">
        <v>0</v>
      </c>
      <c r="AP30" s="63"/>
      <c r="AQ30" s="751">
        <v>104255.86043777934</v>
      </c>
      <c r="AR30" s="752">
        <v>104255.86043777934</v>
      </c>
      <c r="AS30" s="752">
        <v>104255.86043777934</v>
      </c>
      <c r="AT30" s="752">
        <v>104255.86043777934</v>
      </c>
      <c r="AU30" s="752">
        <v>95989.702049951535</v>
      </c>
      <c r="AV30" s="752">
        <v>86959.272206199326</v>
      </c>
      <c r="AW30" s="752">
        <v>68113.963290560292</v>
      </c>
      <c r="AX30" s="752">
        <v>67684.360191001804</v>
      </c>
      <c r="AY30" s="752">
        <v>84980.948422581787</v>
      </c>
      <c r="AZ30" s="752">
        <v>33066.864912239223</v>
      </c>
      <c r="BA30" s="752">
        <v>10512.032198298664</v>
      </c>
      <c r="BB30" s="752">
        <v>8615.724851766945</v>
      </c>
      <c r="BC30" s="752">
        <v>8615.724851766945</v>
      </c>
      <c r="BD30" s="752">
        <v>7935.5864032055579</v>
      </c>
      <c r="BE30" s="752">
        <v>7935.5864032055579</v>
      </c>
      <c r="BF30" s="752">
        <v>7719.4057771803336</v>
      </c>
      <c r="BG30" s="752">
        <v>0</v>
      </c>
      <c r="BH30" s="752">
        <v>0</v>
      </c>
      <c r="BI30" s="752">
        <v>0</v>
      </c>
      <c r="BJ30" s="752">
        <v>0</v>
      </c>
      <c r="BK30" s="752">
        <v>0</v>
      </c>
      <c r="BL30" s="752">
        <v>0</v>
      </c>
      <c r="BM30" s="752">
        <v>0</v>
      </c>
      <c r="BN30" s="752">
        <v>0</v>
      </c>
      <c r="BO30" s="752">
        <v>0</v>
      </c>
      <c r="BP30" s="752">
        <v>0</v>
      </c>
      <c r="BQ30" s="752">
        <v>0</v>
      </c>
      <c r="BR30" s="752">
        <v>0</v>
      </c>
      <c r="BS30" s="752">
        <v>0</v>
      </c>
      <c r="BT30" s="753">
        <v>0</v>
      </c>
      <c r="BU30" s="29"/>
    </row>
    <row r="31" spans="2:73" s="30" customFormat="1" ht="15.6">
      <c r="B31" s="750" t="s">
        <v>743</v>
      </c>
      <c r="C31" s="750" t="s">
        <v>744</v>
      </c>
      <c r="D31" s="750" t="s">
        <v>3</v>
      </c>
      <c r="E31" s="750" t="s">
        <v>745</v>
      </c>
      <c r="F31" s="750" t="s">
        <v>29</v>
      </c>
      <c r="G31" s="750" t="s">
        <v>746</v>
      </c>
      <c r="H31" s="750">
        <v>2011</v>
      </c>
      <c r="I31" s="649" t="s">
        <v>571</v>
      </c>
      <c r="J31" s="649" t="s">
        <v>589</v>
      </c>
      <c r="K31" s="63"/>
      <c r="L31" s="751">
        <v>173.52042719512525</v>
      </c>
      <c r="M31" s="752">
        <v>173.52042719512525</v>
      </c>
      <c r="N31" s="752">
        <v>173.52042719512525</v>
      </c>
      <c r="O31" s="752">
        <v>173.52042719512525</v>
      </c>
      <c r="P31" s="752">
        <v>173.52042719512525</v>
      </c>
      <c r="Q31" s="752">
        <v>173.52042719512525</v>
      </c>
      <c r="R31" s="752">
        <v>173.52042719512525</v>
      </c>
      <c r="S31" s="752">
        <v>173.52042719512525</v>
      </c>
      <c r="T31" s="752">
        <v>173.52042719512525</v>
      </c>
      <c r="U31" s="752">
        <v>173.52042719512525</v>
      </c>
      <c r="V31" s="752">
        <v>173.52042719512525</v>
      </c>
      <c r="W31" s="752">
        <v>173.52042719512525</v>
      </c>
      <c r="X31" s="752">
        <v>173.52042719512525</v>
      </c>
      <c r="Y31" s="752">
        <v>173.52042719512525</v>
      </c>
      <c r="Z31" s="752">
        <v>173.52042719512525</v>
      </c>
      <c r="AA31" s="752">
        <v>173.52042719512525</v>
      </c>
      <c r="AB31" s="752">
        <v>173.52042719512525</v>
      </c>
      <c r="AC31" s="752">
        <v>173.52042719512525</v>
      </c>
      <c r="AD31" s="752">
        <v>141.28425269539125</v>
      </c>
      <c r="AE31" s="752">
        <v>0</v>
      </c>
      <c r="AF31" s="752">
        <v>0</v>
      </c>
      <c r="AG31" s="752">
        <v>0</v>
      </c>
      <c r="AH31" s="752">
        <v>0</v>
      </c>
      <c r="AI31" s="752">
        <v>0</v>
      </c>
      <c r="AJ31" s="752">
        <v>0</v>
      </c>
      <c r="AK31" s="752">
        <v>0</v>
      </c>
      <c r="AL31" s="752">
        <v>0</v>
      </c>
      <c r="AM31" s="752">
        <v>0</v>
      </c>
      <c r="AN31" s="752">
        <v>0</v>
      </c>
      <c r="AO31" s="753">
        <v>0</v>
      </c>
      <c r="AP31" s="63"/>
      <c r="AQ31" s="751">
        <v>319153.51837209356</v>
      </c>
      <c r="AR31" s="752">
        <v>319153.51837209356</v>
      </c>
      <c r="AS31" s="752">
        <v>319153.51837209356</v>
      </c>
      <c r="AT31" s="752">
        <v>319153.51837209356</v>
      </c>
      <c r="AU31" s="752">
        <v>319153.51837209356</v>
      </c>
      <c r="AV31" s="752">
        <v>319153.51837209356</v>
      </c>
      <c r="AW31" s="752">
        <v>319153.51837209356</v>
      </c>
      <c r="AX31" s="752">
        <v>319153.51837209356</v>
      </c>
      <c r="AY31" s="752">
        <v>319153.51837209356</v>
      </c>
      <c r="AZ31" s="752">
        <v>319153.51837209356</v>
      </c>
      <c r="BA31" s="752">
        <v>319153.51837209356</v>
      </c>
      <c r="BB31" s="752">
        <v>319153.51837209356</v>
      </c>
      <c r="BC31" s="752">
        <v>319153.51837209356</v>
      </c>
      <c r="BD31" s="752">
        <v>319153.51837209356</v>
      </c>
      <c r="BE31" s="752">
        <v>319153.51837209356</v>
      </c>
      <c r="BF31" s="752">
        <v>319153.51837209356</v>
      </c>
      <c r="BG31" s="752">
        <v>319153.51837209356</v>
      </c>
      <c r="BH31" s="752">
        <v>319153.51837209356</v>
      </c>
      <c r="BI31" s="752">
        <v>290322.29393284232</v>
      </c>
      <c r="BJ31" s="752">
        <v>0</v>
      </c>
      <c r="BK31" s="752">
        <v>0</v>
      </c>
      <c r="BL31" s="752">
        <v>0</v>
      </c>
      <c r="BM31" s="752">
        <v>0</v>
      </c>
      <c r="BN31" s="752">
        <v>0</v>
      </c>
      <c r="BO31" s="752">
        <v>0</v>
      </c>
      <c r="BP31" s="752">
        <v>0</v>
      </c>
      <c r="BQ31" s="752">
        <v>0</v>
      </c>
      <c r="BR31" s="752">
        <v>0</v>
      </c>
      <c r="BS31" s="752">
        <v>0</v>
      </c>
      <c r="BT31" s="753">
        <v>0</v>
      </c>
      <c r="BU31" s="29"/>
    </row>
    <row r="32" spans="2:73" s="30" customFormat="1" ht="15.6">
      <c r="B32" s="750" t="s">
        <v>743</v>
      </c>
      <c r="C32" s="750" t="s">
        <v>744</v>
      </c>
      <c r="D32" s="750" t="s">
        <v>42</v>
      </c>
      <c r="E32" s="750" t="s">
        <v>745</v>
      </c>
      <c r="F32" s="750" t="s">
        <v>29</v>
      </c>
      <c r="G32" s="750" t="s">
        <v>747</v>
      </c>
      <c r="H32" s="750">
        <v>2011</v>
      </c>
      <c r="I32" s="649" t="s">
        <v>571</v>
      </c>
      <c r="J32" s="649" t="s">
        <v>589</v>
      </c>
      <c r="K32" s="63"/>
      <c r="L32" s="751">
        <v>99.72</v>
      </c>
      <c r="M32" s="752">
        <v>0</v>
      </c>
      <c r="N32" s="752">
        <v>0</v>
      </c>
      <c r="O32" s="752">
        <v>0</v>
      </c>
      <c r="P32" s="752">
        <v>0</v>
      </c>
      <c r="Q32" s="752">
        <v>0</v>
      </c>
      <c r="R32" s="752">
        <v>0</v>
      </c>
      <c r="S32" s="752">
        <v>0</v>
      </c>
      <c r="T32" s="752">
        <v>0</v>
      </c>
      <c r="U32" s="752">
        <v>0</v>
      </c>
      <c r="V32" s="752">
        <v>0</v>
      </c>
      <c r="W32" s="752">
        <v>0</v>
      </c>
      <c r="X32" s="752">
        <v>0</v>
      </c>
      <c r="Y32" s="752">
        <v>0</v>
      </c>
      <c r="Z32" s="752">
        <v>0</v>
      </c>
      <c r="AA32" s="752">
        <v>0</v>
      </c>
      <c r="AB32" s="752">
        <v>0</v>
      </c>
      <c r="AC32" s="752">
        <v>0</v>
      </c>
      <c r="AD32" s="752">
        <v>0</v>
      </c>
      <c r="AE32" s="752">
        <v>0</v>
      </c>
      <c r="AF32" s="752">
        <v>0</v>
      </c>
      <c r="AG32" s="752">
        <v>0</v>
      </c>
      <c r="AH32" s="752">
        <v>0</v>
      </c>
      <c r="AI32" s="752">
        <v>0</v>
      </c>
      <c r="AJ32" s="752">
        <v>0</v>
      </c>
      <c r="AK32" s="752">
        <v>0</v>
      </c>
      <c r="AL32" s="752">
        <v>0</v>
      </c>
      <c r="AM32" s="752">
        <v>0</v>
      </c>
      <c r="AN32" s="752">
        <v>0</v>
      </c>
      <c r="AO32" s="753">
        <v>0</v>
      </c>
      <c r="AP32" s="63"/>
      <c r="AQ32" s="751">
        <v>256.64999999999998</v>
      </c>
      <c r="AR32" s="752">
        <v>0</v>
      </c>
      <c r="AS32" s="752">
        <v>0</v>
      </c>
      <c r="AT32" s="752">
        <v>0</v>
      </c>
      <c r="AU32" s="752">
        <v>0</v>
      </c>
      <c r="AV32" s="752">
        <v>0</v>
      </c>
      <c r="AW32" s="752">
        <v>0</v>
      </c>
      <c r="AX32" s="752">
        <v>0</v>
      </c>
      <c r="AY32" s="752">
        <v>0</v>
      </c>
      <c r="AZ32" s="752">
        <v>0</v>
      </c>
      <c r="BA32" s="752">
        <v>0</v>
      </c>
      <c r="BB32" s="752">
        <v>0</v>
      </c>
      <c r="BC32" s="752">
        <v>0</v>
      </c>
      <c r="BD32" s="752">
        <v>0</v>
      </c>
      <c r="BE32" s="752">
        <v>0</v>
      </c>
      <c r="BF32" s="752">
        <v>0</v>
      </c>
      <c r="BG32" s="752">
        <v>0</v>
      </c>
      <c r="BH32" s="752">
        <v>0</v>
      </c>
      <c r="BI32" s="752">
        <v>0</v>
      </c>
      <c r="BJ32" s="752">
        <v>0</v>
      </c>
      <c r="BK32" s="752">
        <v>0</v>
      </c>
      <c r="BL32" s="752">
        <v>0</v>
      </c>
      <c r="BM32" s="752">
        <v>0</v>
      </c>
      <c r="BN32" s="752">
        <v>0</v>
      </c>
      <c r="BO32" s="752">
        <v>0</v>
      </c>
      <c r="BP32" s="752">
        <v>0</v>
      </c>
      <c r="BQ32" s="752">
        <v>0</v>
      </c>
      <c r="BR32" s="752">
        <v>0</v>
      </c>
      <c r="BS32" s="752">
        <v>0</v>
      </c>
      <c r="BT32" s="753">
        <v>0</v>
      </c>
      <c r="BU32" s="29"/>
    </row>
    <row r="33" spans="2:73" s="30" customFormat="1" ht="15.6">
      <c r="B33" s="750" t="s">
        <v>743</v>
      </c>
      <c r="C33" s="750" t="s">
        <v>748</v>
      </c>
      <c r="D33" s="750" t="s">
        <v>749</v>
      </c>
      <c r="E33" s="750" t="s">
        <v>745</v>
      </c>
      <c r="F33" s="750" t="s">
        <v>750</v>
      </c>
      <c r="G33" s="750" t="s">
        <v>747</v>
      </c>
      <c r="H33" s="750">
        <v>2011</v>
      </c>
      <c r="I33" s="649" t="s">
        <v>571</v>
      </c>
      <c r="J33" s="649" t="s">
        <v>589</v>
      </c>
      <c r="K33" s="63"/>
      <c r="L33" s="751">
        <v>78.122399999999999</v>
      </c>
      <c r="M33" s="752">
        <v>0</v>
      </c>
      <c r="N33" s="752">
        <v>0</v>
      </c>
      <c r="O33" s="752">
        <v>0</v>
      </c>
      <c r="P33" s="752">
        <v>0</v>
      </c>
      <c r="Q33" s="752">
        <v>0</v>
      </c>
      <c r="R33" s="752">
        <v>0</v>
      </c>
      <c r="S33" s="752">
        <v>0</v>
      </c>
      <c r="T33" s="752">
        <v>0</v>
      </c>
      <c r="U33" s="752">
        <v>0</v>
      </c>
      <c r="V33" s="752">
        <v>0</v>
      </c>
      <c r="W33" s="752">
        <v>0</v>
      </c>
      <c r="X33" s="752">
        <v>0</v>
      </c>
      <c r="Y33" s="752">
        <v>0</v>
      </c>
      <c r="Z33" s="752">
        <v>0</v>
      </c>
      <c r="AA33" s="752">
        <v>0</v>
      </c>
      <c r="AB33" s="752">
        <v>0</v>
      </c>
      <c r="AC33" s="752">
        <v>0</v>
      </c>
      <c r="AD33" s="752">
        <v>0</v>
      </c>
      <c r="AE33" s="752">
        <v>0</v>
      </c>
      <c r="AF33" s="752">
        <v>0</v>
      </c>
      <c r="AG33" s="752">
        <v>0</v>
      </c>
      <c r="AH33" s="752">
        <v>0</v>
      </c>
      <c r="AI33" s="752">
        <v>0</v>
      </c>
      <c r="AJ33" s="752">
        <v>0</v>
      </c>
      <c r="AK33" s="752">
        <v>0</v>
      </c>
      <c r="AL33" s="752">
        <v>0</v>
      </c>
      <c r="AM33" s="752">
        <v>0</v>
      </c>
      <c r="AN33" s="752">
        <v>0</v>
      </c>
      <c r="AO33" s="753">
        <v>0</v>
      </c>
      <c r="AP33" s="63"/>
      <c r="AQ33" s="751">
        <v>3050.1320000000001</v>
      </c>
      <c r="AR33" s="752">
        <v>0</v>
      </c>
      <c r="AS33" s="752">
        <v>0</v>
      </c>
      <c r="AT33" s="752">
        <v>0</v>
      </c>
      <c r="AU33" s="752">
        <v>0</v>
      </c>
      <c r="AV33" s="752">
        <v>0</v>
      </c>
      <c r="AW33" s="752">
        <v>0</v>
      </c>
      <c r="AX33" s="752">
        <v>0</v>
      </c>
      <c r="AY33" s="752">
        <v>0</v>
      </c>
      <c r="AZ33" s="752">
        <v>0</v>
      </c>
      <c r="BA33" s="752">
        <v>0</v>
      </c>
      <c r="BB33" s="752">
        <v>0</v>
      </c>
      <c r="BC33" s="752">
        <v>0</v>
      </c>
      <c r="BD33" s="752">
        <v>0</v>
      </c>
      <c r="BE33" s="752">
        <v>0</v>
      </c>
      <c r="BF33" s="752">
        <v>0</v>
      </c>
      <c r="BG33" s="752">
        <v>0</v>
      </c>
      <c r="BH33" s="752">
        <v>0</v>
      </c>
      <c r="BI33" s="752">
        <v>0</v>
      </c>
      <c r="BJ33" s="752">
        <v>0</v>
      </c>
      <c r="BK33" s="752">
        <v>0</v>
      </c>
      <c r="BL33" s="752">
        <v>0</v>
      </c>
      <c r="BM33" s="752">
        <v>0</v>
      </c>
      <c r="BN33" s="752">
        <v>0</v>
      </c>
      <c r="BO33" s="752">
        <v>0</v>
      </c>
      <c r="BP33" s="752">
        <v>0</v>
      </c>
      <c r="BQ33" s="752">
        <v>0</v>
      </c>
      <c r="BR33" s="752">
        <v>0</v>
      </c>
      <c r="BS33" s="752">
        <v>0</v>
      </c>
      <c r="BT33" s="753">
        <v>0</v>
      </c>
      <c r="BU33" s="29"/>
    </row>
    <row r="34" spans="2:73" s="30" customFormat="1" ht="15.6">
      <c r="B34" s="750" t="s">
        <v>743</v>
      </c>
      <c r="C34" s="750" t="s">
        <v>748</v>
      </c>
      <c r="D34" s="750" t="s">
        <v>21</v>
      </c>
      <c r="E34" s="750" t="s">
        <v>745</v>
      </c>
      <c r="F34" s="750" t="s">
        <v>750</v>
      </c>
      <c r="G34" s="750" t="s">
        <v>746</v>
      </c>
      <c r="H34" s="750">
        <v>2011</v>
      </c>
      <c r="I34" s="649" t="s">
        <v>571</v>
      </c>
      <c r="J34" s="649" t="s">
        <v>589</v>
      </c>
      <c r="K34" s="63"/>
      <c r="L34" s="751">
        <v>41.718418107982878</v>
      </c>
      <c r="M34" s="752">
        <v>41.718418107982878</v>
      </c>
      <c r="N34" s="752">
        <v>41.17460045637781</v>
      </c>
      <c r="O34" s="752">
        <v>30.545960973206714</v>
      </c>
      <c r="P34" s="752">
        <v>30.545960973206714</v>
      </c>
      <c r="Q34" s="752">
        <v>29.951117870652752</v>
      </c>
      <c r="R34" s="752">
        <v>4.5529900910296064</v>
      </c>
      <c r="S34" s="752">
        <v>4.5529900910296064</v>
      </c>
      <c r="T34" s="752">
        <v>4.5529900910296064</v>
      </c>
      <c r="U34" s="752">
        <v>4.5529900910296064</v>
      </c>
      <c r="V34" s="752">
        <v>3.9619340417215545</v>
      </c>
      <c r="W34" s="752">
        <v>3.9619340417215545</v>
      </c>
      <c r="X34" s="752">
        <v>0</v>
      </c>
      <c r="Y34" s="752">
        <v>0</v>
      </c>
      <c r="Z34" s="752">
        <v>0</v>
      </c>
      <c r="AA34" s="752">
        <v>0</v>
      </c>
      <c r="AB34" s="752">
        <v>0</v>
      </c>
      <c r="AC34" s="752">
        <v>0</v>
      </c>
      <c r="AD34" s="752">
        <v>0</v>
      </c>
      <c r="AE34" s="752">
        <v>0</v>
      </c>
      <c r="AF34" s="752">
        <v>0</v>
      </c>
      <c r="AG34" s="752">
        <v>0</v>
      </c>
      <c r="AH34" s="752">
        <v>0</v>
      </c>
      <c r="AI34" s="752">
        <v>0</v>
      </c>
      <c r="AJ34" s="752">
        <v>0</v>
      </c>
      <c r="AK34" s="752">
        <v>0</v>
      </c>
      <c r="AL34" s="752">
        <v>0</v>
      </c>
      <c r="AM34" s="752">
        <v>0</v>
      </c>
      <c r="AN34" s="752">
        <v>0</v>
      </c>
      <c r="AO34" s="753">
        <v>0</v>
      </c>
      <c r="AP34" s="63"/>
      <c r="AQ34" s="751">
        <v>97297.891214360396</v>
      </c>
      <c r="AR34" s="752">
        <v>97297.891214360396</v>
      </c>
      <c r="AS34" s="752">
        <v>96039.790500717529</v>
      </c>
      <c r="AT34" s="752">
        <v>67751.485414538824</v>
      </c>
      <c r="AU34" s="752">
        <v>67751.485414538824</v>
      </c>
      <c r="AV34" s="752">
        <v>66505.762165415246</v>
      </c>
      <c r="AW34" s="752">
        <v>12058.244843184209</v>
      </c>
      <c r="AX34" s="752">
        <v>12058.244843184209</v>
      </c>
      <c r="AY34" s="752">
        <v>12058.244843184209</v>
      </c>
      <c r="AZ34" s="752">
        <v>12058.244843184209</v>
      </c>
      <c r="BA34" s="752">
        <v>8171.7128510913835</v>
      </c>
      <c r="BB34" s="752">
        <v>8171.7128510913835</v>
      </c>
      <c r="BC34" s="752">
        <v>0</v>
      </c>
      <c r="BD34" s="752">
        <v>0</v>
      </c>
      <c r="BE34" s="752">
        <v>0</v>
      </c>
      <c r="BF34" s="752">
        <v>0</v>
      </c>
      <c r="BG34" s="752">
        <v>0</v>
      </c>
      <c r="BH34" s="752">
        <v>0</v>
      </c>
      <c r="BI34" s="752">
        <v>0</v>
      </c>
      <c r="BJ34" s="752">
        <v>0</v>
      </c>
      <c r="BK34" s="752">
        <v>0</v>
      </c>
      <c r="BL34" s="752">
        <v>0</v>
      </c>
      <c r="BM34" s="752">
        <v>0</v>
      </c>
      <c r="BN34" s="752">
        <v>0</v>
      </c>
      <c r="BO34" s="752">
        <v>0</v>
      </c>
      <c r="BP34" s="752">
        <v>0</v>
      </c>
      <c r="BQ34" s="752">
        <v>0</v>
      </c>
      <c r="BR34" s="752">
        <v>0</v>
      </c>
      <c r="BS34" s="752">
        <v>0</v>
      </c>
      <c r="BT34" s="753">
        <v>0</v>
      </c>
      <c r="BU34" s="29"/>
    </row>
    <row r="35" spans="2:73" s="30" customFormat="1" ht="15.6">
      <c r="B35" s="750" t="s">
        <v>743</v>
      </c>
      <c r="C35" s="750" t="s">
        <v>748</v>
      </c>
      <c r="D35" s="750" t="s">
        <v>22</v>
      </c>
      <c r="E35" s="750" t="s">
        <v>745</v>
      </c>
      <c r="F35" s="750" t="s">
        <v>750</v>
      </c>
      <c r="G35" s="750" t="s">
        <v>746</v>
      </c>
      <c r="H35" s="750">
        <v>2011</v>
      </c>
      <c r="I35" s="649" t="s">
        <v>571</v>
      </c>
      <c r="J35" s="649" t="s">
        <v>589</v>
      </c>
      <c r="K35" s="63"/>
      <c r="L35" s="751">
        <v>47.742720619843666</v>
      </c>
      <c r="M35" s="752">
        <v>47.742720619843666</v>
      </c>
      <c r="N35" s="752">
        <v>47.742720619843666</v>
      </c>
      <c r="O35" s="752">
        <v>47.742720619843666</v>
      </c>
      <c r="P35" s="752">
        <v>47.742720619843666</v>
      </c>
      <c r="Q35" s="752">
        <v>47.742720619843666</v>
      </c>
      <c r="R35" s="752">
        <v>47.742720619843666</v>
      </c>
      <c r="S35" s="752">
        <v>47.742720619843666</v>
      </c>
      <c r="T35" s="752">
        <v>47.00462354914044</v>
      </c>
      <c r="U35" s="752">
        <v>47.00462354914044</v>
      </c>
      <c r="V35" s="752">
        <v>47.00462354914044</v>
      </c>
      <c r="W35" s="752">
        <v>44.968065813301905</v>
      </c>
      <c r="X35" s="752">
        <v>0</v>
      </c>
      <c r="Y35" s="752">
        <v>0</v>
      </c>
      <c r="Z35" s="752">
        <v>0</v>
      </c>
      <c r="AA35" s="752">
        <v>0</v>
      </c>
      <c r="AB35" s="752">
        <v>0</v>
      </c>
      <c r="AC35" s="752">
        <v>0</v>
      </c>
      <c r="AD35" s="752">
        <v>0</v>
      </c>
      <c r="AE35" s="752">
        <v>0</v>
      </c>
      <c r="AF35" s="752">
        <v>0</v>
      </c>
      <c r="AG35" s="752">
        <v>0</v>
      </c>
      <c r="AH35" s="752">
        <v>0</v>
      </c>
      <c r="AI35" s="752">
        <v>0</v>
      </c>
      <c r="AJ35" s="752">
        <v>0</v>
      </c>
      <c r="AK35" s="752">
        <v>0</v>
      </c>
      <c r="AL35" s="752">
        <v>0</v>
      </c>
      <c r="AM35" s="752">
        <v>0</v>
      </c>
      <c r="AN35" s="752">
        <v>0</v>
      </c>
      <c r="AO35" s="753">
        <v>0</v>
      </c>
      <c r="AP35" s="63"/>
      <c r="AQ35" s="751">
        <v>377207.78609305224</v>
      </c>
      <c r="AR35" s="752">
        <v>377207.78609305224</v>
      </c>
      <c r="AS35" s="752">
        <v>377207.78609305224</v>
      </c>
      <c r="AT35" s="752">
        <v>377207.78609305224</v>
      </c>
      <c r="AU35" s="752">
        <v>377207.78609305224</v>
      </c>
      <c r="AV35" s="752">
        <v>377207.78609305224</v>
      </c>
      <c r="AW35" s="752">
        <v>377207.78609305224</v>
      </c>
      <c r="AX35" s="752">
        <v>377207.78609305224</v>
      </c>
      <c r="AY35" s="752">
        <v>370852.56928109692</v>
      </c>
      <c r="AZ35" s="752">
        <v>370852.56928109692</v>
      </c>
      <c r="BA35" s="752">
        <v>370852.56928109692</v>
      </c>
      <c r="BB35" s="752">
        <v>284317.67316674499</v>
      </c>
      <c r="BC35" s="752">
        <v>0</v>
      </c>
      <c r="BD35" s="752">
        <v>0</v>
      </c>
      <c r="BE35" s="752">
        <v>0</v>
      </c>
      <c r="BF35" s="752">
        <v>0</v>
      </c>
      <c r="BG35" s="752">
        <v>0</v>
      </c>
      <c r="BH35" s="752">
        <v>0</v>
      </c>
      <c r="BI35" s="752">
        <v>0</v>
      </c>
      <c r="BJ35" s="752">
        <v>0</v>
      </c>
      <c r="BK35" s="752">
        <v>0</v>
      </c>
      <c r="BL35" s="752">
        <v>0</v>
      </c>
      <c r="BM35" s="752">
        <v>0</v>
      </c>
      <c r="BN35" s="752">
        <v>0</v>
      </c>
      <c r="BO35" s="752">
        <v>0</v>
      </c>
      <c r="BP35" s="752">
        <v>0</v>
      </c>
      <c r="BQ35" s="752">
        <v>0</v>
      </c>
      <c r="BR35" s="752">
        <v>0</v>
      </c>
      <c r="BS35" s="752">
        <v>0</v>
      </c>
      <c r="BT35" s="753">
        <v>0</v>
      </c>
      <c r="BU35" s="29"/>
    </row>
    <row r="36" spans="2:73" s="30" customFormat="1" ht="15.6">
      <c r="B36" s="750" t="s">
        <v>743</v>
      </c>
      <c r="C36" s="750" t="s">
        <v>751</v>
      </c>
      <c r="D36" s="750" t="s">
        <v>9</v>
      </c>
      <c r="E36" s="750" t="s">
        <v>745</v>
      </c>
      <c r="F36" s="750" t="s">
        <v>751</v>
      </c>
      <c r="G36" s="750" t="s">
        <v>747</v>
      </c>
      <c r="H36" s="750">
        <v>2011</v>
      </c>
      <c r="I36" s="649" t="s">
        <v>571</v>
      </c>
      <c r="J36" s="649" t="s">
        <v>589</v>
      </c>
      <c r="K36" s="63"/>
      <c r="L36" s="751">
        <v>421.38</v>
      </c>
      <c r="M36" s="752">
        <v>0</v>
      </c>
      <c r="N36" s="752">
        <v>0</v>
      </c>
      <c r="O36" s="752">
        <v>0</v>
      </c>
      <c r="P36" s="752">
        <v>0</v>
      </c>
      <c r="Q36" s="752">
        <v>0</v>
      </c>
      <c r="R36" s="752">
        <v>0</v>
      </c>
      <c r="S36" s="752">
        <v>0</v>
      </c>
      <c r="T36" s="752">
        <v>0</v>
      </c>
      <c r="U36" s="752">
        <v>0</v>
      </c>
      <c r="V36" s="752">
        <v>0</v>
      </c>
      <c r="W36" s="752">
        <v>0</v>
      </c>
      <c r="X36" s="752">
        <v>0</v>
      </c>
      <c r="Y36" s="752">
        <v>0</v>
      </c>
      <c r="Z36" s="752">
        <v>0</v>
      </c>
      <c r="AA36" s="752">
        <v>0</v>
      </c>
      <c r="AB36" s="752">
        <v>0</v>
      </c>
      <c r="AC36" s="752">
        <v>0</v>
      </c>
      <c r="AD36" s="752">
        <v>0</v>
      </c>
      <c r="AE36" s="752">
        <v>0</v>
      </c>
      <c r="AF36" s="752">
        <v>0</v>
      </c>
      <c r="AG36" s="752">
        <v>0</v>
      </c>
      <c r="AH36" s="752">
        <v>0</v>
      </c>
      <c r="AI36" s="752">
        <v>0</v>
      </c>
      <c r="AJ36" s="752">
        <v>0</v>
      </c>
      <c r="AK36" s="752">
        <v>0</v>
      </c>
      <c r="AL36" s="752">
        <v>0</v>
      </c>
      <c r="AM36" s="752">
        <v>0</v>
      </c>
      <c r="AN36" s="752">
        <v>0</v>
      </c>
      <c r="AO36" s="753">
        <v>0</v>
      </c>
      <c r="AP36" s="63"/>
      <c r="AQ36" s="751">
        <v>24734.55</v>
      </c>
      <c r="AR36" s="752">
        <v>0</v>
      </c>
      <c r="AS36" s="752">
        <v>0</v>
      </c>
      <c r="AT36" s="752">
        <v>0</v>
      </c>
      <c r="AU36" s="752">
        <v>0</v>
      </c>
      <c r="AV36" s="752">
        <v>0</v>
      </c>
      <c r="AW36" s="752">
        <v>0</v>
      </c>
      <c r="AX36" s="752">
        <v>0</v>
      </c>
      <c r="AY36" s="752">
        <v>0</v>
      </c>
      <c r="AZ36" s="752">
        <v>0</v>
      </c>
      <c r="BA36" s="752">
        <v>0</v>
      </c>
      <c r="BB36" s="752">
        <v>0</v>
      </c>
      <c r="BC36" s="752">
        <v>0</v>
      </c>
      <c r="BD36" s="752">
        <v>0</v>
      </c>
      <c r="BE36" s="752">
        <v>0</v>
      </c>
      <c r="BF36" s="752">
        <v>0</v>
      </c>
      <c r="BG36" s="752">
        <v>0</v>
      </c>
      <c r="BH36" s="752">
        <v>0</v>
      </c>
      <c r="BI36" s="752">
        <v>0</v>
      </c>
      <c r="BJ36" s="752">
        <v>0</v>
      </c>
      <c r="BK36" s="752">
        <v>0</v>
      </c>
      <c r="BL36" s="752">
        <v>0</v>
      </c>
      <c r="BM36" s="752">
        <v>0</v>
      </c>
      <c r="BN36" s="752">
        <v>0</v>
      </c>
      <c r="BO36" s="752">
        <v>0</v>
      </c>
      <c r="BP36" s="752">
        <v>0</v>
      </c>
      <c r="BQ36" s="752">
        <v>0</v>
      </c>
      <c r="BR36" s="752">
        <v>0</v>
      </c>
      <c r="BS36" s="752">
        <v>0</v>
      </c>
      <c r="BT36" s="753">
        <v>0</v>
      </c>
      <c r="BU36" s="29"/>
    </row>
    <row r="37" spans="2:73" s="30" customFormat="1" ht="15.6">
      <c r="B37" s="750" t="s">
        <v>743</v>
      </c>
      <c r="C37" s="750" t="s">
        <v>751</v>
      </c>
      <c r="D37" s="750" t="s">
        <v>22</v>
      </c>
      <c r="E37" s="750" t="s">
        <v>745</v>
      </c>
      <c r="F37" s="750" t="s">
        <v>751</v>
      </c>
      <c r="G37" s="750" t="s">
        <v>746</v>
      </c>
      <c r="H37" s="750">
        <v>2011</v>
      </c>
      <c r="I37" s="649" t="s">
        <v>571</v>
      </c>
      <c r="J37" s="649" t="s">
        <v>589</v>
      </c>
      <c r="K37" s="63"/>
      <c r="L37" s="751">
        <v>16.17593293773842</v>
      </c>
      <c r="M37" s="752">
        <v>16.17593293773842</v>
      </c>
      <c r="N37" s="752">
        <v>16.17593293773842</v>
      </c>
      <c r="O37" s="752">
        <v>16.17593293773842</v>
      </c>
      <c r="P37" s="752">
        <v>16.17593293773842</v>
      </c>
      <c r="Q37" s="752">
        <v>16.17593293773842</v>
      </c>
      <c r="R37" s="752">
        <v>16.17593293773842</v>
      </c>
      <c r="S37" s="752">
        <v>16.17593293773842</v>
      </c>
      <c r="T37" s="752">
        <v>16.17593293773842</v>
      </c>
      <c r="U37" s="752">
        <v>16.17593293773842</v>
      </c>
      <c r="V37" s="752">
        <v>16.17593293773842</v>
      </c>
      <c r="W37" s="752">
        <v>16.17593293773842</v>
      </c>
      <c r="X37" s="752">
        <v>0</v>
      </c>
      <c r="Y37" s="752">
        <v>0</v>
      </c>
      <c r="Z37" s="752">
        <v>0</v>
      </c>
      <c r="AA37" s="752">
        <v>0</v>
      </c>
      <c r="AB37" s="752">
        <v>0</v>
      </c>
      <c r="AC37" s="752">
        <v>0</v>
      </c>
      <c r="AD37" s="752">
        <v>0</v>
      </c>
      <c r="AE37" s="752">
        <v>0</v>
      </c>
      <c r="AF37" s="752">
        <v>0</v>
      </c>
      <c r="AG37" s="752">
        <v>0</v>
      </c>
      <c r="AH37" s="752">
        <v>0</v>
      </c>
      <c r="AI37" s="752">
        <v>0</v>
      </c>
      <c r="AJ37" s="752">
        <v>0</v>
      </c>
      <c r="AK37" s="752">
        <v>0</v>
      </c>
      <c r="AL37" s="752">
        <v>0</v>
      </c>
      <c r="AM37" s="752">
        <v>0</v>
      </c>
      <c r="AN37" s="752">
        <v>0</v>
      </c>
      <c r="AO37" s="753">
        <v>0</v>
      </c>
      <c r="AP37" s="63"/>
      <c r="AQ37" s="751">
        <v>103574.18618663134</v>
      </c>
      <c r="AR37" s="752">
        <v>103574.18618663134</v>
      </c>
      <c r="AS37" s="752">
        <v>103574.18618663134</v>
      </c>
      <c r="AT37" s="752">
        <v>103574.18618663134</v>
      </c>
      <c r="AU37" s="752">
        <v>103574.18618663134</v>
      </c>
      <c r="AV37" s="752">
        <v>103574.18618663134</v>
      </c>
      <c r="AW37" s="752">
        <v>103574.18618663134</v>
      </c>
      <c r="AX37" s="752">
        <v>103574.18618663134</v>
      </c>
      <c r="AY37" s="752">
        <v>103574.18618663134</v>
      </c>
      <c r="AZ37" s="752">
        <v>103574.18618663134</v>
      </c>
      <c r="BA37" s="752">
        <v>103574.18618663134</v>
      </c>
      <c r="BB37" s="752">
        <v>103574.18618663134</v>
      </c>
      <c r="BC37" s="752">
        <v>0</v>
      </c>
      <c r="BD37" s="752">
        <v>0</v>
      </c>
      <c r="BE37" s="752">
        <v>0</v>
      </c>
      <c r="BF37" s="752">
        <v>0</v>
      </c>
      <c r="BG37" s="752">
        <v>0</v>
      </c>
      <c r="BH37" s="752">
        <v>0</v>
      </c>
      <c r="BI37" s="752">
        <v>0</v>
      </c>
      <c r="BJ37" s="752">
        <v>0</v>
      </c>
      <c r="BK37" s="752">
        <v>0</v>
      </c>
      <c r="BL37" s="752">
        <v>0</v>
      </c>
      <c r="BM37" s="752">
        <v>0</v>
      </c>
      <c r="BN37" s="752">
        <v>0</v>
      </c>
      <c r="BO37" s="752">
        <v>0</v>
      </c>
      <c r="BP37" s="752">
        <v>0</v>
      </c>
      <c r="BQ37" s="752">
        <v>0</v>
      </c>
      <c r="BR37" s="752">
        <v>0</v>
      </c>
      <c r="BS37" s="752">
        <v>0</v>
      </c>
      <c r="BT37" s="753">
        <v>0</v>
      </c>
      <c r="BU37" s="29"/>
    </row>
    <row r="38" spans="2:73" s="30" customFormat="1" ht="15.6">
      <c r="B38" s="750" t="s">
        <v>743</v>
      </c>
      <c r="C38" s="750" t="s">
        <v>752</v>
      </c>
      <c r="D38" s="750" t="s">
        <v>16</v>
      </c>
      <c r="E38" s="750" t="s">
        <v>745</v>
      </c>
      <c r="F38" s="750" t="s">
        <v>750</v>
      </c>
      <c r="G38" s="750" t="s">
        <v>746</v>
      </c>
      <c r="H38" s="750">
        <v>2011</v>
      </c>
      <c r="I38" s="649" t="s">
        <v>571</v>
      </c>
      <c r="J38" s="649" t="s">
        <v>589</v>
      </c>
      <c r="K38" s="63"/>
      <c r="L38" s="751">
        <v>112.89486208000002</v>
      </c>
      <c r="M38" s="752">
        <v>112.89486208000002</v>
      </c>
      <c r="N38" s="752">
        <v>112.89486208000002</v>
      </c>
      <c r="O38" s="752">
        <v>112.89486208000002</v>
      </c>
      <c r="P38" s="752">
        <v>112.89486208000002</v>
      </c>
      <c r="Q38" s="752">
        <v>112.89486208000002</v>
      </c>
      <c r="R38" s="752">
        <v>112.89486208000002</v>
      </c>
      <c r="S38" s="752">
        <v>112.89486208000002</v>
      </c>
      <c r="T38" s="752">
        <v>112.89486208000002</v>
      </c>
      <c r="U38" s="752">
        <v>112.89486208000002</v>
      </c>
      <c r="V38" s="752">
        <v>112.89486208000002</v>
      </c>
      <c r="W38" s="752">
        <v>112.89486208000002</v>
      </c>
      <c r="X38" s="752">
        <v>112.89486208000002</v>
      </c>
      <c r="Y38" s="752">
        <v>0</v>
      </c>
      <c r="Z38" s="752">
        <v>0</v>
      </c>
      <c r="AA38" s="752">
        <v>0</v>
      </c>
      <c r="AB38" s="752">
        <v>0</v>
      </c>
      <c r="AC38" s="752">
        <v>0</v>
      </c>
      <c r="AD38" s="752">
        <v>0</v>
      </c>
      <c r="AE38" s="752">
        <v>0</v>
      </c>
      <c r="AF38" s="752">
        <v>0</v>
      </c>
      <c r="AG38" s="752">
        <v>0</v>
      </c>
      <c r="AH38" s="752">
        <v>0</v>
      </c>
      <c r="AI38" s="752">
        <v>0</v>
      </c>
      <c r="AJ38" s="752">
        <v>0</v>
      </c>
      <c r="AK38" s="752">
        <v>0</v>
      </c>
      <c r="AL38" s="752">
        <v>0</v>
      </c>
      <c r="AM38" s="752">
        <v>0</v>
      </c>
      <c r="AN38" s="752">
        <v>0</v>
      </c>
      <c r="AO38" s="753">
        <v>0</v>
      </c>
      <c r="AP38" s="63"/>
      <c r="AQ38" s="751">
        <v>606286.25819361606</v>
      </c>
      <c r="AR38" s="752">
        <v>606286.25819361606</v>
      </c>
      <c r="AS38" s="752">
        <v>606286.25819361606</v>
      </c>
      <c r="AT38" s="752">
        <v>606286.25819361606</v>
      </c>
      <c r="AU38" s="752">
        <v>606286.25819361606</v>
      </c>
      <c r="AV38" s="752">
        <v>606286.25819361606</v>
      </c>
      <c r="AW38" s="752">
        <v>606286.25819361606</v>
      </c>
      <c r="AX38" s="752">
        <v>606286.25819361606</v>
      </c>
      <c r="AY38" s="752">
        <v>606286.25819361606</v>
      </c>
      <c r="AZ38" s="752">
        <v>606286.25819361606</v>
      </c>
      <c r="BA38" s="752">
        <v>606286.25819361606</v>
      </c>
      <c r="BB38" s="752">
        <v>606286.25819361606</v>
      </c>
      <c r="BC38" s="752">
        <v>606286.25819361606</v>
      </c>
      <c r="BD38" s="752">
        <v>0</v>
      </c>
      <c r="BE38" s="752">
        <v>0</v>
      </c>
      <c r="BF38" s="752">
        <v>0</v>
      </c>
      <c r="BG38" s="752">
        <v>0</v>
      </c>
      <c r="BH38" s="752">
        <v>0</v>
      </c>
      <c r="BI38" s="752">
        <v>0</v>
      </c>
      <c r="BJ38" s="752">
        <v>0</v>
      </c>
      <c r="BK38" s="752">
        <v>0</v>
      </c>
      <c r="BL38" s="752">
        <v>0</v>
      </c>
      <c r="BM38" s="752">
        <v>0</v>
      </c>
      <c r="BN38" s="752">
        <v>0</v>
      </c>
      <c r="BO38" s="752">
        <v>0</v>
      </c>
      <c r="BP38" s="752">
        <v>0</v>
      </c>
      <c r="BQ38" s="752">
        <v>0</v>
      </c>
      <c r="BR38" s="752">
        <v>0</v>
      </c>
      <c r="BS38" s="752">
        <v>0</v>
      </c>
      <c r="BT38" s="753">
        <v>0</v>
      </c>
      <c r="BU38" s="29"/>
    </row>
    <row r="39" spans="2:73" s="30" customFormat="1" ht="15.6">
      <c r="B39" s="750" t="s">
        <v>743</v>
      </c>
      <c r="C39" s="750" t="s">
        <v>752</v>
      </c>
      <c r="D39" s="750" t="s">
        <v>17</v>
      </c>
      <c r="E39" s="750" t="s">
        <v>745</v>
      </c>
      <c r="F39" s="750" t="s">
        <v>750</v>
      </c>
      <c r="G39" s="750" t="s">
        <v>746</v>
      </c>
      <c r="H39" s="750">
        <v>2011</v>
      </c>
      <c r="I39" s="649" t="s">
        <v>571</v>
      </c>
      <c r="J39" s="649" t="s">
        <v>589</v>
      </c>
      <c r="K39" s="63"/>
      <c r="L39" s="751">
        <v>0.23017700771563779</v>
      </c>
      <c r="M39" s="752">
        <v>0.23017700771563779</v>
      </c>
      <c r="N39" s="752">
        <v>0.23017700771563779</v>
      </c>
      <c r="O39" s="752">
        <v>0.23017700771563779</v>
      </c>
      <c r="P39" s="752">
        <v>0.23017700771563779</v>
      </c>
      <c r="Q39" s="752">
        <v>0.23017700771563779</v>
      </c>
      <c r="R39" s="752">
        <v>0.23017700771563779</v>
      </c>
      <c r="S39" s="752">
        <v>0.23017700771563779</v>
      </c>
      <c r="T39" s="752">
        <v>0.23017700771563779</v>
      </c>
      <c r="U39" s="752">
        <v>0.23017700771563779</v>
      </c>
      <c r="V39" s="752">
        <v>0.23017700771563779</v>
      </c>
      <c r="W39" s="752">
        <v>0.23017700771563779</v>
      </c>
      <c r="X39" s="752">
        <v>0.23017700771563779</v>
      </c>
      <c r="Y39" s="752">
        <v>0.23017700771563779</v>
      </c>
      <c r="Z39" s="752">
        <v>0.23017700771563779</v>
      </c>
      <c r="AA39" s="752">
        <v>0.23017700771563779</v>
      </c>
      <c r="AB39" s="752">
        <v>0.23017700771563779</v>
      </c>
      <c r="AC39" s="752">
        <v>0.23017700771563779</v>
      </c>
      <c r="AD39" s="752">
        <v>0.23017700771563779</v>
      </c>
      <c r="AE39" s="752">
        <v>0.23017700771563779</v>
      </c>
      <c r="AF39" s="752">
        <v>0.23017700771563779</v>
      </c>
      <c r="AG39" s="752">
        <v>0.23017700771563779</v>
      </c>
      <c r="AH39" s="752">
        <v>0.23017700771563779</v>
      </c>
      <c r="AI39" s="752">
        <v>0.23017700771563779</v>
      </c>
      <c r="AJ39" s="752">
        <v>0.23017700771563779</v>
      </c>
      <c r="AK39" s="752">
        <v>0.23017700771563779</v>
      </c>
      <c r="AL39" s="752">
        <v>0</v>
      </c>
      <c r="AM39" s="752">
        <v>0</v>
      </c>
      <c r="AN39" s="752">
        <v>0</v>
      </c>
      <c r="AO39" s="753">
        <v>0</v>
      </c>
      <c r="AP39" s="63"/>
      <c r="AQ39" s="751">
        <v>1182.1891116275158</v>
      </c>
      <c r="AR39" s="752">
        <v>1182.1891116275158</v>
      </c>
      <c r="AS39" s="752">
        <v>1182.1891116275158</v>
      </c>
      <c r="AT39" s="752">
        <v>1182.1891116275158</v>
      </c>
      <c r="AU39" s="752">
        <v>1182.1891116275158</v>
      </c>
      <c r="AV39" s="752">
        <v>1182.1891116275158</v>
      </c>
      <c r="AW39" s="752">
        <v>1182.1891116275158</v>
      </c>
      <c r="AX39" s="752">
        <v>1182.1891116275158</v>
      </c>
      <c r="AY39" s="752">
        <v>1182.1891116275158</v>
      </c>
      <c r="AZ39" s="752">
        <v>1182.1891116275158</v>
      </c>
      <c r="BA39" s="752">
        <v>1182.1891116275158</v>
      </c>
      <c r="BB39" s="752">
        <v>1182.1891116275158</v>
      </c>
      <c r="BC39" s="752">
        <v>1182.1891116275158</v>
      </c>
      <c r="BD39" s="752">
        <v>1182.1891116275158</v>
      </c>
      <c r="BE39" s="752">
        <v>1182.1891116275158</v>
      </c>
      <c r="BF39" s="752">
        <v>1182.1891116275158</v>
      </c>
      <c r="BG39" s="752">
        <v>1182.1891116275158</v>
      </c>
      <c r="BH39" s="752">
        <v>1182.1891116275158</v>
      </c>
      <c r="BI39" s="752">
        <v>1182.1891116275158</v>
      </c>
      <c r="BJ39" s="752">
        <v>1182.1891116275158</v>
      </c>
      <c r="BK39" s="752">
        <v>1182.1891116275158</v>
      </c>
      <c r="BL39" s="752">
        <v>1182.1891116275158</v>
      </c>
      <c r="BM39" s="752">
        <v>1182.1891116275158</v>
      </c>
      <c r="BN39" s="752">
        <v>1182.1891116275158</v>
      </c>
      <c r="BO39" s="752">
        <v>1182.1891116275158</v>
      </c>
      <c r="BP39" s="752">
        <v>1182.1891116275158</v>
      </c>
      <c r="BQ39" s="752">
        <v>0</v>
      </c>
      <c r="BR39" s="752">
        <v>0</v>
      </c>
      <c r="BS39" s="752">
        <v>0</v>
      </c>
      <c r="BT39" s="753">
        <v>0</v>
      </c>
      <c r="BU39" s="29"/>
    </row>
    <row r="40" spans="2:73" s="30" customFormat="1" ht="15.6">
      <c r="B40" s="750" t="s">
        <v>753</v>
      </c>
      <c r="C40" s="750" t="s">
        <v>752</v>
      </c>
      <c r="D40" s="750" t="s">
        <v>17</v>
      </c>
      <c r="E40" s="750" t="s">
        <v>745</v>
      </c>
      <c r="F40" s="750" t="s">
        <v>754</v>
      </c>
      <c r="G40" s="750" t="s">
        <v>746</v>
      </c>
      <c r="H40" s="750">
        <v>2011</v>
      </c>
      <c r="I40" s="649" t="s">
        <v>572</v>
      </c>
      <c r="J40" s="649" t="s">
        <v>582</v>
      </c>
      <c r="K40" s="63"/>
      <c r="L40" s="751">
        <v>0</v>
      </c>
      <c r="M40" s="752">
        <v>0</v>
      </c>
      <c r="N40" s="752">
        <v>0</v>
      </c>
      <c r="O40" s="752">
        <v>0</v>
      </c>
      <c r="P40" s="752">
        <v>0</v>
      </c>
      <c r="Q40" s="752">
        <v>0</v>
      </c>
      <c r="R40" s="752">
        <v>0</v>
      </c>
      <c r="S40" s="752">
        <v>0</v>
      </c>
      <c r="T40" s="752">
        <v>0</v>
      </c>
      <c r="U40" s="752">
        <v>0</v>
      </c>
      <c r="V40" s="752">
        <v>0</v>
      </c>
      <c r="W40" s="752">
        <v>0</v>
      </c>
      <c r="X40" s="752">
        <v>0</v>
      </c>
      <c r="Y40" s="752">
        <v>0</v>
      </c>
      <c r="Z40" s="752">
        <v>0</v>
      </c>
      <c r="AA40" s="752">
        <v>0</v>
      </c>
      <c r="AB40" s="752">
        <v>0</v>
      </c>
      <c r="AC40" s="752">
        <v>0</v>
      </c>
      <c r="AD40" s="752">
        <v>0</v>
      </c>
      <c r="AE40" s="752">
        <v>0</v>
      </c>
      <c r="AF40" s="752">
        <v>0</v>
      </c>
      <c r="AG40" s="752">
        <v>0</v>
      </c>
      <c r="AH40" s="752">
        <v>0</v>
      </c>
      <c r="AI40" s="752">
        <v>0</v>
      </c>
      <c r="AJ40" s="752">
        <v>0</v>
      </c>
      <c r="AK40" s="752">
        <v>0</v>
      </c>
      <c r="AL40" s="752">
        <v>0</v>
      </c>
      <c r="AM40" s="752">
        <v>0</v>
      </c>
      <c r="AN40" s="752">
        <v>0</v>
      </c>
      <c r="AO40" s="753">
        <v>0</v>
      </c>
      <c r="AP40" s="63"/>
      <c r="AQ40" s="751">
        <v>0</v>
      </c>
      <c r="AR40" s="752">
        <v>0</v>
      </c>
      <c r="AS40" s="752">
        <v>0</v>
      </c>
      <c r="AT40" s="752">
        <v>0</v>
      </c>
      <c r="AU40" s="752">
        <v>0</v>
      </c>
      <c r="AV40" s="752">
        <v>0</v>
      </c>
      <c r="AW40" s="752">
        <v>0</v>
      </c>
      <c r="AX40" s="752">
        <v>0</v>
      </c>
      <c r="AY40" s="752">
        <v>0</v>
      </c>
      <c r="AZ40" s="752">
        <v>0</v>
      </c>
      <c r="BA40" s="752">
        <v>0</v>
      </c>
      <c r="BB40" s="752">
        <v>0</v>
      </c>
      <c r="BC40" s="752">
        <v>0</v>
      </c>
      <c r="BD40" s="752">
        <v>0</v>
      </c>
      <c r="BE40" s="752">
        <v>0</v>
      </c>
      <c r="BF40" s="752">
        <v>0</v>
      </c>
      <c r="BG40" s="752">
        <v>0</v>
      </c>
      <c r="BH40" s="752">
        <v>0</v>
      </c>
      <c r="BI40" s="752">
        <v>0</v>
      </c>
      <c r="BJ40" s="752">
        <v>0</v>
      </c>
      <c r="BK40" s="752">
        <v>0</v>
      </c>
      <c r="BL40" s="752">
        <v>0</v>
      </c>
      <c r="BM40" s="752">
        <v>0</v>
      </c>
      <c r="BN40" s="752">
        <v>0</v>
      </c>
      <c r="BO40" s="752">
        <v>0</v>
      </c>
      <c r="BP40" s="752">
        <v>0</v>
      </c>
      <c r="BQ40" s="752">
        <v>0</v>
      </c>
      <c r="BR40" s="752">
        <v>0</v>
      </c>
      <c r="BS40" s="752">
        <v>0</v>
      </c>
      <c r="BT40" s="753">
        <v>0</v>
      </c>
      <c r="BU40" s="29"/>
    </row>
    <row r="41" spans="2:73" s="30" customFormat="1" ht="15.6">
      <c r="B41" s="750" t="s">
        <v>753</v>
      </c>
      <c r="C41" s="750" t="s">
        <v>744</v>
      </c>
      <c r="D41" s="750" t="s">
        <v>3</v>
      </c>
      <c r="E41" s="750" t="s">
        <v>745</v>
      </c>
      <c r="F41" s="750" t="s">
        <v>29</v>
      </c>
      <c r="G41" s="750" t="s">
        <v>746</v>
      </c>
      <c r="H41" s="750">
        <v>2011</v>
      </c>
      <c r="I41" s="649" t="s">
        <v>572</v>
      </c>
      <c r="J41" s="649" t="s">
        <v>582</v>
      </c>
      <c r="K41" s="63"/>
      <c r="L41" s="751">
        <v>-38.319810017765967</v>
      </c>
      <c r="M41" s="752">
        <v>-38.319810017765967</v>
      </c>
      <c r="N41" s="752">
        <v>-38.319810017765967</v>
      </c>
      <c r="O41" s="752">
        <v>-38.319810017765967</v>
      </c>
      <c r="P41" s="752">
        <v>-38.319810017765967</v>
      </c>
      <c r="Q41" s="752">
        <v>-38.319810017765967</v>
      </c>
      <c r="R41" s="752">
        <v>-38.319810017765967</v>
      </c>
      <c r="S41" s="752">
        <v>-38.319810017765967</v>
      </c>
      <c r="T41" s="752">
        <v>-38.319810017765967</v>
      </c>
      <c r="U41" s="752">
        <v>-38.319810017765967</v>
      </c>
      <c r="V41" s="752">
        <v>-38.319810017765967</v>
      </c>
      <c r="W41" s="752">
        <v>-38.319810017765967</v>
      </c>
      <c r="X41" s="752">
        <v>-38.319810017765967</v>
      </c>
      <c r="Y41" s="752">
        <v>-38.319810017765967</v>
      </c>
      <c r="Z41" s="752">
        <v>-38.319810017765967</v>
      </c>
      <c r="AA41" s="752">
        <v>-38.319810017765967</v>
      </c>
      <c r="AB41" s="752">
        <v>-38.319810017765967</v>
      </c>
      <c r="AC41" s="752">
        <v>-38.319810017765967</v>
      </c>
      <c r="AD41" s="752">
        <v>-31.458065682269478</v>
      </c>
      <c r="AE41" s="752">
        <v>0</v>
      </c>
      <c r="AF41" s="752">
        <v>0</v>
      </c>
      <c r="AG41" s="752">
        <v>0</v>
      </c>
      <c r="AH41" s="752">
        <v>0</v>
      </c>
      <c r="AI41" s="752">
        <v>0</v>
      </c>
      <c r="AJ41" s="752">
        <v>0</v>
      </c>
      <c r="AK41" s="752">
        <v>0</v>
      </c>
      <c r="AL41" s="752">
        <v>0</v>
      </c>
      <c r="AM41" s="752">
        <v>0</v>
      </c>
      <c r="AN41" s="752">
        <v>0</v>
      </c>
      <c r="AO41" s="753">
        <v>0</v>
      </c>
      <c r="AP41" s="63"/>
      <c r="AQ41" s="751">
        <v>-70811.915790608255</v>
      </c>
      <c r="AR41" s="752">
        <v>-70811.915790608255</v>
      </c>
      <c r="AS41" s="752">
        <v>-70811.915790608255</v>
      </c>
      <c r="AT41" s="752">
        <v>-70811.915790608255</v>
      </c>
      <c r="AU41" s="752">
        <v>-70811.915790608255</v>
      </c>
      <c r="AV41" s="752">
        <v>-70811.915790608255</v>
      </c>
      <c r="AW41" s="752">
        <v>-70811.915790608255</v>
      </c>
      <c r="AX41" s="752">
        <v>-70811.915790608255</v>
      </c>
      <c r="AY41" s="752">
        <v>-70811.915790608255</v>
      </c>
      <c r="AZ41" s="752">
        <v>-70811.915790608255</v>
      </c>
      <c r="BA41" s="752">
        <v>-70811.915790608255</v>
      </c>
      <c r="BB41" s="752">
        <v>-70811.915790608255</v>
      </c>
      <c r="BC41" s="752">
        <v>-70811.915790608255</v>
      </c>
      <c r="BD41" s="752">
        <v>-70811.915790608255</v>
      </c>
      <c r="BE41" s="752">
        <v>-70811.915790608255</v>
      </c>
      <c r="BF41" s="752">
        <v>-70811.915790608255</v>
      </c>
      <c r="BG41" s="752">
        <v>-70811.915790608255</v>
      </c>
      <c r="BH41" s="752">
        <v>-70811.915790608255</v>
      </c>
      <c r="BI41" s="752">
        <v>-64686.279755020325</v>
      </c>
      <c r="BJ41" s="752">
        <v>0</v>
      </c>
      <c r="BK41" s="752">
        <v>0</v>
      </c>
      <c r="BL41" s="752">
        <v>0</v>
      </c>
      <c r="BM41" s="752">
        <v>0</v>
      </c>
      <c r="BN41" s="752">
        <v>0</v>
      </c>
      <c r="BO41" s="752">
        <v>0</v>
      </c>
      <c r="BP41" s="752">
        <v>0</v>
      </c>
      <c r="BQ41" s="752">
        <v>0</v>
      </c>
      <c r="BR41" s="752">
        <v>0</v>
      </c>
      <c r="BS41" s="752">
        <v>0</v>
      </c>
      <c r="BT41" s="753">
        <v>0</v>
      </c>
      <c r="BU41" s="29"/>
    </row>
    <row r="42" spans="2:73" s="30" customFormat="1" ht="15.6">
      <c r="B42" s="750" t="s">
        <v>753</v>
      </c>
      <c r="C42" s="750" t="s">
        <v>744</v>
      </c>
      <c r="D42" s="750" t="s">
        <v>5</v>
      </c>
      <c r="E42" s="750" t="s">
        <v>745</v>
      </c>
      <c r="F42" s="750" t="s">
        <v>29</v>
      </c>
      <c r="G42" s="750" t="s">
        <v>746</v>
      </c>
      <c r="H42" s="750">
        <v>2011</v>
      </c>
      <c r="I42" s="649" t="s">
        <v>572</v>
      </c>
      <c r="J42" s="649" t="s">
        <v>582</v>
      </c>
      <c r="K42" s="63"/>
      <c r="L42" s="751">
        <v>0.59052881251308564</v>
      </c>
      <c r="M42" s="752">
        <v>0.59052881251308564</v>
      </c>
      <c r="N42" s="752">
        <v>0.59052881251308564</v>
      </c>
      <c r="O42" s="752">
        <v>0.59052881251308564</v>
      </c>
      <c r="P42" s="752">
        <v>0.59052881251308564</v>
      </c>
      <c r="Q42" s="752">
        <v>0.54000319622357373</v>
      </c>
      <c r="R42" s="752">
        <v>0.30858697333836826</v>
      </c>
      <c r="S42" s="752">
        <v>0.30845058824446292</v>
      </c>
      <c r="T42" s="752">
        <v>0.30845058824446292</v>
      </c>
      <c r="U42" s="752">
        <v>9.6856495644650292E-2</v>
      </c>
      <c r="V42" s="752">
        <v>4.0242673442199749E-2</v>
      </c>
      <c r="W42" s="752">
        <v>4.0231900837042485E-2</v>
      </c>
      <c r="X42" s="752">
        <v>4.0231900837042485E-2</v>
      </c>
      <c r="Y42" s="752">
        <v>3.8382050151399651E-2</v>
      </c>
      <c r="Z42" s="752">
        <v>3.8382050151399651E-2</v>
      </c>
      <c r="AA42" s="752">
        <v>3.8297347888454569E-2</v>
      </c>
      <c r="AB42" s="752">
        <v>0</v>
      </c>
      <c r="AC42" s="752">
        <v>0</v>
      </c>
      <c r="AD42" s="752">
        <v>0</v>
      </c>
      <c r="AE42" s="752">
        <v>0</v>
      </c>
      <c r="AF42" s="752">
        <v>0</v>
      </c>
      <c r="AG42" s="752">
        <v>0</v>
      </c>
      <c r="AH42" s="752">
        <v>0</v>
      </c>
      <c r="AI42" s="752">
        <v>0</v>
      </c>
      <c r="AJ42" s="752">
        <v>0</v>
      </c>
      <c r="AK42" s="752">
        <v>0</v>
      </c>
      <c r="AL42" s="752">
        <v>0</v>
      </c>
      <c r="AM42" s="752">
        <v>0</v>
      </c>
      <c r="AN42" s="752">
        <v>0</v>
      </c>
      <c r="AO42" s="753">
        <v>0</v>
      </c>
      <c r="AP42" s="63"/>
      <c r="AQ42" s="751">
        <v>11953.518394510378</v>
      </c>
      <c r="AR42" s="752">
        <v>11953.518394510378</v>
      </c>
      <c r="AS42" s="752">
        <v>11953.518394510378</v>
      </c>
      <c r="AT42" s="752">
        <v>11953.518394510378</v>
      </c>
      <c r="AU42" s="752">
        <v>11953.518394510378</v>
      </c>
      <c r="AV42" s="752">
        <v>10862.321911842741</v>
      </c>
      <c r="AW42" s="752">
        <v>5864.4498028194348</v>
      </c>
      <c r="AX42" s="752">
        <v>5863.2550693968233</v>
      </c>
      <c r="AY42" s="752">
        <v>5863.2550693968233</v>
      </c>
      <c r="AZ42" s="752">
        <v>1293.4794475585634</v>
      </c>
      <c r="BA42" s="752">
        <v>1086.6667964545491</v>
      </c>
      <c r="BB42" s="752">
        <v>997.88820648360399</v>
      </c>
      <c r="BC42" s="752">
        <v>997.88820648360399</v>
      </c>
      <c r="BD42" s="752">
        <v>828.09961762815794</v>
      </c>
      <c r="BE42" s="752">
        <v>828.09961762815794</v>
      </c>
      <c r="BF42" s="752">
        <v>827.10384118669617</v>
      </c>
      <c r="BG42" s="752">
        <v>0</v>
      </c>
      <c r="BH42" s="752">
        <v>0</v>
      </c>
      <c r="BI42" s="752">
        <v>0</v>
      </c>
      <c r="BJ42" s="752">
        <v>0</v>
      </c>
      <c r="BK42" s="752">
        <v>0</v>
      </c>
      <c r="BL42" s="752">
        <v>0</v>
      </c>
      <c r="BM42" s="752">
        <v>0</v>
      </c>
      <c r="BN42" s="752">
        <v>0</v>
      </c>
      <c r="BO42" s="752">
        <v>0</v>
      </c>
      <c r="BP42" s="752">
        <v>0</v>
      </c>
      <c r="BQ42" s="752">
        <v>0</v>
      </c>
      <c r="BR42" s="752">
        <v>0</v>
      </c>
      <c r="BS42" s="752">
        <v>0</v>
      </c>
      <c r="BT42" s="753">
        <v>0</v>
      </c>
      <c r="BU42" s="29"/>
    </row>
    <row r="43" spans="2:73" s="30" customFormat="1" ht="15.6">
      <c r="B43" s="750" t="s">
        <v>753</v>
      </c>
      <c r="C43" s="750" t="s">
        <v>744</v>
      </c>
      <c r="D43" s="750" t="s">
        <v>4</v>
      </c>
      <c r="E43" s="750" t="s">
        <v>745</v>
      </c>
      <c r="F43" s="750" t="s">
        <v>29</v>
      </c>
      <c r="G43" s="750" t="s">
        <v>746</v>
      </c>
      <c r="H43" s="750">
        <v>2011</v>
      </c>
      <c r="I43" s="649" t="s">
        <v>572</v>
      </c>
      <c r="J43" s="649" t="s">
        <v>582</v>
      </c>
      <c r="K43" s="63"/>
      <c r="L43" s="751">
        <v>8.8137953166979394E-2</v>
      </c>
      <c r="M43" s="752">
        <v>8.8137953166979394E-2</v>
      </c>
      <c r="N43" s="752">
        <v>8.8137953166979394E-2</v>
      </c>
      <c r="O43" s="752">
        <v>8.8137953166979394E-2</v>
      </c>
      <c r="P43" s="752">
        <v>8.8137953166979394E-2</v>
      </c>
      <c r="Q43" s="752">
        <v>8.2106158525754605E-2</v>
      </c>
      <c r="R43" s="752">
        <v>5.7429137269967394E-2</v>
      </c>
      <c r="S43" s="752">
        <v>5.729765885248405E-2</v>
      </c>
      <c r="T43" s="752">
        <v>5.729765885248405E-2</v>
      </c>
      <c r="U43" s="752">
        <v>3.2037361055318785E-2</v>
      </c>
      <c r="V43" s="752">
        <v>4.2349043629846383E-3</v>
      </c>
      <c r="W43" s="752">
        <v>4.2304373400753499E-3</v>
      </c>
      <c r="X43" s="752">
        <v>4.2304373400753499E-3</v>
      </c>
      <c r="Y43" s="752">
        <v>4.1205973734691759E-3</v>
      </c>
      <c r="Z43" s="752">
        <v>4.1205973734691759E-3</v>
      </c>
      <c r="AA43" s="752">
        <v>4.0452340382850808E-3</v>
      </c>
      <c r="AB43" s="752">
        <v>0</v>
      </c>
      <c r="AC43" s="752">
        <v>0</v>
      </c>
      <c r="AD43" s="752">
        <v>0</v>
      </c>
      <c r="AE43" s="752">
        <v>0</v>
      </c>
      <c r="AF43" s="752">
        <v>0</v>
      </c>
      <c r="AG43" s="752">
        <v>0</v>
      </c>
      <c r="AH43" s="752">
        <v>0</v>
      </c>
      <c r="AI43" s="752">
        <v>0</v>
      </c>
      <c r="AJ43" s="752">
        <v>0</v>
      </c>
      <c r="AK43" s="752">
        <v>0</v>
      </c>
      <c r="AL43" s="752">
        <v>0</v>
      </c>
      <c r="AM43" s="752">
        <v>0</v>
      </c>
      <c r="AN43" s="752">
        <v>0</v>
      </c>
      <c r="AO43" s="753">
        <v>0</v>
      </c>
      <c r="AP43" s="63"/>
      <c r="AQ43" s="751">
        <v>1509.1429260513696</v>
      </c>
      <c r="AR43" s="752">
        <v>1509.1429260513696</v>
      </c>
      <c r="AS43" s="752">
        <v>1509.1429260513696</v>
      </c>
      <c r="AT43" s="752">
        <v>1509.1429260513696</v>
      </c>
      <c r="AU43" s="752">
        <v>1509.1429260513696</v>
      </c>
      <c r="AV43" s="752">
        <v>1378.8748842136638</v>
      </c>
      <c r="AW43" s="752">
        <v>845.9278214260479</v>
      </c>
      <c r="AX43" s="752">
        <v>844.77607048889377</v>
      </c>
      <c r="AY43" s="752">
        <v>844.77607048889377</v>
      </c>
      <c r="AZ43" s="752">
        <v>299.23204487103203</v>
      </c>
      <c r="BA43" s="752">
        <v>135.14552799425331</v>
      </c>
      <c r="BB43" s="752">
        <v>98.332149107250146</v>
      </c>
      <c r="BC43" s="752">
        <v>98.332149107250146</v>
      </c>
      <c r="BD43" s="752">
        <v>88.250485179055346</v>
      </c>
      <c r="BE43" s="752">
        <v>88.250485179055346</v>
      </c>
      <c r="BF43" s="752">
        <v>87.364499006820822</v>
      </c>
      <c r="BG43" s="752">
        <v>0</v>
      </c>
      <c r="BH43" s="752">
        <v>0</v>
      </c>
      <c r="BI43" s="752">
        <v>0</v>
      </c>
      <c r="BJ43" s="752">
        <v>0</v>
      </c>
      <c r="BK43" s="752">
        <v>0</v>
      </c>
      <c r="BL43" s="752">
        <v>0</v>
      </c>
      <c r="BM43" s="752">
        <v>0</v>
      </c>
      <c r="BN43" s="752">
        <v>0</v>
      </c>
      <c r="BO43" s="752">
        <v>0</v>
      </c>
      <c r="BP43" s="752">
        <v>0</v>
      </c>
      <c r="BQ43" s="752">
        <v>0</v>
      </c>
      <c r="BR43" s="752">
        <v>0</v>
      </c>
      <c r="BS43" s="752">
        <v>0</v>
      </c>
      <c r="BT43" s="753">
        <v>0</v>
      </c>
      <c r="BU43" s="29"/>
    </row>
    <row r="44" spans="2:73" s="30" customFormat="1" ht="15.6">
      <c r="B44" s="750" t="s">
        <v>208</v>
      </c>
      <c r="C44" s="750" t="s">
        <v>748</v>
      </c>
      <c r="D44" s="750" t="s">
        <v>20</v>
      </c>
      <c r="E44" s="750" t="s">
        <v>745</v>
      </c>
      <c r="F44" s="750" t="s">
        <v>755</v>
      </c>
      <c r="G44" s="750" t="s">
        <v>746</v>
      </c>
      <c r="H44" s="750">
        <v>2011</v>
      </c>
      <c r="I44" s="649" t="s">
        <v>574</v>
      </c>
      <c r="J44" s="649" t="s">
        <v>582</v>
      </c>
      <c r="K44" s="63"/>
      <c r="L44" s="751">
        <v>88.317436819999998</v>
      </c>
      <c r="M44" s="752">
        <v>88.317436819999998</v>
      </c>
      <c r="N44" s="752">
        <v>88.317436819999998</v>
      </c>
      <c r="O44" s="752">
        <v>88.317436819999998</v>
      </c>
      <c r="P44" s="752">
        <v>0</v>
      </c>
      <c r="Q44" s="752">
        <v>0</v>
      </c>
      <c r="R44" s="752">
        <v>0</v>
      </c>
      <c r="S44" s="752">
        <v>0</v>
      </c>
      <c r="T44" s="752">
        <v>0</v>
      </c>
      <c r="U44" s="752">
        <v>0</v>
      </c>
      <c r="V44" s="752">
        <v>0</v>
      </c>
      <c r="W44" s="752">
        <v>0</v>
      </c>
      <c r="X44" s="752">
        <v>0</v>
      </c>
      <c r="Y44" s="752">
        <v>0</v>
      </c>
      <c r="Z44" s="752">
        <v>0</v>
      </c>
      <c r="AA44" s="752"/>
      <c r="AB44" s="752"/>
      <c r="AC44" s="752"/>
      <c r="AD44" s="752"/>
      <c r="AE44" s="752"/>
      <c r="AF44" s="752"/>
      <c r="AG44" s="752"/>
      <c r="AH44" s="752"/>
      <c r="AI44" s="752"/>
      <c r="AJ44" s="752"/>
      <c r="AK44" s="752"/>
      <c r="AL44" s="752"/>
      <c r="AM44" s="752"/>
      <c r="AN44" s="752"/>
      <c r="AO44" s="753"/>
      <c r="AP44" s="63"/>
      <c r="AQ44" s="751">
        <v>437351.41950000002</v>
      </c>
      <c r="AR44" s="752">
        <v>437351.41950000002</v>
      </c>
      <c r="AS44" s="752">
        <v>437351.41950000002</v>
      </c>
      <c r="AT44" s="752">
        <v>437351.41950000002</v>
      </c>
      <c r="AU44" s="752">
        <v>0</v>
      </c>
      <c r="AV44" s="752"/>
      <c r="AW44" s="752"/>
      <c r="AX44" s="752"/>
      <c r="AY44" s="752"/>
      <c r="AZ44" s="752"/>
      <c r="BA44" s="752"/>
      <c r="BB44" s="752"/>
      <c r="BC44" s="752"/>
      <c r="BD44" s="752"/>
      <c r="BE44" s="752"/>
      <c r="BF44" s="752"/>
      <c r="BG44" s="752"/>
      <c r="BH44" s="752"/>
      <c r="BI44" s="752"/>
      <c r="BJ44" s="752"/>
      <c r="BK44" s="752"/>
      <c r="BL44" s="752"/>
      <c r="BM44" s="752"/>
      <c r="BN44" s="752"/>
      <c r="BO44" s="752"/>
      <c r="BP44" s="752"/>
      <c r="BQ44" s="752"/>
      <c r="BR44" s="752"/>
      <c r="BS44" s="752"/>
      <c r="BT44" s="753"/>
      <c r="BU44" s="29"/>
    </row>
    <row r="45" spans="2:73" s="30" customFormat="1" ht="15.6">
      <c r="B45" s="750" t="s">
        <v>743</v>
      </c>
      <c r="C45" s="750" t="s">
        <v>748</v>
      </c>
      <c r="D45" s="750" t="s">
        <v>21</v>
      </c>
      <c r="E45" s="750" t="s">
        <v>745</v>
      </c>
      <c r="F45" s="750" t="s">
        <v>754</v>
      </c>
      <c r="G45" s="750" t="s">
        <v>746</v>
      </c>
      <c r="H45" s="750">
        <v>2012</v>
      </c>
      <c r="I45" s="649" t="s">
        <v>572</v>
      </c>
      <c r="J45" s="649" t="s">
        <v>589</v>
      </c>
      <c r="K45" s="63"/>
      <c r="L45" s="751"/>
      <c r="M45" s="752">
        <v>8.8026296966164779</v>
      </c>
      <c r="N45" s="752">
        <v>8.8026296966164779</v>
      </c>
      <c r="O45" s="752">
        <v>8.4510310491760983</v>
      </c>
      <c r="P45" s="752">
        <v>5.3782674460159923</v>
      </c>
      <c r="Q45" s="752">
        <v>5.3647882563434637</v>
      </c>
      <c r="R45" s="752">
        <v>1.2651971914062754</v>
      </c>
      <c r="S45" s="752">
        <v>1.2651971914062754</v>
      </c>
      <c r="T45" s="752">
        <v>1.2651971914062754</v>
      </c>
      <c r="U45" s="752">
        <v>1.2651971914062754</v>
      </c>
      <c r="V45" s="752">
        <v>1.2651971914062754</v>
      </c>
      <c r="W45" s="752">
        <v>1.2450845569128639</v>
      </c>
      <c r="X45" s="752">
        <v>1.2450845569128639</v>
      </c>
      <c r="Y45" s="752">
        <v>0</v>
      </c>
      <c r="Z45" s="752">
        <v>0</v>
      </c>
      <c r="AA45" s="752">
        <v>0</v>
      </c>
      <c r="AB45" s="752">
        <v>0</v>
      </c>
      <c r="AC45" s="752">
        <v>0</v>
      </c>
      <c r="AD45" s="752">
        <v>0</v>
      </c>
      <c r="AE45" s="752">
        <v>0</v>
      </c>
      <c r="AF45" s="752">
        <v>0</v>
      </c>
      <c r="AG45" s="752">
        <v>0</v>
      </c>
      <c r="AH45" s="752">
        <v>0</v>
      </c>
      <c r="AI45" s="752">
        <v>0</v>
      </c>
      <c r="AJ45" s="752">
        <v>0</v>
      </c>
      <c r="AK45" s="752">
        <v>0</v>
      </c>
      <c r="AL45" s="752">
        <v>0</v>
      </c>
      <c r="AM45" s="752">
        <v>0</v>
      </c>
      <c r="AN45" s="752">
        <v>0</v>
      </c>
      <c r="AO45" s="753">
        <v>0</v>
      </c>
      <c r="AP45" s="63"/>
      <c r="AQ45" s="751"/>
      <c r="AR45" s="752">
        <v>35756.644886088456</v>
      </c>
      <c r="AS45" s="752">
        <v>35756.644886088456</v>
      </c>
      <c r="AT45" s="752">
        <v>34546.250534804873</v>
      </c>
      <c r="AU45" s="752">
        <v>20424.601744427779</v>
      </c>
      <c r="AV45" s="752">
        <v>20368.578208910258</v>
      </c>
      <c r="AW45" s="752">
        <v>4938.7299094636246</v>
      </c>
      <c r="AX45" s="752">
        <v>4938.7299094636246</v>
      </c>
      <c r="AY45" s="752">
        <v>4938.7299094636246</v>
      </c>
      <c r="AZ45" s="752">
        <v>4938.7299094636246</v>
      </c>
      <c r="BA45" s="752">
        <v>4938.7299094636246</v>
      </c>
      <c r="BB45" s="752">
        <v>4741.9321609418685</v>
      </c>
      <c r="BC45" s="752">
        <v>4741.9321609418685</v>
      </c>
      <c r="BD45" s="752">
        <v>0</v>
      </c>
      <c r="BE45" s="752">
        <v>0</v>
      </c>
      <c r="BF45" s="752">
        <v>0</v>
      </c>
      <c r="BG45" s="752">
        <v>0</v>
      </c>
      <c r="BH45" s="752">
        <v>0</v>
      </c>
      <c r="BI45" s="752">
        <v>0</v>
      </c>
      <c r="BJ45" s="752">
        <v>0</v>
      </c>
      <c r="BK45" s="752">
        <v>0</v>
      </c>
      <c r="BL45" s="752">
        <v>0</v>
      </c>
      <c r="BM45" s="752">
        <v>0</v>
      </c>
      <c r="BN45" s="752">
        <v>0</v>
      </c>
      <c r="BO45" s="752">
        <v>0</v>
      </c>
      <c r="BP45" s="752">
        <v>0</v>
      </c>
      <c r="BQ45" s="752">
        <v>0</v>
      </c>
      <c r="BR45" s="752">
        <v>0</v>
      </c>
      <c r="BS45" s="752">
        <v>0</v>
      </c>
      <c r="BT45" s="753">
        <v>0</v>
      </c>
      <c r="BU45" s="29"/>
    </row>
    <row r="46" spans="2:73" s="30" customFormat="1" ht="15.6">
      <c r="B46" s="750" t="s">
        <v>743</v>
      </c>
      <c r="C46" s="750" t="s">
        <v>748</v>
      </c>
      <c r="D46" s="750" t="s">
        <v>22</v>
      </c>
      <c r="E46" s="750" t="s">
        <v>745</v>
      </c>
      <c r="F46" s="750" t="s">
        <v>754</v>
      </c>
      <c r="G46" s="750" t="s">
        <v>746</v>
      </c>
      <c r="H46" s="750">
        <v>2012</v>
      </c>
      <c r="I46" s="649" t="s">
        <v>572</v>
      </c>
      <c r="J46" s="649" t="s">
        <v>589</v>
      </c>
      <c r="K46" s="63"/>
      <c r="L46" s="751"/>
      <c r="M46" s="752">
        <v>264.3443969891793</v>
      </c>
      <c r="N46" s="752">
        <v>264.3443969891793</v>
      </c>
      <c r="O46" s="752">
        <v>264.3443969891793</v>
      </c>
      <c r="P46" s="752">
        <v>264.3443969891793</v>
      </c>
      <c r="Q46" s="752">
        <v>264.3443969891793</v>
      </c>
      <c r="R46" s="752">
        <v>259.711711237222</v>
      </c>
      <c r="S46" s="752">
        <v>255.0544809996928</v>
      </c>
      <c r="T46" s="752">
        <v>255.0544809996928</v>
      </c>
      <c r="U46" s="752">
        <v>248.22008211607255</v>
      </c>
      <c r="V46" s="752">
        <v>185.41790174957657</v>
      </c>
      <c r="W46" s="752">
        <v>185.03631809337139</v>
      </c>
      <c r="X46" s="752">
        <v>185.03631809337139</v>
      </c>
      <c r="Y46" s="752">
        <v>1.9106154847745964</v>
      </c>
      <c r="Z46" s="752">
        <v>1.9106154847745964</v>
      </c>
      <c r="AA46" s="752">
        <v>1.9106154847745964</v>
      </c>
      <c r="AB46" s="752">
        <v>0</v>
      </c>
      <c r="AC46" s="752">
        <v>0</v>
      </c>
      <c r="AD46" s="752">
        <v>0</v>
      </c>
      <c r="AE46" s="752">
        <v>0</v>
      </c>
      <c r="AF46" s="752">
        <v>0</v>
      </c>
      <c r="AG46" s="752">
        <v>0</v>
      </c>
      <c r="AH46" s="752">
        <v>0</v>
      </c>
      <c r="AI46" s="752">
        <v>0</v>
      </c>
      <c r="AJ46" s="752">
        <v>0</v>
      </c>
      <c r="AK46" s="752">
        <v>0</v>
      </c>
      <c r="AL46" s="752">
        <v>0</v>
      </c>
      <c r="AM46" s="752">
        <v>0</v>
      </c>
      <c r="AN46" s="752">
        <v>0</v>
      </c>
      <c r="AO46" s="753">
        <v>0</v>
      </c>
      <c r="AP46" s="63"/>
      <c r="AQ46" s="751"/>
      <c r="AR46" s="752">
        <v>1766600.8902990958</v>
      </c>
      <c r="AS46" s="752">
        <v>1766600.8902990958</v>
      </c>
      <c r="AT46" s="752">
        <v>1766600.8902990958</v>
      </c>
      <c r="AU46" s="752">
        <v>1766600.8902990958</v>
      </c>
      <c r="AV46" s="752">
        <v>1766600.8902990958</v>
      </c>
      <c r="AW46" s="752">
        <v>1751500.7360676003</v>
      </c>
      <c r="AX46" s="752">
        <v>1721619.6747512654</v>
      </c>
      <c r="AY46" s="752">
        <v>1721619.6747512654</v>
      </c>
      <c r="AZ46" s="752">
        <v>1696762.0333809508</v>
      </c>
      <c r="BA46" s="752">
        <v>1293819.5747477813</v>
      </c>
      <c r="BB46" s="752">
        <v>1279143.2065769839</v>
      </c>
      <c r="BC46" s="752">
        <v>1279143.2065769839</v>
      </c>
      <c r="BD46" s="752">
        <v>180106.25322714145</v>
      </c>
      <c r="BE46" s="752">
        <v>180106.25322714145</v>
      </c>
      <c r="BF46" s="752">
        <v>180106.25322714145</v>
      </c>
      <c r="BG46" s="752">
        <v>0</v>
      </c>
      <c r="BH46" s="752">
        <v>0</v>
      </c>
      <c r="BI46" s="752">
        <v>0</v>
      </c>
      <c r="BJ46" s="752">
        <v>0</v>
      </c>
      <c r="BK46" s="752">
        <v>0</v>
      </c>
      <c r="BL46" s="752">
        <v>0</v>
      </c>
      <c r="BM46" s="752">
        <v>0</v>
      </c>
      <c r="BN46" s="752">
        <v>0</v>
      </c>
      <c r="BO46" s="752">
        <v>0</v>
      </c>
      <c r="BP46" s="752">
        <v>0</v>
      </c>
      <c r="BQ46" s="752">
        <v>0</v>
      </c>
      <c r="BR46" s="752">
        <v>0</v>
      </c>
      <c r="BS46" s="752">
        <v>0</v>
      </c>
      <c r="BT46" s="753">
        <v>0</v>
      </c>
      <c r="BU46" s="29"/>
    </row>
    <row r="47" spans="2:73" s="30" customFormat="1" ht="15.6">
      <c r="B47" s="750" t="s">
        <v>743</v>
      </c>
      <c r="C47" s="750" t="s">
        <v>744</v>
      </c>
      <c r="D47" s="750" t="s">
        <v>2</v>
      </c>
      <c r="E47" s="750" t="s">
        <v>745</v>
      </c>
      <c r="F47" s="750" t="s">
        <v>29</v>
      </c>
      <c r="G47" s="750" t="s">
        <v>746</v>
      </c>
      <c r="H47" s="750">
        <v>2012</v>
      </c>
      <c r="I47" s="649" t="s">
        <v>572</v>
      </c>
      <c r="J47" s="649" t="s">
        <v>589</v>
      </c>
      <c r="K47" s="63"/>
      <c r="L47" s="751"/>
      <c r="M47" s="752">
        <v>2.5316395988564526</v>
      </c>
      <c r="N47" s="752">
        <v>2.5316395988564526</v>
      </c>
      <c r="O47" s="752">
        <v>2.5316395988564526</v>
      </c>
      <c r="P47" s="752">
        <v>2.520000837659818</v>
      </c>
      <c r="Q47" s="752">
        <v>0</v>
      </c>
      <c r="R47" s="752">
        <v>0</v>
      </c>
      <c r="S47" s="752">
        <v>0</v>
      </c>
      <c r="T47" s="752">
        <v>0</v>
      </c>
      <c r="U47" s="752">
        <v>0</v>
      </c>
      <c r="V47" s="752">
        <v>0</v>
      </c>
      <c r="W47" s="752">
        <v>0</v>
      </c>
      <c r="X47" s="752">
        <v>0</v>
      </c>
      <c r="Y47" s="752">
        <v>0</v>
      </c>
      <c r="Z47" s="752">
        <v>0</v>
      </c>
      <c r="AA47" s="752">
        <v>0</v>
      </c>
      <c r="AB47" s="752">
        <v>0</v>
      </c>
      <c r="AC47" s="752">
        <v>0</v>
      </c>
      <c r="AD47" s="752">
        <v>0</v>
      </c>
      <c r="AE47" s="752">
        <v>0</v>
      </c>
      <c r="AF47" s="752">
        <v>0</v>
      </c>
      <c r="AG47" s="752">
        <v>0</v>
      </c>
      <c r="AH47" s="752">
        <v>0</v>
      </c>
      <c r="AI47" s="752">
        <v>0</v>
      </c>
      <c r="AJ47" s="752">
        <v>0</v>
      </c>
      <c r="AK47" s="752">
        <v>0</v>
      </c>
      <c r="AL47" s="752">
        <v>0</v>
      </c>
      <c r="AM47" s="752">
        <v>0</v>
      </c>
      <c r="AN47" s="752">
        <v>0</v>
      </c>
      <c r="AO47" s="753">
        <v>0</v>
      </c>
      <c r="AP47" s="63"/>
      <c r="AQ47" s="751"/>
      <c r="AR47" s="752">
        <v>4503.725179691296</v>
      </c>
      <c r="AS47" s="752">
        <v>4503.725179691296</v>
      </c>
      <c r="AT47" s="752">
        <v>4503.725179691296</v>
      </c>
      <c r="AU47" s="752">
        <v>4493.317166044154</v>
      </c>
      <c r="AV47" s="752">
        <v>0</v>
      </c>
      <c r="AW47" s="752">
        <v>0</v>
      </c>
      <c r="AX47" s="752">
        <v>0</v>
      </c>
      <c r="AY47" s="752">
        <v>0</v>
      </c>
      <c r="AZ47" s="752">
        <v>0</v>
      </c>
      <c r="BA47" s="752">
        <v>0</v>
      </c>
      <c r="BB47" s="752">
        <v>0</v>
      </c>
      <c r="BC47" s="752">
        <v>0</v>
      </c>
      <c r="BD47" s="752">
        <v>0</v>
      </c>
      <c r="BE47" s="752">
        <v>0</v>
      </c>
      <c r="BF47" s="752">
        <v>0</v>
      </c>
      <c r="BG47" s="752">
        <v>0</v>
      </c>
      <c r="BH47" s="752">
        <v>0</v>
      </c>
      <c r="BI47" s="752">
        <v>0</v>
      </c>
      <c r="BJ47" s="752">
        <v>0</v>
      </c>
      <c r="BK47" s="752">
        <v>0</v>
      </c>
      <c r="BL47" s="752">
        <v>0</v>
      </c>
      <c r="BM47" s="752">
        <v>0</v>
      </c>
      <c r="BN47" s="752">
        <v>0</v>
      </c>
      <c r="BO47" s="752">
        <v>0</v>
      </c>
      <c r="BP47" s="752">
        <v>0</v>
      </c>
      <c r="BQ47" s="752">
        <v>0</v>
      </c>
      <c r="BR47" s="752">
        <v>0</v>
      </c>
      <c r="BS47" s="752">
        <v>0</v>
      </c>
      <c r="BT47" s="753">
        <v>0</v>
      </c>
      <c r="BU47" s="29"/>
    </row>
    <row r="48" spans="2:73" s="30" customFormat="1" ht="15.6">
      <c r="B48" s="750" t="s">
        <v>743</v>
      </c>
      <c r="C48" s="750" t="s">
        <v>744</v>
      </c>
      <c r="D48" s="750" t="s">
        <v>1</v>
      </c>
      <c r="E48" s="750" t="s">
        <v>745</v>
      </c>
      <c r="F48" s="750" t="s">
        <v>29</v>
      </c>
      <c r="G48" s="750" t="s">
        <v>746</v>
      </c>
      <c r="H48" s="750">
        <v>2012</v>
      </c>
      <c r="I48" s="649" t="s">
        <v>572</v>
      </c>
      <c r="J48" s="649" t="s">
        <v>589</v>
      </c>
      <c r="K48" s="63"/>
      <c r="L48" s="751"/>
      <c r="M48" s="752">
        <v>5.9391255822410285</v>
      </c>
      <c r="N48" s="752">
        <v>5.9391255822410285</v>
      </c>
      <c r="O48" s="752">
        <v>5.9391255822410285</v>
      </c>
      <c r="P48" s="752">
        <v>5.9391255822410285</v>
      </c>
      <c r="Q48" s="752">
        <v>3.3702776363714868</v>
      </c>
      <c r="R48" s="752">
        <v>0</v>
      </c>
      <c r="S48" s="752">
        <v>0</v>
      </c>
      <c r="T48" s="752">
        <v>0</v>
      </c>
      <c r="U48" s="752">
        <v>0</v>
      </c>
      <c r="V48" s="752">
        <v>0</v>
      </c>
      <c r="W48" s="752">
        <v>0</v>
      </c>
      <c r="X48" s="752">
        <v>0</v>
      </c>
      <c r="Y48" s="752">
        <v>0</v>
      </c>
      <c r="Z48" s="752">
        <v>0</v>
      </c>
      <c r="AA48" s="752">
        <v>0</v>
      </c>
      <c r="AB48" s="752">
        <v>0</v>
      </c>
      <c r="AC48" s="752">
        <v>0</v>
      </c>
      <c r="AD48" s="752">
        <v>0</v>
      </c>
      <c r="AE48" s="752">
        <v>0</v>
      </c>
      <c r="AF48" s="752">
        <v>0</v>
      </c>
      <c r="AG48" s="752">
        <v>0</v>
      </c>
      <c r="AH48" s="752">
        <v>0</v>
      </c>
      <c r="AI48" s="752">
        <v>0</v>
      </c>
      <c r="AJ48" s="752">
        <v>0</v>
      </c>
      <c r="AK48" s="752">
        <v>0</v>
      </c>
      <c r="AL48" s="752">
        <v>0</v>
      </c>
      <c r="AM48" s="752">
        <v>0</v>
      </c>
      <c r="AN48" s="752">
        <v>0</v>
      </c>
      <c r="AO48" s="753">
        <v>0</v>
      </c>
      <c r="AP48" s="63"/>
      <c r="AQ48" s="751"/>
      <c r="AR48" s="752">
        <v>44552.775865090764</v>
      </c>
      <c r="AS48" s="752">
        <v>44552.775865090764</v>
      </c>
      <c r="AT48" s="752">
        <v>44552.775865090764</v>
      </c>
      <c r="AU48" s="752">
        <v>44552.775865090764</v>
      </c>
      <c r="AV48" s="752">
        <v>25633.440279257204</v>
      </c>
      <c r="AW48" s="752">
        <v>0</v>
      </c>
      <c r="AX48" s="752">
        <v>0</v>
      </c>
      <c r="AY48" s="752">
        <v>0</v>
      </c>
      <c r="AZ48" s="752">
        <v>0</v>
      </c>
      <c r="BA48" s="752">
        <v>0</v>
      </c>
      <c r="BB48" s="752">
        <v>0</v>
      </c>
      <c r="BC48" s="752">
        <v>0</v>
      </c>
      <c r="BD48" s="752">
        <v>0</v>
      </c>
      <c r="BE48" s="752">
        <v>0</v>
      </c>
      <c r="BF48" s="752">
        <v>0</v>
      </c>
      <c r="BG48" s="752">
        <v>0</v>
      </c>
      <c r="BH48" s="752">
        <v>0</v>
      </c>
      <c r="BI48" s="752">
        <v>0</v>
      </c>
      <c r="BJ48" s="752">
        <v>0</v>
      </c>
      <c r="BK48" s="752">
        <v>0</v>
      </c>
      <c r="BL48" s="752">
        <v>0</v>
      </c>
      <c r="BM48" s="752">
        <v>0</v>
      </c>
      <c r="BN48" s="752">
        <v>0</v>
      </c>
      <c r="BO48" s="752">
        <v>0</v>
      </c>
      <c r="BP48" s="752">
        <v>0</v>
      </c>
      <c r="BQ48" s="752">
        <v>0</v>
      </c>
      <c r="BR48" s="752">
        <v>0</v>
      </c>
      <c r="BS48" s="752">
        <v>0</v>
      </c>
      <c r="BT48" s="753">
        <v>0</v>
      </c>
      <c r="BU48" s="29"/>
    </row>
    <row r="49" spans="2:73" s="30" customFormat="1" ht="15.6">
      <c r="B49" s="750" t="s">
        <v>743</v>
      </c>
      <c r="C49" s="750" t="s">
        <v>744</v>
      </c>
      <c r="D49" s="750" t="s">
        <v>5</v>
      </c>
      <c r="E49" s="750" t="s">
        <v>745</v>
      </c>
      <c r="F49" s="750" t="s">
        <v>29</v>
      </c>
      <c r="G49" s="750" t="s">
        <v>746</v>
      </c>
      <c r="H49" s="750">
        <v>2012</v>
      </c>
      <c r="I49" s="649" t="s">
        <v>572</v>
      </c>
      <c r="J49" s="649" t="s">
        <v>589</v>
      </c>
      <c r="K49" s="63"/>
      <c r="L49" s="751"/>
      <c r="M49" s="752">
        <v>8.1025388189143026</v>
      </c>
      <c r="N49" s="752">
        <v>8.1025388189143026</v>
      </c>
      <c r="O49" s="752">
        <v>8.1025388189143026</v>
      </c>
      <c r="P49" s="752">
        <v>8.1025388189143026</v>
      </c>
      <c r="Q49" s="752">
        <v>7.4164102536064744</v>
      </c>
      <c r="R49" s="752">
        <v>6.276030795499481</v>
      </c>
      <c r="S49" s="752">
        <v>4.6984431620118992</v>
      </c>
      <c r="T49" s="752">
        <v>4.6810958665272269</v>
      </c>
      <c r="U49" s="752">
        <v>4.6810958665272269</v>
      </c>
      <c r="V49" s="752">
        <v>3.0188903551262105</v>
      </c>
      <c r="W49" s="752">
        <v>1.1811082718337707</v>
      </c>
      <c r="X49" s="752">
        <v>1.18100456836906</v>
      </c>
      <c r="Y49" s="752">
        <v>1.18100456836906</v>
      </c>
      <c r="Z49" s="752">
        <v>1.160737657640013</v>
      </c>
      <c r="AA49" s="752">
        <v>1.160737657640013</v>
      </c>
      <c r="AB49" s="752">
        <v>1.1318983819808297</v>
      </c>
      <c r="AC49" s="752">
        <v>0.31758885311202051</v>
      </c>
      <c r="AD49" s="752">
        <v>0.31758885311202051</v>
      </c>
      <c r="AE49" s="752">
        <v>0.31758885311202051</v>
      </c>
      <c r="AF49" s="752">
        <v>0.31758885311202051</v>
      </c>
      <c r="AG49" s="752">
        <v>0</v>
      </c>
      <c r="AH49" s="752">
        <v>0</v>
      </c>
      <c r="AI49" s="752">
        <v>0</v>
      </c>
      <c r="AJ49" s="752">
        <v>0</v>
      </c>
      <c r="AK49" s="752">
        <v>0</v>
      </c>
      <c r="AL49" s="752">
        <v>0</v>
      </c>
      <c r="AM49" s="752">
        <v>0</v>
      </c>
      <c r="AN49" s="752">
        <v>0</v>
      </c>
      <c r="AO49" s="753">
        <v>0</v>
      </c>
      <c r="AP49" s="63"/>
      <c r="AQ49" s="751"/>
      <c r="AR49" s="752">
        <v>146622.96829601386</v>
      </c>
      <c r="AS49" s="752">
        <v>146622.96829601386</v>
      </c>
      <c r="AT49" s="752">
        <v>146622.96829601386</v>
      </c>
      <c r="AU49" s="752">
        <v>146622.96829601386</v>
      </c>
      <c r="AV49" s="752">
        <v>131804.72099682936</v>
      </c>
      <c r="AW49" s="752">
        <v>107176.06438703198</v>
      </c>
      <c r="AX49" s="752">
        <v>73105.068263053094</v>
      </c>
      <c r="AY49" s="752">
        <v>72953.105954607381</v>
      </c>
      <c r="AZ49" s="752">
        <v>72953.105954607381</v>
      </c>
      <c r="BA49" s="752">
        <v>37054.626317693874</v>
      </c>
      <c r="BB49" s="752">
        <v>27499.365941988683</v>
      </c>
      <c r="BC49" s="752">
        <v>26644.730759716658</v>
      </c>
      <c r="BD49" s="752">
        <v>26644.730759716658</v>
      </c>
      <c r="BE49" s="752">
        <v>24784.53187996307</v>
      </c>
      <c r="BF49" s="752">
        <v>24784.53187996307</v>
      </c>
      <c r="BG49" s="752">
        <v>24445.49169034194</v>
      </c>
      <c r="BH49" s="752">
        <v>6858.9334460472928</v>
      </c>
      <c r="BI49" s="752">
        <v>6858.9334460472928</v>
      </c>
      <c r="BJ49" s="752">
        <v>6858.9334460472928</v>
      </c>
      <c r="BK49" s="752">
        <v>6858.9334460472928</v>
      </c>
      <c r="BL49" s="752">
        <v>0</v>
      </c>
      <c r="BM49" s="752">
        <v>0</v>
      </c>
      <c r="BN49" s="752">
        <v>0</v>
      </c>
      <c r="BO49" s="752">
        <v>0</v>
      </c>
      <c r="BP49" s="752">
        <v>0</v>
      </c>
      <c r="BQ49" s="752">
        <v>0</v>
      </c>
      <c r="BR49" s="752">
        <v>0</v>
      </c>
      <c r="BS49" s="752">
        <v>0</v>
      </c>
      <c r="BT49" s="753">
        <v>0</v>
      </c>
      <c r="BU49" s="29"/>
    </row>
    <row r="50" spans="2:73" s="30" customFormat="1" ht="15.6">
      <c r="B50" s="750" t="s">
        <v>743</v>
      </c>
      <c r="C50" s="750" t="s">
        <v>744</v>
      </c>
      <c r="D50" s="750" t="s">
        <v>4</v>
      </c>
      <c r="E50" s="750" t="s">
        <v>745</v>
      </c>
      <c r="F50" s="750" t="s">
        <v>29</v>
      </c>
      <c r="G50" s="750" t="s">
        <v>746</v>
      </c>
      <c r="H50" s="750">
        <v>2012</v>
      </c>
      <c r="I50" s="649" t="s">
        <v>572</v>
      </c>
      <c r="J50" s="649" t="s">
        <v>589</v>
      </c>
      <c r="K50" s="63"/>
      <c r="L50" s="751"/>
      <c r="M50" s="752">
        <v>1.2614675933139985</v>
      </c>
      <c r="N50" s="752">
        <v>1.2614675933139985</v>
      </c>
      <c r="O50" s="752">
        <v>1.2614675933139985</v>
      </c>
      <c r="P50" s="752">
        <v>1.2614675933139985</v>
      </c>
      <c r="Q50" s="752">
        <v>1.2561426665987911</v>
      </c>
      <c r="R50" s="752">
        <v>1.2561426665987911</v>
      </c>
      <c r="S50" s="752">
        <v>1.0714246550391899</v>
      </c>
      <c r="T50" s="752">
        <v>1.0691877669372192</v>
      </c>
      <c r="U50" s="752">
        <v>1.0691877669372192</v>
      </c>
      <c r="V50" s="752">
        <v>1.0691877669372192</v>
      </c>
      <c r="W50" s="752">
        <v>1.9667375821575298E-2</v>
      </c>
      <c r="X50" s="752">
        <v>1.9653831188096112E-2</v>
      </c>
      <c r="Y50" s="752">
        <v>1.9653831188096112E-2</v>
      </c>
      <c r="Z50" s="752">
        <v>1.894611430855702E-2</v>
      </c>
      <c r="AA50" s="752">
        <v>1.894611430855702E-2</v>
      </c>
      <c r="AB50" s="752">
        <v>1.7697169299694757E-2</v>
      </c>
      <c r="AC50" s="752">
        <v>0</v>
      </c>
      <c r="AD50" s="752">
        <v>0</v>
      </c>
      <c r="AE50" s="752">
        <v>0</v>
      </c>
      <c r="AF50" s="752">
        <v>0</v>
      </c>
      <c r="AG50" s="752">
        <v>0</v>
      </c>
      <c r="AH50" s="752">
        <v>0</v>
      </c>
      <c r="AI50" s="752">
        <v>0</v>
      </c>
      <c r="AJ50" s="752">
        <v>0</v>
      </c>
      <c r="AK50" s="752">
        <v>0</v>
      </c>
      <c r="AL50" s="752">
        <v>0</v>
      </c>
      <c r="AM50" s="752">
        <v>0</v>
      </c>
      <c r="AN50" s="752">
        <v>0</v>
      </c>
      <c r="AO50" s="753">
        <v>0</v>
      </c>
      <c r="AP50" s="63"/>
      <c r="AQ50" s="751"/>
      <c r="AR50" s="752">
        <v>7654.805446726109</v>
      </c>
      <c r="AS50" s="752">
        <v>7654.805446726109</v>
      </c>
      <c r="AT50" s="752">
        <v>7654.805446726109</v>
      </c>
      <c r="AU50" s="752">
        <v>7654.805446726109</v>
      </c>
      <c r="AV50" s="752">
        <v>7539.8035580049018</v>
      </c>
      <c r="AW50" s="752">
        <v>7539.8035580049018</v>
      </c>
      <c r="AX50" s="752">
        <v>3550.4678645175309</v>
      </c>
      <c r="AY50" s="752">
        <v>3530.8727247442662</v>
      </c>
      <c r="AZ50" s="752">
        <v>3530.8727247442662</v>
      </c>
      <c r="BA50" s="752">
        <v>3530.8727247442662</v>
      </c>
      <c r="BB50" s="752">
        <v>573.46785347469483</v>
      </c>
      <c r="BC50" s="752">
        <v>461.84457902982615</v>
      </c>
      <c r="BD50" s="752">
        <v>461.84457902982615</v>
      </c>
      <c r="BE50" s="752">
        <v>396.88676853261575</v>
      </c>
      <c r="BF50" s="752">
        <v>396.88676853261575</v>
      </c>
      <c r="BG50" s="752">
        <v>382.20392567500789</v>
      </c>
      <c r="BH50" s="752">
        <v>0</v>
      </c>
      <c r="BI50" s="752">
        <v>0</v>
      </c>
      <c r="BJ50" s="752">
        <v>0</v>
      </c>
      <c r="BK50" s="752">
        <v>0</v>
      </c>
      <c r="BL50" s="752">
        <v>0</v>
      </c>
      <c r="BM50" s="752">
        <v>0</v>
      </c>
      <c r="BN50" s="752">
        <v>0</v>
      </c>
      <c r="BO50" s="752">
        <v>0</v>
      </c>
      <c r="BP50" s="752">
        <v>0</v>
      </c>
      <c r="BQ50" s="752">
        <v>0</v>
      </c>
      <c r="BR50" s="752">
        <v>0</v>
      </c>
      <c r="BS50" s="752">
        <v>0</v>
      </c>
      <c r="BT50" s="753">
        <v>0</v>
      </c>
      <c r="BU50" s="29"/>
    </row>
    <row r="51" spans="2:73" s="30" customFormat="1" ht="15.6">
      <c r="B51" s="750" t="s">
        <v>743</v>
      </c>
      <c r="C51" s="750" t="s">
        <v>744</v>
      </c>
      <c r="D51" s="750" t="s">
        <v>3</v>
      </c>
      <c r="E51" s="750" t="s">
        <v>745</v>
      </c>
      <c r="F51" s="750" t="s">
        <v>29</v>
      </c>
      <c r="G51" s="750" t="s">
        <v>746</v>
      </c>
      <c r="H51" s="750">
        <v>2012</v>
      </c>
      <c r="I51" s="649" t="s">
        <v>572</v>
      </c>
      <c r="J51" s="649" t="s">
        <v>589</v>
      </c>
      <c r="K51" s="63"/>
      <c r="L51" s="751"/>
      <c r="M51" s="752">
        <v>90.067114387176318</v>
      </c>
      <c r="N51" s="752">
        <v>90.067114387176318</v>
      </c>
      <c r="O51" s="752">
        <v>90.067114387176318</v>
      </c>
      <c r="P51" s="752">
        <v>90.067114387176318</v>
      </c>
      <c r="Q51" s="752">
        <v>90.067114387176318</v>
      </c>
      <c r="R51" s="752">
        <v>90.067114387176318</v>
      </c>
      <c r="S51" s="752">
        <v>90.067114387176318</v>
      </c>
      <c r="T51" s="752">
        <v>90.067114387176318</v>
      </c>
      <c r="U51" s="752">
        <v>90.067114387176318</v>
      </c>
      <c r="V51" s="752">
        <v>90.067114387176318</v>
      </c>
      <c r="W51" s="752">
        <v>90.067114387176318</v>
      </c>
      <c r="X51" s="752">
        <v>90.067114387176318</v>
      </c>
      <c r="Y51" s="752">
        <v>90.067114387176318</v>
      </c>
      <c r="Z51" s="752">
        <v>90.067114387176318</v>
      </c>
      <c r="AA51" s="752">
        <v>90.067114387176318</v>
      </c>
      <c r="AB51" s="752">
        <v>90.067114387176318</v>
      </c>
      <c r="AC51" s="752">
        <v>90.067114387176318</v>
      </c>
      <c r="AD51" s="752">
        <v>90.067114387176318</v>
      </c>
      <c r="AE51" s="752">
        <v>69.144650768036215</v>
      </c>
      <c r="AF51" s="752">
        <v>0</v>
      </c>
      <c r="AG51" s="752">
        <v>0</v>
      </c>
      <c r="AH51" s="752">
        <v>0</v>
      </c>
      <c r="AI51" s="752">
        <v>0</v>
      </c>
      <c r="AJ51" s="752">
        <v>0</v>
      </c>
      <c r="AK51" s="752">
        <v>0</v>
      </c>
      <c r="AL51" s="752">
        <v>0</v>
      </c>
      <c r="AM51" s="752">
        <v>0</v>
      </c>
      <c r="AN51" s="752">
        <v>0</v>
      </c>
      <c r="AO51" s="753">
        <v>0</v>
      </c>
      <c r="AP51" s="63"/>
      <c r="AQ51" s="751"/>
      <c r="AR51" s="752">
        <v>152189.65208178159</v>
      </c>
      <c r="AS51" s="752">
        <v>152189.65208178159</v>
      </c>
      <c r="AT51" s="752">
        <v>152189.65208178159</v>
      </c>
      <c r="AU51" s="752">
        <v>152189.65208178159</v>
      </c>
      <c r="AV51" s="752">
        <v>152189.65208178159</v>
      </c>
      <c r="AW51" s="752">
        <v>152189.65208178159</v>
      </c>
      <c r="AX51" s="752">
        <v>152189.65208178159</v>
      </c>
      <c r="AY51" s="752">
        <v>152189.65208178159</v>
      </c>
      <c r="AZ51" s="752">
        <v>152189.65208178159</v>
      </c>
      <c r="BA51" s="752">
        <v>152189.65208178159</v>
      </c>
      <c r="BB51" s="752">
        <v>152189.65208178159</v>
      </c>
      <c r="BC51" s="752">
        <v>152189.65208178159</v>
      </c>
      <c r="BD51" s="752">
        <v>152189.65208178159</v>
      </c>
      <c r="BE51" s="752">
        <v>152189.65208178159</v>
      </c>
      <c r="BF51" s="752">
        <v>152189.65208178159</v>
      </c>
      <c r="BG51" s="752">
        <v>152189.65208178159</v>
      </c>
      <c r="BH51" s="752">
        <v>152189.65208178159</v>
      </c>
      <c r="BI51" s="752">
        <v>152189.65208178159</v>
      </c>
      <c r="BJ51" s="752">
        <v>133479.64650637793</v>
      </c>
      <c r="BK51" s="752">
        <v>0</v>
      </c>
      <c r="BL51" s="752">
        <v>0</v>
      </c>
      <c r="BM51" s="752">
        <v>0</v>
      </c>
      <c r="BN51" s="752">
        <v>0</v>
      </c>
      <c r="BO51" s="752">
        <v>0</v>
      </c>
      <c r="BP51" s="752">
        <v>0</v>
      </c>
      <c r="BQ51" s="752">
        <v>0</v>
      </c>
      <c r="BR51" s="752">
        <v>0</v>
      </c>
      <c r="BS51" s="752">
        <v>0</v>
      </c>
      <c r="BT51" s="753">
        <v>0</v>
      </c>
      <c r="BU51" s="29"/>
    </row>
    <row r="52" spans="2:73" s="30" customFormat="1" ht="15.6">
      <c r="B52" s="750" t="s">
        <v>743</v>
      </c>
      <c r="C52" s="750" t="s">
        <v>744</v>
      </c>
      <c r="D52" s="750" t="s">
        <v>42</v>
      </c>
      <c r="E52" s="750" t="s">
        <v>745</v>
      </c>
      <c r="F52" s="750" t="s">
        <v>29</v>
      </c>
      <c r="G52" s="750" t="s">
        <v>747</v>
      </c>
      <c r="H52" s="750">
        <v>2012</v>
      </c>
      <c r="I52" s="649" t="s">
        <v>572</v>
      </c>
      <c r="J52" s="649" t="s">
        <v>589</v>
      </c>
      <c r="K52" s="63"/>
      <c r="L52" s="751"/>
      <c r="M52" s="752">
        <v>271.7466</v>
      </c>
      <c r="N52" s="752">
        <v>0</v>
      </c>
      <c r="O52" s="752">
        <v>0</v>
      </c>
      <c r="P52" s="752">
        <v>0</v>
      </c>
      <c r="Q52" s="752">
        <v>0</v>
      </c>
      <c r="R52" s="752">
        <v>0</v>
      </c>
      <c r="S52" s="752">
        <v>0</v>
      </c>
      <c r="T52" s="752">
        <v>0</v>
      </c>
      <c r="U52" s="752">
        <v>0</v>
      </c>
      <c r="V52" s="752">
        <v>0</v>
      </c>
      <c r="W52" s="752">
        <v>0</v>
      </c>
      <c r="X52" s="752">
        <v>0</v>
      </c>
      <c r="Y52" s="752">
        <v>0</v>
      </c>
      <c r="Z52" s="752">
        <v>0</v>
      </c>
      <c r="AA52" s="752">
        <v>0</v>
      </c>
      <c r="AB52" s="752">
        <v>0</v>
      </c>
      <c r="AC52" s="752">
        <v>0</v>
      </c>
      <c r="AD52" s="752">
        <v>0</v>
      </c>
      <c r="AE52" s="752">
        <v>0</v>
      </c>
      <c r="AF52" s="752">
        <v>0</v>
      </c>
      <c r="AG52" s="752">
        <v>0</v>
      </c>
      <c r="AH52" s="752">
        <v>0</v>
      </c>
      <c r="AI52" s="752">
        <v>0</v>
      </c>
      <c r="AJ52" s="752">
        <v>0</v>
      </c>
      <c r="AK52" s="752">
        <v>0</v>
      </c>
      <c r="AL52" s="752">
        <v>0</v>
      </c>
      <c r="AM52" s="752">
        <v>0</v>
      </c>
      <c r="AN52" s="752">
        <v>0</v>
      </c>
      <c r="AO52" s="753">
        <v>0</v>
      </c>
      <c r="AP52" s="63"/>
      <c r="AQ52" s="751"/>
      <c r="AR52" s="752">
        <v>2045.7530000000004</v>
      </c>
      <c r="AS52" s="752">
        <v>0</v>
      </c>
      <c r="AT52" s="752">
        <v>0</v>
      </c>
      <c r="AU52" s="752">
        <v>0</v>
      </c>
      <c r="AV52" s="752">
        <v>0</v>
      </c>
      <c r="AW52" s="752">
        <v>0</v>
      </c>
      <c r="AX52" s="752">
        <v>0</v>
      </c>
      <c r="AY52" s="752">
        <v>0</v>
      </c>
      <c r="AZ52" s="752">
        <v>0</v>
      </c>
      <c r="BA52" s="752">
        <v>0</v>
      </c>
      <c r="BB52" s="752">
        <v>0</v>
      </c>
      <c r="BC52" s="752">
        <v>0</v>
      </c>
      <c r="BD52" s="752">
        <v>0</v>
      </c>
      <c r="BE52" s="752">
        <v>0</v>
      </c>
      <c r="BF52" s="752">
        <v>0</v>
      </c>
      <c r="BG52" s="752">
        <v>0</v>
      </c>
      <c r="BH52" s="752">
        <v>0</v>
      </c>
      <c r="BI52" s="752">
        <v>0</v>
      </c>
      <c r="BJ52" s="752">
        <v>0</v>
      </c>
      <c r="BK52" s="752">
        <v>0</v>
      </c>
      <c r="BL52" s="752">
        <v>0</v>
      </c>
      <c r="BM52" s="752">
        <v>0</v>
      </c>
      <c r="BN52" s="752">
        <v>0</v>
      </c>
      <c r="BO52" s="752">
        <v>0</v>
      </c>
      <c r="BP52" s="752">
        <v>0</v>
      </c>
      <c r="BQ52" s="752">
        <v>0</v>
      </c>
      <c r="BR52" s="752">
        <v>0</v>
      </c>
      <c r="BS52" s="752">
        <v>0</v>
      </c>
      <c r="BT52" s="753">
        <v>0</v>
      </c>
      <c r="BU52" s="29"/>
    </row>
    <row r="53" spans="2:73">
      <c r="B53" s="750" t="s">
        <v>743</v>
      </c>
      <c r="C53" s="750" t="s">
        <v>751</v>
      </c>
      <c r="D53" s="750" t="s">
        <v>9</v>
      </c>
      <c r="E53" s="750" t="s">
        <v>745</v>
      </c>
      <c r="F53" s="750" t="s">
        <v>751</v>
      </c>
      <c r="G53" s="750" t="s">
        <v>747</v>
      </c>
      <c r="H53" s="750">
        <v>2012</v>
      </c>
      <c r="I53" s="649" t="s">
        <v>572</v>
      </c>
      <c r="J53" s="649" t="s">
        <v>589</v>
      </c>
      <c r="K53" s="63"/>
      <c r="L53" s="751"/>
      <c r="M53" s="752">
        <v>288.96660789999999</v>
      </c>
      <c r="N53" s="752">
        <v>0</v>
      </c>
      <c r="O53" s="752">
        <v>0</v>
      </c>
      <c r="P53" s="752">
        <v>0</v>
      </c>
      <c r="Q53" s="752">
        <v>0</v>
      </c>
      <c r="R53" s="752">
        <v>0</v>
      </c>
      <c r="S53" s="752">
        <v>0</v>
      </c>
      <c r="T53" s="752">
        <v>0</v>
      </c>
      <c r="U53" s="752">
        <v>0</v>
      </c>
      <c r="V53" s="752">
        <v>0</v>
      </c>
      <c r="W53" s="752">
        <v>0</v>
      </c>
      <c r="X53" s="752">
        <v>0</v>
      </c>
      <c r="Y53" s="752">
        <v>0</v>
      </c>
      <c r="Z53" s="752">
        <v>0</v>
      </c>
      <c r="AA53" s="752">
        <v>0</v>
      </c>
      <c r="AB53" s="752">
        <v>0</v>
      </c>
      <c r="AC53" s="752">
        <v>0</v>
      </c>
      <c r="AD53" s="752">
        <v>0</v>
      </c>
      <c r="AE53" s="752">
        <v>0</v>
      </c>
      <c r="AF53" s="752">
        <v>0</v>
      </c>
      <c r="AG53" s="752">
        <v>0</v>
      </c>
      <c r="AH53" s="752">
        <v>0</v>
      </c>
      <c r="AI53" s="752">
        <v>0</v>
      </c>
      <c r="AJ53" s="752">
        <v>0</v>
      </c>
      <c r="AK53" s="752">
        <v>0</v>
      </c>
      <c r="AL53" s="752">
        <v>0</v>
      </c>
      <c r="AM53" s="752">
        <v>0</v>
      </c>
      <c r="AN53" s="752">
        <v>0</v>
      </c>
      <c r="AO53" s="753">
        <v>0</v>
      </c>
      <c r="AP53" s="63"/>
      <c r="AQ53" s="751"/>
      <c r="AR53" s="752">
        <v>6963.9690000000001</v>
      </c>
      <c r="AS53" s="752">
        <v>0</v>
      </c>
      <c r="AT53" s="752">
        <v>0</v>
      </c>
      <c r="AU53" s="752">
        <v>0</v>
      </c>
      <c r="AV53" s="752">
        <v>0</v>
      </c>
      <c r="AW53" s="752">
        <v>0</v>
      </c>
      <c r="AX53" s="752">
        <v>0</v>
      </c>
      <c r="AY53" s="752">
        <v>0</v>
      </c>
      <c r="AZ53" s="752">
        <v>0</v>
      </c>
      <c r="BA53" s="752">
        <v>0</v>
      </c>
      <c r="BB53" s="752">
        <v>0</v>
      </c>
      <c r="BC53" s="752">
        <v>0</v>
      </c>
      <c r="BD53" s="752">
        <v>0</v>
      </c>
      <c r="BE53" s="752">
        <v>0</v>
      </c>
      <c r="BF53" s="752">
        <v>0</v>
      </c>
      <c r="BG53" s="752">
        <v>0</v>
      </c>
      <c r="BH53" s="752">
        <v>0</v>
      </c>
      <c r="BI53" s="752">
        <v>0</v>
      </c>
      <c r="BJ53" s="752">
        <v>0</v>
      </c>
      <c r="BK53" s="752">
        <v>0</v>
      </c>
      <c r="BL53" s="752">
        <v>0</v>
      </c>
      <c r="BM53" s="752">
        <v>0</v>
      </c>
      <c r="BN53" s="752">
        <v>0</v>
      </c>
      <c r="BO53" s="752">
        <v>0</v>
      </c>
      <c r="BP53" s="752">
        <v>0</v>
      </c>
      <c r="BQ53" s="752">
        <v>0</v>
      </c>
      <c r="BR53" s="752">
        <v>0</v>
      </c>
      <c r="BS53" s="752">
        <v>0</v>
      </c>
      <c r="BT53" s="753">
        <v>0</v>
      </c>
    </row>
    <row r="54" spans="2:73">
      <c r="B54" s="750" t="s">
        <v>743</v>
      </c>
      <c r="C54" s="750" t="s">
        <v>752</v>
      </c>
      <c r="D54" s="750" t="s">
        <v>17</v>
      </c>
      <c r="E54" s="750" t="s">
        <v>745</v>
      </c>
      <c r="F54" s="750" t="s">
        <v>754</v>
      </c>
      <c r="G54" s="750" t="s">
        <v>746</v>
      </c>
      <c r="H54" s="750">
        <v>2012</v>
      </c>
      <c r="I54" s="649" t="s">
        <v>572</v>
      </c>
      <c r="J54" s="649" t="s">
        <v>589</v>
      </c>
      <c r="K54" s="63"/>
      <c r="L54" s="751"/>
      <c r="M54" s="752">
        <v>0.61864673722831787</v>
      </c>
      <c r="N54" s="752">
        <v>0.61864673722831787</v>
      </c>
      <c r="O54" s="752">
        <v>0.61864673722831787</v>
      </c>
      <c r="P54" s="752">
        <v>0.61864673722831787</v>
      </c>
      <c r="Q54" s="752">
        <v>0.61864673722831787</v>
      </c>
      <c r="R54" s="752">
        <v>0.61864673722831787</v>
      </c>
      <c r="S54" s="752">
        <v>0.61864673722831787</v>
      </c>
      <c r="T54" s="752">
        <v>0.61864673722831787</v>
      </c>
      <c r="U54" s="752">
        <v>0.61864673722831787</v>
      </c>
      <c r="V54" s="752">
        <v>0.61864673722831787</v>
      </c>
      <c r="W54" s="752">
        <v>0.61864673722831787</v>
      </c>
      <c r="X54" s="752">
        <v>0.61864673722831787</v>
      </c>
      <c r="Y54" s="752">
        <v>0</v>
      </c>
      <c r="Z54" s="752">
        <v>0</v>
      </c>
      <c r="AA54" s="752">
        <v>0</v>
      </c>
      <c r="AB54" s="752">
        <v>0</v>
      </c>
      <c r="AC54" s="752">
        <v>0</v>
      </c>
      <c r="AD54" s="752">
        <v>0</v>
      </c>
      <c r="AE54" s="752">
        <v>0</v>
      </c>
      <c r="AF54" s="752">
        <v>0</v>
      </c>
      <c r="AG54" s="752">
        <v>0</v>
      </c>
      <c r="AH54" s="752">
        <v>0</v>
      </c>
      <c r="AI54" s="752">
        <v>0</v>
      </c>
      <c r="AJ54" s="752">
        <v>0</v>
      </c>
      <c r="AK54" s="752">
        <v>0</v>
      </c>
      <c r="AL54" s="752">
        <v>0</v>
      </c>
      <c r="AM54" s="752">
        <v>0</v>
      </c>
      <c r="AN54" s="752">
        <v>0</v>
      </c>
      <c r="AO54" s="753">
        <v>0</v>
      </c>
      <c r="AP54" s="63"/>
      <c r="AQ54" s="751"/>
      <c r="AR54" s="752">
        <v>599.36740550133084</v>
      </c>
      <c r="AS54" s="752">
        <v>599.36740550133084</v>
      </c>
      <c r="AT54" s="752">
        <v>599.36740550133084</v>
      </c>
      <c r="AU54" s="752">
        <v>599.36740550133084</v>
      </c>
      <c r="AV54" s="752">
        <v>599.36740550133084</v>
      </c>
      <c r="AW54" s="752">
        <v>599.36740550133084</v>
      </c>
      <c r="AX54" s="752">
        <v>599.36740550133084</v>
      </c>
      <c r="AY54" s="752">
        <v>599.36740550133084</v>
      </c>
      <c r="AZ54" s="752">
        <v>599.36740550133084</v>
      </c>
      <c r="BA54" s="752">
        <v>599.36740550133084</v>
      </c>
      <c r="BB54" s="752">
        <v>599.36740550133084</v>
      </c>
      <c r="BC54" s="752">
        <v>599.36740550133084</v>
      </c>
      <c r="BD54" s="752">
        <v>0</v>
      </c>
      <c r="BE54" s="752">
        <v>0</v>
      </c>
      <c r="BF54" s="752">
        <v>0</v>
      </c>
      <c r="BG54" s="752">
        <v>0</v>
      </c>
      <c r="BH54" s="752">
        <v>0</v>
      </c>
      <c r="BI54" s="752">
        <v>0</v>
      </c>
      <c r="BJ54" s="752">
        <v>0</v>
      </c>
      <c r="BK54" s="752">
        <v>0</v>
      </c>
      <c r="BL54" s="752">
        <v>0</v>
      </c>
      <c r="BM54" s="752">
        <v>0</v>
      </c>
      <c r="BN54" s="752">
        <v>0</v>
      </c>
      <c r="BO54" s="752">
        <v>0</v>
      </c>
      <c r="BP54" s="752">
        <v>0</v>
      </c>
      <c r="BQ54" s="752">
        <v>0</v>
      </c>
      <c r="BR54" s="752">
        <v>0</v>
      </c>
      <c r="BS54" s="752">
        <v>0</v>
      </c>
      <c r="BT54" s="753">
        <v>0</v>
      </c>
    </row>
    <row r="55" spans="2:73">
      <c r="B55" s="750" t="s">
        <v>743</v>
      </c>
      <c r="C55" s="750" t="s">
        <v>748</v>
      </c>
      <c r="D55" s="750" t="s">
        <v>749</v>
      </c>
      <c r="E55" s="750" t="s">
        <v>745</v>
      </c>
      <c r="F55" s="750" t="s">
        <v>754</v>
      </c>
      <c r="G55" s="750" t="s">
        <v>747</v>
      </c>
      <c r="H55" s="750">
        <v>2012</v>
      </c>
      <c r="I55" s="649" t="s">
        <v>572</v>
      </c>
      <c r="J55" s="649" t="s">
        <v>589</v>
      </c>
      <c r="K55" s="63"/>
      <c r="L55" s="751"/>
      <c r="M55" s="752">
        <v>78.352666499999998</v>
      </c>
      <c r="N55" s="752">
        <v>0</v>
      </c>
      <c r="O55" s="752">
        <v>0</v>
      </c>
      <c r="P55" s="752">
        <v>0</v>
      </c>
      <c r="Q55" s="752">
        <v>0</v>
      </c>
      <c r="R55" s="752">
        <v>0</v>
      </c>
      <c r="S55" s="752">
        <v>0</v>
      </c>
      <c r="T55" s="752">
        <v>0</v>
      </c>
      <c r="U55" s="752">
        <v>0</v>
      </c>
      <c r="V55" s="752">
        <v>0</v>
      </c>
      <c r="W55" s="752">
        <v>0</v>
      </c>
      <c r="X55" s="752">
        <v>0</v>
      </c>
      <c r="Y55" s="752">
        <v>0</v>
      </c>
      <c r="Z55" s="752">
        <v>0</v>
      </c>
      <c r="AA55" s="752">
        <v>0</v>
      </c>
      <c r="AB55" s="752">
        <v>0</v>
      </c>
      <c r="AC55" s="752">
        <v>0</v>
      </c>
      <c r="AD55" s="752">
        <v>0</v>
      </c>
      <c r="AE55" s="752">
        <v>0</v>
      </c>
      <c r="AF55" s="752">
        <v>0</v>
      </c>
      <c r="AG55" s="752">
        <v>0</v>
      </c>
      <c r="AH55" s="752">
        <v>0</v>
      </c>
      <c r="AI55" s="752">
        <v>0</v>
      </c>
      <c r="AJ55" s="752">
        <v>0</v>
      </c>
      <c r="AK55" s="752">
        <v>0</v>
      </c>
      <c r="AL55" s="752">
        <v>0</v>
      </c>
      <c r="AM55" s="752">
        <v>0</v>
      </c>
      <c r="AN55" s="752">
        <v>0</v>
      </c>
      <c r="AO55" s="753">
        <v>0</v>
      </c>
      <c r="AP55" s="63"/>
      <c r="AQ55" s="751"/>
      <c r="AR55" s="752">
        <v>1138.8810000000001</v>
      </c>
      <c r="AS55" s="752">
        <v>0</v>
      </c>
      <c r="AT55" s="752">
        <v>0</v>
      </c>
      <c r="AU55" s="752">
        <v>0</v>
      </c>
      <c r="AV55" s="752">
        <v>0</v>
      </c>
      <c r="AW55" s="752">
        <v>0</v>
      </c>
      <c r="AX55" s="752">
        <v>0</v>
      </c>
      <c r="AY55" s="752">
        <v>0</v>
      </c>
      <c r="AZ55" s="752">
        <v>0</v>
      </c>
      <c r="BA55" s="752">
        <v>0</v>
      </c>
      <c r="BB55" s="752">
        <v>0</v>
      </c>
      <c r="BC55" s="752">
        <v>0</v>
      </c>
      <c r="BD55" s="752">
        <v>0</v>
      </c>
      <c r="BE55" s="752">
        <v>0</v>
      </c>
      <c r="BF55" s="752">
        <v>0</v>
      </c>
      <c r="BG55" s="752">
        <v>0</v>
      </c>
      <c r="BH55" s="752">
        <v>0</v>
      </c>
      <c r="BI55" s="752">
        <v>0</v>
      </c>
      <c r="BJ55" s="752">
        <v>0</v>
      </c>
      <c r="BK55" s="752">
        <v>0</v>
      </c>
      <c r="BL55" s="752">
        <v>0</v>
      </c>
      <c r="BM55" s="752">
        <v>0</v>
      </c>
      <c r="BN55" s="752">
        <v>0</v>
      </c>
      <c r="BO55" s="752">
        <v>0</v>
      </c>
      <c r="BP55" s="752">
        <v>0</v>
      </c>
      <c r="BQ55" s="752">
        <v>0</v>
      </c>
      <c r="BR55" s="752">
        <v>0</v>
      </c>
      <c r="BS55" s="752">
        <v>0</v>
      </c>
      <c r="BT55" s="753">
        <v>0</v>
      </c>
    </row>
    <row r="56" spans="2:73">
      <c r="B56" s="750" t="s">
        <v>756</v>
      </c>
      <c r="C56" s="750" t="s">
        <v>744</v>
      </c>
      <c r="D56" s="750" t="s">
        <v>757</v>
      </c>
      <c r="E56" s="750" t="s">
        <v>745</v>
      </c>
      <c r="F56" s="750" t="s">
        <v>29</v>
      </c>
      <c r="G56" s="750" t="s">
        <v>747</v>
      </c>
      <c r="H56" s="750">
        <v>2012</v>
      </c>
      <c r="I56" s="649" t="s">
        <v>572</v>
      </c>
      <c r="J56" s="649" t="s">
        <v>589</v>
      </c>
      <c r="K56" s="63"/>
      <c r="L56" s="751"/>
      <c r="M56" s="752">
        <v>252.77149999999997</v>
      </c>
      <c r="N56" s="752">
        <v>0</v>
      </c>
      <c r="O56" s="752">
        <v>0</v>
      </c>
      <c r="P56" s="752">
        <v>0</v>
      </c>
      <c r="Q56" s="752">
        <v>0</v>
      </c>
      <c r="R56" s="752">
        <v>0</v>
      </c>
      <c r="S56" s="752">
        <v>0</v>
      </c>
      <c r="T56" s="752">
        <v>0</v>
      </c>
      <c r="U56" s="752">
        <v>0</v>
      </c>
      <c r="V56" s="752">
        <v>0</v>
      </c>
      <c r="W56" s="752">
        <v>0</v>
      </c>
      <c r="X56" s="752">
        <v>0</v>
      </c>
      <c r="Y56" s="752">
        <v>0</v>
      </c>
      <c r="Z56" s="752">
        <v>0</v>
      </c>
      <c r="AA56" s="752">
        <v>0</v>
      </c>
      <c r="AB56" s="752">
        <v>0</v>
      </c>
      <c r="AC56" s="752">
        <v>0</v>
      </c>
      <c r="AD56" s="752">
        <v>0</v>
      </c>
      <c r="AE56" s="752">
        <v>0</v>
      </c>
      <c r="AF56" s="752">
        <v>0</v>
      </c>
      <c r="AG56" s="752">
        <v>0</v>
      </c>
      <c r="AH56" s="752">
        <v>0</v>
      </c>
      <c r="AI56" s="752">
        <v>0</v>
      </c>
      <c r="AJ56" s="752">
        <v>0</v>
      </c>
      <c r="AK56" s="752">
        <v>0</v>
      </c>
      <c r="AL56" s="752">
        <v>0</v>
      </c>
      <c r="AM56" s="752">
        <v>0</v>
      </c>
      <c r="AN56" s="752">
        <v>0</v>
      </c>
      <c r="AO56" s="753">
        <v>0</v>
      </c>
      <c r="AP56" s="63"/>
      <c r="AQ56" s="751"/>
      <c r="AR56" s="752">
        <v>1901.8420000000001</v>
      </c>
      <c r="AS56" s="752">
        <v>0</v>
      </c>
      <c r="AT56" s="752">
        <v>0</v>
      </c>
      <c r="AU56" s="752">
        <v>0</v>
      </c>
      <c r="AV56" s="752">
        <v>0</v>
      </c>
      <c r="AW56" s="752">
        <v>0</v>
      </c>
      <c r="AX56" s="752">
        <v>0</v>
      </c>
      <c r="AY56" s="752">
        <v>0</v>
      </c>
      <c r="AZ56" s="752">
        <v>0</v>
      </c>
      <c r="BA56" s="752">
        <v>0</v>
      </c>
      <c r="BB56" s="752">
        <v>0</v>
      </c>
      <c r="BC56" s="752">
        <v>0</v>
      </c>
      <c r="BD56" s="752">
        <v>0</v>
      </c>
      <c r="BE56" s="752">
        <v>0</v>
      </c>
      <c r="BF56" s="752">
        <v>0</v>
      </c>
      <c r="BG56" s="752">
        <v>0</v>
      </c>
      <c r="BH56" s="752">
        <v>0</v>
      </c>
      <c r="BI56" s="752">
        <v>0</v>
      </c>
      <c r="BJ56" s="752">
        <v>0</v>
      </c>
      <c r="BK56" s="752">
        <v>0</v>
      </c>
      <c r="BL56" s="752">
        <v>0</v>
      </c>
      <c r="BM56" s="752">
        <v>0</v>
      </c>
      <c r="BN56" s="752">
        <v>0</v>
      </c>
      <c r="BO56" s="752">
        <v>0</v>
      </c>
      <c r="BP56" s="752">
        <v>0</v>
      </c>
      <c r="BQ56" s="752">
        <v>0</v>
      </c>
      <c r="BR56" s="752">
        <v>0</v>
      </c>
      <c r="BS56" s="752">
        <v>0</v>
      </c>
      <c r="BT56" s="753">
        <v>0</v>
      </c>
    </row>
    <row r="57" spans="2:73">
      <c r="B57" s="750" t="s">
        <v>756</v>
      </c>
      <c r="C57" s="750" t="s">
        <v>744</v>
      </c>
      <c r="D57" s="750" t="s">
        <v>757</v>
      </c>
      <c r="E57" s="750" t="s">
        <v>745</v>
      </c>
      <c r="F57" s="750" t="s">
        <v>29</v>
      </c>
      <c r="G57" s="750" t="s">
        <v>747</v>
      </c>
      <c r="H57" s="750">
        <v>2012</v>
      </c>
      <c r="I57" s="649" t="s">
        <v>572</v>
      </c>
      <c r="J57" s="649" t="s">
        <v>589</v>
      </c>
      <c r="K57" s="63"/>
      <c r="L57" s="751"/>
      <c r="M57" s="752">
        <v>267</v>
      </c>
      <c r="N57" s="752">
        <v>0</v>
      </c>
      <c r="O57" s="752">
        <v>0</v>
      </c>
      <c r="P57" s="752">
        <v>0</v>
      </c>
      <c r="Q57" s="752">
        <v>0</v>
      </c>
      <c r="R57" s="752">
        <v>0</v>
      </c>
      <c r="S57" s="752">
        <v>0</v>
      </c>
      <c r="T57" s="752">
        <v>0</v>
      </c>
      <c r="U57" s="752">
        <v>0</v>
      </c>
      <c r="V57" s="752">
        <v>0</v>
      </c>
      <c r="W57" s="752">
        <v>0</v>
      </c>
      <c r="X57" s="752">
        <v>0</v>
      </c>
      <c r="Y57" s="752">
        <v>0</v>
      </c>
      <c r="Z57" s="752">
        <v>0</v>
      </c>
      <c r="AA57" s="752">
        <v>0</v>
      </c>
      <c r="AB57" s="752">
        <v>0</v>
      </c>
      <c r="AC57" s="752">
        <v>0</v>
      </c>
      <c r="AD57" s="752">
        <v>0</v>
      </c>
      <c r="AE57" s="752">
        <v>0</v>
      </c>
      <c r="AF57" s="752">
        <v>0</v>
      </c>
      <c r="AG57" s="752">
        <v>0</v>
      </c>
      <c r="AH57" s="752">
        <v>0</v>
      </c>
      <c r="AI57" s="752">
        <v>0</v>
      </c>
      <c r="AJ57" s="752">
        <v>0</v>
      </c>
      <c r="AK57" s="752">
        <v>0</v>
      </c>
      <c r="AL57" s="752">
        <v>0</v>
      </c>
      <c r="AM57" s="752">
        <v>0</v>
      </c>
      <c r="AN57" s="752">
        <v>0</v>
      </c>
      <c r="AO57" s="753">
        <v>0</v>
      </c>
      <c r="AP57" s="63"/>
      <c r="AQ57" s="751"/>
      <c r="AR57" s="752">
        <v>2136</v>
      </c>
      <c r="AS57" s="752">
        <v>0</v>
      </c>
      <c r="AT57" s="752">
        <v>0</v>
      </c>
      <c r="AU57" s="752">
        <v>0</v>
      </c>
      <c r="AV57" s="752">
        <v>0</v>
      </c>
      <c r="AW57" s="752">
        <v>0</v>
      </c>
      <c r="AX57" s="752">
        <v>0</v>
      </c>
      <c r="AY57" s="752">
        <v>0</v>
      </c>
      <c r="AZ57" s="752">
        <v>0</v>
      </c>
      <c r="BA57" s="752">
        <v>0</v>
      </c>
      <c r="BB57" s="752">
        <v>0</v>
      </c>
      <c r="BC57" s="752">
        <v>0</v>
      </c>
      <c r="BD57" s="752">
        <v>0</v>
      </c>
      <c r="BE57" s="752">
        <v>0</v>
      </c>
      <c r="BF57" s="752">
        <v>0</v>
      </c>
      <c r="BG57" s="752">
        <v>0</v>
      </c>
      <c r="BH57" s="752">
        <v>0</v>
      </c>
      <c r="BI57" s="752">
        <v>0</v>
      </c>
      <c r="BJ57" s="752">
        <v>0</v>
      </c>
      <c r="BK57" s="752">
        <v>0</v>
      </c>
      <c r="BL57" s="752">
        <v>0</v>
      </c>
      <c r="BM57" s="752">
        <v>0</v>
      </c>
      <c r="BN57" s="752">
        <v>0</v>
      </c>
      <c r="BO57" s="752">
        <v>0</v>
      </c>
      <c r="BP57" s="752">
        <v>0</v>
      </c>
      <c r="BQ57" s="752">
        <v>0</v>
      </c>
      <c r="BR57" s="752">
        <v>0</v>
      </c>
      <c r="BS57" s="752">
        <v>0</v>
      </c>
      <c r="BT57" s="753">
        <v>0</v>
      </c>
    </row>
    <row r="58" spans="2:73">
      <c r="B58" s="750" t="s">
        <v>756</v>
      </c>
      <c r="C58" s="750" t="s">
        <v>744</v>
      </c>
      <c r="D58" s="750" t="s">
        <v>757</v>
      </c>
      <c r="E58" s="750" t="s">
        <v>745</v>
      </c>
      <c r="F58" s="750" t="s">
        <v>29</v>
      </c>
      <c r="G58" s="750" t="s">
        <v>747</v>
      </c>
      <c r="H58" s="750">
        <v>2012</v>
      </c>
      <c r="I58" s="649" t="s">
        <v>572</v>
      </c>
      <c r="J58" s="649" t="s">
        <v>589</v>
      </c>
      <c r="K58" s="63"/>
      <c r="L58" s="751"/>
      <c r="M58" s="752">
        <v>0.6</v>
      </c>
      <c r="N58" s="752">
        <v>0</v>
      </c>
      <c r="O58" s="752">
        <v>0</v>
      </c>
      <c r="P58" s="752">
        <v>0</v>
      </c>
      <c r="Q58" s="752">
        <v>0</v>
      </c>
      <c r="R58" s="752">
        <v>0</v>
      </c>
      <c r="S58" s="752">
        <v>0</v>
      </c>
      <c r="T58" s="752">
        <v>0</v>
      </c>
      <c r="U58" s="752">
        <v>0</v>
      </c>
      <c r="V58" s="752">
        <v>0</v>
      </c>
      <c r="W58" s="752">
        <v>0</v>
      </c>
      <c r="X58" s="752">
        <v>0</v>
      </c>
      <c r="Y58" s="752">
        <v>0</v>
      </c>
      <c r="Z58" s="752">
        <v>0</v>
      </c>
      <c r="AA58" s="752">
        <v>0</v>
      </c>
      <c r="AB58" s="752">
        <v>0</v>
      </c>
      <c r="AC58" s="752">
        <v>0</v>
      </c>
      <c r="AD58" s="752">
        <v>0</v>
      </c>
      <c r="AE58" s="752">
        <v>0</v>
      </c>
      <c r="AF58" s="752">
        <v>0</v>
      </c>
      <c r="AG58" s="752">
        <v>0</v>
      </c>
      <c r="AH58" s="752">
        <v>0</v>
      </c>
      <c r="AI58" s="752">
        <v>0</v>
      </c>
      <c r="AJ58" s="752">
        <v>0</v>
      </c>
      <c r="AK58" s="752">
        <v>0</v>
      </c>
      <c r="AL58" s="752">
        <v>0</v>
      </c>
      <c r="AM58" s="752">
        <v>0</v>
      </c>
      <c r="AN58" s="752">
        <v>0</v>
      </c>
      <c r="AO58" s="753">
        <v>0</v>
      </c>
      <c r="AP58" s="63"/>
      <c r="AQ58" s="751"/>
      <c r="AR58" s="752">
        <v>4.8</v>
      </c>
      <c r="AS58" s="752">
        <v>0</v>
      </c>
      <c r="AT58" s="752">
        <v>0</v>
      </c>
      <c r="AU58" s="752">
        <v>0</v>
      </c>
      <c r="AV58" s="752">
        <v>0</v>
      </c>
      <c r="AW58" s="752">
        <v>0</v>
      </c>
      <c r="AX58" s="752">
        <v>0</v>
      </c>
      <c r="AY58" s="752">
        <v>0</v>
      </c>
      <c r="AZ58" s="752">
        <v>0</v>
      </c>
      <c r="BA58" s="752">
        <v>0</v>
      </c>
      <c r="BB58" s="752">
        <v>0</v>
      </c>
      <c r="BC58" s="752">
        <v>0</v>
      </c>
      <c r="BD58" s="752">
        <v>0</v>
      </c>
      <c r="BE58" s="752">
        <v>0</v>
      </c>
      <c r="BF58" s="752">
        <v>0</v>
      </c>
      <c r="BG58" s="752">
        <v>0</v>
      </c>
      <c r="BH58" s="752">
        <v>0</v>
      </c>
      <c r="BI58" s="752">
        <v>0</v>
      </c>
      <c r="BJ58" s="752">
        <v>0</v>
      </c>
      <c r="BK58" s="752">
        <v>0</v>
      </c>
      <c r="BL58" s="752">
        <v>0</v>
      </c>
      <c r="BM58" s="752">
        <v>0</v>
      </c>
      <c r="BN58" s="752">
        <v>0</v>
      </c>
      <c r="BO58" s="752">
        <v>0</v>
      </c>
      <c r="BP58" s="752">
        <v>0</v>
      </c>
      <c r="BQ58" s="752">
        <v>0</v>
      </c>
      <c r="BR58" s="752">
        <v>0</v>
      </c>
      <c r="BS58" s="752">
        <v>0</v>
      </c>
      <c r="BT58" s="753">
        <v>0</v>
      </c>
    </row>
    <row r="59" spans="2:73">
      <c r="B59" s="750" t="s">
        <v>756</v>
      </c>
      <c r="C59" s="750" t="s">
        <v>748</v>
      </c>
      <c r="D59" s="750" t="s">
        <v>757</v>
      </c>
      <c r="E59" s="750" t="s">
        <v>745</v>
      </c>
      <c r="F59" s="750" t="s">
        <v>748</v>
      </c>
      <c r="G59" s="750" t="s">
        <v>747</v>
      </c>
      <c r="H59" s="750">
        <v>2012</v>
      </c>
      <c r="I59" s="649" t="s">
        <v>572</v>
      </c>
      <c r="J59" s="649" t="s">
        <v>589</v>
      </c>
      <c r="K59" s="63"/>
      <c r="L59" s="751"/>
      <c r="M59" s="752">
        <v>13.44</v>
      </c>
      <c r="N59" s="752">
        <v>0</v>
      </c>
      <c r="O59" s="752">
        <v>0</v>
      </c>
      <c r="P59" s="752">
        <v>0</v>
      </c>
      <c r="Q59" s="752">
        <v>0</v>
      </c>
      <c r="R59" s="752">
        <v>0</v>
      </c>
      <c r="S59" s="752">
        <v>0</v>
      </c>
      <c r="T59" s="752">
        <v>0</v>
      </c>
      <c r="U59" s="752">
        <v>0</v>
      </c>
      <c r="V59" s="752">
        <v>0</v>
      </c>
      <c r="W59" s="752">
        <v>0</v>
      </c>
      <c r="X59" s="752">
        <v>0</v>
      </c>
      <c r="Y59" s="752">
        <v>0</v>
      </c>
      <c r="Z59" s="752">
        <v>0</v>
      </c>
      <c r="AA59" s="752">
        <v>0</v>
      </c>
      <c r="AB59" s="752">
        <v>0</v>
      </c>
      <c r="AC59" s="752">
        <v>0</v>
      </c>
      <c r="AD59" s="752">
        <v>0</v>
      </c>
      <c r="AE59" s="752">
        <v>0</v>
      </c>
      <c r="AF59" s="752">
        <v>0</v>
      </c>
      <c r="AG59" s="752">
        <v>0</v>
      </c>
      <c r="AH59" s="752">
        <v>0</v>
      </c>
      <c r="AI59" s="752">
        <v>0</v>
      </c>
      <c r="AJ59" s="752">
        <v>0</v>
      </c>
      <c r="AK59" s="752">
        <v>0</v>
      </c>
      <c r="AL59" s="752">
        <v>0</v>
      </c>
      <c r="AM59" s="752">
        <v>0</v>
      </c>
      <c r="AN59" s="752">
        <v>0</v>
      </c>
      <c r="AO59" s="753">
        <v>0</v>
      </c>
      <c r="AP59" s="63"/>
      <c r="AQ59" s="751"/>
      <c r="AR59" s="752">
        <v>76.44</v>
      </c>
      <c r="AS59" s="752">
        <v>0</v>
      </c>
      <c r="AT59" s="752">
        <v>0</v>
      </c>
      <c r="AU59" s="752">
        <v>0</v>
      </c>
      <c r="AV59" s="752">
        <v>0</v>
      </c>
      <c r="AW59" s="752">
        <v>0</v>
      </c>
      <c r="AX59" s="752">
        <v>0</v>
      </c>
      <c r="AY59" s="752">
        <v>0</v>
      </c>
      <c r="AZ59" s="752">
        <v>0</v>
      </c>
      <c r="BA59" s="752">
        <v>0</v>
      </c>
      <c r="BB59" s="752">
        <v>0</v>
      </c>
      <c r="BC59" s="752">
        <v>0</v>
      </c>
      <c r="BD59" s="752">
        <v>0</v>
      </c>
      <c r="BE59" s="752">
        <v>0</v>
      </c>
      <c r="BF59" s="752">
        <v>0</v>
      </c>
      <c r="BG59" s="752">
        <v>0</v>
      </c>
      <c r="BH59" s="752">
        <v>0</v>
      </c>
      <c r="BI59" s="752">
        <v>0</v>
      </c>
      <c r="BJ59" s="752">
        <v>0</v>
      </c>
      <c r="BK59" s="752">
        <v>0</v>
      </c>
      <c r="BL59" s="752">
        <v>0</v>
      </c>
      <c r="BM59" s="752">
        <v>0</v>
      </c>
      <c r="BN59" s="752">
        <v>0</v>
      </c>
      <c r="BO59" s="752">
        <v>0</v>
      </c>
      <c r="BP59" s="752">
        <v>0</v>
      </c>
      <c r="BQ59" s="752">
        <v>0</v>
      </c>
      <c r="BR59" s="752">
        <v>0</v>
      </c>
      <c r="BS59" s="752">
        <v>0</v>
      </c>
      <c r="BT59" s="753">
        <v>0</v>
      </c>
    </row>
    <row r="60" spans="2:73" ht="15.6">
      <c r="B60" s="750" t="s">
        <v>756</v>
      </c>
      <c r="C60" s="750" t="s">
        <v>748</v>
      </c>
      <c r="D60" s="750" t="s">
        <v>757</v>
      </c>
      <c r="E60" s="750" t="s">
        <v>745</v>
      </c>
      <c r="F60" s="750" t="s">
        <v>748</v>
      </c>
      <c r="G60" s="750" t="s">
        <v>747</v>
      </c>
      <c r="H60" s="750">
        <v>2012</v>
      </c>
      <c r="I60" s="649" t="s">
        <v>572</v>
      </c>
      <c r="J60" s="649" t="s">
        <v>589</v>
      </c>
      <c r="K60" s="63"/>
      <c r="L60" s="751"/>
      <c r="M60" s="752">
        <v>0.3</v>
      </c>
      <c r="N60" s="752">
        <v>0</v>
      </c>
      <c r="O60" s="752">
        <v>0</v>
      </c>
      <c r="P60" s="752">
        <v>0</v>
      </c>
      <c r="Q60" s="752">
        <v>0</v>
      </c>
      <c r="R60" s="752">
        <v>0</v>
      </c>
      <c r="S60" s="752">
        <v>0</v>
      </c>
      <c r="T60" s="752">
        <v>0</v>
      </c>
      <c r="U60" s="752">
        <v>0</v>
      </c>
      <c r="V60" s="752">
        <v>0</v>
      </c>
      <c r="W60" s="752">
        <v>0</v>
      </c>
      <c r="X60" s="752">
        <v>0</v>
      </c>
      <c r="Y60" s="752">
        <v>0</v>
      </c>
      <c r="Z60" s="752">
        <v>0</v>
      </c>
      <c r="AA60" s="752">
        <v>0</v>
      </c>
      <c r="AB60" s="752">
        <v>0</v>
      </c>
      <c r="AC60" s="752">
        <v>0</v>
      </c>
      <c r="AD60" s="752">
        <v>0</v>
      </c>
      <c r="AE60" s="752">
        <v>0</v>
      </c>
      <c r="AF60" s="752">
        <v>0</v>
      </c>
      <c r="AG60" s="752">
        <v>0</v>
      </c>
      <c r="AH60" s="752">
        <v>0</v>
      </c>
      <c r="AI60" s="752">
        <v>0</v>
      </c>
      <c r="AJ60" s="752">
        <v>0</v>
      </c>
      <c r="AK60" s="752">
        <v>0</v>
      </c>
      <c r="AL60" s="752">
        <v>0</v>
      </c>
      <c r="AM60" s="752">
        <v>0</v>
      </c>
      <c r="AN60" s="752">
        <v>0</v>
      </c>
      <c r="AO60" s="753">
        <v>0</v>
      </c>
      <c r="AP60" s="63"/>
      <c r="AQ60" s="751"/>
      <c r="AR60" s="752">
        <v>2.4</v>
      </c>
      <c r="AS60" s="752">
        <v>0</v>
      </c>
      <c r="AT60" s="752">
        <v>0</v>
      </c>
      <c r="AU60" s="752">
        <v>0</v>
      </c>
      <c r="AV60" s="752">
        <v>0</v>
      </c>
      <c r="AW60" s="752">
        <v>0</v>
      </c>
      <c r="AX60" s="752">
        <v>0</v>
      </c>
      <c r="AY60" s="752">
        <v>0</v>
      </c>
      <c r="AZ60" s="752">
        <v>0</v>
      </c>
      <c r="BA60" s="752">
        <v>0</v>
      </c>
      <c r="BB60" s="752">
        <v>0</v>
      </c>
      <c r="BC60" s="752">
        <v>0</v>
      </c>
      <c r="BD60" s="752">
        <v>0</v>
      </c>
      <c r="BE60" s="752">
        <v>0</v>
      </c>
      <c r="BF60" s="752">
        <v>0</v>
      </c>
      <c r="BG60" s="752">
        <v>0</v>
      </c>
      <c r="BH60" s="752">
        <v>0</v>
      </c>
      <c r="BI60" s="752">
        <v>0</v>
      </c>
      <c r="BJ60" s="752">
        <v>0</v>
      </c>
      <c r="BK60" s="752">
        <v>0</v>
      </c>
      <c r="BL60" s="752">
        <v>0</v>
      </c>
      <c r="BM60" s="752">
        <v>0</v>
      </c>
      <c r="BN60" s="752">
        <v>0</v>
      </c>
      <c r="BO60" s="752">
        <v>0</v>
      </c>
      <c r="BP60" s="752">
        <v>0</v>
      </c>
      <c r="BQ60" s="752">
        <v>0</v>
      </c>
      <c r="BR60" s="752">
        <v>0</v>
      </c>
      <c r="BS60" s="752">
        <v>0</v>
      </c>
      <c r="BT60" s="753">
        <v>0</v>
      </c>
      <c r="BU60" s="176"/>
    </row>
    <row r="61" spans="2:73">
      <c r="B61" s="750" t="s">
        <v>756</v>
      </c>
      <c r="C61" s="750" t="s">
        <v>748</v>
      </c>
      <c r="D61" s="750" t="s">
        <v>757</v>
      </c>
      <c r="E61" s="750" t="s">
        <v>745</v>
      </c>
      <c r="F61" s="750" t="s">
        <v>748</v>
      </c>
      <c r="G61" s="750" t="s">
        <v>747</v>
      </c>
      <c r="H61" s="750">
        <v>2012</v>
      </c>
      <c r="I61" s="649" t="s">
        <v>572</v>
      </c>
      <c r="J61" s="649" t="s">
        <v>589</v>
      </c>
      <c r="K61" s="63"/>
      <c r="L61" s="751"/>
      <c r="M61" s="752">
        <v>0.9</v>
      </c>
      <c r="N61" s="752">
        <v>0</v>
      </c>
      <c r="O61" s="752">
        <v>0</v>
      </c>
      <c r="P61" s="752">
        <v>0</v>
      </c>
      <c r="Q61" s="752">
        <v>0</v>
      </c>
      <c r="R61" s="752">
        <v>0</v>
      </c>
      <c r="S61" s="752">
        <v>0</v>
      </c>
      <c r="T61" s="752">
        <v>0</v>
      </c>
      <c r="U61" s="752">
        <v>0</v>
      </c>
      <c r="V61" s="752">
        <v>0</v>
      </c>
      <c r="W61" s="752">
        <v>0</v>
      </c>
      <c r="X61" s="752">
        <v>0</v>
      </c>
      <c r="Y61" s="752">
        <v>0</v>
      </c>
      <c r="Z61" s="752">
        <v>0</v>
      </c>
      <c r="AA61" s="752">
        <v>0</v>
      </c>
      <c r="AB61" s="752">
        <v>0</v>
      </c>
      <c r="AC61" s="752">
        <v>0</v>
      </c>
      <c r="AD61" s="752">
        <v>0</v>
      </c>
      <c r="AE61" s="752">
        <v>0</v>
      </c>
      <c r="AF61" s="752">
        <v>0</v>
      </c>
      <c r="AG61" s="752">
        <v>0</v>
      </c>
      <c r="AH61" s="752">
        <v>0</v>
      </c>
      <c r="AI61" s="752">
        <v>0</v>
      </c>
      <c r="AJ61" s="752">
        <v>0</v>
      </c>
      <c r="AK61" s="752">
        <v>0</v>
      </c>
      <c r="AL61" s="752">
        <v>0</v>
      </c>
      <c r="AM61" s="752">
        <v>0</v>
      </c>
      <c r="AN61" s="752">
        <v>0</v>
      </c>
      <c r="AO61" s="753">
        <v>0</v>
      </c>
      <c r="AP61" s="63"/>
      <c r="AQ61" s="751"/>
      <c r="AR61" s="752">
        <v>7.2</v>
      </c>
      <c r="AS61" s="752">
        <v>0</v>
      </c>
      <c r="AT61" s="752">
        <v>0</v>
      </c>
      <c r="AU61" s="752">
        <v>0</v>
      </c>
      <c r="AV61" s="752">
        <v>0</v>
      </c>
      <c r="AW61" s="752">
        <v>0</v>
      </c>
      <c r="AX61" s="752">
        <v>0</v>
      </c>
      <c r="AY61" s="752">
        <v>0</v>
      </c>
      <c r="AZ61" s="752">
        <v>0</v>
      </c>
      <c r="BA61" s="752">
        <v>0</v>
      </c>
      <c r="BB61" s="752">
        <v>0</v>
      </c>
      <c r="BC61" s="752">
        <v>0</v>
      </c>
      <c r="BD61" s="752">
        <v>0</v>
      </c>
      <c r="BE61" s="752">
        <v>0</v>
      </c>
      <c r="BF61" s="752">
        <v>0</v>
      </c>
      <c r="BG61" s="752">
        <v>0</v>
      </c>
      <c r="BH61" s="752">
        <v>0</v>
      </c>
      <c r="BI61" s="752">
        <v>0</v>
      </c>
      <c r="BJ61" s="752">
        <v>0</v>
      </c>
      <c r="BK61" s="752">
        <v>0</v>
      </c>
      <c r="BL61" s="752">
        <v>0</v>
      </c>
      <c r="BM61" s="752">
        <v>0</v>
      </c>
      <c r="BN61" s="752">
        <v>0</v>
      </c>
      <c r="BO61" s="752">
        <v>0</v>
      </c>
      <c r="BP61" s="752">
        <v>0</v>
      </c>
      <c r="BQ61" s="752">
        <v>0</v>
      </c>
      <c r="BR61" s="752">
        <v>0</v>
      </c>
      <c r="BS61" s="752">
        <v>0</v>
      </c>
      <c r="BT61" s="753">
        <v>0</v>
      </c>
    </row>
    <row r="62" spans="2:73">
      <c r="B62" s="750" t="s">
        <v>756</v>
      </c>
      <c r="C62" s="750" t="s">
        <v>748</v>
      </c>
      <c r="D62" s="750" t="s">
        <v>757</v>
      </c>
      <c r="E62" s="750" t="s">
        <v>745</v>
      </c>
      <c r="F62" s="750" t="s">
        <v>748</v>
      </c>
      <c r="G62" s="750" t="s">
        <v>747</v>
      </c>
      <c r="H62" s="750">
        <v>2012</v>
      </c>
      <c r="I62" s="649" t="s">
        <v>572</v>
      </c>
      <c r="J62" s="649" t="s">
        <v>589</v>
      </c>
      <c r="K62" s="63"/>
      <c r="L62" s="751"/>
      <c r="M62" s="752">
        <v>84.6</v>
      </c>
      <c r="N62" s="752">
        <v>0</v>
      </c>
      <c r="O62" s="752">
        <v>0</v>
      </c>
      <c r="P62" s="752">
        <v>0</v>
      </c>
      <c r="Q62" s="752">
        <v>0</v>
      </c>
      <c r="R62" s="752">
        <v>0</v>
      </c>
      <c r="S62" s="752">
        <v>0</v>
      </c>
      <c r="T62" s="752">
        <v>0</v>
      </c>
      <c r="U62" s="752">
        <v>0</v>
      </c>
      <c r="V62" s="752">
        <v>0</v>
      </c>
      <c r="W62" s="752">
        <v>0</v>
      </c>
      <c r="X62" s="752">
        <v>0</v>
      </c>
      <c r="Y62" s="752">
        <v>0</v>
      </c>
      <c r="Z62" s="752">
        <v>0</v>
      </c>
      <c r="AA62" s="752">
        <v>0</v>
      </c>
      <c r="AB62" s="752">
        <v>0</v>
      </c>
      <c r="AC62" s="752">
        <v>0</v>
      </c>
      <c r="AD62" s="752">
        <v>0</v>
      </c>
      <c r="AE62" s="752">
        <v>0</v>
      </c>
      <c r="AF62" s="752">
        <v>0</v>
      </c>
      <c r="AG62" s="752">
        <v>0</v>
      </c>
      <c r="AH62" s="752">
        <v>0</v>
      </c>
      <c r="AI62" s="752">
        <v>0</v>
      </c>
      <c r="AJ62" s="752">
        <v>0</v>
      </c>
      <c r="AK62" s="752">
        <v>0</v>
      </c>
      <c r="AL62" s="752">
        <v>0</v>
      </c>
      <c r="AM62" s="752">
        <v>0</v>
      </c>
      <c r="AN62" s="752">
        <v>0</v>
      </c>
      <c r="AO62" s="753">
        <v>0</v>
      </c>
      <c r="AP62" s="63"/>
      <c r="AQ62" s="751"/>
      <c r="AR62" s="752">
        <v>676.8</v>
      </c>
      <c r="AS62" s="752">
        <v>0</v>
      </c>
      <c r="AT62" s="752">
        <v>0</v>
      </c>
      <c r="AU62" s="752">
        <v>0</v>
      </c>
      <c r="AV62" s="752">
        <v>0</v>
      </c>
      <c r="AW62" s="752">
        <v>0</v>
      </c>
      <c r="AX62" s="752">
        <v>0</v>
      </c>
      <c r="AY62" s="752">
        <v>0</v>
      </c>
      <c r="AZ62" s="752">
        <v>0</v>
      </c>
      <c r="BA62" s="752">
        <v>0</v>
      </c>
      <c r="BB62" s="752">
        <v>0</v>
      </c>
      <c r="BC62" s="752">
        <v>0</v>
      </c>
      <c r="BD62" s="752">
        <v>0</v>
      </c>
      <c r="BE62" s="752">
        <v>0</v>
      </c>
      <c r="BF62" s="752">
        <v>0</v>
      </c>
      <c r="BG62" s="752">
        <v>0</v>
      </c>
      <c r="BH62" s="752">
        <v>0</v>
      </c>
      <c r="BI62" s="752">
        <v>0</v>
      </c>
      <c r="BJ62" s="752">
        <v>0</v>
      </c>
      <c r="BK62" s="752">
        <v>0</v>
      </c>
      <c r="BL62" s="752">
        <v>0</v>
      </c>
      <c r="BM62" s="752">
        <v>0</v>
      </c>
      <c r="BN62" s="752">
        <v>0</v>
      </c>
      <c r="BO62" s="752">
        <v>0</v>
      </c>
      <c r="BP62" s="752">
        <v>0</v>
      </c>
      <c r="BQ62" s="752">
        <v>0</v>
      </c>
      <c r="BR62" s="752">
        <v>0</v>
      </c>
      <c r="BS62" s="752">
        <v>0</v>
      </c>
      <c r="BT62" s="753">
        <v>0</v>
      </c>
    </row>
    <row r="63" spans="2:73">
      <c r="B63" s="750" t="s">
        <v>756</v>
      </c>
      <c r="C63" s="750" t="s">
        <v>748</v>
      </c>
      <c r="D63" s="750" t="s">
        <v>757</v>
      </c>
      <c r="E63" s="750" t="s">
        <v>745</v>
      </c>
      <c r="F63" s="750" t="s">
        <v>748</v>
      </c>
      <c r="G63" s="750" t="s">
        <v>747</v>
      </c>
      <c r="H63" s="750">
        <v>2012</v>
      </c>
      <c r="I63" s="649" t="s">
        <v>572</v>
      </c>
      <c r="J63" s="649" t="s">
        <v>589</v>
      </c>
      <c r="K63" s="63"/>
      <c r="L63" s="751"/>
      <c r="M63" s="752">
        <v>0.6</v>
      </c>
      <c r="N63" s="752">
        <v>0</v>
      </c>
      <c r="O63" s="752">
        <v>0</v>
      </c>
      <c r="P63" s="752">
        <v>0</v>
      </c>
      <c r="Q63" s="752">
        <v>0</v>
      </c>
      <c r="R63" s="752">
        <v>0</v>
      </c>
      <c r="S63" s="752">
        <v>0</v>
      </c>
      <c r="T63" s="752">
        <v>0</v>
      </c>
      <c r="U63" s="752">
        <v>0</v>
      </c>
      <c r="V63" s="752">
        <v>0</v>
      </c>
      <c r="W63" s="752">
        <v>0</v>
      </c>
      <c r="X63" s="752">
        <v>0</v>
      </c>
      <c r="Y63" s="752">
        <v>0</v>
      </c>
      <c r="Z63" s="752">
        <v>0</v>
      </c>
      <c r="AA63" s="752">
        <v>0</v>
      </c>
      <c r="AB63" s="752">
        <v>0</v>
      </c>
      <c r="AC63" s="752">
        <v>0</v>
      </c>
      <c r="AD63" s="752">
        <v>0</v>
      </c>
      <c r="AE63" s="752">
        <v>0</v>
      </c>
      <c r="AF63" s="752">
        <v>0</v>
      </c>
      <c r="AG63" s="752">
        <v>0</v>
      </c>
      <c r="AH63" s="752">
        <v>0</v>
      </c>
      <c r="AI63" s="752">
        <v>0</v>
      </c>
      <c r="AJ63" s="752">
        <v>0</v>
      </c>
      <c r="AK63" s="752">
        <v>0</v>
      </c>
      <c r="AL63" s="752">
        <v>0</v>
      </c>
      <c r="AM63" s="752">
        <v>0</v>
      </c>
      <c r="AN63" s="752">
        <v>0</v>
      </c>
      <c r="AO63" s="753">
        <v>0</v>
      </c>
      <c r="AP63" s="63"/>
      <c r="AQ63" s="751"/>
      <c r="AR63" s="752">
        <v>4.8</v>
      </c>
      <c r="AS63" s="752">
        <v>0</v>
      </c>
      <c r="AT63" s="752">
        <v>0</v>
      </c>
      <c r="AU63" s="752">
        <v>0</v>
      </c>
      <c r="AV63" s="752">
        <v>0</v>
      </c>
      <c r="AW63" s="752">
        <v>0</v>
      </c>
      <c r="AX63" s="752">
        <v>0</v>
      </c>
      <c r="AY63" s="752">
        <v>0</v>
      </c>
      <c r="AZ63" s="752">
        <v>0</v>
      </c>
      <c r="BA63" s="752">
        <v>0</v>
      </c>
      <c r="BB63" s="752">
        <v>0</v>
      </c>
      <c r="BC63" s="752">
        <v>0</v>
      </c>
      <c r="BD63" s="752">
        <v>0</v>
      </c>
      <c r="BE63" s="752">
        <v>0</v>
      </c>
      <c r="BF63" s="752">
        <v>0</v>
      </c>
      <c r="BG63" s="752">
        <v>0</v>
      </c>
      <c r="BH63" s="752">
        <v>0</v>
      </c>
      <c r="BI63" s="752">
        <v>0</v>
      </c>
      <c r="BJ63" s="752">
        <v>0</v>
      </c>
      <c r="BK63" s="752">
        <v>0</v>
      </c>
      <c r="BL63" s="752">
        <v>0</v>
      </c>
      <c r="BM63" s="752">
        <v>0</v>
      </c>
      <c r="BN63" s="752">
        <v>0</v>
      </c>
      <c r="BO63" s="752">
        <v>0</v>
      </c>
      <c r="BP63" s="752">
        <v>0</v>
      </c>
      <c r="BQ63" s="752">
        <v>0</v>
      </c>
      <c r="BR63" s="752">
        <v>0</v>
      </c>
      <c r="BS63" s="752">
        <v>0</v>
      </c>
      <c r="BT63" s="753">
        <v>0</v>
      </c>
    </row>
    <row r="64" spans="2:73">
      <c r="B64" s="750" t="s">
        <v>208</v>
      </c>
      <c r="C64" s="750" t="s">
        <v>748</v>
      </c>
      <c r="D64" s="750" t="s">
        <v>22</v>
      </c>
      <c r="E64" s="750" t="s">
        <v>745</v>
      </c>
      <c r="F64" s="750" t="s">
        <v>750</v>
      </c>
      <c r="G64" s="750" t="s">
        <v>746</v>
      </c>
      <c r="H64" s="750">
        <v>2012</v>
      </c>
      <c r="I64" s="649" t="s">
        <v>573</v>
      </c>
      <c r="J64" s="649" t="s">
        <v>582</v>
      </c>
      <c r="K64" s="63"/>
      <c r="L64" s="751"/>
      <c r="M64" s="752">
        <v>12.168868435</v>
      </c>
      <c r="N64" s="752">
        <v>12.168868435</v>
      </c>
      <c r="O64" s="752">
        <v>12.168868435</v>
      </c>
      <c r="P64" s="752">
        <v>12.168868435</v>
      </c>
      <c r="Q64" s="752">
        <v>12.168868435</v>
      </c>
      <c r="R64" s="752">
        <v>12.168868435</v>
      </c>
      <c r="S64" s="752">
        <v>12.168868435</v>
      </c>
      <c r="T64" s="752">
        <v>12.168868435</v>
      </c>
      <c r="U64" s="752">
        <v>12.168868435</v>
      </c>
      <c r="V64" s="752">
        <v>12.168868435</v>
      </c>
      <c r="W64" s="752">
        <v>12.168868435</v>
      </c>
      <c r="X64" s="752">
        <v>12.168868435</v>
      </c>
      <c r="Y64" s="752">
        <v>0</v>
      </c>
      <c r="Z64" s="752">
        <v>0</v>
      </c>
      <c r="AA64" s="752">
        <v>0</v>
      </c>
      <c r="AB64" s="752">
        <v>0</v>
      </c>
      <c r="AC64" s="752">
        <v>0</v>
      </c>
      <c r="AD64" s="752">
        <v>0</v>
      </c>
      <c r="AE64" s="752">
        <v>0</v>
      </c>
      <c r="AF64" s="752">
        <v>0</v>
      </c>
      <c r="AG64" s="752">
        <v>0</v>
      </c>
      <c r="AH64" s="752">
        <v>0</v>
      </c>
      <c r="AI64" s="752">
        <v>0</v>
      </c>
      <c r="AJ64" s="752">
        <v>0</v>
      </c>
      <c r="AK64" s="752">
        <v>0</v>
      </c>
      <c r="AL64" s="752">
        <v>0</v>
      </c>
      <c r="AM64" s="752">
        <v>0</v>
      </c>
      <c r="AN64" s="752">
        <v>0</v>
      </c>
      <c r="AO64" s="753">
        <v>0</v>
      </c>
      <c r="AP64" s="63"/>
      <c r="AQ64" s="751"/>
      <c r="AR64" s="752">
        <v>69162.097060236003</v>
      </c>
      <c r="AS64" s="752">
        <v>69162.097060236003</v>
      </c>
      <c r="AT64" s="752">
        <v>69162.097060236003</v>
      </c>
      <c r="AU64" s="752">
        <v>69162.097060236003</v>
      </c>
      <c r="AV64" s="752">
        <v>69162.097060236003</v>
      </c>
      <c r="AW64" s="752">
        <v>69162.097060236003</v>
      </c>
      <c r="AX64" s="752">
        <v>69162.097060236003</v>
      </c>
      <c r="AY64" s="752">
        <v>69162.097060236003</v>
      </c>
      <c r="AZ64" s="752">
        <v>69162.097060236003</v>
      </c>
      <c r="BA64" s="752">
        <v>69162.097060236003</v>
      </c>
      <c r="BB64" s="752">
        <v>69162.097060236003</v>
      </c>
      <c r="BC64" s="752">
        <v>69162.097060236003</v>
      </c>
      <c r="BD64" s="752">
        <v>0</v>
      </c>
      <c r="BE64" s="752">
        <v>0</v>
      </c>
      <c r="BF64" s="752">
        <v>0</v>
      </c>
      <c r="BG64" s="752">
        <v>0</v>
      </c>
      <c r="BH64" s="752">
        <v>0</v>
      </c>
      <c r="BI64" s="752">
        <v>0</v>
      </c>
      <c r="BJ64" s="752">
        <v>0</v>
      </c>
      <c r="BK64" s="752">
        <v>0</v>
      </c>
      <c r="BL64" s="752">
        <v>0</v>
      </c>
      <c r="BM64" s="752">
        <v>0</v>
      </c>
      <c r="BN64" s="752">
        <v>0</v>
      </c>
      <c r="BO64" s="752">
        <v>0</v>
      </c>
      <c r="BP64" s="752">
        <v>0</v>
      </c>
      <c r="BQ64" s="752">
        <v>0</v>
      </c>
      <c r="BR64" s="752">
        <v>0</v>
      </c>
      <c r="BS64" s="752">
        <v>0</v>
      </c>
      <c r="BT64" s="753">
        <v>0</v>
      </c>
    </row>
    <row r="65" spans="2:73">
      <c r="B65" s="750" t="s">
        <v>208</v>
      </c>
      <c r="C65" s="750" t="s">
        <v>744</v>
      </c>
      <c r="D65" s="750" t="s">
        <v>758</v>
      </c>
      <c r="E65" s="750" t="s">
        <v>745</v>
      </c>
      <c r="F65" s="750" t="s">
        <v>29</v>
      </c>
      <c r="G65" s="750" t="s">
        <v>746</v>
      </c>
      <c r="H65" s="750">
        <v>2012</v>
      </c>
      <c r="I65" s="649" t="s">
        <v>573</v>
      </c>
      <c r="J65" s="649" t="s">
        <v>582</v>
      </c>
      <c r="K65" s="63"/>
      <c r="L65" s="751"/>
      <c r="M65" s="752">
        <v>2.7393723570000001</v>
      </c>
      <c r="N65" s="752">
        <v>2.7393723570000001</v>
      </c>
      <c r="O65" s="752">
        <v>2.7393723570000001</v>
      </c>
      <c r="P65" s="752">
        <v>2.7393723570000001</v>
      </c>
      <c r="Q65" s="752">
        <v>2.7393723570000001</v>
      </c>
      <c r="R65" s="752">
        <v>2.7393723570000001</v>
      </c>
      <c r="S65" s="752">
        <v>2.7393723570000001</v>
      </c>
      <c r="T65" s="752">
        <v>2.7393723570000001</v>
      </c>
      <c r="U65" s="752">
        <v>2.7393723570000001</v>
      </c>
      <c r="V65" s="752">
        <v>2.7393723570000001</v>
      </c>
      <c r="W65" s="752">
        <v>2.7393723570000001</v>
      </c>
      <c r="X65" s="752">
        <v>2.7393723570000001</v>
      </c>
      <c r="Y65" s="752">
        <v>2.7393723570000001</v>
      </c>
      <c r="Z65" s="752">
        <v>2.7393723570000001</v>
      </c>
      <c r="AA65" s="752">
        <v>2.7393723570000001</v>
      </c>
      <c r="AB65" s="752">
        <v>2.7393723570000001</v>
      </c>
      <c r="AC65" s="752">
        <v>2.7393723570000001</v>
      </c>
      <c r="AD65" s="752">
        <v>2.7393723570000001</v>
      </c>
      <c r="AE65" s="752">
        <v>2.7393723570000001</v>
      </c>
      <c r="AF65" s="752">
        <v>2.2556825580000002</v>
      </c>
      <c r="AG65" s="752">
        <v>0</v>
      </c>
      <c r="AH65" s="752">
        <v>0</v>
      </c>
      <c r="AI65" s="752">
        <v>0</v>
      </c>
      <c r="AJ65" s="752">
        <v>0</v>
      </c>
      <c r="AK65" s="752">
        <v>0</v>
      </c>
      <c r="AL65" s="752">
        <v>0</v>
      </c>
      <c r="AM65" s="752">
        <v>0</v>
      </c>
      <c r="AN65" s="752">
        <v>0</v>
      </c>
      <c r="AO65" s="753">
        <v>0</v>
      </c>
      <c r="AP65" s="63"/>
      <c r="AQ65" s="751"/>
      <c r="AR65" s="752">
        <v>5447.146448083</v>
      </c>
      <c r="AS65" s="752">
        <v>5447.146448083</v>
      </c>
      <c r="AT65" s="752">
        <v>5447.146448083</v>
      </c>
      <c r="AU65" s="752">
        <v>5447.146448083</v>
      </c>
      <c r="AV65" s="752">
        <v>5447.146448083</v>
      </c>
      <c r="AW65" s="752">
        <v>5447.146448083</v>
      </c>
      <c r="AX65" s="752">
        <v>5447.146448083</v>
      </c>
      <c r="AY65" s="752">
        <v>5447.146448083</v>
      </c>
      <c r="AZ65" s="752">
        <v>5447.146448083</v>
      </c>
      <c r="BA65" s="752">
        <v>5447.146448083</v>
      </c>
      <c r="BB65" s="752">
        <v>5447.146448083</v>
      </c>
      <c r="BC65" s="752">
        <v>5447.146448083</v>
      </c>
      <c r="BD65" s="752">
        <v>5447.146448083</v>
      </c>
      <c r="BE65" s="752">
        <v>5447.146448083</v>
      </c>
      <c r="BF65" s="752">
        <v>5447.146448083</v>
      </c>
      <c r="BG65" s="752">
        <v>5447.146448083</v>
      </c>
      <c r="BH65" s="752">
        <v>5447.146448083</v>
      </c>
      <c r="BI65" s="752">
        <v>5447.146448083</v>
      </c>
      <c r="BJ65" s="752">
        <v>4966.140370907</v>
      </c>
      <c r="BK65" s="752">
        <v>0</v>
      </c>
      <c r="BL65" s="752">
        <v>0</v>
      </c>
      <c r="BM65" s="752">
        <v>0</v>
      </c>
      <c r="BN65" s="752">
        <v>0</v>
      </c>
      <c r="BO65" s="752">
        <v>0</v>
      </c>
      <c r="BP65" s="752">
        <v>0</v>
      </c>
      <c r="BQ65" s="752">
        <v>0</v>
      </c>
      <c r="BR65" s="752">
        <v>0</v>
      </c>
      <c r="BS65" s="752">
        <v>0</v>
      </c>
      <c r="BT65" s="753">
        <v>0</v>
      </c>
    </row>
    <row r="66" spans="2:73">
      <c r="B66" s="750" t="s">
        <v>208</v>
      </c>
      <c r="C66" s="750" t="s">
        <v>744</v>
      </c>
      <c r="D66" s="750" t="s">
        <v>758</v>
      </c>
      <c r="E66" s="750" t="s">
        <v>745</v>
      </c>
      <c r="F66" s="750" t="s">
        <v>29</v>
      </c>
      <c r="G66" s="750" t="s">
        <v>746</v>
      </c>
      <c r="H66" s="750">
        <v>2012</v>
      </c>
      <c r="I66" s="649" t="s">
        <v>573</v>
      </c>
      <c r="J66" s="649" t="s">
        <v>582</v>
      </c>
      <c r="K66" s="63"/>
      <c r="L66" s="751"/>
      <c r="M66" s="752">
        <v>2.2349817975166358E-2</v>
      </c>
      <c r="N66" s="752">
        <v>2.2349817975166358E-2</v>
      </c>
      <c r="O66" s="752">
        <v>2.2349817975166358E-2</v>
      </c>
      <c r="P66" s="752">
        <v>2.2349817975166358E-2</v>
      </c>
      <c r="Q66" s="752">
        <v>2.2349817975166358E-2</v>
      </c>
      <c r="R66" s="752">
        <v>2.2349817975166358E-2</v>
      </c>
      <c r="S66" s="752">
        <v>2.2349817975166358E-2</v>
      </c>
      <c r="T66" s="752">
        <v>2.2349817975166358E-2</v>
      </c>
      <c r="U66" s="752">
        <v>2.2349817975166358E-2</v>
      </c>
      <c r="V66" s="752">
        <v>2.2349817975166358E-2</v>
      </c>
      <c r="W66" s="752">
        <v>2.2349817975166358E-2</v>
      </c>
      <c r="X66" s="752">
        <v>2.2349817975166358E-2</v>
      </c>
      <c r="Y66" s="752">
        <v>2.2349817975166358E-2</v>
      </c>
      <c r="Z66" s="752">
        <v>2.2349817975166358E-2</v>
      </c>
      <c r="AA66" s="752">
        <v>2.2349817975166358E-2</v>
      </c>
      <c r="AB66" s="752">
        <v>2.2349817975166358E-2</v>
      </c>
      <c r="AC66" s="752">
        <v>2.2349817975166358E-2</v>
      </c>
      <c r="AD66" s="752">
        <v>2.2349817975166358E-2</v>
      </c>
      <c r="AE66" s="752">
        <v>2.2349817975166358E-2</v>
      </c>
      <c r="AF66" s="752">
        <v>1.9210018847659095E-2</v>
      </c>
      <c r="AG66" s="752">
        <v>0</v>
      </c>
      <c r="AH66" s="752">
        <v>0</v>
      </c>
      <c r="AI66" s="752">
        <v>0</v>
      </c>
      <c r="AJ66" s="752">
        <v>0</v>
      </c>
      <c r="AK66" s="752">
        <v>0</v>
      </c>
      <c r="AL66" s="752">
        <v>0</v>
      </c>
      <c r="AM66" s="752">
        <v>0</v>
      </c>
      <c r="AN66" s="752">
        <v>0</v>
      </c>
      <c r="AO66" s="753">
        <v>0</v>
      </c>
      <c r="AP66" s="63"/>
      <c r="AQ66" s="751"/>
      <c r="AR66" s="752">
        <v>45.440122919026102</v>
      </c>
      <c r="AS66" s="752">
        <v>45.440122919026102</v>
      </c>
      <c r="AT66" s="752">
        <v>45.440122919026102</v>
      </c>
      <c r="AU66" s="752">
        <v>45.440122919026102</v>
      </c>
      <c r="AV66" s="752">
        <v>45.440122919026102</v>
      </c>
      <c r="AW66" s="752">
        <v>45.440122919026102</v>
      </c>
      <c r="AX66" s="752">
        <v>45.440122919026102</v>
      </c>
      <c r="AY66" s="752">
        <v>45.440122919026102</v>
      </c>
      <c r="AZ66" s="752">
        <v>45.440122919026102</v>
      </c>
      <c r="BA66" s="752">
        <v>45.440122919026102</v>
      </c>
      <c r="BB66" s="752">
        <v>45.440122919026102</v>
      </c>
      <c r="BC66" s="752">
        <v>45.440122919026102</v>
      </c>
      <c r="BD66" s="752">
        <v>45.440122919026102</v>
      </c>
      <c r="BE66" s="752">
        <v>45.440122919026102</v>
      </c>
      <c r="BF66" s="752">
        <v>45.440122919026102</v>
      </c>
      <c r="BG66" s="752">
        <v>45.440122919026102</v>
      </c>
      <c r="BH66" s="752">
        <v>45.440122919026102</v>
      </c>
      <c r="BI66" s="752">
        <v>45.440122919026102</v>
      </c>
      <c r="BJ66" s="752">
        <v>42.293030008964756</v>
      </c>
      <c r="BK66" s="752">
        <v>0</v>
      </c>
      <c r="BL66" s="752">
        <v>0</v>
      </c>
      <c r="BM66" s="752">
        <v>0</v>
      </c>
      <c r="BN66" s="752">
        <v>0</v>
      </c>
      <c r="BO66" s="752">
        <v>0</v>
      </c>
      <c r="BP66" s="752">
        <v>0</v>
      </c>
      <c r="BQ66" s="752">
        <v>0</v>
      </c>
      <c r="BR66" s="752">
        <v>0</v>
      </c>
      <c r="BS66" s="752">
        <v>0</v>
      </c>
      <c r="BT66" s="753">
        <v>0</v>
      </c>
    </row>
    <row r="67" spans="2:73">
      <c r="B67" s="750" t="s">
        <v>208</v>
      </c>
      <c r="C67" s="750" t="s">
        <v>744</v>
      </c>
      <c r="D67" s="750" t="s">
        <v>3</v>
      </c>
      <c r="E67" s="750" t="s">
        <v>745</v>
      </c>
      <c r="F67" s="750" t="s">
        <v>29</v>
      </c>
      <c r="G67" s="750" t="s">
        <v>746</v>
      </c>
      <c r="H67" s="750">
        <v>2012</v>
      </c>
      <c r="I67" s="649" t="s">
        <v>574</v>
      </c>
      <c r="J67" s="649" t="s">
        <v>582</v>
      </c>
      <c r="K67" s="63"/>
      <c r="L67" s="751"/>
      <c r="M67" s="752">
        <v>0.41899441399999998</v>
      </c>
      <c r="N67" s="752">
        <v>0.41899441399999998</v>
      </c>
      <c r="O67" s="752">
        <v>0.41899441399999998</v>
      </c>
      <c r="P67" s="752">
        <v>0.41899441399999998</v>
      </c>
      <c r="Q67" s="752">
        <v>0.41899441399999998</v>
      </c>
      <c r="R67" s="752">
        <v>0.41899441399999998</v>
      </c>
      <c r="S67" s="752">
        <v>0.41899441399999998</v>
      </c>
      <c r="T67" s="752">
        <v>0.41899441399999998</v>
      </c>
      <c r="U67" s="752">
        <v>0.41899441399999998</v>
      </c>
      <c r="V67" s="752">
        <v>0.41899441399999998</v>
      </c>
      <c r="W67" s="752">
        <v>0.41899441399999998</v>
      </c>
      <c r="X67" s="752">
        <v>0.41899441399999998</v>
      </c>
      <c r="Y67" s="752">
        <v>0.41899441399999998</v>
      </c>
      <c r="Z67" s="752">
        <v>0.41899441399999998</v>
      </c>
      <c r="AA67" s="752">
        <v>0.41899441399999998</v>
      </c>
      <c r="AB67" s="752">
        <v>0.41899441399999998</v>
      </c>
      <c r="AC67" s="752">
        <v>0.41899441399999998</v>
      </c>
      <c r="AD67" s="752">
        <v>0.41899441399999998</v>
      </c>
      <c r="AE67" s="752">
        <v>0.28444070599999999</v>
      </c>
      <c r="AF67" s="752">
        <v>0</v>
      </c>
      <c r="AG67" s="752">
        <v>0</v>
      </c>
      <c r="AH67" s="752">
        <v>0</v>
      </c>
      <c r="AI67" s="752">
        <v>0</v>
      </c>
      <c r="AJ67" s="752">
        <v>0</v>
      </c>
      <c r="AK67" s="752">
        <v>0</v>
      </c>
      <c r="AL67" s="752">
        <v>0</v>
      </c>
      <c r="AM67" s="752">
        <v>0</v>
      </c>
      <c r="AN67" s="752">
        <v>0</v>
      </c>
      <c r="AO67" s="753">
        <v>0</v>
      </c>
      <c r="AP67" s="63"/>
      <c r="AQ67" s="751"/>
      <c r="AR67" s="752">
        <v>671.58264059999999</v>
      </c>
      <c r="AS67" s="752">
        <v>671.58264059999999</v>
      </c>
      <c r="AT67" s="752">
        <v>671.58264059999999</v>
      </c>
      <c r="AU67" s="752">
        <v>671.58264059999999</v>
      </c>
      <c r="AV67" s="752">
        <v>671.58264059999999</v>
      </c>
      <c r="AW67" s="752">
        <v>671.58264059999999</v>
      </c>
      <c r="AX67" s="752">
        <v>671.58264059999999</v>
      </c>
      <c r="AY67" s="752">
        <v>671.58264059999999</v>
      </c>
      <c r="AZ67" s="752">
        <v>671.58264059999999</v>
      </c>
      <c r="BA67" s="752">
        <v>671.58264059999999</v>
      </c>
      <c r="BB67" s="752">
        <v>671.58264059999999</v>
      </c>
      <c r="BC67" s="752">
        <v>671.58264059999999</v>
      </c>
      <c r="BD67" s="752">
        <v>671.58264059999999</v>
      </c>
      <c r="BE67" s="752">
        <v>671.58264059999999</v>
      </c>
      <c r="BF67" s="752">
        <v>671.58264059999999</v>
      </c>
      <c r="BG67" s="752">
        <v>671.58264059999999</v>
      </c>
      <c r="BH67" s="752">
        <v>671.58264059999999</v>
      </c>
      <c r="BI67" s="752">
        <v>671.58264059999999</v>
      </c>
      <c r="BJ67" s="752">
        <v>551.2573926</v>
      </c>
      <c r="BK67" s="752">
        <v>0</v>
      </c>
      <c r="BL67" s="752">
        <v>0</v>
      </c>
      <c r="BM67" s="752">
        <v>0</v>
      </c>
      <c r="BN67" s="752">
        <v>0</v>
      </c>
      <c r="BO67" s="752">
        <v>0</v>
      </c>
      <c r="BP67" s="752">
        <v>0</v>
      </c>
      <c r="BQ67" s="752">
        <v>0</v>
      </c>
      <c r="BR67" s="752">
        <v>0</v>
      </c>
      <c r="BS67" s="752">
        <v>0</v>
      </c>
      <c r="BT67" s="753">
        <v>0</v>
      </c>
    </row>
    <row r="68" spans="2:73">
      <c r="B68" s="750" t="s">
        <v>208</v>
      </c>
      <c r="C68" s="750" t="s">
        <v>748</v>
      </c>
      <c r="D68" s="750" t="s">
        <v>759</v>
      </c>
      <c r="E68" s="750" t="s">
        <v>745</v>
      </c>
      <c r="F68" s="750" t="s">
        <v>750</v>
      </c>
      <c r="G68" s="750" t="s">
        <v>747</v>
      </c>
      <c r="H68" s="750">
        <v>2013</v>
      </c>
      <c r="I68" s="649" t="s">
        <v>573</v>
      </c>
      <c r="J68" s="649" t="s">
        <v>589</v>
      </c>
      <c r="K68" s="63"/>
      <c r="L68" s="751"/>
      <c r="M68" s="752"/>
      <c r="N68" s="752">
        <v>79.462909999999994</v>
      </c>
      <c r="O68" s="752">
        <v>0</v>
      </c>
      <c r="P68" s="752">
        <v>0</v>
      </c>
      <c r="Q68" s="752">
        <v>0</v>
      </c>
      <c r="R68" s="752">
        <v>0</v>
      </c>
      <c r="S68" s="752">
        <v>0</v>
      </c>
      <c r="T68" s="752">
        <v>0</v>
      </c>
      <c r="U68" s="752">
        <v>0</v>
      </c>
      <c r="V68" s="752">
        <v>0</v>
      </c>
      <c r="W68" s="752">
        <v>0</v>
      </c>
      <c r="X68" s="752">
        <v>0</v>
      </c>
      <c r="Y68" s="752">
        <v>0</v>
      </c>
      <c r="Z68" s="752">
        <v>0</v>
      </c>
      <c r="AA68" s="752">
        <v>0</v>
      </c>
      <c r="AB68" s="752">
        <v>0</v>
      </c>
      <c r="AC68" s="752">
        <v>0</v>
      </c>
      <c r="AD68" s="752">
        <v>0</v>
      </c>
      <c r="AE68" s="752">
        <v>0</v>
      </c>
      <c r="AF68" s="752">
        <v>0</v>
      </c>
      <c r="AG68" s="752">
        <v>0</v>
      </c>
      <c r="AH68" s="752">
        <v>0</v>
      </c>
      <c r="AI68" s="752">
        <v>0</v>
      </c>
      <c r="AJ68" s="752">
        <v>0</v>
      </c>
      <c r="AK68" s="752">
        <v>0</v>
      </c>
      <c r="AL68" s="752">
        <v>0</v>
      </c>
      <c r="AM68" s="752">
        <v>0</v>
      </c>
      <c r="AN68" s="752">
        <v>0</v>
      </c>
      <c r="AO68" s="753">
        <v>0</v>
      </c>
      <c r="AP68" s="63"/>
      <c r="AQ68" s="751"/>
      <c r="AR68" s="752"/>
      <c r="AS68" s="752">
        <v>1061.0519999999999</v>
      </c>
      <c r="AT68" s="752">
        <v>0</v>
      </c>
      <c r="AU68" s="752">
        <v>0</v>
      </c>
      <c r="AV68" s="752">
        <v>0</v>
      </c>
      <c r="AW68" s="752">
        <v>0</v>
      </c>
      <c r="AX68" s="752">
        <v>0</v>
      </c>
      <c r="AY68" s="752">
        <v>0</v>
      </c>
      <c r="AZ68" s="752">
        <v>0</v>
      </c>
      <c r="BA68" s="752">
        <v>0</v>
      </c>
      <c r="BB68" s="752">
        <v>0</v>
      </c>
      <c r="BC68" s="752">
        <v>0</v>
      </c>
      <c r="BD68" s="752">
        <v>0</v>
      </c>
      <c r="BE68" s="752">
        <v>0</v>
      </c>
      <c r="BF68" s="752">
        <v>0</v>
      </c>
      <c r="BG68" s="752">
        <v>0</v>
      </c>
      <c r="BH68" s="752">
        <v>0</v>
      </c>
      <c r="BI68" s="752">
        <v>0</v>
      </c>
      <c r="BJ68" s="752">
        <v>0</v>
      </c>
      <c r="BK68" s="752">
        <v>0</v>
      </c>
      <c r="BL68" s="752">
        <v>0</v>
      </c>
      <c r="BM68" s="752">
        <v>0</v>
      </c>
      <c r="BN68" s="752">
        <v>0</v>
      </c>
      <c r="BO68" s="752">
        <v>0</v>
      </c>
      <c r="BP68" s="752">
        <v>0</v>
      </c>
      <c r="BQ68" s="752">
        <v>0</v>
      </c>
      <c r="BR68" s="752">
        <v>0</v>
      </c>
      <c r="BS68" s="752">
        <v>0</v>
      </c>
      <c r="BT68" s="753">
        <v>0</v>
      </c>
    </row>
    <row r="69" spans="2:73">
      <c r="B69" s="750" t="s">
        <v>208</v>
      </c>
      <c r="C69" s="750" t="s">
        <v>748</v>
      </c>
      <c r="D69" s="750" t="s">
        <v>22</v>
      </c>
      <c r="E69" s="750" t="s">
        <v>745</v>
      </c>
      <c r="F69" s="750" t="s">
        <v>750</v>
      </c>
      <c r="G69" s="750" t="s">
        <v>746</v>
      </c>
      <c r="H69" s="750">
        <v>2013</v>
      </c>
      <c r="I69" s="649" t="s">
        <v>573</v>
      </c>
      <c r="J69" s="649" t="s">
        <v>589</v>
      </c>
      <c r="K69" s="63"/>
      <c r="L69" s="751"/>
      <c r="M69" s="752"/>
      <c r="N69" s="752">
        <v>131.40544271100001</v>
      </c>
      <c r="O69" s="752">
        <v>131.40544271100001</v>
      </c>
      <c r="P69" s="752">
        <v>131.40544271100001</v>
      </c>
      <c r="Q69" s="752">
        <v>131.40544271100001</v>
      </c>
      <c r="R69" s="752">
        <v>121.25499490999999</v>
      </c>
      <c r="S69" s="752">
        <v>119.823771686</v>
      </c>
      <c r="T69" s="752">
        <v>119.823771686</v>
      </c>
      <c r="U69" s="752">
        <v>119.784569175</v>
      </c>
      <c r="V69" s="752">
        <v>116.55814004</v>
      </c>
      <c r="W69" s="752">
        <v>106.12487224900001</v>
      </c>
      <c r="X69" s="752">
        <v>93.431646448999999</v>
      </c>
      <c r="Y69" s="752">
        <v>93.106600271999994</v>
      </c>
      <c r="Z69" s="752">
        <v>45.213157316</v>
      </c>
      <c r="AA69" s="752">
        <v>45.213157316</v>
      </c>
      <c r="AB69" s="752">
        <v>45.213157316</v>
      </c>
      <c r="AC69" s="752">
        <v>37.421463271</v>
      </c>
      <c r="AD69" s="752">
        <v>5.3693215429999999</v>
      </c>
      <c r="AE69" s="752">
        <v>5.3580594039999996</v>
      </c>
      <c r="AF69" s="752">
        <v>5.3580594039999996</v>
      </c>
      <c r="AG69" s="752">
        <v>5.3580594039999996</v>
      </c>
      <c r="AH69" s="752">
        <v>0</v>
      </c>
      <c r="AI69" s="752">
        <v>0</v>
      </c>
      <c r="AJ69" s="752">
        <v>0</v>
      </c>
      <c r="AK69" s="752">
        <v>0</v>
      </c>
      <c r="AL69" s="752">
        <v>0</v>
      </c>
      <c r="AM69" s="752">
        <v>0</v>
      </c>
      <c r="AN69" s="752">
        <v>0</v>
      </c>
      <c r="AO69" s="753">
        <v>0</v>
      </c>
      <c r="AP69" s="63"/>
      <c r="AQ69" s="751"/>
      <c r="AR69" s="752"/>
      <c r="AS69" s="752">
        <v>647284.91383379896</v>
      </c>
      <c r="AT69" s="752">
        <v>647284.91383379896</v>
      </c>
      <c r="AU69" s="752">
        <v>647284.91383379896</v>
      </c>
      <c r="AV69" s="752">
        <v>647284.91383379896</v>
      </c>
      <c r="AW69" s="752">
        <v>615669.13779226795</v>
      </c>
      <c r="AX69" s="752">
        <v>609425.359642228</v>
      </c>
      <c r="AY69" s="752">
        <v>609425.359642228</v>
      </c>
      <c r="AZ69" s="752">
        <v>608780.52312198002</v>
      </c>
      <c r="BA69" s="752">
        <v>598389.972668253</v>
      </c>
      <c r="BB69" s="752">
        <v>552874.35473022505</v>
      </c>
      <c r="BC69" s="752">
        <v>490821.14847669698</v>
      </c>
      <c r="BD69" s="752">
        <v>485474.51028502901</v>
      </c>
      <c r="BE69" s="752">
        <v>215005.29597031901</v>
      </c>
      <c r="BF69" s="752">
        <v>215005.29597031901</v>
      </c>
      <c r="BG69" s="752">
        <v>215005.29597031901</v>
      </c>
      <c r="BH69" s="752">
        <v>175811.73431652499</v>
      </c>
      <c r="BI69" s="752">
        <v>14788.460967061999</v>
      </c>
      <c r="BJ69" s="752">
        <v>14780.957210221</v>
      </c>
      <c r="BK69" s="752">
        <v>14780.957210221</v>
      </c>
      <c r="BL69" s="752">
        <v>14780.957210221</v>
      </c>
      <c r="BM69" s="752">
        <v>0</v>
      </c>
      <c r="BN69" s="752">
        <v>0</v>
      </c>
      <c r="BO69" s="752">
        <v>0</v>
      </c>
      <c r="BP69" s="752">
        <v>0</v>
      </c>
      <c r="BQ69" s="752">
        <v>0</v>
      </c>
      <c r="BR69" s="752">
        <v>0</v>
      </c>
      <c r="BS69" s="752">
        <v>0</v>
      </c>
      <c r="BT69" s="753">
        <v>0</v>
      </c>
    </row>
    <row r="70" spans="2:73">
      <c r="B70" s="750" t="s">
        <v>208</v>
      </c>
      <c r="C70" s="750" t="s">
        <v>748</v>
      </c>
      <c r="D70" s="750" t="s">
        <v>760</v>
      </c>
      <c r="E70" s="750" t="s">
        <v>745</v>
      </c>
      <c r="F70" s="750" t="s">
        <v>750</v>
      </c>
      <c r="G70" s="750" t="s">
        <v>746</v>
      </c>
      <c r="H70" s="750">
        <v>2013</v>
      </c>
      <c r="I70" s="649" t="s">
        <v>573</v>
      </c>
      <c r="J70" s="649" t="s">
        <v>589</v>
      </c>
      <c r="K70" s="63"/>
      <c r="L70" s="751"/>
      <c r="M70" s="752"/>
      <c r="N70" s="752">
        <v>9.2488218839999998</v>
      </c>
      <c r="O70" s="752">
        <v>9.2488218839999998</v>
      </c>
      <c r="P70" s="752">
        <v>9.2488218839999998</v>
      </c>
      <c r="Q70" s="752">
        <v>8.2993376750000003</v>
      </c>
      <c r="R70" s="752">
        <v>3.898651353</v>
      </c>
      <c r="S70" s="752">
        <v>3.898651353</v>
      </c>
      <c r="T70" s="752">
        <v>3.898651353</v>
      </c>
      <c r="U70" s="752">
        <v>3.898651353</v>
      </c>
      <c r="V70" s="752">
        <v>3.898651353</v>
      </c>
      <c r="W70" s="752">
        <v>3.898651353</v>
      </c>
      <c r="X70" s="752">
        <v>3.898651353</v>
      </c>
      <c r="Y70" s="752">
        <v>3.898651353</v>
      </c>
      <c r="Z70" s="752">
        <v>0</v>
      </c>
      <c r="AA70" s="752">
        <v>0</v>
      </c>
      <c r="AB70" s="752">
        <v>0</v>
      </c>
      <c r="AC70" s="752">
        <v>0</v>
      </c>
      <c r="AD70" s="752">
        <v>0</v>
      </c>
      <c r="AE70" s="752">
        <v>0</v>
      </c>
      <c r="AF70" s="752">
        <v>0</v>
      </c>
      <c r="AG70" s="752">
        <v>0</v>
      </c>
      <c r="AH70" s="752">
        <v>0</v>
      </c>
      <c r="AI70" s="752">
        <v>0</v>
      </c>
      <c r="AJ70" s="752">
        <v>0</v>
      </c>
      <c r="AK70" s="752">
        <v>0</v>
      </c>
      <c r="AL70" s="752">
        <v>0</v>
      </c>
      <c r="AM70" s="752">
        <v>0</v>
      </c>
      <c r="AN70" s="752">
        <v>0</v>
      </c>
      <c r="AO70" s="753">
        <v>0</v>
      </c>
      <c r="AP70" s="63"/>
      <c r="AQ70" s="751"/>
      <c r="AR70" s="752"/>
      <c r="AS70" s="752">
        <v>31354.988014428</v>
      </c>
      <c r="AT70" s="752">
        <v>31354.988014428</v>
      </c>
      <c r="AU70" s="752">
        <v>31354.988014428</v>
      </c>
      <c r="AV70" s="752">
        <v>27001.969324494999</v>
      </c>
      <c r="AW70" s="752">
        <v>13238.84886783</v>
      </c>
      <c r="AX70" s="752">
        <v>13238.84886783</v>
      </c>
      <c r="AY70" s="752">
        <v>13238.84886783</v>
      </c>
      <c r="AZ70" s="752">
        <v>13238.84886783</v>
      </c>
      <c r="BA70" s="752">
        <v>13238.84886783</v>
      </c>
      <c r="BB70" s="752">
        <v>13238.84886783</v>
      </c>
      <c r="BC70" s="752">
        <v>13238.84886783</v>
      </c>
      <c r="BD70" s="752">
        <v>13238.84886783</v>
      </c>
      <c r="BE70" s="752">
        <v>0</v>
      </c>
      <c r="BF70" s="752">
        <v>0</v>
      </c>
      <c r="BG70" s="752">
        <v>0</v>
      </c>
      <c r="BH70" s="752">
        <v>0</v>
      </c>
      <c r="BI70" s="752">
        <v>0</v>
      </c>
      <c r="BJ70" s="752">
        <v>0</v>
      </c>
      <c r="BK70" s="752">
        <v>0</v>
      </c>
      <c r="BL70" s="752">
        <v>0</v>
      </c>
      <c r="BM70" s="752">
        <v>0</v>
      </c>
      <c r="BN70" s="752">
        <v>0</v>
      </c>
      <c r="BO70" s="752">
        <v>0</v>
      </c>
      <c r="BP70" s="752">
        <v>0</v>
      </c>
      <c r="BQ70" s="752">
        <v>0</v>
      </c>
      <c r="BR70" s="752">
        <v>0</v>
      </c>
      <c r="BS70" s="752">
        <v>0</v>
      </c>
      <c r="BT70" s="753">
        <v>0</v>
      </c>
    </row>
    <row r="71" spans="2:73">
      <c r="B71" s="750" t="s">
        <v>208</v>
      </c>
      <c r="C71" s="750" t="s">
        <v>744</v>
      </c>
      <c r="D71" s="750" t="s">
        <v>761</v>
      </c>
      <c r="E71" s="750" t="s">
        <v>745</v>
      </c>
      <c r="F71" s="750" t="s">
        <v>29</v>
      </c>
      <c r="G71" s="750" t="s">
        <v>746</v>
      </c>
      <c r="H71" s="750">
        <v>2013</v>
      </c>
      <c r="I71" s="649" t="s">
        <v>573</v>
      </c>
      <c r="J71" s="649" t="s">
        <v>589</v>
      </c>
      <c r="K71" s="63"/>
      <c r="L71" s="751"/>
      <c r="M71" s="752"/>
      <c r="N71" s="752">
        <v>2.8281782359999998</v>
      </c>
      <c r="O71" s="752">
        <v>2.8281782359999998</v>
      </c>
      <c r="P71" s="752">
        <v>2.7260960860000001</v>
      </c>
      <c r="Q71" s="752">
        <v>2.3369408209999998</v>
      </c>
      <c r="R71" s="752">
        <v>2.3369408209999998</v>
      </c>
      <c r="S71" s="752">
        <v>2.3369408209999998</v>
      </c>
      <c r="T71" s="752">
        <v>2.3369408209999998</v>
      </c>
      <c r="U71" s="752">
        <v>2.3336707959999998</v>
      </c>
      <c r="V71" s="752">
        <v>1.745450602</v>
      </c>
      <c r="W71" s="752">
        <v>1.745450602</v>
      </c>
      <c r="X71" s="752">
        <v>1.402060941</v>
      </c>
      <c r="Y71" s="752">
        <v>1.402021704</v>
      </c>
      <c r="Z71" s="752">
        <v>1.402021704</v>
      </c>
      <c r="AA71" s="752">
        <v>1.39993156</v>
      </c>
      <c r="AB71" s="752">
        <v>1.39993156</v>
      </c>
      <c r="AC71" s="752">
        <v>1.398219332</v>
      </c>
      <c r="AD71" s="752">
        <v>1.3550125550000001</v>
      </c>
      <c r="AE71" s="752">
        <v>0.79536230500000005</v>
      </c>
      <c r="AF71" s="752">
        <v>0.79536230500000005</v>
      </c>
      <c r="AG71" s="752">
        <v>0.79536230500000005</v>
      </c>
      <c r="AH71" s="752">
        <v>0</v>
      </c>
      <c r="AI71" s="752">
        <v>0</v>
      </c>
      <c r="AJ71" s="752">
        <v>0</v>
      </c>
      <c r="AK71" s="752">
        <v>0</v>
      </c>
      <c r="AL71" s="752">
        <v>0</v>
      </c>
      <c r="AM71" s="752">
        <v>0</v>
      </c>
      <c r="AN71" s="752">
        <v>0</v>
      </c>
      <c r="AO71" s="753">
        <v>0</v>
      </c>
      <c r="AP71" s="63"/>
      <c r="AQ71" s="751"/>
      <c r="AR71" s="752"/>
      <c r="AS71" s="752">
        <v>42197.034117946998</v>
      </c>
      <c r="AT71" s="752">
        <v>42197.034117946998</v>
      </c>
      <c r="AU71" s="752">
        <v>40570.934375088997</v>
      </c>
      <c r="AV71" s="752">
        <v>34371.953674465003</v>
      </c>
      <c r="AW71" s="752">
        <v>34371.953674465003</v>
      </c>
      <c r="AX71" s="752">
        <v>34371.953674465003</v>
      </c>
      <c r="AY71" s="752">
        <v>34371.953674465003</v>
      </c>
      <c r="AZ71" s="752">
        <v>34343.308258609002</v>
      </c>
      <c r="BA71" s="752">
        <v>24973.357596730999</v>
      </c>
      <c r="BB71" s="752">
        <v>24973.357596730999</v>
      </c>
      <c r="BC71" s="752">
        <v>22706.928630642</v>
      </c>
      <c r="BD71" s="752">
        <v>22383.571979552999</v>
      </c>
      <c r="BE71" s="752">
        <v>22383.571979552999</v>
      </c>
      <c r="BF71" s="752">
        <v>22291.556507347999</v>
      </c>
      <c r="BG71" s="752">
        <v>22291.556507347999</v>
      </c>
      <c r="BH71" s="752">
        <v>22272.690183445</v>
      </c>
      <c r="BI71" s="752">
        <v>21584.435382447999</v>
      </c>
      <c r="BJ71" s="752">
        <v>12669.584661745001</v>
      </c>
      <c r="BK71" s="752">
        <v>12669.584661745001</v>
      </c>
      <c r="BL71" s="752">
        <v>12669.584661745001</v>
      </c>
      <c r="BM71" s="752">
        <v>0</v>
      </c>
      <c r="BN71" s="752">
        <v>0</v>
      </c>
      <c r="BO71" s="752">
        <v>0</v>
      </c>
      <c r="BP71" s="752">
        <v>0</v>
      </c>
      <c r="BQ71" s="752">
        <v>0</v>
      </c>
      <c r="BR71" s="752">
        <v>0</v>
      </c>
      <c r="BS71" s="752">
        <v>0</v>
      </c>
      <c r="BT71" s="753">
        <v>0</v>
      </c>
    </row>
    <row r="72" spans="2:73">
      <c r="B72" s="750" t="s">
        <v>208</v>
      </c>
      <c r="C72" s="750" t="s">
        <v>744</v>
      </c>
      <c r="D72" s="750" t="s">
        <v>2</v>
      </c>
      <c r="E72" s="750" t="s">
        <v>745</v>
      </c>
      <c r="F72" s="750" t="s">
        <v>29</v>
      </c>
      <c r="G72" s="750" t="s">
        <v>746</v>
      </c>
      <c r="H72" s="750">
        <v>2013</v>
      </c>
      <c r="I72" s="649" t="s">
        <v>573</v>
      </c>
      <c r="J72" s="649" t="s">
        <v>589</v>
      </c>
      <c r="K72" s="63"/>
      <c r="L72" s="751"/>
      <c r="M72" s="752"/>
      <c r="N72" s="752">
        <v>4.3510760800000003</v>
      </c>
      <c r="O72" s="752">
        <v>4.3510760800000003</v>
      </c>
      <c r="P72" s="752">
        <v>4.3510760800000003</v>
      </c>
      <c r="Q72" s="752">
        <v>4.3510760800000003</v>
      </c>
      <c r="R72" s="752">
        <v>0</v>
      </c>
      <c r="S72" s="752">
        <v>0</v>
      </c>
      <c r="T72" s="752">
        <v>0</v>
      </c>
      <c r="U72" s="752">
        <v>0</v>
      </c>
      <c r="V72" s="752">
        <v>0</v>
      </c>
      <c r="W72" s="752">
        <v>0</v>
      </c>
      <c r="X72" s="752">
        <v>0</v>
      </c>
      <c r="Y72" s="752">
        <v>0</v>
      </c>
      <c r="Z72" s="752">
        <v>0</v>
      </c>
      <c r="AA72" s="752">
        <v>0</v>
      </c>
      <c r="AB72" s="752">
        <v>0</v>
      </c>
      <c r="AC72" s="752">
        <v>0</v>
      </c>
      <c r="AD72" s="752">
        <v>0</v>
      </c>
      <c r="AE72" s="752">
        <v>0</v>
      </c>
      <c r="AF72" s="752">
        <v>0</v>
      </c>
      <c r="AG72" s="752">
        <v>0</v>
      </c>
      <c r="AH72" s="752">
        <v>0</v>
      </c>
      <c r="AI72" s="752">
        <v>0</v>
      </c>
      <c r="AJ72" s="752">
        <v>0</v>
      </c>
      <c r="AK72" s="752">
        <v>0</v>
      </c>
      <c r="AL72" s="752">
        <v>0</v>
      </c>
      <c r="AM72" s="752">
        <v>0</v>
      </c>
      <c r="AN72" s="752">
        <v>0</v>
      </c>
      <c r="AO72" s="753">
        <v>0</v>
      </c>
      <c r="AP72" s="63"/>
      <c r="AQ72" s="751"/>
      <c r="AR72" s="752"/>
      <c r="AS72" s="752">
        <v>7758.2374369999998</v>
      </c>
      <c r="AT72" s="752">
        <v>7758.2374369999998</v>
      </c>
      <c r="AU72" s="752">
        <v>7758.2374369999998</v>
      </c>
      <c r="AV72" s="752">
        <v>7758.2374369999998</v>
      </c>
      <c r="AW72" s="752">
        <v>0</v>
      </c>
      <c r="AX72" s="752">
        <v>0</v>
      </c>
      <c r="AY72" s="752">
        <v>0</v>
      </c>
      <c r="AZ72" s="752">
        <v>0</v>
      </c>
      <c r="BA72" s="752">
        <v>0</v>
      </c>
      <c r="BB72" s="752">
        <v>0</v>
      </c>
      <c r="BC72" s="752">
        <v>0</v>
      </c>
      <c r="BD72" s="752">
        <v>0</v>
      </c>
      <c r="BE72" s="752">
        <v>0</v>
      </c>
      <c r="BF72" s="752">
        <v>0</v>
      </c>
      <c r="BG72" s="752">
        <v>0</v>
      </c>
      <c r="BH72" s="752">
        <v>0</v>
      </c>
      <c r="BI72" s="752">
        <v>0</v>
      </c>
      <c r="BJ72" s="752">
        <v>0</v>
      </c>
      <c r="BK72" s="752">
        <v>0</v>
      </c>
      <c r="BL72" s="752">
        <v>0</v>
      </c>
      <c r="BM72" s="752">
        <v>0</v>
      </c>
      <c r="BN72" s="752">
        <v>0</v>
      </c>
      <c r="BO72" s="752">
        <v>0</v>
      </c>
      <c r="BP72" s="752">
        <v>0</v>
      </c>
      <c r="BQ72" s="752">
        <v>0</v>
      </c>
      <c r="BR72" s="752">
        <v>0</v>
      </c>
      <c r="BS72" s="752">
        <v>0</v>
      </c>
      <c r="BT72" s="753">
        <v>0</v>
      </c>
    </row>
    <row r="73" spans="2:73">
      <c r="B73" s="750" t="s">
        <v>208</v>
      </c>
      <c r="C73" s="750" t="s">
        <v>744</v>
      </c>
      <c r="D73" s="750" t="s">
        <v>1</v>
      </c>
      <c r="E73" s="750" t="s">
        <v>745</v>
      </c>
      <c r="F73" s="750" t="s">
        <v>29</v>
      </c>
      <c r="G73" s="750" t="s">
        <v>746</v>
      </c>
      <c r="H73" s="750">
        <v>2013</v>
      </c>
      <c r="I73" s="649" t="s">
        <v>573</v>
      </c>
      <c r="J73" s="649" t="s">
        <v>589</v>
      </c>
      <c r="K73" s="63"/>
      <c r="L73" s="751"/>
      <c r="M73" s="752"/>
      <c r="N73" s="752">
        <v>3.725678238</v>
      </c>
      <c r="O73" s="752">
        <v>3.725678238</v>
      </c>
      <c r="P73" s="752">
        <v>3.725678238</v>
      </c>
      <c r="Q73" s="752">
        <v>3.6208942080000002</v>
      </c>
      <c r="R73" s="752">
        <v>2.0026465249999998</v>
      </c>
      <c r="S73" s="752">
        <v>0</v>
      </c>
      <c r="T73" s="752">
        <v>0</v>
      </c>
      <c r="U73" s="752">
        <v>0</v>
      </c>
      <c r="V73" s="752">
        <v>0</v>
      </c>
      <c r="W73" s="752">
        <v>0</v>
      </c>
      <c r="X73" s="752">
        <v>0</v>
      </c>
      <c r="Y73" s="752">
        <v>0</v>
      </c>
      <c r="Z73" s="752">
        <v>0</v>
      </c>
      <c r="AA73" s="752">
        <v>0</v>
      </c>
      <c r="AB73" s="752">
        <v>0</v>
      </c>
      <c r="AC73" s="752">
        <v>0</v>
      </c>
      <c r="AD73" s="752">
        <v>0</v>
      </c>
      <c r="AE73" s="752">
        <v>0</v>
      </c>
      <c r="AF73" s="752">
        <v>0</v>
      </c>
      <c r="AG73" s="752">
        <v>0</v>
      </c>
      <c r="AH73" s="752">
        <v>0</v>
      </c>
      <c r="AI73" s="752">
        <v>0</v>
      </c>
      <c r="AJ73" s="752">
        <v>0</v>
      </c>
      <c r="AK73" s="752">
        <v>0</v>
      </c>
      <c r="AL73" s="752">
        <v>0</v>
      </c>
      <c r="AM73" s="752">
        <v>0</v>
      </c>
      <c r="AN73" s="752">
        <v>0</v>
      </c>
      <c r="AO73" s="753">
        <v>0</v>
      </c>
      <c r="AP73" s="63"/>
      <c r="AQ73" s="751"/>
      <c r="AR73" s="752"/>
      <c r="AS73" s="752">
        <v>25445.915649732</v>
      </c>
      <c r="AT73" s="752">
        <v>25445.915649732</v>
      </c>
      <c r="AU73" s="752">
        <v>25445.915649732</v>
      </c>
      <c r="AV73" s="752">
        <v>25343.371131398999</v>
      </c>
      <c r="AW73" s="752">
        <v>13626.337830896</v>
      </c>
      <c r="AX73" s="752">
        <v>0</v>
      </c>
      <c r="AY73" s="752">
        <v>0</v>
      </c>
      <c r="AZ73" s="752">
        <v>0</v>
      </c>
      <c r="BA73" s="752">
        <v>0</v>
      </c>
      <c r="BB73" s="752">
        <v>0</v>
      </c>
      <c r="BC73" s="752">
        <v>0</v>
      </c>
      <c r="BD73" s="752">
        <v>0</v>
      </c>
      <c r="BE73" s="752">
        <v>0</v>
      </c>
      <c r="BF73" s="752">
        <v>0</v>
      </c>
      <c r="BG73" s="752">
        <v>0</v>
      </c>
      <c r="BH73" s="752">
        <v>0</v>
      </c>
      <c r="BI73" s="752">
        <v>0</v>
      </c>
      <c r="BJ73" s="752">
        <v>0</v>
      </c>
      <c r="BK73" s="752">
        <v>0</v>
      </c>
      <c r="BL73" s="752">
        <v>0</v>
      </c>
      <c r="BM73" s="752">
        <v>0</v>
      </c>
      <c r="BN73" s="752">
        <v>0</v>
      </c>
      <c r="BO73" s="752">
        <v>0</v>
      </c>
      <c r="BP73" s="752">
        <v>0</v>
      </c>
      <c r="BQ73" s="752">
        <v>0</v>
      </c>
      <c r="BR73" s="752">
        <v>0</v>
      </c>
      <c r="BS73" s="752">
        <v>0</v>
      </c>
      <c r="BT73" s="753">
        <v>0</v>
      </c>
    </row>
    <row r="74" spans="2:73">
      <c r="B74" s="750" t="s">
        <v>208</v>
      </c>
      <c r="C74" s="750" t="s">
        <v>744</v>
      </c>
      <c r="D74" s="750" t="s">
        <v>762</v>
      </c>
      <c r="E74" s="750" t="s">
        <v>745</v>
      </c>
      <c r="F74" s="750" t="s">
        <v>29</v>
      </c>
      <c r="G74" s="750" t="s">
        <v>746</v>
      </c>
      <c r="H74" s="750">
        <v>2013</v>
      </c>
      <c r="I74" s="649" t="s">
        <v>573</v>
      </c>
      <c r="J74" s="649" t="s">
        <v>589</v>
      </c>
      <c r="K74" s="63"/>
      <c r="L74" s="751"/>
      <c r="M74" s="752"/>
      <c r="N74" s="752">
        <v>6.4802510209999999</v>
      </c>
      <c r="O74" s="752">
        <v>6.4802510209999999</v>
      </c>
      <c r="P74" s="752">
        <v>6.1244882860000001</v>
      </c>
      <c r="Q74" s="752">
        <v>4.9103603739999997</v>
      </c>
      <c r="R74" s="752">
        <v>4.9103603739999997</v>
      </c>
      <c r="S74" s="752">
        <v>4.9103603739999997</v>
      </c>
      <c r="T74" s="752">
        <v>4.9103603739999997</v>
      </c>
      <c r="U74" s="752">
        <v>4.9010716079999996</v>
      </c>
      <c r="V74" s="752">
        <v>4.2124230599999999</v>
      </c>
      <c r="W74" s="752">
        <v>4.2124230599999999</v>
      </c>
      <c r="X74" s="752">
        <v>3.0566557080000001</v>
      </c>
      <c r="Y74" s="752">
        <v>1.974378229</v>
      </c>
      <c r="Z74" s="752">
        <v>1.974378229</v>
      </c>
      <c r="AA74" s="752">
        <v>1.935484376</v>
      </c>
      <c r="AB74" s="752">
        <v>1.935484376</v>
      </c>
      <c r="AC74" s="752">
        <v>1.915530771</v>
      </c>
      <c r="AD74" s="752">
        <v>1.6534249080000001</v>
      </c>
      <c r="AE74" s="752">
        <v>0.97052308099999995</v>
      </c>
      <c r="AF74" s="752">
        <v>0.97052308099999995</v>
      </c>
      <c r="AG74" s="752">
        <v>0.97052308099999995</v>
      </c>
      <c r="AH74" s="752">
        <v>0</v>
      </c>
      <c r="AI74" s="752">
        <v>0</v>
      </c>
      <c r="AJ74" s="752">
        <v>0</v>
      </c>
      <c r="AK74" s="752">
        <v>0</v>
      </c>
      <c r="AL74" s="752">
        <v>0</v>
      </c>
      <c r="AM74" s="752">
        <v>0</v>
      </c>
      <c r="AN74" s="752">
        <v>0</v>
      </c>
      <c r="AO74" s="753">
        <v>0</v>
      </c>
      <c r="AP74" s="63"/>
      <c r="AQ74" s="751"/>
      <c r="AR74" s="752"/>
      <c r="AS74" s="752">
        <v>94055.332330596997</v>
      </c>
      <c r="AT74" s="752">
        <v>94055.332330596997</v>
      </c>
      <c r="AU74" s="752">
        <v>88388.272091346997</v>
      </c>
      <c r="AV74" s="752">
        <v>69048.033968322998</v>
      </c>
      <c r="AW74" s="752">
        <v>69048.033968322998</v>
      </c>
      <c r="AX74" s="752">
        <v>69048.033968322998</v>
      </c>
      <c r="AY74" s="752">
        <v>69048.033968322998</v>
      </c>
      <c r="AZ74" s="752">
        <v>68966.664381255003</v>
      </c>
      <c r="BA74" s="752">
        <v>57996.957840288</v>
      </c>
      <c r="BB74" s="752">
        <v>57996.957840288</v>
      </c>
      <c r="BC74" s="752">
        <v>50466.709247567</v>
      </c>
      <c r="BD74" s="752">
        <v>32445.216633507996</v>
      </c>
      <c r="BE74" s="752">
        <v>32445.216633507996</v>
      </c>
      <c r="BF74" s="752">
        <v>30732.972711482002</v>
      </c>
      <c r="BG74" s="752">
        <v>30732.972711482002</v>
      </c>
      <c r="BH74" s="752">
        <v>30513.112217894999</v>
      </c>
      <c r="BI74" s="752">
        <v>26337.942737653</v>
      </c>
      <c r="BJ74" s="752">
        <v>15459.777582651999</v>
      </c>
      <c r="BK74" s="752">
        <v>15459.777582651999</v>
      </c>
      <c r="BL74" s="752">
        <v>15459.777582651999</v>
      </c>
      <c r="BM74" s="752">
        <v>0</v>
      </c>
      <c r="BN74" s="752">
        <v>0</v>
      </c>
      <c r="BO74" s="752">
        <v>0</v>
      </c>
      <c r="BP74" s="752">
        <v>0</v>
      </c>
      <c r="BQ74" s="752">
        <v>0</v>
      </c>
      <c r="BR74" s="752">
        <v>0</v>
      </c>
      <c r="BS74" s="752">
        <v>0</v>
      </c>
      <c r="BT74" s="753">
        <v>0</v>
      </c>
    </row>
    <row r="75" spans="2:73">
      <c r="B75" s="750" t="s">
        <v>208</v>
      </c>
      <c r="C75" s="750" t="s">
        <v>744</v>
      </c>
      <c r="D75" s="750" t="s">
        <v>14</v>
      </c>
      <c r="E75" s="750" t="s">
        <v>745</v>
      </c>
      <c r="F75" s="750" t="s">
        <v>29</v>
      </c>
      <c r="G75" s="750" t="s">
        <v>746</v>
      </c>
      <c r="H75" s="750">
        <v>2013</v>
      </c>
      <c r="I75" s="649" t="s">
        <v>573</v>
      </c>
      <c r="J75" s="649" t="s">
        <v>589</v>
      </c>
      <c r="K75" s="63"/>
      <c r="L75" s="751"/>
      <c r="M75" s="752"/>
      <c r="N75" s="752">
        <v>11.506904471</v>
      </c>
      <c r="O75" s="752">
        <v>11.349332494</v>
      </c>
      <c r="P75" s="752">
        <v>11.095516707</v>
      </c>
      <c r="Q75" s="752">
        <v>10.587899781999999</v>
      </c>
      <c r="R75" s="752">
        <v>10.321538649000001</v>
      </c>
      <c r="S75" s="752">
        <v>10.15496549</v>
      </c>
      <c r="T75" s="752">
        <v>10.15496549</v>
      </c>
      <c r="U75" s="752">
        <v>10.15496549</v>
      </c>
      <c r="V75" s="752">
        <v>7.9097577299999999</v>
      </c>
      <c r="W75" s="752">
        <v>7.6620439559999998</v>
      </c>
      <c r="X75" s="752">
        <v>6.4317174939999999</v>
      </c>
      <c r="Y75" s="752">
        <v>6.4317174939999999</v>
      </c>
      <c r="Z75" s="752">
        <v>5.1868696889999999</v>
      </c>
      <c r="AA75" s="752">
        <v>5.1868696889999999</v>
      </c>
      <c r="AB75" s="752">
        <v>2.0052695809999999</v>
      </c>
      <c r="AC75" s="752">
        <v>1.8840997960000001</v>
      </c>
      <c r="AD75" s="752">
        <v>1.8840997960000001</v>
      </c>
      <c r="AE75" s="752">
        <v>1.8840997960000001</v>
      </c>
      <c r="AF75" s="752">
        <v>1.8840997960000001</v>
      </c>
      <c r="AG75" s="752">
        <v>1.8840997960000001</v>
      </c>
      <c r="AH75" s="752">
        <v>1.8840997960000001</v>
      </c>
      <c r="AI75" s="752">
        <v>0</v>
      </c>
      <c r="AJ75" s="752">
        <v>0</v>
      </c>
      <c r="AK75" s="752">
        <v>0</v>
      </c>
      <c r="AL75" s="752">
        <v>0</v>
      </c>
      <c r="AM75" s="752">
        <v>0</v>
      </c>
      <c r="AN75" s="752">
        <v>0</v>
      </c>
      <c r="AO75" s="753">
        <v>0</v>
      </c>
      <c r="AP75" s="63"/>
      <c r="AQ75" s="751"/>
      <c r="AR75" s="752"/>
      <c r="AS75" s="752">
        <v>127117.742881775</v>
      </c>
      <c r="AT75" s="752">
        <v>124084.37903595</v>
      </c>
      <c r="AU75" s="752">
        <v>119198.259010315</v>
      </c>
      <c r="AV75" s="752">
        <v>109426.30175971999</v>
      </c>
      <c r="AW75" s="752">
        <v>104298.677518845</v>
      </c>
      <c r="AX75" s="752">
        <v>101092.03486061101</v>
      </c>
      <c r="AY75" s="752">
        <v>101092.03486061101</v>
      </c>
      <c r="AZ75" s="752">
        <v>101092.03486061101</v>
      </c>
      <c r="BA75" s="752">
        <v>57870.315299987997</v>
      </c>
      <c r="BB75" s="752">
        <v>57638.965858459</v>
      </c>
      <c r="BC75" s="752">
        <v>43939.124458313003</v>
      </c>
      <c r="BD75" s="752">
        <v>43939.124458313003</v>
      </c>
      <c r="BE75" s="752">
        <v>39800.434577941996</v>
      </c>
      <c r="BF75" s="752">
        <v>39800.434577941996</v>
      </c>
      <c r="BG75" s="752">
        <v>14889.486763000001</v>
      </c>
      <c r="BH75" s="752">
        <v>13890.284912109</v>
      </c>
      <c r="BI75" s="752">
        <v>13890.284912109</v>
      </c>
      <c r="BJ75" s="752">
        <v>13890.284912109</v>
      </c>
      <c r="BK75" s="752">
        <v>13890.284912109</v>
      </c>
      <c r="BL75" s="752">
        <v>13890.284912109</v>
      </c>
      <c r="BM75" s="752">
        <v>13890.284912109</v>
      </c>
      <c r="BN75" s="752">
        <v>0</v>
      </c>
      <c r="BO75" s="752">
        <v>0</v>
      </c>
      <c r="BP75" s="752">
        <v>0</v>
      </c>
      <c r="BQ75" s="752">
        <v>0</v>
      </c>
      <c r="BR75" s="752">
        <v>0</v>
      </c>
      <c r="BS75" s="752">
        <v>0</v>
      </c>
      <c r="BT75" s="753">
        <v>0</v>
      </c>
    </row>
    <row r="76" spans="2:73">
      <c r="B76" s="750" t="s">
        <v>208</v>
      </c>
      <c r="C76" s="750" t="s">
        <v>744</v>
      </c>
      <c r="D76" s="750" t="s">
        <v>758</v>
      </c>
      <c r="E76" s="750" t="s">
        <v>745</v>
      </c>
      <c r="F76" s="750" t="s">
        <v>29</v>
      </c>
      <c r="G76" s="750" t="s">
        <v>746</v>
      </c>
      <c r="H76" s="750">
        <v>2013</v>
      </c>
      <c r="I76" s="649" t="s">
        <v>573</v>
      </c>
      <c r="J76" s="649" t="s">
        <v>589</v>
      </c>
      <c r="K76" s="63"/>
      <c r="L76" s="751"/>
      <c r="M76" s="752"/>
      <c r="N76" s="752">
        <v>97.219324766</v>
      </c>
      <c r="O76" s="752">
        <v>97.219324766</v>
      </c>
      <c r="P76" s="752">
        <v>97.219324766</v>
      </c>
      <c r="Q76" s="752">
        <v>97.219324766</v>
      </c>
      <c r="R76" s="752">
        <v>97.219324766</v>
      </c>
      <c r="S76" s="752">
        <v>97.219324766</v>
      </c>
      <c r="T76" s="752">
        <v>97.219324766</v>
      </c>
      <c r="U76" s="752">
        <v>97.219324766</v>
      </c>
      <c r="V76" s="752">
        <v>97.219324766</v>
      </c>
      <c r="W76" s="752">
        <v>97.219324766</v>
      </c>
      <c r="X76" s="752">
        <v>97.219324766</v>
      </c>
      <c r="Y76" s="752">
        <v>97.219324766</v>
      </c>
      <c r="Z76" s="752">
        <v>97.219324766</v>
      </c>
      <c r="AA76" s="752">
        <v>97.219324766</v>
      </c>
      <c r="AB76" s="752">
        <v>97.219324766</v>
      </c>
      <c r="AC76" s="752">
        <v>97.219324766</v>
      </c>
      <c r="AD76" s="752">
        <v>97.219324766</v>
      </c>
      <c r="AE76" s="752">
        <v>97.219324766</v>
      </c>
      <c r="AF76" s="752">
        <v>74.411164822000003</v>
      </c>
      <c r="AG76" s="752">
        <v>0</v>
      </c>
      <c r="AH76" s="752">
        <v>0</v>
      </c>
      <c r="AI76" s="752">
        <v>0</v>
      </c>
      <c r="AJ76" s="752">
        <v>0</v>
      </c>
      <c r="AK76" s="752">
        <v>0</v>
      </c>
      <c r="AL76" s="752">
        <v>0</v>
      </c>
      <c r="AM76" s="752">
        <v>0</v>
      </c>
      <c r="AN76" s="752">
        <v>0</v>
      </c>
      <c r="AO76" s="753">
        <v>0</v>
      </c>
      <c r="AP76" s="63"/>
      <c r="AQ76" s="751"/>
      <c r="AR76" s="752"/>
      <c r="AS76" s="752">
        <v>164882.60492727099</v>
      </c>
      <c r="AT76" s="752">
        <v>164882.60492727099</v>
      </c>
      <c r="AU76" s="752">
        <v>164882.60492727099</v>
      </c>
      <c r="AV76" s="752">
        <v>164882.60492727099</v>
      </c>
      <c r="AW76" s="752">
        <v>164882.60492727099</v>
      </c>
      <c r="AX76" s="752">
        <v>164882.60492727099</v>
      </c>
      <c r="AY76" s="752">
        <v>164882.60492727099</v>
      </c>
      <c r="AZ76" s="752">
        <v>164882.60492727099</v>
      </c>
      <c r="BA76" s="752">
        <v>164882.60492727099</v>
      </c>
      <c r="BB76" s="752">
        <v>164882.60492727099</v>
      </c>
      <c r="BC76" s="752">
        <v>164882.60492727099</v>
      </c>
      <c r="BD76" s="752">
        <v>164882.60492727099</v>
      </c>
      <c r="BE76" s="752">
        <v>164882.60492727099</v>
      </c>
      <c r="BF76" s="752">
        <v>164882.60492727099</v>
      </c>
      <c r="BG76" s="752">
        <v>164882.60492727099</v>
      </c>
      <c r="BH76" s="752">
        <v>164882.60492727099</v>
      </c>
      <c r="BI76" s="752">
        <v>164882.60492727099</v>
      </c>
      <c r="BJ76" s="752">
        <v>164882.60492727099</v>
      </c>
      <c r="BK76" s="752">
        <v>144486.30707791299</v>
      </c>
      <c r="BL76" s="752">
        <v>0</v>
      </c>
      <c r="BM76" s="752">
        <v>0</v>
      </c>
      <c r="BN76" s="752">
        <v>0</v>
      </c>
      <c r="BO76" s="752">
        <v>0</v>
      </c>
      <c r="BP76" s="752">
        <v>0</v>
      </c>
      <c r="BQ76" s="752">
        <v>0</v>
      </c>
      <c r="BR76" s="752">
        <v>0</v>
      </c>
      <c r="BS76" s="752">
        <v>0</v>
      </c>
      <c r="BT76" s="753">
        <v>0</v>
      </c>
    </row>
    <row r="77" spans="2:73">
      <c r="B77" s="750" t="s">
        <v>208</v>
      </c>
      <c r="C77" s="750" t="s">
        <v>751</v>
      </c>
      <c r="D77" s="750" t="s">
        <v>759</v>
      </c>
      <c r="E77" s="750" t="s">
        <v>745</v>
      </c>
      <c r="F77" s="750" t="s">
        <v>751</v>
      </c>
      <c r="G77" s="750" t="s">
        <v>747</v>
      </c>
      <c r="H77" s="750">
        <v>2013</v>
      </c>
      <c r="I77" s="649" t="s">
        <v>573</v>
      </c>
      <c r="J77" s="649" t="s">
        <v>589</v>
      </c>
      <c r="K77" s="63"/>
      <c r="L77" s="751"/>
      <c r="M77" s="752"/>
      <c r="N77" s="752">
        <v>824.34119999999996</v>
      </c>
      <c r="O77" s="752">
        <v>0</v>
      </c>
      <c r="P77" s="752">
        <v>0</v>
      </c>
      <c r="Q77" s="752">
        <v>0</v>
      </c>
      <c r="R77" s="752">
        <v>0</v>
      </c>
      <c r="S77" s="752">
        <v>0</v>
      </c>
      <c r="T77" s="752">
        <v>0</v>
      </c>
      <c r="U77" s="752">
        <v>0</v>
      </c>
      <c r="V77" s="752">
        <v>0</v>
      </c>
      <c r="W77" s="752">
        <v>0</v>
      </c>
      <c r="X77" s="752">
        <v>0</v>
      </c>
      <c r="Y77" s="752">
        <v>0</v>
      </c>
      <c r="Z77" s="752">
        <v>0</v>
      </c>
      <c r="AA77" s="752">
        <v>0</v>
      </c>
      <c r="AB77" s="752">
        <v>0</v>
      </c>
      <c r="AC77" s="752">
        <v>0</v>
      </c>
      <c r="AD77" s="752">
        <v>0</v>
      </c>
      <c r="AE77" s="752">
        <v>0</v>
      </c>
      <c r="AF77" s="752">
        <v>0</v>
      </c>
      <c r="AG77" s="752">
        <v>0</v>
      </c>
      <c r="AH77" s="752">
        <v>0</v>
      </c>
      <c r="AI77" s="752">
        <v>0</v>
      </c>
      <c r="AJ77" s="752">
        <v>0</v>
      </c>
      <c r="AK77" s="752">
        <v>0</v>
      </c>
      <c r="AL77" s="752">
        <v>0</v>
      </c>
      <c r="AM77" s="752">
        <v>0</v>
      </c>
      <c r="AN77" s="752">
        <v>0</v>
      </c>
      <c r="AO77" s="753">
        <v>0</v>
      </c>
      <c r="AP77" s="63"/>
      <c r="AQ77" s="751"/>
      <c r="AR77" s="752"/>
      <c r="AS77" s="752">
        <v>18770.75</v>
      </c>
      <c r="AT77" s="752">
        <v>0</v>
      </c>
      <c r="AU77" s="752">
        <v>0</v>
      </c>
      <c r="AV77" s="752">
        <v>0</v>
      </c>
      <c r="AW77" s="752">
        <v>0</v>
      </c>
      <c r="AX77" s="752">
        <v>0</v>
      </c>
      <c r="AY77" s="752">
        <v>0</v>
      </c>
      <c r="AZ77" s="752">
        <v>0</v>
      </c>
      <c r="BA77" s="752">
        <v>0</v>
      </c>
      <c r="BB77" s="752">
        <v>0</v>
      </c>
      <c r="BC77" s="752">
        <v>0</v>
      </c>
      <c r="BD77" s="752">
        <v>0</v>
      </c>
      <c r="BE77" s="752">
        <v>0</v>
      </c>
      <c r="BF77" s="752">
        <v>0</v>
      </c>
      <c r="BG77" s="752">
        <v>0</v>
      </c>
      <c r="BH77" s="752">
        <v>0</v>
      </c>
      <c r="BI77" s="752">
        <v>0</v>
      </c>
      <c r="BJ77" s="752">
        <v>0</v>
      </c>
      <c r="BK77" s="752">
        <v>0</v>
      </c>
      <c r="BL77" s="752">
        <v>0</v>
      </c>
      <c r="BM77" s="752">
        <v>0</v>
      </c>
      <c r="BN77" s="752">
        <v>0</v>
      </c>
      <c r="BO77" s="752">
        <v>0</v>
      </c>
      <c r="BP77" s="752">
        <v>0</v>
      </c>
      <c r="BQ77" s="752">
        <v>0</v>
      </c>
      <c r="BR77" s="752">
        <v>0</v>
      </c>
      <c r="BS77" s="752">
        <v>0</v>
      </c>
      <c r="BT77" s="753">
        <v>0</v>
      </c>
    </row>
    <row r="78" spans="2:73">
      <c r="B78" s="750" t="s">
        <v>208</v>
      </c>
      <c r="C78" s="750" t="s">
        <v>744</v>
      </c>
      <c r="D78" s="750" t="s">
        <v>1</v>
      </c>
      <c r="E78" s="750" t="s">
        <v>745</v>
      </c>
      <c r="F78" s="750" t="s">
        <v>29</v>
      </c>
      <c r="G78" s="750" t="s">
        <v>746</v>
      </c>
      <c r="H78" s="750">
        <v>2013</v>
      </c>
      <c r="I78" s="649" t="s">
        <v>573</v>
      </c>
      <c r="J78" s="649" t="s">
        <v>589</v>
      </c>
      <c r="K78" s="63"/>
      <c r="L78" s="751"/>
      <c r="M78" s="752"/>
      <c r="N78" s="752">
        <v>4.784217006579254E-3</v>
      </c>
      <c r="O78" s="752">
        <v>4.784217006579254E-3</v>
      </c>
      <c r="P78" s="752">
        <v>4.784217006579254E-3</v>
      </c>
      <c r="Q78" s="752">
        <v>4.784217006579254E-3</v>
      </c>
      <c r="R78" s="752">
        <v>2.6579366894363488E-3</v>
      </c>
      <c r="S78" s="752">
        <v>0</v>
      </c>
      <c r="T78" s="752">
        <v>0</v>
      </c>
      <c r="U78" s="752">
        <v>0</v>
      </c>
      <c r="V78" s="752">
        <v>0</v>
      </c>
      <c r="W78" s="752">
        <v>0</v>
      </c>
      <c r="X78" s="752">
        <v>0</v>
      </c>
      <c r="Y78" s="752">
        <v>0</v>
      </c>
      <c r="Z78" s="752">
        <v>0</v>
      </c>
      <c r="AA78" s="752">
        <v>0</v>
      </c>
      <c r="AB78" s="752">
        <v>0</v>
      </c>
      <c r="AC78" s="752">
        <v>0</v>
      </c>
      <c r="AD78" s="752">
        <v>0</v>
      </c>
      <c r="AE78" s="752">
        <v>0</v>
      </c>
      <c r="AF78" s="752">
        <v>0</v>
      </c>
      <c r="AG78" s="752">
        <v>0</v>
      </c>
      <c r="AH78" s="752">
        <v>0</v>
      </c>
      <c r="AI78" s="752">
        <v>0</v>
      </c>
      <c r="AJ78" s="752">
        <v>0</v>
      </c>
      <c r="AK78" s="752">
        <v>0</v>
      </c>
      <c r="AL78" s="752">
        <v>0</v>
      </c>
      <c r="AM78" s="752">
        <v>0</v>
      </c>
      <c r="AN78" s="752">
        <v>0</v>
      </c>
      <c r="AO78" s="753">
        <v>0</v>
      </c>
      <c r="AP78" s="63"/>
      <c r="AQ78" s="751"/>
      <c r="AR78" s="752"/>
      <c r="AS78" s="752">
        <v>33.480518780572055</v>
      </c>
      <c r="AT78" s="752">
        <v>33.480518780572055</v>
      </c>
      <c r="AU78" s="752">
        <v>33.480518780572055</v>
      </c>
      <c r="AV78" s="752">
        <v>33.480518780572055</v>
      </c>
      <c r="AW78" s="752">
        <v>18.085040363540298</v>
      </c>
      <c r="AX78" s="752">
        <v>0</v>
      </c>
      <c r="AY78" s="752">
        <v>0</v>
      </c>
      <c r="AZ78" s="752">
        <v>0</v>
      </c>
      <c r="BA78" s="752">
        <v>0</v>
      </c>
      <c r="BB78" s="752">
        <v>0</v>
      </c>
      <c r="BC78" s="752">
        <v>0</v>
      </c>
      <c r="BD78" s="752">
        <v>0</v>
      </c>
      <c r="BE78" s="752">
        <v>0</v>
      </c>
      <c r="BF78" s="752">
        <v>0</v>
      </c>
      <c r="BG78" s="752">
        <v>0</v>
      </c>
      <c r="BH78" s="752">
        <v>0</v>
      </c>
      <c r="BI78" s="752">
        <v>0</v>
      </c>
      <c r="BJ78" s="752">
        <v>0</v>
      </c>
      <c r="BK78" s="752">
        <v>0</v>
      </c>
      <c r="BL78" s="752">
        <v>0</v>
      </c>
      <c r="BM78" s="752">
        <v>0</v>
      </c>
      <c r="BN78" s="752">
        <v>0</v>
      </c>
      <c r="BO78" s="752">
        <v>0</v>
      </c>
      <c r="BP78" s="752">
        <v>0</v>
      </c>
      <c r="BQ78" s="752">
        <v>0</v>
      </c>
      <c r="BR78" s="752">
        <v>0</v>
      </c>
      <c r="BS78" s="752">
        <v>0</v>
      </c>
      <c r="BT78" s="753">
        <v>0</v>
      </c>
    </row>
    <row r="79" spans="2:73" ht="15.6">
      <c r="B79" s="750" t="s">
        <v>208</v>
      </c>
      <c r="C79" s="750" t="s">
        <v>748</v>
      </c>
      <c r="D79" s="750" t="s">
        <v>20</v>
      </c>
      <c r="E79" s="750" t="s">
        <v>745</v>
      </c>
      <c r="F79" s="750" t="s">
        <v>755</v>
      </c>
      <c r="G79" s="750" t="s">
        <v>746</v>
      </c>
      <c r="H79" s="750">
        <v>2013</v>
      </c>
      <c r="I79" s="649" t="s">
        <v>574</v>
      </c>
      <c r="J79" s="649" t="s">
        <v>582</v>
      </c>
      <c r="K79" s="63"/>
      <c r="L79" s="751"/>
      <c r="M79" s="752"/>
      <c r="N79" s="752">
        <v>167.55191139999999</v>
      </c>
      <c r="O79" s="752">
        <v>167.55191139999999</v>
      </c>
      <c r="P79" s="752">
        <v>167.55191139999999</v>
      </c>
      <c r="Q79" s="752">
        <v>167.55191139999999</v>
      </c>
      <c r="R79" s="752">
        <v>0</v>
      </c>
      <c r="S79" s="752">
        <v>0</v>
      </c>
      <c r="T79" s="752">
        <v>0</v>
      </c>
      <c r="U79" s="752">
        <v>0</v>
      </c>
      <c r="V79" s="752">
        <v>0</v>
      </c>
      <c r="W79" s="752">
        <v>0</v>
      </c>
      <c r="X79" s="752">
        <v>0</v>
      </c>
      <c r="Y79" s="752">
        <v>0</v>
      </c>
      <c r="Z79" s="752">
        <v>0</v>
      </c>
      <c r="AA79" s="752">
        <v>0</v>
      </c>
      <c r="AB79" s="752">
        <v>0</v>
      </c>
      <c r="AC79" s="752">
        <v>0</v>
      </c>
      <c r="AD79" s="752">
        <v>0</v>
      </c>
      <c r="AE79" s="752">
        <v>0</v>
      </c>
      <c r="AF79" s="752">
        <v>0</v>
      </c>
      <c r="AG79" s="752">
        <v>0</v>
      </c>
      <c r="AH79" s="752">
        <v>0</v>
      </c>
      <c r="AI79" s="752">
        <v>0</v>
      </c>
      <c r="AJ79" s="752">
        <v>0</v>
      </c>
      <c r="AK79" s="752">
        <v>0</v>
      </c>
      <c r="AL79" s="752">
        <v>0</v>
      </c>
      <c r="AM79" s="752">
        <v>0</v>
      </c>
      <c r="AN79" s="752">
        <v>0</v>
      </c>
      <c r="AO79" s="753">
        <v>0</v>
      </c>
      <c r="AP79" s="63"/>
      <c r="AQ79" s="751"/>
      <c r="AR79" s="752"/>
      <c r="AS79" s="752">
        <v>921175.15489999996</v>
      </c>
      <c r="AT79" s="752">
        <v>921175.15489999996</v>
      </c>
      <c r="AU79" s="752">
        <v>921175.15489999996</v>
      </c>
      <c r="AV79" s="752">
        <v>921175.15489999996</v>
      </c>
      <c r="AW79" s="752">
        <v>0</v>
      </c>
      <c r="AX79" s="752">
        <v>0</v>
      </c>
      <c r="AY79" s="752">
        <v>0</v>
      </c>
      <c r="AZ79" s="752">
        <v>0</v>
      </c>
      <c r="BA79" s="752">
        <v>0</v>
      </c>
      <c r="BB79" s="752">
        <v>0</v>
      </c>
      <c r="BC79" s="752">
        <v>0</v>
      </c>
      <c r="BD79" s="752">
        <v>0</v>
      </c>
      <c r="BE79" s="752">
        <v>0</v>
      </c>
      <c r="BF79" s="752">
        <v>0</v>
      </c>
      <c r="BG79" s="752">
        <v>0</v>
      </c>
      <c r="BH79" s="752">
        <v>0</v>
      </c>
      <c r="BI79" s="752">
        <v>0</v>
      </c>
      <c r="BJ79" s="752">
        <v>0</v>
      </c>
      <c r="BK79" s="752">
        <v>0</v>
      </c>
      <c r="BL79" s="752">
        <v>0</v>
      </c>
      <c r="BM79" s="752">
        <v>0</v>
      </c>
      <c r="BN79" s="752">
        <v>0</v>
      </c>
      <c r="BO79" s="752">
        <v>0</v>
      </c>
      <c r="BP79" s="752">
        <v>0</v>
      </c>
      <c r="BQ79" s="752">
        <v>0</v>
      </c>
      <c r="BR79" s="752">
        <v>0</v>
      </c>
      <c r="BS79" s="752">
        <v>0</v>
      </c>
      <c r="BT79" s="753">
        <v>0</v>
      </c>
      <c r="BU79" s="176"/>
    </row>
    <row r="80" spans="2:73" ht="15.6">
      <c r="B80" s="750" t="s">
        <v>208</v>
      </c>
      <c r="C80" s="750" t="s">
        <v>748</v>
      </c>
      <c r="D80" s="750" t="s">
        <v>22</v>
      </c>
      <c r="E80" s="750" t="s">
        <v>745</v>
      </c>
      <c r="F80" s="750" t="s">
        <v>755</v>
      </c>
      <c r="G80" s="750" t="s">
        <v>746</v>
      </c>
      <c r="H80" s="750">
        <v>2013</v>
      </c>
      <c r="I80" s="649" t="s">
        <v>574</v>
      </c>
      <c r="J80" s="649" t="s">
        <v>582</v>
      </c>
      <c r="K80" s="63"/>
      <c r="L80" s="751"/>
      <c r="M80" s="752"/>
      <c r="N80" s="752">
        <v>14.63705466</v>
      </c>
      <c r="O80" s="752">
        <v>14.63705466</v>
      </c>
      <c r="P80" s="752">
        <v>14.63705466</v>
      </c>
      <c r="Q80" s="752">
        <v>14.63705466</v>
      </c>
      <c r="R80" s="752">
        <v>14.63705466</v>
      </c>
      <c r="S80" s="752">
        <v>14.125882280000001</v>
      </c>
      <c r="T80" s="752">
        <v>14.125882280000001</v>
      </c>
      <c r="U80" s="752">
        <v>14.125882280000001</v>
      </c>
      <c r="V80" s="752">
        <v>13.04284116</v>
      </c>
      <c r="W80" s="752">
        <v>9.3165193750000004</v>
      </c>
      <c r="X80" s="752">
        <v>3.125934322</v>
      </c>
      <c r="Y80" s="752">
        <v>3.125934322</v>
      </c>
      <c r="Z80" s="752">
        <v>3.125934322</v>
      </c>
      <c r="AA80" s="752">
        <v>0</v>
      </c>
      <c r="AB80" s="752">
        <v>0</v>
      </c>
      <c r="AC80" s="752">
        <v>0</v>
      </c>
      <c r="AD80" s="752">
        <v>0</v>
      </c>
      <c r="AE80" s="752">
        <v>0</v>
      </c>
      <c r="AF80" s="752">
        <v>0</v>
      </c>
      <c r="AG80" s="752">
        <v>0</v>
      </c>
      <c r="AH80" s="752">
        <v>0</v>
      </c>
      <c r="AI80" s="752">
        <v>0</v>
      </c>
      <c r="AJ80" s="752">
        <v>0</v>
      </c>
      <c r="AK80" s="752">
        <v>0</v>
      </c>
      <c r="AL80" s="752">
        <v>0</v>
      </c>
      <c r="AM80" s="752">
        <v>0</v>
      </c>
      <c r="AN80" s="752">
        <v>0</v>
      </c>
      <c r="AO80" s="753">
        <v>0</v>
      </c>
      <c r="AP80" s="63"/>
      <c r="AQ80" s="751"/>
      <c r="AR80" s="752"/>
      <c r="AS80" s="752">
        <v>130237.07419999999</v>
      </c>
      <c r="AT80" s="752">
        <v>130237.07419999999</v>
      </c>
      <c r="AU80" s="752">
        <v>130237.07419999999</v>
      </c>
      <c r="AV80" s="752">
        <v>130237.07419999999</v>
      </c>
      <c r="AW80" s="752">
        <v>130237.07419999999</v>
      </c>
      <c r="AX80" s="752">
        <v>125013.6348</v>
      </c>
      <c r="AY80" s="752">
        <v>125013.6348</v>
      </c>
      <c r="AZ80" s="752">
        <v>124715.5583</v>
      </c>
      <c r="BA80" s="752">
        <v>120747.0699</v>
      </c>
      <c r="BB80" s="752">
        <v>82669.472970000003</v>
      </c>
      <c r="BC80" s="752">
        <v>13449.95349</v>
      </c>
      <c r="BD80" s="752">
        <v>10978.463110000001</v>
      </c>
      <c r="BE80" s="752">
        <v>10978.463110000001</v>
      </c>
      <c r="BF80" s="752">
        <v>0</v>
      </c>
      <c r="BG80" s="752">
        <v>0</v>
      </c>
      <c r="BH80" s="752">
        <v>0</v>
      </c>
      <c r="BI80" s="752">
        <v>0</v>
      </c>
      <c r="BJ80" s="752">
        <v>0</v>
      </c>
      <c r="BK80" s="752">
        <v>0</v>
      </c>
      <c r="BL80" s="752">
        <v>0</v>
      </c>
      <c r="BM80" s="752">
        <v>0</v>
      </c>
      <c r="BN80" s="752">
        <v>0</v>
      </c>
      <c r="BO80" s="752">
        <v>0</v>
      </c>
      <c r="BP80" s="752">
        <v>0</v>
      </c>
      <c r="BQ80" s="752">
        <v>0</v>
      </c>
      <c r="BR80" s="752">
        <v>0</v>
      </c>
      <c r="BS80" s="752">
        <v>0</v>
      </c>
      <c r="BT80" s="753">
        <v>0</v>
      </c>
      <c r="BU80" s="176"/>
    </row>
    <row r="81" spans="2:73">
      <c r="B81" s="750" t="s">
        <v>208</v>
      </c>
      <c r="C81" s="750" t="s">
        <v>744</v>
      </c>
      <c r="D81" s="750" t="s">
        <v>4</v>
      </c>
      <c r="E81" s="750" t="s">
        <v>745</v>
      </c>
      <c r="F81" s="750" t="s">
        <v>29</v>
      </c>
      <c r="G81" s="750" t="s">
        <v>746</v>
      </c>
      <c r="H81" s="750">
        <v>2013</v>
      </c>
      <c r="I81" s="649" t="s">
        <v>574</v>
      </c>
      <c r="J81" s="649" t="s">
        <v>582</v>
      </c>
      <c r="K81" s="63"/>
      <c r="L81" s="751"/>
      <c r="M81" s="752"/>
      <c r="N81" s="752">
        <v>8.9999999999999993E-3</v>
      </c>
      <c r="O81" s="752">
        <v>8.9999999999999993E-3</v>
      </c>
      <c r="P81" s="752">
        <v>8.9999999999999993E-3</v>
      </c>
      <c r="Q81" s="752">
        <v>8.0000000000000002E-3</v>
      </c>
      <c r="R81" s="752">
        <v>8.0000000000000002E-3</v>
      </c>
      <c r="S81" s="752">
        <v>8.0000000000000002E-3</v>
      </c>
      <c r="T81" s="752">
        <v>8.0000000000000002E-3</v>
      </c>
      <c r="U81" s="752">
        <v>8.0000000000000002E-3</v>
      </c>
      <c r="V81" s="752">
        <v>7.0000000000000001E-3</v>
      </c>
      <c r="W81" s="752">
        <v>7.0000000000000001E-3</v>
      </c>
      <c r="X81" s="752">
        <v>5.0000000000000001E-3</v>
      </c>
      <c r="Y81" s="752">
        <v>5.0000000000000001E-3</v>
      </c>
      <c r="Z81" s="752">
        <v>5.0000000000000001E-3</v>
      </c>
      <c r="AA81" s="752">
        <v>5.0000000000000001E-3</v>
      </c>
      <c r="AB81" s="752">
        <v>5.0000000000000001E-3</v>
      </c>
      <c r="AC81" s="752">
        <v>5.0000000000000001E-3</v>
      </c>
      <c r="AD81" s="752">
        <v>3.0000000000000001E-3</v>
      </c>
      <c r="AE81" s="752">
        <v>3.0000000000000001E-3</v>
      </c>
      <c r="AF81" s="752">
        <v>3.0000000000000001E-3</v>
      </c>
      <c r="AG81" s="752">
        <v>3.0000000000000001E-3</v>
      </c>
      <c r="AH81" s="752">
        <v>0</v>
      </c>
      <c r="AI81" s="752">
        <v>0</v>
      </c>
      <c r="AJ81" s="752">
        <v>0</v>
      </c>
      <c r="AK81" s="752">
        <v>0</v>
      </c>
      <c r="AL81" s="752">
        <v>0</v>
      </c>
      <c r="AM81" s="752">
        <v>0</v>
      </c>
      <c r="AN81" s="752">
        <v>0</v>
      </c>
      <c r="AO81" s="753">
        <v>0</v>
      </c>
      <c r="AP81" s="63"/>
      <c r="AQ81" s="751"/>
      <c r="AR81" s="752"/>
      <c r="AS81" s="752">
        <v>129</v>
      </c>
      <c r="AT81" s="752">
        <v>129</v>
      </c>
      <c r="AU81" s="752">
        <v>123</v>
      </c>
      <c r="AV81" s="752">
        <v>106</v>
      </c>
      <c r="AW81" s="752">
        <v>106</v>
      </c>
      <c r="AX81" s="752">
        <v>106</v>
      </c>
      <c r="AY81" s="752">
        <v>106</v>
      </c>
      <c r="AZ81" s="752">
        <v>106</v>
      </c>
      <c r="BA81" s="752">
        <v>89</v>
      </c>
      <c r="BB81" s="752">
        <v>89</v>
      </c>
      <c r="BC81" s="752">
        <v>85</v>
      </c>
      <c r="BD81" s="752">
        <v>85</v>
      </c>
      <c r="BE81" s="752">
        <v>85</v>
      </c>
      <c r="BF81" s="752">
        <v>85</v>
      </c>
      <c r="BG81" s="752">
        <v>85</v>
      </c>
      <c r="BH81" s="752">
        <v>85</v>
      </c>
      <c r="BI81" s="752">
        <v>45</v>
      </c>
      <c r="BJ81" s="752">
        <v>45</v>
      </c>
      <c r="BK81" s="752">
        <v>45</v>
      </c>
      <c r="BL81" s="752">
        <v>45</v>
      </c>
      <c r="BM81" s="752">
        <v>0</v>
      </c>
      <c r="BN81" s="752">
        <v>0</v>
      </c>
      <c r="BO81" s="752">
        <v>0</v>
      </c>
      <c r="BP81" s="752">
        <v>0</v>
      </c>
      <c r="BQ81" s="752">
        <v>0</v>
      </c>
      <c r="BR81" s="752">
        <v>0</v>
      </c>
      <c r="BS81" s="752">
        <v>0</v>
      </c>
      <c r="BT81" s="753">
        <v>0</v>
      </c>
    </row>
    <row r="82" spans="2:73" ht="15.6">
      <c r="B82" s="750" t="s">
        <v>208</v>
      </c>
      <c r="C82" s="750" t="s">
        <v>763</v>
      </c>
      <c r="D82" s="750" t="s">
        <v>14</v>
      </c>
      <c r="E82" s="750" t="s">
        <v>745</v>
      </c>
      <c r="F82" s="750" t="s">
        <v>29</v>
      </c>
      <c r="G82" s="750" t="s">
        <v>746</v>
      </c>
      <c r="H82" s="750">
        <v>2013</v>
      </c>
      <c r="I82" s="649" t="s">
        <v>574</v>
      </c>
      <c r="J82" s="649" t="s">
        <v>582</v>
      </c>
      <c r="K82" s="63"/>
      <c r="L82" s="751"/>
      <c r="M82" s="752"/>
      <c r="N82" s="752">
        <v>1.7723727760000001</v>
      </c>
      <c r="O82" s="752">
        <v>1.765087359</v>
      </c>
      <c r="P82" s="752">
        <v>1.7610482139999999</v>
      </c>
      <c r="Q82" s="752">
        <v>1.706921637</v>
      </c>
      <c r="R82" s="752">
        <v>1.6815226780000001</v>
      </c>
      <c r="S82" s="752">
        <v>1.657530733</v>
      </c>
      <c r="T82" s="752">
        <v>1.657530733</v>
      </c>
      <c r="U82" s="752">
        <v>1.657530733</v>
      </c>
      <c r="V82" s="752">
        <v>1.4579721269999999</v>
      </c>
      <c r="W82" s="752">
        <v>1.4579721269999999</v>
      </c>
      <c r="X82" s="752">
        <v>1.429200053</v>
      </c>
      <c r="Y82" s="752">
        <v>1.429200053</v>
      </c>
      <c r="Z82" s="752">
        <v>1.429200053</v>
      </c>
      <c r="AA82" s="752">
        <v>1.429200053</v>
      </c>
      <c r="AB82" s="752">
        <v>0</v>
      </c>
      <c r="AC82" s="752">
        <v>0</v>
      </c>
      <c r="AD82" s="752">
        <v>0</v>
      </c>
      <c r="AE82" s="752">
        <v>0</v>
      </c>
      <c r="AF82" s="752">
        <v>0</v>
      </c>
      <c r="AG82" s="752">
        <v>0</v>
      </c>
      <c r="AH82" s="752">
        <v>0</v>
      </c>
      <c r="AI82" s="752">
        <v>0</v>
      </c>
      <c r="AJ82" s="752">
        <v>0</v>
      </c>
      <c r="AK82" s="752">
        <v>0</v>
      </c>
      <c r="AL82" s="752">
        <v>0</v>
      </c>
      <c r="AM82" s="752">
        <v>0</v>
      </c>
      <c r="AN82" s="752">
        <v>0</v>
      </c>
      <c r="AO82" s="753">
        <v>0</v>
      </c>
      <c r="AP82" s="63"/>
      <c r="AQ82" s="751"/>
      <c r="AR82" s="752"/>
      <c r="AS82" s="752">
        <v>18427.818869999999</v>
      </c>
      <c r="AT82" s="752">
        <v>18285.944960000001</v>
      </c>
      <c r="AU82" s="752">
        <v>18207.92268</v>
      </c>
      <c r="AV82" s="752">
        <v>17168.769329999999</v>
      </c>
      <c r="AW82" s="752">
        <v>16681.788499999999</v>
      </c>
      <c r="AX82" s="752">
        <v>16221.94292</v>
      </c>
      <c r="AY82" s="752">
        <v>16221.94292</v>
      </c>
      <c r="AZ82" s="752">
        <v>16221.94292</v>
      </c>
      <c r="BA82" s="752">
        <v>12389.3833</v>
      </c>
      <c r="BB82" s="752">
        <v>12389.3833</v>
      </c>
      <c r="BC82" s="752">
        <v>11754</v>
      </c>
      <c r="BD82" s="752">
        <v>11754</v>
      </c>
      <c r="BE82" s="752">
        <v>11754</v>
      </c>
      <c r="BF82" s="752">
        <v>11754</v>
      </c>
      <c r="BG82" s="752">
        <v>0</v>
      </c>
      <c r="BH82" s="752">
        <v>0</v>
      </c>
      <c r="BI82" s="752">
        <v>0</v>
      </c>
      <c r="BJ82" s="752">
        <v>0</v>
      </c>
      <c r="BK82" s="752">
        <v>0</v>
      </c>
      <c r="BL82" s="752">
        <v>0</v>
      </c>
      <c r="BM82" s="752">
        <v>0</v>
      </c>
      <c r="BN82" s="752">
        <v>0</v>
      </c>
      <c r="BO82" s="752">
        <v>0</v>
      </c>
      <c r="BP82" s="752">
        <v>0</v>
      </c>
      <c r="BQ82" s="752">
        <v>0</v>
      </c>
      <c r="BR82" s="752">
        <v>0</v>
      </c>
      <c r="BS82" s="752">
        <v>0</v>
      </c>
      <c r="BT82" s="753">
        <v>0</v>
      </c>
      <c r="BU82" s="176"/>
    </row>
    <row r="83" spans="2:73" ht="15.6">
      <c r="B83" s="750" t="s">
        <v>208</v>
      </c>
      <c r="C83" s="750" t="s">
        <v>744</v>
      </c>
      <c r="D83" s="750" t="s">
        <v>3</v>
      </c>
      <c r="E83" s="750" t="s">
        <v>745</v>
      </c>
      <c r="F83" s="750" t="s">
        <v>29</v>
      </c>
      <c r="G83" s="750" t="s">
        <v>747</v>
      </c>
      <c r="H83" s="750">
        <v>2013</v>
      </c>
      <c r="I83" s="649" t="s">
        <v>574</v>
      </c>
      <c r="J83" s="649" t="s">
        <v>582</v>
      </c>
      <c r="K83" s="63"/>
      <c r="L83" s="751"/>
      <c r="M83" s="752"/>
      <c r="N83" s="752">
        <v>5.613266962</v>
      </c>
      <c r="O83" s="752">
        <v>5.613266962</v>
      </c>
      <c r="P83" s="752">
        <v>5.613266962</v>
      </c>
      <c r="Q83" s="752">
        <v>5.613266962</v>
      </c>
      <c r="R83" s="752">
        <v>5.613266962</v>
      </c>
      <c r="S83" s="752">
        <v>5.613266962</v>
      </c>
      <c r="T83" s="752">
        <v>5.613266962</v>
      </c>
      <c r="U83" s="752">
        <v>5.613266962</v>
      </c>
      <c r="V83" s="752">
        <v>5.613266962</v>
      </c>
      <c r="W83" s="752">
        <v>5.613266962</v>
      </c>
      <c r="X83" s="752">
        <v>5.613266962</v>
      </c>
      <c r="Y83" s="752">
        <v>5.613266962</v>
      </c>
      <c r="Z83" s="752">
        <v>5.613266962</v>
      </c>
      <c r="AA83" s="752">
        <v>5.613266962</v>
      </c>
      <c r="AB83" s="752">
        <v>5.613266962</v>
      </c>
      <c r="AC83" s="752">
        <v>5.613266962</v>
      </c>
      <c r="AD83" s="752">
        <v>5.613266962</v>
      </c>
      <c r="AE83" s="752">
        <v>5.613266962</v>
      </c>
      <c r="AF83" s="752">
        <v>4.469928629</v>
      </c>
      <c r="AG83" s="752">
        <v>0</v>
      </c>
      <c r="AH83" s="752">
        <v>0</v>
      </c>
      <c r="AI83" s="752">
        <v>0</v>
      </c>
      <c r="AJ83" s="752">
        <v>0</v>
      </c>
      <c r="AK83" s="752">
        <v>0</v>
      </c>
      <c r="AL83" s="752">
        <v>0</v>
      </c>
      <c r="AM83" s="752">
        <v>0</v>
      </c>
      <c r="AN83" s="752">
        <v>0</v>
      </c>
      <c r="AO83" s="753">
        <v>0</v>
      </c>
      <c r="AP83" s="63"/>
      <c r="AQ83" s="751"/>
      <c r="AR83" s="752"/>
      <c r="AS83" s="752">
        <v>9701.8248294900004</v>
      </c>
      <c r="AT83" s="752">
        <v>9701.8248294900004</v>
      </c>
      <c r="AU83" s="752">
        <v>9701.8248294900004</v>
      </c>
      <c r="AV83" s="752">
        <v>9701.8248294900004</v>
      </c>
      <c r="AW83" s="752">
        <v>9701.8248294900004</v>
      </c>
      <c r="AX83" s="752">
        <v>9701.8248294900004</v>
      </c>
      <c r="AY83" s="752">
        <v>9701.8248294900004</v>
      </c>
      <c r="AZ83" s="752">
        <v>9701.8248294900004</v>
      </c>
      <c r="BA83" s="752">
        <v>9701.8248294900004</v>
      </c>
      <c r="BB83" s="752">
        <v>9701.8248294900004</v>
      </c>
      <c r="BC83" s="752">
        <v>9701.8248294900004</v>
      </c>
      <c r="BD83" s="752">
        <v>9701.8248294900004</v>
      </c>
      <c r="BE83" s="752">
        <v>9701.8248294900004</v>
      </c>
      <c r="BF83" s="752">
        <v>9701.8248294900004</v>
      </c>
      <c r="BG83" s="752">
        <v>9701.8248294900004</v>
      </c>
      <c r="BH83" s="752">
        <v>9701.8248294900004</v>
      </c>
      <c r="BI83" s="752">
        <v>9701.8248294900004</v>
      </c>
      <c r="BJ83" s="752">
        <v>9701.8248294900004</v>
      </c>
      <c r="BK83" s="752">
        <v>8679.3894710000004</v>
      </c>
      <c r="BL83" s="752">
        <v>0</v>
      </c>
      <c r="BM83" s="752">
        <v>0</v>
      </c>
      <c r="BN83" s="752">
        <v>0</v>
      </c>
      <c r="BO83" s="752">
        <v>0</v>
      </c>
      <c r="BP83" s="752">
        <v>0</v>
      </c>
      <c r="BQ83" s="752">
        <v>0</v>
      </c>
      <c r="BR83" s="752">
        <v>0</v>
      </c>
      <c r="BS83" s="752">
        <v>0</v>
      </c>
      <c r="BT83" s="753">
        <v>0</v>
      </c>
      <c r="BU83" s="176"/>
    </row>
    <row r="84" spans="2:73" ht="15.6">
      <c r="B84" s="750" t="s">
        <v>743</v>
      </c>
      <c r="C84" s="750" t="s">
        <v>744</v>
      </c>
      <c r="D84" s="750" t="s">
        <v>42</v>
      </c>
      <c r="E84" s="750" t="s">
        <v>745</v>
      </c>
      <c r="F84" s="750" t="s">
        <v>29</v>
      </c>
      <c r="G84" s="750" t="s">
        <v>747</v>
      </c>
      <c r="H84" s="750">
        <v>2013</v>
      </c>
      <c r="I84" s="649" t="s">
        <v>574</v>
      </c>
      <c r="J84" s="649" t="s">
        <v>582</v>
      </c>
      <c r="K84" s="63"/>
      <c r="L84" s="751"/>
      <c r="M84" s="752"/>
      <c r="N84" s="752">
        <v>0</v>
      </c>
      <c r="O84" s="752">
        <v>74.143129999999999</v>
      </c>
      <c r="P84" s="752">
        <v>0</v>
      </c>
      <c r="Q84" s="752">
        <v>0</v>
      </c>
      <c r="R84" s="752">
        <v>0</v>
      </c>
      <c r="S84" s="752">
        <v>0</v>
      </c>
      <c r="T84" s="752">
        <v>0</v>
      </c>
      <c r="U84" s="752">
        <v>0</v>
      </c>
      <c r="V84" s="752">
        <v>0</v>
      </c>
      <c r="W84" s="752">
        <v>0</v>
      </c>
      <c r="X84" s="752">
        <v>0</v>
      </c>
      <c r="Y84" s="752">
        <v>0</v>
      </c>
      <c r="Z84" s="752">
        <v>0</v>
      </c>
      <c r="AA84" s="752">
        <v>0</v>
      </c>
      <c r="AB84" s="752">
        <v>0</v>
      </c>
      <c r="AC84" s="752">
        <v>0</v>
      </c>
      <c r="AD84" s="752">
        <v>0</v>
      </c>
      <c r="AE84" s="752">
        <v>0</v>
      </c>
      <c r="AF84" s="752">
        <v>0</v>
      </c>
      <c r="AG84" s="752">
        <v>0</v>
      </c>
      <c r="AH84" s="752">
        <v>0</v>
      </c>
      <c r="AI84" s="752">
        <v>0</v>
      </c>
      <c r="AJ84" s="752">
        <v>0</v>
      </c>
      <c r="AK84" s="752">
        <v>0</v>
      </c>
      <c r="AL84" s="752">
        <v>0</v>
      </c>
      <c r="AM84" s="752">
        <v>0</v>
      </c>
      <c r="AN84" s="752">
        <v>0</v>
      </c>
      <c r="AO84" s="753">
        <v>0</v>
      </c>
      <c r="AP84" s="63"/>
      <c r="AQ84" s="751"/>
      <c r="AR84" s="752"/>
      <c r="AS84" s="752">
        <v>0</v>
      </c>
      <c r="AT84" s="752">
        <v>0</v>
      </c>
      <c r="AU84" s="752">
        <v>0</v>
      </c>
      <c r="AV84" s="752">
        <v>0</v>
      </c>
      <c r="AW84" s="752">
        <v>0</v>
      </c>
      <c r="AX84" s="752">
        <v>0</v>
      </c>
      <c r="AY84" s="752">
        <v>0</v>
      </c>
      <c r="AZ84" s="752">
        <v>0</v>
      </c>
      <c r="BA84" s="752">
        <v>0</v>
      </c>
      <c r="BB84" s="752">
        <v>0</v>
      </c>
      <c r="BC84" s="752">
        <v>0</v>
      </c>
      <c r="BD84" s="752">
        <v>0</v>
      </c>
      <c r="BE84" s="752">
        <v>0</v>
      </c>
      <c r="BF84" s="752">
        <v>0</v>
      </c>
      <c r="BG84" s="752">
        <v>0</v>
      </c>
      <c r="BH84" s="752">
        <v>0</v>
      </c>
      <c r="BI84" s="752">
        <v>0</v>
      </c>
      <c r="BJ84" s="752">
        <v>0</v>
      </c>
      <c r="BK84" s="752">
        <v>0</v>
      </c>
      <c r="BL84" s="752">
        <v>0</v>
      </c>
      <c r="BM84" s="752">
        <v>0</v>
      </c>
      <c r="BN84" s="752">
        <v>0</v>
      </c>
      <c r="BO84" s="752">
        <v>0</v>
      </c>
      <c r="BP84" s="752">
        <v>0</v>
      </c>
      <c r="BQ84" s="752">
        <v>0</v>
      </c>
      <c r="BR84" s="752">
        <v>0</v>
      </c>
      <c r="BS84" s="752">
        <v>0</v>
      </c>
      <c r="BT84" s="753">
        <v>0</v>
      </c>
      <c r="BU84" s="176"/>
    </row>
    <row r="85" spans="2:73">
      <c r="B85" s="750" t="s">
        <v>743</v>
      </c>
      <c r="C85" s="750" t="s">
        <v>751</v>
      </c>
      <c r="D85" s="750" t="s">
        <v>764</v>
      </c>
      <c r="E85" s="750" t="s">
        <v>745</v>
      </c>
      <c r="F85" s="750" t="s">
        <v>751</v>
      </c>
      <c r="G85" s="750" t="s">
        <v>746</v>
      </c>
      <c r="H85" s="750">
        <v>2013</v>
      </c>
      <c r="I85" s="649" t="s">
        <v>574</v>
      </c>
      <c r="J85" s="649" t="s">
        <v>582</v>
      </c>
      <c r="K85" s="63"/>
      <c r="L85" s="751"/>
      <c r="M85" s="752"/>
      <c r="N85" s="752">
        <v>0.17749799999999999</v>
      </c>
      <c r="O85" s="752">
        <v>0.17749799999999999</v>
      </c>
      <c r="P85" s="752">
        <v>0.17749799999999999</v>
      </c>
      <c r="Q85" s="752">
        <v>0</v>
      </c>
      <c r="R85" s="752">
        <v>0</v>
      </c>
      <c r="S85" s="752">
        <v>0</v>
      </c>
      <c r="T85" s="752">
        <v>0</v>
      </c>
      <c r="U85" s="752">
        <v>0</v>
      </c>
      <c r="V85" s="752">
        <v>0</v>
      </c>
      <c r="W85" s="752">
        <v>0</v>
      </c>
      <c r="X85" s="752">
        <v>0</v>
      </c>
      <c r="Y85" s="752">
        <v>0</v>
      </c>
      <c r="Z85" s="752">
        <v>0</v>
      </c>
      <c r="AA85" s="752">
        <v>0</v>
      </c>
      <c r="AB85" s="752">
        <v>0</v>
      </c>
      <c r="AC85" s="752">
        <v>0</v>
      </c>
      <c r="AD85" s="752">
        <v>0</v>
      </c>
      <c r="AE85" s="752">
        <v>0</v>
      </c>
      <c r="AF85" s="752">
        <v>0</v>
      </c>
      <c r="AG85" s="752">
        <v>0</v>
      </c>
      <c r="AH85" s="752">
        <v>0</v>
      </c>
      <c r="AI85" s="752">
        <v>0</v>
      </c>
      <c r="AJ85" s="752">
        <v>0</v>
      </c>
      <c r="AK85" s="752">
        <v>0</v>
      </c>
      <c r="AL85" s="752">
        <v>0</v>
      </c>
      <c r="AM85" s="752">
        <v>0</v>
      </c>
      <c r="AN85" s="752">
        <v>0</v>
      </c>
      <c r="AO85" s="753">
        <v>0</v>
      </c>
      <c r="AP85" s="63"/>
      <c r="AQ85" s="751"/>
      <c r="AR85" s="752"/>
      <c r="AS85" s="752">
        <v>10467.69231</v>
      </c>
      <c r="AT85" s="752">
        <v>10467.69231</v>
      </c>
      <c r="AU85" s="752">
        <v>10467.69231</v>
      </c>
      <c r="AV85" s="752">
        <v>0</v>
      </c>
      <c r="AW85" s="752">
        <v>0</v>
      </c>
      <c r="AX85" s="752">
        <v>0</v>
      </c>
      <c r="AY85" s="752">
        <v>0</v>
      </c>
      <c r="AZ85" s="752">
        <v>0</v>
      </c>
      <c r="BA85" s="752">
        <v>0</v>
      </c>
      <c r="BB85" s="752">
        <v>0</v>
      </c>
      <c r="BC85" s="752">
        <v>0</v>
      </c>
      <c r="BD85" s="752">
        <v>0</v>
      </c>
      <c r="BE85" s="752">
        <v>0</v>
      </c>
      <c r="BF85" s="752">
        <v>0</v>
      </c>
      <c r="BG85" s="752">
        <v>0</v>
      </c>
      <c r="BH85" s="752">
        <v>0</v>
      </c>
      <c r="BI85" s="752">
        <v>0</v>
      </c>
      <c r="BJ85" s="752">
        <v>0</v>
      </c>
      <c r="BK85" s="752">
        <v>0</v>
      </c>
      <c r="BL85" s="752">
        <v>0</v>
      </c>
      <c r="BM85" s="752">
        <v>0</v>
      </c>
      <c r="BN85" s="752">
        <v>0</v>
      </c>
      <c r="BO85" s="752">
        <v>0</v>
      </c>
      <c r="BP85" s="752">
        <v>0</v>
      </c>
      <c r="BQ85" s="752">
        <v>0</v>
      </c>
      <c r="BR85" s="752">
        <v>0</v>
      </c>
      <c r="BS85" s="752">
        <v>0</v>
      </c>
      <c r="BT85" s="753">
        <v>0</v>
      </c>
    </row>
    <row r="86" spans="2:73">
      <c r="B86" s="750" t="s">
        <v>208</v>
      </c>
      <c r="C86" s="750" t="s">
        <v>748</v>
      </c>
      <c r="D86" s="750" t="s">
        <v>21</v>
      </c>
      <c r="E86" s="750" t="s">
        <v>745</v>
      </c>
      <c r="F86" s="750" t="s">
        <v>755</v>
      </c>
      <c r="G86" s="750" t="s">
        <v>746</v>
      </c>
      <c r="H86" s="750">
        <v>2014</v>
      </c>
      <c r="I86" s="649" t="s">
        <v>574</v>
      </c>
      <c r="J86" s="649" t="s">
        <v>589</v>
      </c>
      <c r="K86" s="63"/>
      <c r="L86" s="751"/>
      <c r="M86" s="752"/>
      <c r="N86" s="752"/>
      <c r="O86" s="752">
        <v>20.830616890000002</v>
      </c>
      <c r="P86" s="752">
        <v>20.830616890000002</v>
      </c>
      <c r="Q86" s="752">
        <v>16.512675779999999</v>
      </c>
      <c r="R86" s="752">
        <v>11.081446400000001</v>
      </c>
      <c r="S86" s="752">
        <v>11.081446400000001</v>
      </c>
      <c r="T86" s="752">
        <v>11.081446400000001</v>
      </c>
      <c r="U86" s="752">
        <v>11.081446400000001</v>
      </c>
      <c r="V86" s="752">
        <v>11.081446400000001</v>
      </c>
      <c r="W86" s="752">
        <v>11.081446400000001</v>
      </c>
      <c r="X86" s="752">
        <v>11.081446400000001</v>
      </c>
      <c r="Y86" s="752">
        <v>11.081446400000001</v>
      </c>
      <c r="Z86" s="752">
        <v>1.2316640329999999</v>
      </c>
      <c r="AA86" s="752">
        <v>0</v>
      </c>
      <c r="AB86" s="752">
        <v>0</v>
      </c>
      <c r="AC86" s="752">
        <v>0</v>
      </c>
      <c r="AD86" s="752">
        <v>0</v>
      </c>
      <c r="AE86" s="752">
        <v>0</v>
      </c>
      <c r="AF86" s="752">
        <v>0</v>
      </c>
      <c r="AG86" s="752">
        <v>0</v>
      </c>
      <c r="AH86" s="752">
        <v>0</v>
      </c>
      <c r="AI86" s="752">
        <v>0</v>
      </c>
      <c r="AJ86" s="752">
        <v>0</v>
      </c>
      <c r="AK86" s="752">
        <v>0</v>
      </c>
      <c r="AL86" s="752">
        <v>0</v>
      </c>
      <c r="AM86" s="752">
        <v>0</v>
      </c>
      <c r="AN86" s="752">
        <v>0</v>
      </c>
      <c r="AO86" s="753">
        <v>0</v>
      </c>
      <c r="AP86" s="63"/>
      <c r="AQ86" s="751"/>
      <c r="AR86" s="752"/>
      <c r="AS86" s="752"/>
      <c r="AT86" s="752">
        <v>76510.412830000001</v>
      </c>
      <c r="AU86" s="752">
        <v>76510.412830000001</v>
      </c>
      <c r="AV86" s="752">
        <v>61937.727879999999</v>
      </c>
      <c r="AW86" s="752">
        <v>41663.551039999998</v>
      </c>
      <c r="AX86" s="752">
        <v>41663.551039999998</v>
      </c>
      <c r="AY86" s="752">
        <v>41663.551039999998</v>
      </c>
      <c r="AZ86" s="752">
        <v>41663.551039999998</v>
      </c>
      <c r="BA86" s="752">
        <v>41663.551039999998</v>
      </c>
      <c r="BB86" s="752">
        <v>41663.551039999998</v>
      </c>
      <c r="BC86" s="752">
        <v>41663.551039999998</v>
      </c>
      <c r="BD86" s="752">
        <v>41663.551039999998</v>
      </c>
      <c r="BE86" s="752">
        <v>4565.3420059999999</v>
      </c>
      <c r="BF86" s="752">
        <v>0</v>
      </c>
      <c r="BG86" s="752">
        <v>0</v>
      </c>
      <c r="BH86" s="752">
        <v>0</v>
      </c>
      <c r="BI86" s="752">
        <v>0</v>
      </c>
      <c r="BJ86" s="752">
        <v>0</v>
      </c>
      <c r="BK86" s="752">
        <v>0</v>
      </c>
      <c r="BL86" s="752">
        <v>0</v>
      </c>
      <c r="BM86" s="752">
        <v>0</v>
      </c>
      <c r="BN86" s="752">
        <v>0</v>
      </c>
      <c r="BO86" s="752">
        <v>0</v>
      </c>
      <c r="BP86" s="752">
        <v>0</v>
      </c>
      <c r="BQ86" s="752">
        <v>0</v>
      </c>
      <c r="BR86" s="752">
        <v>0</v>
      </c>
      <c r="BS86" s="752">
        <v>0</v>
      </c>
      <c r="BT86" s="753">
        <v>0</v>
      </c>
    </row>
    <row r="87" spans="2:73">
      <c r="B87" s="750" t="s">
        <v>208</v>
      </c>
      <c r="C87" s="750" t="s">
        <v>748</v>
      </c>
      <c r="D87" s="750" t="s">
        <v>20</v>
      </c>
      <c r="E87" s="750" t="s">
        <v>745</v>
      </c>
      <c r="F87" s="750" t="s">
        <v>755</v>
      </c>
      <c r="G87" s="750" t="s">
        <v>746</v>
      </c>
      <c r="H87" s="750">
        <v>2014</v>
      </c>
      <c r="I87" s="649" t="s">
        <v>574</v>
      </c>
      <c r="J87" s="649" t="s">
        <v>589</v>
      </c>
      <c r="K87" s="63"/>
      <c r="L87" s="751"/>
      <c r="M87" s="752"/>
      <c r="N87" s="752"/>
      <c r="O87" s="752">
        <v>26.73386103</v>
      </c>
      <c r="P87" s="752">
        <v>26.73386103</v>
      </c>
      <c r="Q87" s="752">
        <v>26.73386103</v>
      </c>
      <c r="R87" s="752">
        <v>26.73386103</v>
      </c>
      <c r="S87" s="752">
        <v>0</v>
      </c>
      <c r="T87" s="752">
        <v>0</v>
      </c>
      <c r="U87" s="752">
        <v>0</v>
      </c>
      <c r="V87" s="752">
        <v>0</v>
      </c>
      <c r="W87" s="752">
        <v>0</v>
      </c>
      <c r="X87" s="752">
        <v>0</v>
      </c>
      <c r="Y87" s="752">
        <v>0</v>
      </c>
      <c r="Z87" s="752">
        <v>0</v>
      </c>
      <c r="AA87" s="752">
        <v>0</v>
      </c>
      <c r="AB87" s="752">
        <v>0</v>
      </c>
      <c r="AC87" s="752">
        <v>0</v>
      </c>
      <c r="AD87" s="752">
        <v>0</v>
      </c>
      <c r="AE87" s="752">
        <v>0</v>
      </c>
      <c r="AF87" s="752">
        <v>0</v>
      </c>
      <c r="AG87" s="752">
        <v>0</v>
      </c>
      <c r="AH87" s="752">
        <v>0</v>
      </c>
      <c r="AI87" s="752">
        <v>0</v>
      </c>
      <c r="AJ87" s="752">
        <v>0</v>
      </c>
      <c r="AK87" s="752">
        <v>0</v>
      </c>
      <c r="AL87" s="752">
        <v>0</v>
      </c>
      <c r="AM87" s="752">
        <v>0</v>
      </c>
      <c r="AN87" s="752">
        <v>0</v>
      </c>
      <c r="AO87" s="753">
        <v>0</v>
      </c>
      <c r="AP87" s="63"/>
      <c r="AQ87" s="751"/>
      <c r="AR87" s="752"/>
      <c r="AS87" s="752"/>
      <c r="AT87" s="752">
        <v>130547.1401</v>
      </c>
      <c r="AU87" s="752">
        <v>130547.1401</v>
      </c>
      <c r="AV87" s="752">
        <v>130547.1401</v>
      </c>
      <c r="AW87" s="752">
        <v>130547.1401</v>
      </c>
      <c r="AX87" s="752">
        <v>0</v>
      </c>
      <c r="AY87" s="752">
        <v>0</v>
      </c>
      <c r="AZ87" s="752">
        <v>0</v>
      </c>
      <c r="BA87" s="752">
        <v>0</v>
      </c>
      <c r="BB87" s="752">
        <v>0</v>
      </c>
      <c r="BC87" s="752">
        <v>0</v>
      </c>
      <c r="BD87" s="752">
        <v>0</v>
      </c>
      <c r="BE87" s="752">
        <v>0</v>
      </c>
      <c r="BF87" s="752">
        <v>0</v>
      </c>
      <c r="BG87" s="752">
        <v>0</v>
      </c>
      <c r="BH87" s="752">
        <v>0</v>
      </c>
      <c r="BI87" s="752">
        <v>0</v>
      </c>
      <c r="BJ87" s="752">
        <v>0</v>
      </c>
      <c r="BK87" s="752">
        <v>0</v>
      </c>
      <c r="BL87" s="752">
        <v>0</v>
      </c>
      <c r="BM87" s="752">
        <v>0</v>
      </c>
      <c r="BN87" s="752">
        <v>0</v>
      </c>
      <c r="BO87" s="752">
        <v>0</v>
      </c>
      <c r="BP87" s="752">
        <v>0</v>
      </c>
      <c r="BQ87" s="752">
        <v>0</v>
      </c>
      <c r="BR87" s="752">
        <v>0</v>
      </c>
      <c r="BS87" s="752">
        <v>0</v>
      </c>
      <c r="BT87" s="753">
        <v>0</v>
      </c>
    </row>
    <row r="88" spans="2:73">
      <c r="B88" s="750" t="s">
        <v>208</v>
      </c>
      <c r="C88" s="750" t="s">
        <v>748</v>
      </c>
      <c r="D88" s="750" t="s">
        <v>17</v>
      </c>
      <c r="E88" s="750" t="s">
        <v>745</v>
      </c>
      <c r="F88" s="750" t="s">
        <v>755</v>
      </c>
      <c r="G88" s="750" t="s">
        <v>746</v>
      </c>
      <c r="H88" s="750">
        <v>2014</v>
      </c>
      <c r="I88" s="649" t="s">
        <v>574</v>
      </c>
      <c r="J88" s="649" t="s">
        <v>589</v>
      </c>
      <c r="K88" s="63"/>
      <c r="L88" s="751"/>
      <c r="M88" s="752"/>
      <c r="N88" s="752"/>
      <c r="O88" s="752">
        <v>24.329093839999999</v>
      </c>
      <c r="P88" s="752">
        <v>24.329093839999999</v>
      </c>
      <c r="Q88" s="752">
        <v>24.329093839999999</v>
      </c>
      <c r="R88" s="752">
        <v>24.329093839999999</v>
      </c>
      <c r="S88" s="752">
        <v>24.329093839999999</v>
      </c>
      <c r="T88" s="752">
        <v>24.329093839999999</v>
      </c>
      <c r="U88" s="752">
        <v>24.329093839999999</v>
      </c>
      <c r="V88" s="752">
        <v>24.329093839999999</v>
      </c>
      <c r="W88" s="752">
        <v>17.742821840000001</v>
      </c>
      <c r="X88" s="752">
        <v>17.742821840000001</v>
      </c>
      <c r="Y88" s="752">
        <v>1.492110437</v>
      </c>
      <c r="Z88" s="752">
        <v>1.492110437</v>
      </c>
      <c r="AA88" s="752">
        <v>1.492110437</v>
      </c>
      <c r="AB88" s="752">
        <v>1.492110437</v>
      </c>
      <c r="AC88" s="752">
        <v>1.159470437</v>
      </c>
      <c r="AD88" s="752">
        <v>0</v>
      </c>
      <c r="AE88" s="752">
        <v>0</v>
      </c>
      <c r="AF88" s="752">
        <v>0</v>
      </c>
      <c r="AG88" s="752">
        <v>0</v>
      </c>
      <c r="AH88" s="752">
        <v>0</v>
      </c>
      <c r="AI88" s="752">
        <v>0</v>
      </c>
      <c r="AJ88" s="752">
        <v>0</v>
      </c>
      <c r="AK88" s="752">
        <v>0</v>
      </c>
      <c r="AL88" s="752">
        <v>0</v>
      </c>
      <c r="AM88" s="752">
        <v>0</v>
      </c>
      <c r="AN88" s="752">
        <v>0</v>
      </c>
      <c r="AO88" s="753">
        <v>0</v>
      </c>
      <c r="AP88" s="63"/>
      <c r="AQ88" s="751"/>
      <c r="AR88" s="752"/>
      <c r="AS88" s="752"/>
      <c r="AT88" s="752">
        <v>126131.6814</v>
      </c>
      <c r="AU88" s="752">
        <v>126131.6814</v>
      </c>
      <c r="AV88" s="752">
        <v>126131.6814</v>
      </c>
      <c r="AW88" s="752">
        <v>126131.6814</v>
      </c>
      <c r="AX88" s="752">
        <v>126131.6814</v>
      </c>
      <c r="AY88" s="752">
        <v>126131.6814</v>
      </c>
      <c r="AZ88" s="752">
        <v>126131.6814</v>
      </c>
      <c r="BA88" s="752">
        <v>126131.6814</v>
      </c>
      <c r="BB88" s="752">
        <v>104362.7694</v>
      </c>
      <c r="BC88" s="752">
        <v>104362.7694</v>
      </c>
      <c r="BD88" s="752">
        <v>3228.471978</v>
      </c>
      <c r="BE88" s="752">
        <v>3228.471978</v>
      </c>
      <c r="BF88" s="752">
        <v>3228.471978</v>
      </c>
      <c r="BG88" s="752">
        <v>3228.471978</v>
      </c>
      <c r="BH88" s="752">
        <v>2129.031978</v>
      </c>
      <c r="BI88" s="752">
        <v>0</v>
      </c>
      <c r="BJ88" s="752">
        <v>0</v>
      </c>
      <c r="BK88" s="752">
        <v>0</v>
      </c>
      <c r="BL88" s="752">
        <v>0</v>
      </c>
      <c r="BM88" s="752">
        <v>0</v>
      </c>
      <c r="BN88" s="752">
        <v>0</v>
      </c>
      <c r="BO88" s="752">
        <v>0</v>
      </c>
      <c r="BP88" s="752">
        <v>0</v>
      </c>
      <c r="BQ88" s="752">
        <v>0</v>
      </c>
      <c r="BR88" s="752">
        <v>0</v>
      </c>
      <c r="BS88" s="752">
        <v>0</v>
      </c>
      <c r="BT88" s="753">
        <v>0</v>
      </c>
    </row>
    <row r="89" spans="2:73">
      <c r="B89" s="750" t="s">
        <v>208</v>
      </c>
      <c r="C89" s="750" t="s">
        <v>748</v>
      </c>
      <c r="D89" s="750" t="s">
        <v>22</v>
      </c>
      <c r="E89" s="750" t="s">
        <v>745</v>
      </c>
      <c r="F89" s="750" t="s">
        <v>755</v>
      </c>
      <c r="G89" s="750" t="s">
        <v>746</v>
      </c>
      <c r="H89" s="750">
        <v>2014</v>
      </c>
      <c r="I89" s="649" t="s">
        <v>574</v>
      </c>
      <c r="J89" s="649" t="s">
        <v>589</v>
      </c>
      <c r="K89" s="63"/>
      <c r="L89" s="751"/>
      <c r="M89" s="752"/>
      <c r="N89" s="752"/>
      <c r="O89" s="752">
        <v>273.98344700000001</v>
      </c>
      <c r="P89" s="752">
        <v>273.85193029999999</v>
      </c>
      <c r="Q89" s="752">
        <v>273.85193029999999</v>
      </c>
      <c r="R89" s="752">
        <v>272.03739150000001</v>
      </c>
      <c r="S89" s="752">
        <v>272.03739150000001</v>
      </c>
      <c r="T89" s="752">
        <v>248.49758009999999</v>
      </c>
      <c r="U89" s="752">
        <v>235.3691786</v>
      </c>
      <c r="V89" s="752">
        <v>235.3691786</v>
      </c>
      <c r="W89" s="752">
        <v>223.35833009999999</v>
      </c>
      <c r="X89" s="752">
        <v>167.74004590000001</v>
      </c>
      <c r="Y89" s="752">
        <v>113.30595099999999</v>
      </c>
      <c r="Z89" s="752">
        <v>113.30595099999999</v>
      </c>
      <c r="AA89" s="752">
        <v>52.208944709999997</v>
      </c>
      <c r="AB89" s="752">
        <v>51.998892990000002</v>
      </c>
      <c r="AC89" s="752">
        <v>51.998892990000002</v>
      </c>
      <c r="AD89" s="752">
        <v>40.501160509999998</v>
      </c>
      <c r="AE89" s="752">
        <v>4.5502267119999997</v>
      </c>
      <c r="AF89" s="752">
        <v>4.5502267119999997</v>
      </c>
      <c r="AG89" s="752">
        <v>4.5502267119999997</v>
      </c>
      <c r="AH89" s="752">
        <v>4.5502267119999997</v>
      </c>
      <c r="AI89" s="752">
        <v>0</v>
      </c>
      <c r="AJ89" s="752">
        <v>0</v>
      </c>
      <c r="AK89" s="752">
        <v>0</v>
      </c>
      <c r="AL89" s="752">
        <v>0</v>
      </c>
      <c r="AM89" s="752">
        <v>0</v>
      </c>
      <c r="AN89" s="752">
        <v>0</v>
      </c>
      <c r="AO89" s="753">
        <v>0</v>
      </c>
      <c r="AP89" s="63"/>
      <c r="AQ89" s="751"/>
      <c r="AR89" s="752"/>
      <c r="AS89" s="752"/>
      <c r="AT89" s="752">
        <v>1553508.237</v>
      </c>
      <c r="AU89" s="752">
        <v>1553050.1</v>
      </c>
      <c r="AV89" s="752">
        <v>1553050.1</v>
      </c>
      <c r="AW89" s="752">
        <v>1546714.3489999999</v>
      </c>
      <c r="AX89" s="752">
        <v>1546714.3489999999</v>
      </c>
      <c r="AY89" s="752">
        <v>1464713.686</v>
      </c>
      <c r="AZ89" s="752">
        <v>1387605.767</v>
      </c>
      <c r="BA89" s="752">
        <v>1387605.767</v>
      </c>
      <c r="BB89" s="752">
        <v>1332261.6240000001</v>
      </c>
      <c r="BC89" s="752">
        <v>1001970.095</v>
      </c>
      <c r="BD89" s="752">
        <v>672703.33640000003</v>
      </c>
      <c r="BE89" s="752">
        <v>659979.84649999999</v>
      </c>
      <c r="BF89" s="752">
        <v>252005.63320000001</v>
      </c>
      <c r="BG89" s="752">
        <v>251273.9204</v>
      </c>
      <c r="BH89" s="752">
        <v>251273.9204</v>
      </c>
      <c r="BI89" s="752">
        <v>197175.0871</v>
      </c>
      <c r="BJ89" s="752">
        <v>12443.09798</v>
      </c>
      <c r="BK89" s="752">
        <v>12443.09798</v>
      </c>
      <c r="BL89" s="752">
        <v>12443.09798</v>
      </c>
      <c r="BM89" s="752">
        <v>12443.09798</v>
      </c>
      <c r="BN89" s="752">
        <v>0</v>
      </c>
      <c r="BO89" s="752">
        <v>0</v>
      </c>
      <c r="BP89" s="752">
        <v>0</v>
      </c>
      <c r="BQ89" s="752">
        <v>0</v>
      </c>
      <c r="BR89" s="752">
        <v>0</v>
      </c>
      <c r="BS89" s="752">
        <v>0</v>
      </c>
      <c r="BT89" s="753">
        <v>0</v>
      </c>
    </row>
    <row r="90" spans="2:73">
      <c r="B90" s="750" t="s">
        <v>208</v>
      </c>
      <c r="C90" s="750" t="s">
        <v>744</v>
      </c>
      <c r="D90" s="750" t="s">
        <v>2</v>
      </c>
      <c r="E90" s="750" t="s">
        <v>745</v>
      </c>
      <c r="F90" s="750" t="s">
        <v>29</v>
      </c>
      <c r="G90" s="750" t="s">
        <v>746</v>
      </c>
      <c r="H90" s="750">
        <v>2014</v>
      </c>
      <c r="I90" s="649" t="s">
        <v>574</v>
      </c>
      <c r="J90" s="649" t="s">
        <v>589</v>
      </c>
      <c r="K90" s="63"/>
      <c r="L90" s="751"/>
      <c r="M90" s="752"/>
      <c r="N90" s="752"/>
      <c r="O90" s="752">
        <v>7.4589875650000002</v>
      </c>
      <c r="P90" s="752">
        <v>7.4589875650000002</v>
      </c>
      <c r="Q90" s="752">
        <v>7.4589875650000002</v>
      </c>
      <c r="R90" s="752">
        <v>7.4589875650000002</v>
      </c>
      <c r="S90" s="752">
        <v>0</v>
      </c>
      <c r="T90" s="752">
        <v>0</v>
      </c>
      <c r="U90" s="752">
        <v>0</v>
      </c>
      <c r="V90" s="752">
        <v>0</v>
      </c>
      <c r="W90" s="752">
        <v>0</v>
      </c>
      <c r="X90" s="752">
        <v>0</v>
      </c>
      <c r="Y90" s="752">
        <v>0</v>
      </c>
      <c r="Z90" s="752">
        <v>0</v>
      </c>
      <c r="AA90" s="752">
        <v>0</v>
      </c>
      <c r="AB90" s="752">
        <v>0</v>
      </c>
      <c r="AC90" s="752">
        <v>0</v>
      </c>
      <c r="AD90" s="752">
        <v>0</v>
      </c>
      <c r="AE90" s="752">
        <v>0</v>
      </c>
      <c r="AF90" s="752">
        <v>0</v>
      </c>
      <c r="AG90" s="752">
        <v>0</v>
      </c>
      <c r="AH90" s="752">
        <v>0</v>
      </c>
      <c r="AI90" s="752">
        <v>0</v>
      </c>
      <c r="AJ90" s="752">
        <v>0</v>
      </c>
      <c r="AK90" s="752">
        <v>0</v>
      </c>
      <c r="AL90" s="752">
        <v>0</v>
      </c>
      <c r="AM90" s="752">
        <v>0</v>
      </c>
      <c r="AN90" s="752">
        <v>0</v>
      </c>
      <c r="AO90" s="753">
        <v>0</v>
      </c>
      <c r="AP90" s="63"/>
      <c r="AQ90" s="751"/>
      <c r="AR90" s="752"/>
      <c r="AS90" s="752"/>
      <c r="AT90" s="752">
        <v>13299.83561</v>
      </c>
      <c r="AU90" s="752">
        <v>13299.83561</v>
      </c>
      <c r="AV90" s="752">
        <v>13299.83561</v>
      </c>
      <c r="AW90" s="752">
        <v>13299.83561</v>
      </c>
      <c r="AX90" s="752">
        <v>0</v>
      </c>
      <c r="AY90" s="752">
        <v>0</v>
      </c>
      <c r="AZ90" s="752">
        <v>0</v>
      </c>
      <c r="BA90" s="752">
        <v>0</v>
      </c>
      <c r="BB90" s="752">
        <v>0</v>
      </c>
      <c r="BC90" s="752">
        <v>0</v>
      </c>
      <c r="BD90" s="752">
        <v>0</v>
      </c>
      <c r="BE90" s="752">
        <v>0</v>
      </c>
      <c r="BF90" s="752">
        <v>0</v>
      </c>
      <c r="BG90" s="752">
        <v>0</v>
      </c>
      <c r="BH90" s="752">
        <v>0</v>
      </c>
      <c r="BI90" s="752">
        <v>0</v>
      </c>
      <c r="BJ90" s="752">
        <v>0</v>
      </c>
      <c r="BK90" s="752">
        <v>0</v>
      </c>
      <c r="BL90" s="752">
        <v>0</v>
      </c>
      <c r="BM90" s="752">
        <v>0</v>
      </c>
      <c r="BN90" s="752">
        <v>0</v>
      </c>
      <c r="BO90" s="752">
        <v>0</v>
      </c>
      <c r="BP90" s="752">
        <v>0</v>
      </c>
      <c r="BQ90" s="752">
        <v>0</v>
      </c>
      <c r="BR90" s="752">
        <v>0</v>
      </c>
      <c r="BS90" s="752">
        <v>0</v>
      </c>
      <c r="BT90" s="753">
        <v>0</v>
      </c>
    </row>
    <row r="91" spans="2:73">
      <c r="B91" s="750" t="s">
        <v>208</v>
      </c>
      <c r="C91" s="750" t="s">
        <v>744</v>
      </c>
      <c r="D91" s="750" t="s">
        <v>1</v>
      </c>
      <c r="E91" s="750" t="s">
        <v>745</v>
      </c>
      <c r="F91" s="750" t="s">
        <v>29</v>
      </c>
      <c r="G91" s="750" t="s">
        <v>746</v>
      </c>
      <c r="H91" s="750">
        <v>2014</v>
      </c>
      <c r="I91" s="649" t="s">
        <v>574</v>
      </c>
      <c r="J91" s="649" t="s">
        <v>589</v>
      </c>
      <c r="K91" s="63"/>
      <c r="L91" s="751"/>
      <c r="M91" s="752"/>
      <c r="N91" s="752"/>
      <c r="O91" s="752">
        <v>0.11675429700000001</v>
      </c>
      <c r="P91" s="752">
        <v>0.11675429700000001</v>
      </c>
      <c r="Q91" s="752">
        <v>0.11675429700000001</v>
      </c>
      <c r="R91" s="752">
        <v>0</v>
      </c>
      <c r="S91" s="752">
        <v>0</v>
      </c>
      <c r="T91" s="752">
        <v>0</v>
      </c>
      <c r="U91" s="752">
        <v>0</v>
      </c>
      <c r="V91" s="752">
        <v>0</v>
      </c>
      <c r="W91" s="752">
        <v>0</v>
      </c>
      <c r="X91" s="752">
        <v>0</v>
      </c>
      <c r="Y91" s="752">
        <v>0</v>
      </c>
      <c r="Z91" s="752">
        <v>0</v>
      </c>
      <c r="AA91" s="752">
        <v>0</v>
      </c>
      <c r="AB91" s="752">
        <v>0</v>
      </c>
      <c r="AC91" s="752">
        <v>0</v>
      </c>
      <c r="AD91" s="752">
        <v>0</v>
      </c>
      <c r="AE91" s="752">
        <v>0</v>
      </c>
      <c r="AF91" s="752">
        <v>0</v>
      </c>
      <c r="AG91" s="752">
        <v>0</v>
      </c>
      <c r="AH91" s="752">
        <v>0</v>
      </c>
      <c r="AI91" s="752">
        <v>0</v>
      </c>
      <c r="AJ91" s="752">
        <v>0</v>
      </c>
      <c r="AK91" s="752">
        <v>0</v>
      </c>
      <c r="AL91" s="752">
        <v>0</v>
      </c>
      <c r="AM91" s="752">
        <v>0</v>
      </c>
      <c r="AN91" s="752">
        <v>0</v>
      </c>
      <c r="AO91" s="753">
        <v>0</v>
      </c>
      <c r="AP91" s="63"/>
      <c r="AQ91" s="751"/>
      <c r="AR91" s="752"/>
      <c r="AS91" s="752"/>
      <c r="AT91" s="752">
        <v>104.40804660000001</v>
      </c>
      <c r="AU91" s="752">
        <v>104.40804660000001</v>
      </c>
      <c r="AV91" s="752">
        <v>104.40804660000001</v>
      </c>
      <c r="AW91" s="752">
        <v>0</v>
      </c>
      <c r="AX91" s="752">
        <v>0</v>
      </c>
      <c r="AY91" s="752">
        <v>0</v>
      </c>
      <c r="AZ91" s="752">
        <v>0</v>
      </c>
      <c r="BA91" s="752">
        <v>0</v>
      </c>
      <c r="BB91" s="752">
        <v>0</v>
      </c>
      <c r="BC91" s="752">
        <v>0</v>
      </c>
      <c r="BD91" s="752">
        <v>0</v>
      </c>
      <c r="BE91" s="752">
        <v>0</v>
      </c>
      <c r="BF91" s="752">
        <v>0</v>
      </c>
      <c r="BG91" s="752">
        <v>0</v>
      </c>
      <c r="BH91" s="752">
        <v>0</v>
      </c>
      <c r="BI91" s="752">
        <v>0</v>
      </c>
      <c r="BJ91" s="752">
        <v>0</v>
      </c>
      <c r="BK91" s="752">
        <v>0</v>
      </c>
      <c r="BL91" s="752">
        <v>0</v>
      </c>
      <c r="BM91" s="752">
        <v>0</v>
      </c>
      <c r="BN91" s="752">
        <v>0</v>
      </c>
      <c r="BO91" s="752">
        <v>0</v>
      </c>
      <c r="BP91" s="752">
        <v>0</v>
      </c>
      <c r="BQ91" s="752">
        <v>0</v>
      </c>
      <c r="BR91" s="752">
        <v>0</v>
      </c>
      <c r="BS91" s="752">
        <v>0</v>
      </c>
      <c r="BT91" s="753">
        <v>0</v>
      </c>
    </row>
    <row r="92" spans="2:73">
      <c r="B92" s="750" t="s">
        <v>208</v>
      </c>
      <c r="C92" s="750" t="s">
        <v>744</v>
      </c>
      <c r="D92" s="750" t="s">
        <v>1</v>
      </c>
      <c r="E92" s="750" t="s">
        <v>745</v>
      </c>
      <c r="F92" s="750" t="s">
        <v>29</v>
      </c>
      <c r="G92" s="750" t="s">
        <v>746</v>
      </c>
      <c r="H92" s="750">
        <v>2014</v>
      </c>
      <c r="I92" s="649" t="s">
        <v>574</v>
      </c>
      <c r="J92" s="649" t="s">
        <v>589</v>
      </c>
      <c r="K92" s="63"/>
      <c r="L92" s="751"/>
      <c r="M92" s="752"/>
      <c r="N92" s="752"/>
      <c r="O92" s="752">
        <v>0</v>
      </c>
      <c r="P92" s="752">
        <v>0</v>
      </c>
      <c r="Q92" s="752">
        <v>0</v>
      </c>
      <c r="R92" s="752">
        <v>0</v>
      </c>
      <c r="S92" s="752">
        <v>0</v>
      </c>
      <c r="T92" s="752">
        <v>0</v>
      </c>
      <c r="U92" s="752">
        <v>0</v>
      </c>
      <c r="V92" s="752">
        <v>0</v>
      </c>
      <c r="W92" s="752">
        <v>0</v>
      </c>
      <c r="X92" s="752">
        <v>0</v>
      </c>
      <c r="Y92" s="752">
        <v>0</v>
      </c>
      <c r="Z92" s="752">
        <v>0</v>
      </c>
      <c r="AA92" s="752">
        <v>0</v>
      </c>
      <c r="AB92" s="752">
        <v>0</v>
      </c>
      <c r="AC92" s="752">
        <v>0</v>
      </c>
      <c r="AD92" s="752">
        <v>0</v>
      </c>
      <c r="AE92" s="752">
        <v>0</v>
      </c>
      <c r="AF92" s="752">
        <v>0</v>
      </c>
      <c r="AG92" s="752">
        <v>0</v>
      </c>
      <c r="AH92" s="752">
        <v>0</v>
      </c>
      <c r="AI92" s="752">
        <v>0</v>
      </c>
      <c r="AJ92" s="752">
        <v>0</v>
      </c>
      <c r="AK92" s="752">
        <v>0</v>
      </c>
      <c r="AL92" s="752">
        <v>0</v>
      </c>
      <c r="AM92" s="752">
        <v>0</v>
      </c>
      <c r="AN92" s="752">
        <v>0</v>
      </c>
      <c r="AO92" s="753">
        <v>0</v>
      </c>
      <c r="AP92" s="63"/>
      <c r="AQ92" s="751"/>
      <c r="AR92" s="752"/>
      <c r="AS92" s="752"/>
      <c r="AT92" s="752">
        <v>0</v>
      </c>
      <c r="AU92" s="752">
        <v>0</v>
      </c>
      <c r="AV92" s="752">
        <v>0</v>
      </c>
      <c r="AW92" s="752">
        <v>0</v>
      </c>
      <c r="AX92" s="752">
        <v>0</v>
      </c>
      <c r="AY92" s="752">
        <v>0</v>
      </c>
      <c r="AZ92" s="752">
        <v>0</v>
      </c>
      <c r="BA92" s="752">
        <v>0</v>
      </c>
      <c r="BB92" s="752">
        <v>0</v>
      </c>
      <c r="BC92" s="752">
        <v>0</v>
      </c>
      <c r="BD92" s="752">
        <v>0</v>
      </c>
      <c r="BE92" s="752">
        <v>0</v>
      </c>
      <c r="BF92" s="752">
        <v>0</v>
      </c>
      <c r="BG92" s="752">
        <v>0</v>
      </c>
      <c r="BH92" s="752">
        <v>0</v>
      </c>
      <c r="BI92" s="752">
        <v>0</v>
      </c>
      <c r="BJ92" s="752">
        <v>0</v>
      </c>
      <c r="BK92" s="752">
        <v>0</v>
      </c>
      <c r="BL92" s="752">
        <v>0</v>
      </c>
      <c r="BM92" s="752">
        <v>0</v>
      </c>
      <c r="BN92" s="752">
        <v>0</v>
      </c>
      <c r="BO92" s="752">
        <v>0</v>
      </c>
      <c r="BP92" s="752">
        <v>0</v>
      </c>
      <c r="BQ92" s="752">
        <v>0</v>
      </c>
      <c r="BR92" s="752">
        <v>0</v>
      </c>
      <c r="BS92" s="752">
        <v>0</v>
      </c>
      <c r="BT92" s="753">
        <v>0</v>
      </c>
    </row>
    <row r="93" spans="2:73">
      <c r="B93" s="750" t="s">
        <v>208</v>
      </c>
      <c r="C93" s="750" t="s">
        <v>744</v>
      </c>
      <c r="D93" s="750" t="s">
        <v>1</v>
      </c>
      <c r="E93" s="750" t="s">
        <v>745</v>
      </c>
      <c r="F93" s="750" t="s">
        <v>29</v>
      </c>
      <c r="G93" s="750" t="s">
        <v>746</v>
      </c>
      <c r="H93" s="750">
        <v>2014</v>
      </c>
      <c r="I93" s="649" t="s">
        <v>574</v>
      </c>
      <c r="J93" s="649" t="s">
        <v>589</v>
      </c>
      <c r="K93" s="63"/>
      <c r="L93" s="751"/>
      <c r="M93" s="752"/>
      <c r="N93" s="752"/>
      <c r="O93" s="752">
        <v>2.0210086646958243</v>
      </c>
      <c r="P93" s="752">
        <v>2.0210086646958243</v>
      </c>
      <c r="Q93" s="752">
        <v>2.0210086646958243</v>
      </c>
      <c r="R93" s="752">
        <v>2.0210086646958243</v>
      </c>
      <c r="S93" s="752">
        <v>0</v>
      </c>
      <c r="T93" s="752">
        <v>0</v>
      </c>
      <c r="U93" s="752">
        <v>0</v>
      </c>
      <c r="V93" s="752">
        <v>0</v>
      </c>
      <c r="W93" s="752">
        <v>0</v>
      </c>
      <c r="X93" s="752">
        <v>0</v>
      </c>
      <c r="Y93" s="752">
        <v>0</v>
      </c>
      <c r="Z93" s="752">
        <v>0</v>
      </c>
      <c r="AA93" s="752">
        <v>0</v>
      </c>
      <c r="AB93" s="752">
        <v>0</v>
      </c>
      <c r="AC93" s="752">
        <v>0</v>
      </c>
      <c r="AD93" s="752">
        <v>0</v>
      </c>
      <c r="AE93" s="752">
        <v>0</v>
      </c>
      <c r="AF93" s="752">
        <v>0</v>
      </c>
      <c r="AG93" s="752">
        <v>0</v>
      </c>
      <c r="AH93" s="752">
        <v>0</v>
      </c>
      <c r="AI93" s="752">
        <v>0</v>
      </c>
      <c r="AJ93" s="752">
        <v>0</v>
      </c>
      <c r="AK93" s="752">
        <v>0</v>
      </c>
      <c r="AL93" s="752">
        <v>0</v>
      </c>
      <c r="AM93" s="752">
        <v>0</v>
      </c>
      <c r="AN93" s="752">
        <v>0</v>
      </c>
      <c r="AO93" s="753">
        <v>0</v>
      </c>
      <c r="AP93" s="63"/>
      <c r="AQ93" s="751"/>
      <c r="AR93" s="752"/>
      <c r="AS93" s="752"/>
      <c r="AT93" s="752">
        <v>14633.251805196534</v>
      </c>
      <c r="AU93" s="752">
        <v>14633.251805196534</v>
      </c>
      <c r="AV93" s="752">
        <v>14633.251805196534</v>
      </c>
      <c r="AW93" s="752">
        <v>14633.251805196534</v>
      </c>
      <c r="AX93" s="752">
        <v>0</v>
      </c>
      <c r="AY93" s="752">
        <v>0</v>
      </c>
      <c r="AZ93" s="752">
        <v>0</v>
      </c>
      <c r="BA93" s="752">
        <v>0</v>
      </c>
      <c r="BB93" s="752">
        <v>0</v>
      </c>
      <c r="BC93" s="752">
        <v>0</v>
      </c>
      <c r="BD93" s="752">
        <v>0</v>
      </c>
      <c r="BE93" s="752">
        <v>0</v>
      </c>
      <c r="BF93" s="752">
        <v>0</v>
      </c>
      <c r="BG93" s="752">
        <v>0</v>
      </c>
      <c r="BH93" s="752">
        <v>0</v>
      </c>
      <c r="BI93" s="752">
        <v>0</v>
      </c>
      <c r="BJ93" s="752">
        <v>0</v>
      </c>
      <c r="BK93" s="752">
        <v>0</v>
      </c>
      <c r="BL93" s="752">
        <v>0</v>
      </c>
      <c r="BM93" s="752">
        <v>0</v>
      </c>
      <c r="BN93" s="752">
        <v>0</v>
      </c>
      <c r="BO93" s="752">
        <v>0</v>
      </c>
      <c r="BP93" s="752">
        <v>0</v>
      </c>
      <c r="BQ93" s="752">
        <v>0</v>
      </c>
      <c r="BR93" s="752">
        <v>0</v>
      </c>
      <c r="BS93" s="752">
        <v>0</v>
      </c>
      <c r="BT93" s="753">
        <v>0</v>
      </c>
    </row>
    <row r="94" spans="2:73">
      <c r="B94" s="750" t="s">
        <v>208</v>
      </c>
      <c r="C94" s="750" t="s">
        <v>744</v>
      </c>
      <c r="D94" s="750" t="s">
        <v>1</v>
      </c>
      <c r="E94" s="750" t="s">
        <v>745</v>
      </c>
      <c r="F94" s="750" t="s">
        <v>29</v>
      </c>
      <c r="G94" s="750" t="s">
        <v>746</v>
      </c>
      <c r="H94" s="750">
        <v>2014</v>
      </c>
      <c r="I94" s="649" t="s">
        <v>574</v>
      </c>
      <c r="J94" s="649" t="s">
        <v>589</v>
      </c>
      <c r="K94" s="63"/>
      <c r="L94" s="751"/>
      <c r="M94" s="752"/>
      <c r="N94" s="752"/>
      <c r="O94" s="752">
        <v>2.8828784238997391</v>
      </c>
      <c r="P94" s="752">
        <v>2.8828784238997391</v>
      </c>
      <c r="Q94" s="752">
        <v>2.8828784238997391</v>
      </c>
      <c r="R94" s="752">
        <v>2.8828784238997391</v>
      </c>
      <c r="S94" s="752">
        <v>2.8828784238997391</v>
      </c>
      <c r="T94" s="752">
        <v>0</v>
      </c>
      <c r="U94" s="752">
        <v>0</v>
      </c>
      <c r="V94" s="752">
        <v>0</v>
      </c>
      <c r="W94" s="752">
        <v>0</v>
      </c>
      <c r="X94" s="752">
        <v>0</v>
      </c>
      <c r="Y94" s="752">
        <v>0</v>
      </c>
      <c r="Z94" s="752">
        <v>0</v>
      </c>
      <c r="AA94" s="752">
        <v>0</v>
      </c>
      <c r="AB94" s="752">
        <v>0</v>
      </c>
      <c r="AC94" s="752">
        <v>0</v>
      </c>
      <c r="AD94" s="752">
        <v>0</v>
      </c>
      <c r="AE94" s="752">
        <v>0</v>
      </c>
      <c r="AF94" s="752">
        <v>0</v>
      </c>
      <c r="AG94" s="752">
        <v>0</v>
      </c>
      <c r="AH94" s="752">
        <v>0</v>
      </c>
      <c r="AI94" s="752">
        <v>0</v>
      </c>
      <c r="AJ94" s="752">
        <v>0</v>
      </c>
      <c r="AK94" s="752">
        <v>0</v>
      </c>
      <c r="AL94" s="752">
        <v>0</v>
      </c>
      <c r="AM94" s="752">
        <v>0</v>
      </c>
      <c r="AN94" s="752">
        <v>0</v>
      </c>
      <c r="AO94" s="753">
        <v>0</v>
      </c>
      <c r="AP94" s="63"/>
      <c r="AQ94" s="751"/>
      <c r="AR94" s="752"/>
      <c r="AS94" s="752"/>
      <c r="AT94" s="752">
        <v>19616.201457875493</v>
      </c>
      <c r="AU94" s="752">
        <v>19616.201457875493</v>
      </c>
      <c r="AV94" s="752">
        <v>19616.201457875493</v>
      </c>
      <c r="AW94" s="752">
        <v>19616.201457875493</v>
      </c>
      <c r="AX94" s="752">
        <v>19616.201457875493</v>
      </c>
      <c r="AY94" s="752">
        <v>0</v>
      </c>
      <c r="AZ94" s="752">
        <v>0</v>
      </c>
      <c r="BA94" s="752">
        <v>0</v>
      </c>
      <c r="BB94" s="752">
        <v>0</v>
      </c>
      <c r="BC94" s="752">
        <v>0</v>
      </c>
      <c r="BD94" s="752">
        <v>0</v>
      </c>
      <c r="BE94" s="752">
        <v>0</v>
      </c>
      <c r="BF94" s="752">
        <v>0</v>
      </c>
      <c r="BG94" s="752">
        <v>0</v>
      </c>
      <c r="BH94" s="752">
        <v>0</v>
      </c>
      <c r="BI94" s="752">
        <v>0</v>
      </c>
      <c r="BJ94" s="752">
        <v>0</v>
      </c>
      <c r="BK94" s="752">
        <v>0</v>
      </c>
      <c r="BL94" s="752">
        <v>0</v>
      </c>
      <c r="BM94" s="752">
        <v>0</v>
      </c>
      <c r="BN94" s="752">
        <v>0</v>
      </c>
      <c r="BO94" s="752">
        <v>0</v>
      </c>
      <c r="BP94" s="752">
        <v>0</v>
      </c>
      <c r="BQ94" s="752">
        <v>0</v>
      </c>
      <c r="BR94" s="752">
        <v>0</v>
      </c>
      <c r="BS94" s="752">
        <v>0</v>
      </c>
      <c r="BT94" s="753">
        <v>0</v>
      </c>
    </row>
    <row r="95" spans="2:73">
      <c r="B95" s="750" t="s">
        <v>208</v>
      </c>
      <c r="C95" s="750" t="s">
        <v>744</v>
      </c>
      <c r="D95" s="750" t="s">
        <v>5</v>
      </c>
      <c r="E95" s="750" t="s">
        <v>745</v>
      </c>
      <c r="F95" s="750" t="s">
        <v>29</v>
      </c>
      <c r="G95" s="750" t="s">
        <v>746</v>
      </c>
      <c r="H95" s="750">
        <v>2014</v>
      </c>
      <c r="I95" s="649" t="s">
        <v>574</v>
      </c>
      <c r="J95" s="649" t="s">
        <v>589</v>
      </c>
      <c r="K95" s="63"/>
      <c r="L95" s="751"/>
      <c r="M95" s="752"/>
      <c r="N95" s="752"/>
      <c r="O95" s="752">
        <v>44.035646810000003</v>
      </c>
      <c r="P95" s="752">
        <v>38.438340439999997</v>
      </c>
      <c r="Q95" s="752">
        <v>35.521334289999999</v>
      </c>
      <c r="R95" s="752">
        <v>35.521334289999999</v>
      </c>
      <c r="S95" s="752">
        <v>35.521334289999999</v>
      </c>
      <c r="T95" s="752">
        <v>35.521334289999999</v>
      </c>
      <c r="U95" s="752">
        <v>35.521334289999999</v>
      </c>
      <c r="V95" s="752">
        <v>35.494767860000003</v>
      </c>
      <c r="W95" s="752">
        <v>35.494767860000003</v>
      </c>
      <c r="X95" s="752">
        <v>33.136833529999997</v>
      </c>
      <c r="Y95" s="752">
        <v>30.156553500000001</v>
      </c>
      <c r="Z95" s="752">
        <v>25.54538135</v>
      </c>
      <c r="AA95" s="752">
        <v>25.54538135</v>
      </c>
      <c r="AB95" s="752">
        <v>25.422457510000001</v>
      </c>
      <c r="AC95" s="752">
        <v>25.422457510000001</v>
      </c>
      <c r="AD95" s="752">
        <v>25.370530380000002</v>
      </c>
      <c r="AE95" s="752">
        <v>20.6245744</v>
      </c>
      <c r="AF95" s="752">
        <v>20.6245744</v>
      </c>
      <c r="AG95" s="752">
        <v>20.6245744</v>
      </c>
      <c r="AH95" s="752">
        <v>20.6245744</v>
      </c>
      <c r="AI95" s="752">
        <v>0</v>
      </c>
      <c r="AJ95" s="752">
        <v>0</v>
      </c>
      <c r="AK95" s="752">
        <v>0</v>
      </c>
      <c r="AL95" s="752">
        <v>0</v>
      </c>
      <c r="AM95" s="752">
        <v>0</v>
      </c>
      <c r="AN95" s="752">
        <v>0</v>
      </c>
      <c r="AO95" s="753">
        <v>0</v>
      </c>
      <c r="AP95" s="63"/>
      <c r="AQ95" s="751"/>
      <c r="AR95" s="752"/>
      <c r="AS95" s="752"/>
      <c r="AT95" s="752">
        <v>672861.92119999998</v>
      </c>
      <c r="AU95" s="752">
        <v>583700.60889999999</v>
      </c>
      <c r="AV95" s="752">
        <v>537234.66980000003</v>
      </c>
      <c r="AW95" s="752">
        <v>537234.66980000003</v>
      </c>
      <c r="AX95" s="752">
        <v>537234.66980000003</v>
      </c>
      <c r="AY95" s="752">
        <v>537234.66980000003</v>
      </c>
      <c r="AZ95" s="752">
        <v>537234.66980000003</v>
      </c>
      <c r="BA95" s="752">
        <v>537001.94790000003</v>
      </c>
      <c r="BB95" s="752">
        <v>537001.94790000003</v>
      </c>
      <c r="BC95" s="752">
        <v>499441.64559999999</v>
      </c>
      <c r="BD95" s="752">
        <v>485552.38990000001</v>
      </c>
      <c r="BE95" s="752">
        <v>410587.1605</v>
      </c>
      <c r="BF95" s="752">
        <v>410587.1605</v>
      </c>
      <c r="BG95" s="752">
        <v>404707.58769999997</v>
      </c>
      <c r="BH95" s="752">
        <v>404707.58769999997</v>
      </c>
      <c r="BI95" s="752">
        <v>404135.42420000001</v>
      </c>
      <c r="BJ95" s="752">
        <v>328535.54879999999</v>
      </c>
      <c r="BK95" s="752">
        <v>328535.54879999999</v>
      </c>
      <c r="BL95" s="752">
        <v>328535.54879999999</v>
      </c>
      <c r="BM95" s="752">
        <v>328535.54879999999</v>
      </c>
      <c r="BN95" s="752">
        <v>0</v>
      </c>
      <c r="BO95" s="752">
        <v>0</v>
      </c>
      <c r="BP95" s="752">
        <v>0</v>
      </c>
      <c r="BQ95" s="752">
        <v>0</v>
      </c>
      <c r="BR95" s="752">
        <v>0</v>
      </c>
      <c r="BS95" s="752">
        <v>0</v>
      </c>
      <c r="BT95" s="753">
        <v>0</v>
      </c>
    </row>
    <row r="96" spans="2:73">
      <c r="B96" s="750" t="s">
        <v>208</v>
      </c>
      <c r="C96" s="750" t="s">
        <v>744</v>
      </c>
      <c r="D96" s="750" t="s">
        <v>4</v>
      </c>
      <c r="E96" s="750" t="s">
        <v>745</v>
      </c>
      <c r="F96" s="750" t="s">
        <v>29</v>
      </c>
      <c r="G96" s="750" t="s">
        <v>746</v>
      </c>
      <c r="H96" s="750">
        <v>2014</v>
      </c>
      <c r="I96" s="649" t="s">
        <v>574</v>
      </c>
      <c r="J96" s="649" t="s">
        <v>589</v>
      </c>
      <c r="K96" s="63"/>
      <c r="L96" s="751"/>
      <c r="M96" s="752"/>
      <c r="N96" s="752"/>
      <c r="O96" s="752">
        <v>11.53298644</v>
      </c>
      <c r="P96" s="752">
        <v>10.866809870000001</v>
      </c>
      <c r="Q96" s="752">
        <v>10.54506312</v>
      </c>
      <c r="R96" s="752">
        <v>10.54506312</v>
      </c>
      <c r="S96" s="752">
        <v>10.54506312</v>
      </c>
      <c r="T96" s="752">
        <v>10.54506312</v>
      </c>
      <c r="U96" s="752">
        <v>10.54506312</v>
      </c>
      <c r="V96" s="752">
        <v>10.514345690000001</v>
      </c>
      <c r="W96" s="752">
        <v>10.514345690000001</v>
      </c>
      <c r="X96" s="752">
        <v>9.2621166989999999</v>
      </c>
      <c r="Y96" s="752">
        <v>6.7491287030000002</v>
      </c>
      <c r="Z96" s="752">
        <v>6.7489623659999998</v>
      </c>
      <c r="AA96" s="752">
        <v>6.7489623659999998</v>
      </c>
      <c r="AB96" s="752">
        <v>6.7356215529999997</v>
      </c>
      <c r="AC96" s="752">
        <v>6.7356215529999997</v>
      </c>
      <c r="AD96" s="752">
        <v>6.7239986979999999</v>
      </c>
      <c r="AE96" s="752">
        <v>3.0300276859999999</v>
      </c>
      <c r="AF96" s="752">
        <v>3.0300276859999999</v>
      </c>
      <c r="AG96" s="752">
        <v>3.0300276859999999</v>
      </c>
      <c r="AH96" s="752">
        <v>3.0300276859999999</v>
      </c>
      <c r="AI96" s="752">
        <v>0</v>
      </c>
      <c r="AJ96" s="752">
        <v>0</v>
      </c>
      <c r="AK96" s="752">
        <v>0</v>
      </c>
      <c r="AL96" s="752">
        <v>0</v>
      </c>
      <c r="AM96" s="752">
        <v>0</v>
      </c>
      <c r="AN96" s="752">
        <v>0</v>
      </c>
      <c r="AO96" s="753">
        <v>0</v>
      </c>
      <c r="AP96" s="63"/>
      <c r="AQ96" s="751"/>
      <c r="AR96" s="752"/>
      <c r="AS96" s="752"/>
      <c r="AT96" s="752">
        <v>154152.75940000001</v>
      </c>
      <c r="AU96" s="752">
        <v>143541.01629999999</v>
      </c>
      <c r="AV96" s="752">
        <v>138415.80780000001</v>
      </c>
      <c r="AW96" s="752">
        <v>138415.80780000001</v>
      </c>
      <c r="AX96" s="752">
        <v>138415.80780000001</v>
      </c>
      <c r="AY96" s="752">
        <v>138415.80780000001</v>
      </c>
      <c r="AZ96" s="752">
        <v>138415.80780000001</v>
      </c>
      <c r="BA96" s="752">
        <v>138146.7231</v>
      </c>
      <c r="BB96" s="752">
        <v>138146.7231</v>
      </c>
      <c r="BC96" s="752">
        <v>118199.56050000001</v>
      </c>
      <c r="BD96" s="752">
        <v>109253.6847</v>
      </c>
      <c r="BE96" s="752">
        <v>107882.8795</v>
      </c>
      <c r="BF96" s="752">
        <v>107882.8795</v>
      </c>
      <c r="BG96" s="752">
        <v>107236.8281</v>
      </c>
      <c r="BH96" s="752">
        <v>107236.8281</v>
      </c>
      <c r="BI96" s="752">
        <v>107108.7607</v>
      </c>
      <c r="BJ96" s="752">
        <v>48266.295819999999</v>
      </c>
      <c r="BK96" s="752">
        <v>48266.295819999999</v>
      </c>
      <c r="BL96" s="752">
        <v>48266.295819999999</v>
      </c>
      <c r="BM96" s="752">
        <v>48266.295819999999</v>
      </c>
      <c r="BN96" s="752">
        <v>0</v>
      </c>
      <c r="BO96" s="752">
        <v>0</v>
      </c>
      <c r="BP96" s="752">
        <v>0</v>
      </c>
      <c r="BQ96" s="752">
        <v>0</v>
      </c>
      <c r="BR96" s="752">
        <v>0</v>
      </c>
      <c r="BS96" s="752">
        <v>0</v>
      </c>
      <c r="BT96" s="753">
        <v>0</v>
      </c>
    </row>
    <row r="97" spans="2:73">
      <c r="B97" s="750" t="s">
        <v>208</v>
      </c>
      <c r="C97" s="750" t="s">
        <v>763</v>
      </c>
      <c r="D97" s="750" t="s">
        <v>14</v>
      </c>
      <c r="E97" s="750" t="s">
        <v>745</v>
      </c>
      <c r="F97" s="750" t="s">
        <v>29</v>
      </c>
      <c r="G97" s="750" t="s">
        <v>746</v>
      </c>
      <c r="H97" s="750">
        <v>2014</v>
      </c>
      <c r="I97" s="649" t="s">
        <v>574</v>
      </c>
      <c r="J97" s="649" t="s">
        <v>589</v>
      </c>
      <c r="K97" s="63"/>
      <c r="L97" s="751"/>
      <c r="M97" s="752"/>
      <c r="N97" s="752"/>
      <c r="O97" s="752">
        <v>1.756417178</v>
      </c>
      <c r="P97" s="752">
        <v>1.7246067629999999</v>
      </c>
      <c r="Q97" s="752">
        <v>1.5639798060000001</v>
      </c>
      <c r="R97" s="752">
        <v>1.476803879</v>
      </c>
      <c r="S97" s="752">
        <v>1.402647773</v>
      </c>
      <c r="T97" s="752">
        <v>1.402647773</v>
      </c>
      <c r="U97" s="752">
        <v>1.402647773</v>
      </c>
      <c r="V97" s="752">
        <v>1.402647773</v>
      </c>
      <c r="W97" s="752">
        <v>0.78258011100000002</v>
      </c>
      <c r="X97" s="752">
        <v>0.78258011100000002</v>
      </c>
      <c r="Y97" s="752">
        <v>0.36543123799999999</v>
      </c>
      <c r="Z97" s="752">
        <v>0.36543123799999999</v>
      </c>
      <c r="AA97" s="752">
        <v>0.36543123799999999</v>
      </c>
      <c r="AB97" s="752">
        <v>0.36543123799999999</v>
      </c>
      <c r="AC97" s="752">
        <v>0.28333124199999998</v>
      </c>
      <c r="AD97" s="752">
        <v>0</v>
      </c>
      <c r="AE97" s="752">
        <v>0</v>
      </c>
      <c r="AF97" s="752">
        <v>0</v>
      </c>
      <c r="AG97" s="752">
        <v>0</v>
      </c>
      <c r="AH97" s="752">
        <v>0</v>
      </c>
      <c r="AI97" s="752">
        <v>0</v>
      </c>
      <c r="AJ97" s="752">
        <v>0</v>
      </c>
      <c r="AK97" s="752">
        <v>0</v>
      </c>
      <c r="AL97" s="752">
        <v>0</v>
      </c>
      <c r="AM97" s="752">
        <v>0</v>
      </c>
      <c r="AN97" s="752">
        <v>0</v>
      </c>
      <c r="AO97" s="753">
        <v>0</v>
      </c>
      <c r="AP97" s="63"/>
      <c r="AQ97" s="751"/>
      <c r="AR97" s="752"/>
      <c r="AS97" s="752"/>
      <c r="AT97" s="752">
        <v>26375.740419999998</v>
      </c>
      <c r="AU97" s="752">
        <v>25762.148020000001</v>
      </c>
      <c r="AV97" s="752">
        <v>22681.152050000001</v>
      </c>
      <c r="AW97" s="752">
        <v>21008.730439999999</v>
      </c>
      <c r="AX97" s="752">
        <v>19587.404900000001</v>
      </c>
      <c r="AY97" s="752">
        <v>19587.404900000001</v>
      </c>
      <c r="AZ97" s="752">
        <v>19587.404900000001</v>
      </c>
      <c r="BA97" s="752">
        <v>19587.404900000001</v>
      </c>
      <c r="BB97" s="752">
        <v>7687.796867</v>
      </c>
      <c r="BC97" s="752">
        <v>7687.796867</v>
      </c>
      <c r="BD97" s="752">
        <v>3015.5625</v>
      </c>
      <c r="BE97" s="752">
        <v>3015.5625</v>
      </c>
      <c r="BF97" s="752">
        <v>3015.5625</v>
      </c>
      <c r="BG97" s="752">
        <v>3015.5625</v>
      </c>
      <c r="BH97" s="752">
        <v>2340.5625</v>
      </c>
      <c r="BI97" s="752">
        <v>0</v>
      </c>
      <c r="BJ97" s="752">
        <v>0</v>
      </c>
      <c r="BK97" s="752">
        <v>0</v>
      </c>
      <c r="BL97" s="752">
        <v>0</v>
      </c>
      <c r="BM97" s="752">
        <v>0</v>
      </c>
      <c r="BN97" s="752">
        <v>0</v>
      </c>
      <c r="BO97" s="752">
        <v>0</v>
      </c>
      <c r="BP97" s="752">
        <v>0</v>
      </c>
      <c r="BQ97" s="752">
        <v>0</v>
      </c>
      <c r="BR97" s="752">
        <v>0</v>
      </c>
      <c r="BS97" s="752">
        <v>0</v>
      </c>
      <c r="BT97" s="753">
        <v>0</v>
      </c>
    </row>
    <row r="98" spans="2:73" ht="15.6">
      <c r="B98" s="750" t="s">
        <v>208</v>
      </c>
      <c r="C98" s="750" t="s">
        <v>744</v>
      </c>
      <c r="D98" s="750" t="s">
        <v>3</v>
      </c>
      <c r="E98" s="750" t="s">
        <v>745</v>
      </c>
      <c r="F98" s="750" t="s">
        <v>29</v>
      </c>
      <c r="G98" s="750" t="s">
        <v>746</v>
      </c>
      <c r="H98" s="750">
        <v>2014</v>
      </c>
      <c r="I98" s="649" t="s">
        <v>574</v>
      </c>
      <c r="J98" s="649" t="s">
        <v>589</v>
      </c>
      <c r="K98" s="63"/>
      <c r="L98" s="751"/>
      <c r="M98" s="752"/>
      <c r="N98" s="752"/>
      <c r="O98" s="752">
        <v>101.400269217</v>
      </c>
      <c r="P98" s="752">
        <v>101.400269217</v>
      </c>
      <c r="Q98" s="752">
        <v>101.400269217</v>
      </c>
      <c r="R98" s="752">
        <v>101.400269217</v>
      </c>
      <c r="S98" s="752">
        <v>101.400269217</v>
      </c>
      <c r="T98" s="752">
        <v>101.400269217</v>
      </c>
      <c r="U98" s="752">
        <v>101.400269217</v>
      </c>
      <c r="V98" s="752">
        <v>101.400269217</v>
      </c>
      <c r="W98" s="752">
        <v>101.400269217</v>
      </c>
      <c r="X98" s="752">
        <v>101.400269217</v>
      </c>
      <c r="Y98" s="752">
        <v>101.400269217</v>
      </c>
      <c r="Z98" s="752">
        <v>101.400269217</v>
      </c>
      <c r="AA98" s="752">
        <v>101.400269217</v>
      </c>
      <c r="AB98" s="752">
        <v>101.400269217</v>
      </c>
      <c r="AC98" s="752">
        <v>101.400269217</v>
      </c>
      <c r="AD98" s="752">
        <v>101.400269217</v>
      </c>
      <c r="AE98" s="752">
        <v>101.400269217</v>
      </c>
      <c r="AF98" s="752">
        <v>101.400269217</v>
      </c>
      <c r="AG98" s="752">
        <v>90.716896439999999</v>
      </c>
      <c r="AH98" s="752">
        <v>0</v>
      </c>
      <c r="AI98" s="752">
        <v>0</v>
      </c>
      <c r="AJ98" s="752">
        <v>0</v>
      </c>
      <c r="AK98" s="752">
        <v>0</v>
      </c>
      <c r="AL98" s="752">
        <v>0</v>
      </c>
      <c r="AM98" s="752">
        <v>0</v>
      </c>
      <c r="AN98" s="752">
        <v>0</v>
      </c>
      <c r="AO98" s="753">
        <v>0</v>
      </c>
      <c r="AP98" s="63"/>
      <c r="AQ98" s="751"/>
      <c r="AR98" s="752"/>
      <c r="AS98" s="752"/>
      <c r="AT98" s="752">
        <v>186908.60222999999</v>
      </c>
      <c r="AU98" s="752">
        <v>186908.60222999999</v>
      </c>
      <c r="AV98" s="752">
        <v>186908.60222999999</v>
      </c>
      <c r="AW98" s="752">
        <v>186908.60222999999</v>
      </c>
      <c r="AX98" s="752">
        <v>186908.60222999999</v>
      </c>
      <c r="AY98" s="752">
        <v>186908.60222999999</v>
      </c>
      <c r="AZ98" s="752">
        <v>186908.60222999999</v>
      </c>
      <c r="BA98" s="752">
        <v>186908.60222999999</v>
      </c>
      <c r="BB98" s="752">
        <v>186908.60222999999</v>
      </c>
      <c r="BC98" s="752">
        <v>186908.60222999999</v>
      </c>
      <c r="BD98" s="752">
        <v>186908.60222999999</v>
      </c>
      <c r="BE98" s="752">
        <v>186908.60222999999</v>
      </c>
      <c r="BF98" s="752">
        <v>186908.60222999999</v>
      </c>
      <c r="BG98" s="752">
        <v>186908.60222999999</v>
      </c>
      <c r="BH98" s="752">
        <v>186908.60222999999</v>
      </c>
      <c r="BI98" s="752">
        <v>186908.60222999999</v>
      </c>
      <c r="BJ98" s="752">
        <v>186908.60222999999</v>
      </c>
      <c r="BK98" s="752">
        <v>186908.60222999999</v>
      </c>
      <c r="BL98" s="752">
        <v>177354.94889999999</v>
      </c>
      <c r="BM98" s="752">
        <v>0</v>
      </c>
      <c r="BN98" s="752">
        <v>0</v>
      </c>
      <c r="BO98" s="752">
        <v>0</v>
      </c>
      <c r="BP98" s="752">
        <v>0</v>
      </c>
      <c r="BQ98" s="752">
        <v>0</v>
      </c>
      <c r="BR98" s="752">
        <v>0</v>
      </c>
      <c r="BS98" s="752">
        <v>0</v>
      </c>
      <c r="BT98" s="753">
        <v>0</v>
      </c>
      <c r="BU98" s="176"/>
    </row>
    <row r="99" spans="2:73" ht="15.6">
      <c r="B99" s="750" t="s">
        <v>208</v>
      </c>
      <c r="C99" s="750" t="s">
        <v>744</v>
      </c>
      <c r="D99" s="750" t="s">
        <v>7</v>
      </c>
      <c r="E99" s="750" t="s">
        <v>745</v>
      </c>
      <c r="F99" s="750" t="s">
        <v>29</v>
      </c>
      <c r="G99" s="750" t="s">
        <v>746</v>
      </c>
      <c r="H99" s="750">
        <v>2014</v>
      </c>
      <c r="I99" s="649" t="s">
        <v>574</v>
      </c>
      <c r="J99" s="649" t="s">
        <v>589</v>
      </c>
      <c r="K99" s="63"/>
      <c r="L99" s="751"/>
      <c r="M99" s="752"/>
      <c r="N99" s="752"/>
      <c r="O99" s="752">
        <v>22.5793395</v>
      </c>
      <c r="P99" s="752">
        <v>22.5793395</v>
      </c>
      <c r="Q99" s="752">
        <v>22.5793395</v>
      </c>
      <c r="R99" s="752">
        <v>22.5793395</v>
      </c>
      <c r="S99" s="752">
        <v>22.5793395</v>
      </c>
      <c r="T99" s="752">
        <v>22.5793395</v>
      </c>
      <c r="U99" s="752">
        <v>22.5793395</v>
      </c>
      <c r="V99" s="752">
        <v>22.5793395</v>
      </c>
      <c r="W99" s="752">
        <v>22.5793395</v>
      </c>
      <c r="X99" s="752">
        <v>22.5793395</v>
      </c>
      <c r="Y99" s="752">
        <v>22.119017679999999</v>
      </c>
      <c r="Z99" s="752">
        <v>22.119017679999999</v>
      </c>
      <c r="AA99" s="752">
        <v>21.471447699999999</v>
      </c>
      <c r="AB99" s="752">
        <v>20.823877710000001</v>
      </c>
      <c r="AC99" s="752">
        <v>20.823877710000001</v>
      </c>
      <c r="AD99" s="752">
        <v>20.823877710000001</v>
      </c>
      <c r="AE99" s="752">
        <v>20.823877710000001</v>
      </c>
      <c r="AF99" s="752">
        <v>20.823877710000001</v>
      </c>
      <c r="AG99" s="752">
        <v>7.8402077119999989</v>
      </c>
      <c r="AH99" s="752">
        <v>7.8402077119999989</v>
      </c>
      <c r="AI99" s="752">
        <v>0</v>
      </c>
      <c r="AJ99" s="752">
        <v>0</v>
      </c>
      <c r="AK99" s="752">
        <v>0</v>
      </c>
      <c r="AL99" s="752">
        <v>0</v>
      </c>
      <c r="AM99" s="752">
        <v>0</v>
      </c>
      <c r="AN99" s="752">
        <v>0</v>
      </c>
      <c r="AO99" s="753">
        <v>0</v>
      </c>
      <c r="AP99" s="63"/>
      <c r="AQ99" s="751"/>
      <c r="AR99" s="752"/>
      <c r="AS99" s="752"/>
      <c r="AT99" s="752">
        <v>149950.19099999999</v>
      </c>
      <c r="AU99" s="752">
        <v>149950.19099999999</v>
      </c>
      <c r="AV99" s="752">
        <v>149950.19099999999</v>
      </c>
      <c r="AW99" s="752">
        <v>149950.19099999999</v>
      </c>
      <c r="AX99" s="752">
        <v>149950.19099999999</v>
      </c>
      <c r="AY99" s="752">
        <v>149950.19099999999</v>
      </c>
      <c r="AZ99" s="752">
        <v>149950.19099999999</v>
      </c>
      <c r="BA99" s="752">
        <v>149950.19099999999</v>
      </c>
      <c r="BB99" s="752">
        <v>149950.19099999999</v>
      </c>
      <c r="BC99" s="752">
        <v>149950.19099999999</v>
      </c>
      <c r="BD99" s="752">
        <v>143321.58300000001</v>
      </c>
      <c r="BE99" s="752">
        <v>143321.58300000001</v>
      </c>
      <c r="BF99" s="752">
        <v>133458.59400000001</v>
      </c>
      <c r="BG99" s="752">
        <v>123595.605</v>
      </c>
      <c r="BH99" s="752">
        <v>123595.605</v>
      </c>
      <c r="BI99" s="752">
        <v>123595.605</v>
      </c>
      <c r="BJ99" s="752">
        <v>123595.605</v>
      </c>
      <c r="BK99" s="752">
        <v>123595.605</v>
      </c>
      <c r="BL99" s="752">
        <v>116439.435</v>
      </c>
      <c r="BM99" s="752">
        <v>116439.435</v>
      </c>
      <c r="BN99" s="752">
        <v>0</v>
      </c>
      <c r="BO99" s="752">
        <v>0</v>
      </c>
      <c r="BP99" s="752">
        <v>0</v>
      </c>
      <c r="BQ99" s="752">
        <v>0</v>
      </c>
      <c r="BR99" s="752">
        <v>0</v>
      </c>
      <c r="BS99" s="752">
        <v>0</v>
      </c>
      <c r="BT99" s="753">
        <v>0</v>
      </c>
      <c r="BU99" s="176"/>
    </row>
    <row r="100" spans="2:73" ht="15.6">
      <c r="B100" s="750" t="s">
        <v>208</v>
      </c>
      <c r="C100" s="750" t="s">
        <v>489</v>
      </c>
      <c r="D100" s="750" t="s">
        <v>765</v>
      </c>
      <c r="E100" s="750" t="s">
        <v>745</v>
      </c>
      <c r="F100" s="750" t="s">
        <v>489</v>
      </c>
      <c r="G100" s="750" t="s">
        <v>747</v>
      </c>
      <c r="H100" s="750">
        <v>2014</v>
      </c>
      <c r="I100" s="649" t="s">
        <v>574</v>
      </c>
      <c r="J100" s="649" t="s">
        <v>589</v>
      </c>
      <c r="K100" s="63"/>
      <c r="L100" s="751"/>
      <c r="M100" s="752"/>
      <c r="N100" s="752"/>
      <c r="O100" s="752">
        <v>253.36968239999996</v>
      </c>
      <c r="P100" s="752">
        <v>0</v>
      </c>
      <c r="Q100" s="752">
        <v>0</v>
      </c>
      <c r="R100" s="752">
        <v>0</v>
      </c>
      <c r="S100" s="752">
        <v>0</v>
      </c>
      <c r="T100" s="752">
        <v>0</v>
      </c>
      <c r="U100" s="752">
        <v>0</v>
      </c>
      <c r="V100" s="752">
        <v>0</v>
      </c>
      <c r="W100" s="752">
        <v>0</v>
      </c>
      <c r="X100" s="752">
        <v>0</v>
      </c>
      <c r="Y100" s="752">
        <v>0</v>
      </c>
      <c r="Z100" s="752">
        <v>0</v>
      </c>
      <c r="AA100" s="752">
        <v>0</v>
      </c>
      <c r="AB100" s="752">
        <v>0</v>
      </c>
      <c r="AC100" s="752">
        <v>0</v>
      </c>
      <c r="AD100" s="752">
        <v>0</v>
      </c>
      <c r="AE100" s="752">
        <v>0</v>
      </c>
      <c r="AF100" s="752">
        <v>0</v>
      </c>
      <c r="AG100" s="752">
        <v>0</v>
      </c>
      <c r="AH100" s="752">
        <v>0</v>
      </c>
      <c r="AI100" s="752">
        <v>0</v>
      </c>
      <c r="AJ100" s="752">
        <v>0</v>
      </c>
      <c r="AK100" s="752">
        <v>0</v>
      </c>
      <c r="AL100" s="752">
        <v>0</v>
      </c>
      <c r="AM100" s="752">
        <v>0</v>
      </c>
      <c r="AN100" s="752">
        <v>0</v>
      </c>
      <c r="AO100" s="753">
        <v>0</v>
      </c>
      <c r="AP100" s="63"/>
      <c r="AQ100" s="751"/>
      <c r="AR100" s="752"/>
      <c r="AS100" s="752"/>
      <c r="AT100" s="752">
        <v>0</v>
      </c>
      <c r="AU100" s="752">
        <v>0</v>
      </c>
      <c r="AV100" s="752">
        <v>0</v>
      </c>
      <c r="AW100" s="752">
        <v>0</v>
      </c>
      <c r="AX100" s="752">
        <v>0</v>
      </c>
      <c r="AY100" s="752">
        <v>0</v>
      </c>
      <c r="AZ100" s="752">
        <v>0</v>
      </c>
      <c r="BA100" s="752">
        <v>0</v>
      </c>
      <c r="BB100" s="752">
        <v>0</v>
      </c>
      <c r="BC100" s="752">
        <v>0</v>
      </c>
      <c r="BD100" s="752">
        <v>0</v>
      </c>
      <c r="BE100" s="752">
        <v>0</v>
      </c>
      <c r="BF100" s="752">
        <v>0</v>
      </c>
      <c r="BG100" s="752">
        <v>0</v>
      </c>
      <c r="BH100" s="752">
        <v>0</v>
      </c>
      <c r="BI100" s="752">
        <v>0</v>
      </c>
      <c r="BJ100" s="752">
        <v>0</v>
      </c>
      <c r="BK100" s="752">
        <v>0</v>
      </c>
      <c r="BL100" s="752">
        <v>0</v>
      </c>
      <c r="BM100" s="752">
        <v>0</v>
      </c>
      <c r="BN100" s="752">
        <v>0</v>
      </c>
      <c r="BO100" s="752">
        <v>0</v>
      </c>
      <c r="BP100" s="752">
        <v>0</v>
      </c>
      <c r="BQ100" s="752">
        <v>0</v>
      </c>
      <c r="BR100" s="752">
        <v>0</v>
      </c>
      <c r="BS100" s="752">
        <v>0</v>
      </c>
      <c r="BT100" s="753">
        <v>0</v>
      </c>
      <c r="BU100" s="176"/>
    </row>
    <row r="101" spans="2:73">
      <c r="B101" s="750" t="s">
        <v>743</v>
      </c>
      <c r="C101" s="750" t="s">
        <v>748</v>
      </c>
      <c r="D101" s="750" t="s">
        <v>766</v>
      </c>
      <c r="E101" s="750" t="s">
        <v>745</v>
      </c>
      <c r="F101" s="750" t="s">
        <v>755</v>
      </c>
      <c r="G101" s="750" t="s">
        <v>747</v>
      </c>
      <c r="H101" s="750">
        <v>2014</v>
      </c>
      <c r="I101" s="649" t="s">
        <v>574</v>
      </c>
      <c r="J101" s="649" t="s">
        <v>589</v>
      </c>
      <c r="K101" s="63"/>
      <c r="L101" s="751"/>
      <c r="M101" s="752"/>
      <c r="N101" s="752"/>
      <c r="O101" s="752">
        <v>54.003920000000001</v>
      </c>
      <c r="P101" s="752">
        <v>0</v>
      </c>
      <c r="Q101" s="752">
        <v>0</v>
      </c>
      <c r="R101" s="752">
        <v>0</v>
      </c>
      <c r="S101" s="752">
        <v>0</v>
      </c>
      <c r="T101" s="752">
        <v>0</v>
      </c>
      <c r="U101" s="752">
        <v>0</v>
      </c>
      <c r="V101" s="752">
        <v>0</v>
      </c>
      <c r="W101" s="752">
        <v>0</v>
      </c>
      <c r="X101" s="752">
        <v>0</v>
      </c>
      <c r="Y101" s="752">
        <v>0</v>
      </c>
      <c r="Z101" s="752">
        <v>0</v>
      </c>
      <c r="AA101" s="752">
        <v>0</v>
      </c>
      <c r="AB101" s="752">
        <v>0</v>
      </c>
      <c r="AC101" s="752">
        <v>0</v>
      </c>
      <c r="AD101" s="752">
        <v>0</v>
      </c>
      <c r="AE101" s="752">
        <v>0</v>
      </c>
      <c r="AF101" s="752">
        <v>0</v>
      </c>
      <c r="AG101" s="752">
        <v>0</v>
      </c>
      <c r="AH101" s="752">
        <v>0</v>
      </c>
      <c r="AI101" s="752">
        <v>0</v>
      </c>
      <c r="AJ101" s="752">
        <v>0</v>
      </c>
      <c r="AK101" s="752">
        <v>0</v>
      </c>
      <c r="AL101" s="752">
        <v>0</v>
      </c>
      <c r="AM101" s="752">
        <v>0</v>
      </c>
      <c r="AN101" s="752">
        <v>0</v>
      </c>
      <c r="AO101" s="753">
        <v>0</v>
      </c>
      <c r="AP101" s="63"/>
      <c r="AQ101" s="751"/>
      <c r="AR101" s="752"/>
      <c r="AS101" s="752"/>
      <c r="AT101" s="752">
        <v>0</v>
      </c>
      <c r="AU101" s="752">
        <v>0</v>
      </c>
      <c r="AV101" s="752">
        <v>0</v>
      </c>
      <c r="AW101" s="752">
        <v>0</v>
      </c>
      <c r="AX101" s="752">
        <v>0</v>
      </c>
      <c r="AY101" s="752">
        <v>0</v>
      </c>
      <c r="AZ101" s="752">
        <v>0</v>
      </c>
      <c r="BA101" s="752">
        <v>0</v>
      </c>
      <c r="BB101" s="752">
        <v>0</v>
      </c>
      <c r="BC101" s="752">
        <v>0</v>
      </c>
      <c r="BD101" s="752">
        <v>0</v>
      </c>
      <c r="BE101" s="752">
        <v>0</v>
      </c>
      <c r="BF101" s="752">
        <v>0</v>
      </c>
      <c r="BG101" s="752">
        <v>0</v>
      </c>
      <c r="BH101" s="752">
        <v>0</v>
      </c>
      <c r="BI101" s="752">
        <v>0</v>
      </c>
      <c r="BJ101" s="752">
        <v>0</v>
      </c>
      <c r="BK101" s="752">
        <v>0</v>
      </c>
      <c r="BL101" s="752">
        <v>0</v>
      </c>
      <c r="BM101" s="752">
        <v>0</v>
      </c>
      <c r="BN101" s="752">
        <v>0</v>
      </c>
      <c r="BO101" s="752">
        <v>0</v>
      </c>
      <c r="BP101" s="752">
        <v>0</v>
      </c>
      <c r="BQ101" s="752">
        <v>0</v>
      </c>
      <c r="BR101" s="752">
        <v>0</v>
      </c>
      <c r="BS101" s="752">
        <v>0</v>
      </c>
      <c r="BT101" s="753">
        <v>0</v>
      </c>
    </row>
    <row r="102" spans="2:73" ht="15.6">
      <c r="B102" s="750" t="s">
        <v>743</v>
      </c>
      <c r="C102" s="750" t="s">
        <v>744</v>
      </c>
      <c r="D102" s="750" t="s">
        <v>42</v>
      </c>
      <c r="E102" s="750" t="s">
        <v>745</v>
      </c>
      <c r="F102" s="750" t="s">
        <v>29</v>
      </c>
      <c r="G102" s="750" t="s">
        <v>747</v>
      </c>
      <c r="H102" s="750">
        <v>2014</v>
      </c>
      <c r="I102" s="649" t="s">
        <v>574</v>
      </c>
      <c r="J102" s="649" t="s">
        <v>589</v>
      </c>
      <c r="K102" s="63"/>
      <c r="L102" s="751"/>
      <c r="M102" s="752"/>
      <c r="N102" s="752"/>
      <c r="O102" s="752">
        <v>39.141269999999999</v>
      </c>
      <c r="P102" s="752">
        <v>0</v>
      </c>
      <c r="Q102" s="752">
        <v>0</v>
      </c>
      <c r="R102" s="752">
        <v>0</v>
      </c>
      <c r="S102" s="752">
        <v>0</v>
      </c>
      <c r="T102" s="752">
        <v>0</v>
      </c>
      <c r="U102" s="752">
        <v>0</v>
      </c>
      <c r="V102" s="752">
        <v>0</v>
      </c>
      <c r="W102" s="752">
        <v>0</v>
      </c>
      <c r="X102" s="752">
        <v>0</v>
      </c>
      <c r="Y102" s="752">
        <v>0</v>
      </c>
      <c r="Z102" s="752">
        <v>0</v>
      </c>
      <c r="AA102" s="752">
        <v>0</v>
      </c>
      <c r="AB102" s="752">
        <v>0</v>
      </c>
      <c r="AC102" s="752">
        <v>0</v>
      </c>
      <c r="AD102" s="752">
        <v>0</v>
      </c>
      <c r="AE102" s="752">
        <v>0</v>
      </c>
      <c r="AF102" s="752">
        <v>0</v>
      </c>
      <c r="AG102" s="752">
        <v>0</v>
      </c>
      <c r="AH102" s="752">
        <v>0</v>
      </c>
      <c r="AI102" s="752">
        <v>0</v>
      </c>
      <c r="AJ102" s="752">
        <v>0</v>
      </c>
      <c r="AK102" s="752">
        <v>0</v>
      </c>
      <c r="AL102" s="752">
        <v>0</v>
      </c>
      <c r="AM102" s="752">
        <v>0</v>
      </c>
      <c r="AN102" s="752">
        <v>0</v>
      </c>
      <c r="AO102" s="753">
        <v>0</v>
      </c>
      <c r="AP102" s="63"/>
      <c r="AQ102" s="751"/>
      <c r="AR102" s="752"/>
      <c r="AS102" s="752"/>
      <c r="AT102" s="752">
        <v>0</v>
      </c>
      <c r="AU102" s="752">
        <v>0</v>
      </c>
      <c r="AV102" s="752">
        <v>0</v>
      </c>
      <c r="AW102" s="752">
        <v>0</v>
      </c>
      <c r="AX102" s="752">
        <v>0</v>
      </c>
      <c r="AY102" s="752">
        <v>0</v>
      </c>
      <c r="AZ102" s="752">
        <v>0</v>
      </c>
      <c r="BA102" s="752">
        <v>0</v>
      </c>
      <c r="BB102" s="752">
        <v>0</v>
      </c>
      <c r="BC102" s="752">
        <v>0</v>
      </c>
      <c r="BD102" s="752">
        <v>0</v>
      </c>
      <c r="BE102" s="752">
        <v>0</v>
      </c>
      <c r="BF102" s="752">
        <v>0</v>
      </c>
      <c r="BG102" s="752">
        <v>0</v>
      </c>
      <c r="BH102" s="752">
        <v>0</v>
      </c>
      <c r="BI102" s="752">
        <v>0</v>
      </c>
      <c r="BJ102" s="752">
        <v>0</v>
      </c>
      <c r="BK102" s="752">
        <v>0</v>
      </c>
      <c r="BL102" s="752">
        <v>0</v>
      </c>
      <c r="BM102" s="752">
        <v>0</v>
      </c>
      <c r="BN102" s="752">
        <v>0</v>
      </c>
      <c r="BO102" s="752">
        <v>0</v>
      </c>
      <c r="BP102" s="752">
        <v>0</v>
      </c>
      <c r="BQ102" s="752">
        <v>0</v>
      </c>
      <c r="BR102" s="752">
        <v>0</v>
      </c>
      <c r="BS102" s="752">
        <v>0</v>
      </c>
      <c r="BT102" s="753">
        <v>0</v>
      </c>
      <c r="BU102" s="176"/>
    </row>
    <row r="103" spans="2:73" ht="15.6">
      <c r="B103" s="750" t="s">
        <v>743</v>
      </c>
      <c r="C103" s="750" t="s">
        <v>751</v>
      </c>
      <c r="D103" s="750" t="s">
        <v>9</v>
      </c>
      <c r="E103" s="750" t="s">
        <v>745</v>
      </c>
      <c r="F103" s="750" t="s">
        <v>751</v>
      </c>
      <c r="G103" s="750" t="s">
        <v>747</v>
      </c>
      <c r="H103" s="750">
        <v>2014</v>
      </c>
      <c r="I103" s="649" t="s">
        <v>574</v>
      </c>
      <c r="J103" s="649" t="s">
        <v>589</v>
      </c>
      <c r="K103" s="63"/>
      <c r="L103" s="751"/>
      <c r="M103" s="752"/>
      <c r="N103" s="752"/>
      <c r="O103" s="752">
        <v>369.5301</v>
      </c>
      <c r="P103" s="752">
        <v>0</v>
      </c>
      <c r="Q103" s="752">
        <v>0</v>
      </c>
      <c r="R103" s="752">
        <v>0</v>
      </c>
      <c r="S103" s="752">
        <v>0</v>
      </c>
      <c r="T103" s="752">
        <v>0</v>
      </c>
      <c r="U103" s="752">
        <v>0</v>
      </c>
      <c r="V103" s="752">
        <v>0</v>
      </c>
      <c r="W103" s="752">
        <v>0</v>
      </c>
      <c r="X103" s="752">
        <v>0</v>
      </c>
      <c r="Y103" s="752">
        <v>0</v>
      </c>
      <c r="Z103" s="752">
        <v>0</v>
      </c>
      <c r="AA103" s="752">
        <v>0</v>
      </c>
      <c r="AB103" s="752">
        <v>0</v>
      </c>
      <c r="AC103" s="752">
        <v>0</v>
      </c>
      <c r="AD103" s="752">
        <v>0</v>
      </c>
      <c r="AE103" s="752">
        <v>0</v>
      </c>
      <c r="AF103" s="752">
        <v>0</v>
      </c>
      <c r="AG103" s="752">
        <v>0</v>
      </c>
      <c r="AH103" s="752">
        <v>0</v>
      </c>
      <c r="AI103" s="752">
        <v>0</v>
      </c>
      <c r="AJ103" s="752">
        <v>0</v>
      </c>
      <c r="AK103" s="752">
        <v>0</v>
      </c>
      <c r="AL103" s="752">
        <v>0</v>
      </c>
      <c r="AM103" s="752">
        <v>0</v>
      </c>
      <c r="AN103" s="752">
        <v>0</v>
      </c>
      <c r="AO103" s="753">
        <v>0</v>
      </c>
      <c r="AP103" s="63"/>
      <c r="AQ103" s="751"/>
      <c r="AR103" s="752"/>
      <c r="AS103" s="752"/>
      <c r="AT103" s="752">
        <v>0</v>
      </c>
      <c r="AU103" s="752">
        <v>0</v>
      </c>
      <c r="AV103" s="752">
        <v>0</v>
      </c>
      <c r="AW103" s="752">
        <v>0</v>
      </c>
      <c r="AX103" s="752">
        <v>0</v>
      </c>
      <c r="AY103" s="752">
        <v>0</v>
      </c>
      <c r="AZ103" s="752">
        <v>0</v>
      </c>
      <c r="BA103" s="752">
        <v>0</v>
      </c>
      <c r="BB103" s="752">
        <v>0</v>
      </c>
      <c r="BC103" s="752">
        <v>0</v>
      </c>
      <c r="BD103" s="752">
        <v>0</v>
      </c>
      <c r="BE103" s="752">
        <v>0</v>
      </c>
      <c r="BF103" s="752">
        <v>0</v>
      </c>
      <c r="BG103" s="752">
        <v>0</v>
      </c>
      <c r="BH103" s="752">
        <v>0</v>
      </c>
      <c r="BI103" s="752">
        <v>0</v>
      </c>
      <c r="BJ103" s="752">
        <v>0</v>
      </c>
      <c r="BK103" s="752">
        <v>0</v>
      </c>
      <c r="BL103" s="752">
        <v>0</v>
      </c>
      <c r="BM103" s="752">
        <v>0</v>
      </c>
      <c r="BN103" s="752">
        <v>0</v>
      </c>
      <c r="BO103" s="752">
        <v>0</v>
      </c>
      <c r="BP103" s="752">
        <v>0</v>
      </c>
      <c r="BQ103" s="752">
        <v>0</v>
      </c>
      <c r="BR103" s="752">
        <v>0</v>
      </c>
      <c r="BS103" s="752">
        <v>0</v>
      </c>
      <c r="BT103" s="753">
        <v>0</v>
      </c>
      <c r="BU103" s="176"/>
    </row>
    <row r="104" spans="2:73" ht="15.6">
      <c r="B104" s="750"/>
      <c r="C104" s="750"/>
      <c r="D104" s="750" t="s">
        <v>97</v>
      </c>
      <c r="E104" s="750" t="s">
        <v>745</v>
      </c>
      <c r="F104" s="750"/>
      <c r="G104" s="750"/>
      <c r="H104" s="750">
        <v>2015</v>
      </c>
      <c r="I104" s="649" t="s">
        <v>575</v>
      </c>
      <c r="J104" s="649" t="s">
        <v>589</v>
      </c>
      <c r="K104" s="63"/>
      <c r="L104" s="751"/>
      <c r="M104" s="752"/>
      <c r="N104" s="752"/>
      <c r="O104" s="752"/>
      <c r="P104" s="752">
        <v>2</v>
      </c>
      <c r="Q104" s="752">
        <v>2</v>
      </c>
      <c r="R104" s="752">
        <v>2</v>
      </c>
      <c r="S104" s="752">
        <v>2</v>
      </c>
      <c r="T104" s="752">
        <v>1</v>
      </c>
      <c r="U104" s="752">
        <v>0</v>
      </c>
      <c r="V104" s="752">
        <v>0</v>
      </c>
      <c r="W104" s="752">
        <v>0</v>
      </c>
      <c r="X104" s="752">
        <v>0</v>
      </c>
      <c r="Y104" s="752">
        <v>0</v>
      </c>
      <c r="Z104" s="752">
        <v>0</v>
      </c>
      <c r="AA104" s="752">
        <v>0</v>
      </c>
      <c r="AB104" s="752">
        <v>0</v>
      </c>
      <c r="AC104" s="752">
        <v>0</v>
      </c>
      <c r="AD104" s="752">
        <v>0</v>
      </c>
      <c r="AE104" s="752">
        <v>0</v>
      </c>
      <c r="AF104" s="752">
        <v>0</v>
      </c>
      <c r="AG104" s="752">
        <v>0</v>
      </c>
      <c r="AH104" s="752">
        <v>0</v>
      </c>
      <c r="AI104" s="752">
        <v>0</v>
      </c>
      <c r="AJ104" s="752">
        <v>0</v>
      </c>
      <c r="AK104" s="752">
        <v>0</v>
      </c>
      <c r="AL104" s="752">
        <v>0</v>
      </c>
      <c r="AM104" s="752">
        <v>0</v>
      </c>
      <c r="AN104" s="752">
        <v>0</v>
      </c>
      <c r="AO104" s="753">
        <v>0</v>
      </c>
      <c r="AP104" s="63"/>
      <c r="AQ104" s="751"/>
      <c r="AR104" s="752"/>
      <c r="AS104" s="752"/>
      <c r="AT104" s="752"/>
      <c r="AU104" s="752">
        <v>13955</v>
      </c>
      <c r="AV104" s="752">
        <v>13955</v>
      </c>
      <c r="AW104" s="752">
        <v>13955</v>
      </c>
      <c r="AX104" s="752">
        <v>13955</v>
      </c>
      <c r="AY104" s="752">
        <v>6512</v>
      </c>
      <c r="AZ104" s="752">
        <v>0</v>
      </c>
      <c r="BA104" s="752">
        <v>0</v>
      </c>
      <c r="BB104" s="752">
        <v>0</v>
      </c>
      <c r="BC104" s="752">
        <v>0</v>
      </c>
      <c r="BD104" s="752">
        <v>0</v>
      </c>
      <c r="BE104" s="752">
        <v>0</v>
      </c>
      <c r="BF104" s="752">
        <v>0</v>
      </c>
      <c r="BG104" s="752">
        <v>0</v>
      </c>
      <c r="BH104" s="752">
        <v>0</v>
      </c>
      <c r="BI104" s="752">
        <v>0</v>
      </c>
      <c r="BJ104" s="752">
        <v>0</v>
      </c>
      <c r="BK104" s="752">
        <v>0</v>
      </c>
      <c r="BL104" s="752">
        <v>0</v>
      </c>
      <c r="BM104" s="752">
        <v>0</v>
      </c>
      <c r="BN104" s="752">
        <v>0</v>
      </c>
      <c r="BO104" s="752">
        <v>0</v>
      </c>
      <c r="BP104" s="752">
        <v>0</v>
      </c>
      <c r="BQ104" s="752">
        <v>0</v>
      </c>
      <c r="BR104" s="752">
        <v>0</v>
      </c>
      <c r="BS104" s="752">
        <v>0</v>
      </c>
      <c r="BT104" s="753">
        <v>0</v>
      </c>
      <c r="BU104" s="176"/>
    </row>
    <row r="105" spans="2:73" ht="15.6">
      <c r="B105" s="750"/>
      <c r="C105" s="750"/>
      <c r="D105" s="750" t="s">
        <v>95</v>
      </c>
      <c r="E105" s="750" t="s">
        <v>745</v>
      </c>
      <c r="F105" s="750"/>
      <c r="G105" s="750"/>
      <c r="H105" s="750">
        <v>2015</v>
      </c>
      <c r="I105" s="649" t="s">
        <v>575</v>
      </c>
      <c r="J105" s="649" t="s">
        <v>589</v>
      </c>
      <c r="K105" s="63"/>
      <c r="L105" s="751"/>
      <c r="M105" s="752"/>
      <c r="N105" s="752"/>
      <c r="O105" s="752"/>
      <c r="P105" s="752">
        <v>19</v>
      </c>
      <c r="Q105" s="752">
        <v>19</v>
      </c>
      <c r="R105" s="752">
        <v>19</v>
      </c>
      <c r="S105" s="752">
        <v>19</v>
      </c>
      <c r="T105" s="752">
        <v>19</v>
      </c>
      <c r="U105" s="752">
        <v>19</v>
      </c>
      <c r="V105" s="752">
        <v>19</v>
      </c>
      <c r="W105" s="752">
        <v>19</v>
      </c>
      <c r="X105" s="752">
        <v>19</v>
      </c>
      <c r="Y105" s="752">
        <v>19</v>
      </c>
      <c r="Z105" s="752">
        <v>17</v>
      </c>
      <c r="AA105" s="752">
        <v>17</v>
      </c>
      <c r="AB105" s="752">
        <v>17</v>
      </c>
      <c r="AC105" s="752">
        <v>17</v>
      </c>
      <c r="AD105" s="752">
        <v>17</v>
      </c>
      <c r="AE105" s="752">
        <v>17</v>
      </c>
      <c r="AF105" s="752">
        <v>6</v>
      </c>
      <c r="AG105" s="752">
        <v>6</v>
      </c>
      <c r="AH105" s="752">
        <v>6</v>
      </c>
      <c r="AI105" s="752">
        <v>6</v>
      </c>
      <c r="AJ105" s="752">
        <v>0</v>
      </c>
      <c r="AK105" s="752">
        <v>0</v>
      </c>
      <c r="AL105" s="752">
        <v>0</v>
      </c>
      <c r="AM105" s="752">
        <v>0</v>
      </c>
      <c r="AN105" s="752">
        <v>0</v>
      </c>
      <c r="AO105" s="753">
        <v>0</v>
      </c>
      <c r="AP105" s="63"/>
      <c r="AQ105" s="751"/>
      <c r="AR105" s="752"/>
      <c r="AS105" s="752"/>
      <c r="AT105" s="752"/>
      <c r="AU105" s="752">
        <v>290873</v>
      </c>
      <c r="AV105" s="752">
        <v>288223</v>
      </c>
      <c r="AW105" s="752">
        <v>288223</v>
      </c>
      <c r="AX105" s="752">
        <v>288223</v>
      </c>
      <c r="AY105" s="752">
        <v>288223</v>
      </c>
      <c r="AZ105" s="752">
        <v>288223</v>
      </c>
      <c r="BA105" s="752">
        <v>288223</v>
      </c>
      <c r="BB105" s="752">
        <v>288160</v>
      </c>
      <c r="BC105" s="752">
        <v>288160</v>
      </c>
      <c r="BD105" s="752">
        <v>288160</v>
      </c>
      <c r="BE105" s="752">
        <v>265795</v>
      </c>
      <c r="BF105" s="752">
        <v>264829</v>
      </c>
      <c r="BG105" s="752">
        <v>264829</v>
      </c>
      <c r="BH105" s="752">
        <v>263913</v>
      </c>
      <c r="BI105" s="752">
        <v>263913</v>
      </c>
      <c r="BJ105" s="752">
        <v>263799</v>
      </c>
      <c r="BK105" s="752">
        <v>98600</v>
      </c>
      <c r="BL105" s="752">
        <v>98600</v>
      </c>
      <c r="BM105" s="752">
        <v>98600</v>
      </c>
      <c r="BN105" s="752">
        <v>98600</v>
      </c>
      <c r="BO105" s="752">
        <v>0</v>
      </c>
      <c r="BP105" s="752">
        <v>0</v>
      </c>
      <c r="BQ105" s="752">
        <v>0</v>
      </c>
      <c r="BR105" s="752">
        <v>0</v>
      </c>
      <c r="BS105" s="752">
        <v>0</v>
      </c>
      <c r="BT105" s="753">
        <v>0</v>
      </c>
      <c r="BU105" s="176"/>
    </row>
    <row r="106" spans="2:73" ht="15.6">
      <c r="B106" s="750"/>
      <c r="C106" s="750"/>
      <c r="D106" s="750" t="s">
        <v>96</v>
      </c>
      <c r="E106" s="750" t="s">
        <v>745</v>
      </c>
      <c r="F106" s="750"/>
      <c r="G106" s="750"/>
      <c r="H106" s="750">
        <v>2015</v>
      </c>
      <c r="I106" s="649" t="s">
        <v>575</v>
      </c>
      <c r="J106" s="649" t="s">
        <v>589</v>
      </c>
      <c r="K106" s="63"/>
      <c r="L106" s="751"/>
      <c r="M106" s="752"/>
      <c r="N106" s="752"/>
      <c r="O106" s="752"/>
      <c r="P106" s="752">
        <v>36</v>
      </c>
      <c r="Q106" s="752">
        <v>36</v>
      </c>
      <c r="R106" s="752">
        <v>36</v>
      </c>
      <c r="S106" s="752">
        <v>36</v>
      </c>
      <c r="T106" s="752">
        <v>36</v>
      </c>
      <c r="U106" s="752">
        <v>36</v>
      </c>
      <c r="V106" s="752">
        <v>36</v>
      </c>
      <c r="W106" s="752">
        <v>36</v>
      </c>
      <c r="X106" s="752">
        <v>36</v>
      </c>
      <c r="Y106" s="752">
        <v>36</v>
      </c>
      <c r="Z106" s="752">
        <v>30</v>
      </c>
      <c r="AA106" s="752">
        <v>29</v>
      </c>
      <c r="AB106" s="752">
        <v>29</v>
      </c>
      <c r="AC106" s="752">
        <v>28</v>
      </c>
      <c r="AD106" s="752">
        <v>28</v>
      </c>
      <c r="AE106" s="752">
        <v>28</v>
      </c>
      <c r="AF106" s="752">
        <v>10</v>
      </c>
      <c r="AG106" s="752">
        <v>10</v>
      </c>
      <c r="AH106" s="752">
        <v>10</v>
      </c>
      <c r="AI106" s="752">
        <v>10</v>
      </c>
      <c r="AJ106" s="752">
        <v>0</v>
      </c>
      <c r="AK106" s="752">
        <v>0</v>
      </c>
      <c r="AL106" s="752">
        <v>0</v>
      </c>
      <c r="AM106" s="752">
        <v>0</v>
      </c>
      <c r="AN106" s="752">
        <v>0</v>
      </c>
      <c r="AO106" s="753">
        <v>0</v>
      </c>
      <c r="AP106" s="63"/>
      <c r="AQ106" s="751"/>
      <c r="AR106" s="752"/>
      <c r="AS106" s="752"/>
      <c r="AT106" s="752"/>
      <c r="AU106" s="752">
        <v>537244</v>
      </c>
      <c r="AV106" s="752">
        <v>527696</v>
      </c>
      <c r="AW106" s="752">
        <v>527696</v>
      </c>
      <c r="AX106" s="752">
        <v>527696</v>
      </c>
      <c r="AY106" s="752">
        <v>527696</v>
      </c>
      <c r="AZ106" s="752">
        <v>527696</v>
      </c>
      <c r="BA106" s="752">
        <v>527696</v>
      </c>
      <c r="BB106" s="752">
        <v>527419</v>
      </c>
      <c r="BC106" s="752">
        <v>527419</v>
      </c>
      <c r="BD106" s="752">
        <v>527419</v>
      </c>
      <c r="BE106" s="752">
        <v>486356</v>
      </c>
      <c r="BF106" s="752">
        <v>461314</v>
      </c>
      <c r="BG106" s="752">
        <v>461314</v>
      </c>
      <c r="BH106" s="752">
        <v>451392</v>
      </c>
      <c r="BI106" s="752">
        <v>451392</v>
      </c>
      <c r="BJ106" s="752">
        <v>450339</v>
      </c>
      <c r="BK106" s="752">
        <v>166834</v>
      </c>
      <c r="BL106" s="752">
        <v>166834</v>
      </c>
      <c r="BM106" s="752">
        <v>166834</v>
      </c>
      <c r="BN106" s="752">
        <v>166834</v>
      </c>
      <c r="BO106" s="752">
        <v>0</v>
      </c>
      <c r="BP106" s="752">
        <v>0</v>
      </c>
      <c r="BQ106" s="752">
        <v>0</v>
      </c>
      <c r="BR106" s="752">
        <v>0</v>
      </c>
      <c r="BS106" s="752">
        <v>0</v>
      </c>
      <c r="BT106" s="753">
        <v>0</v>
      </c>
      <c r="BU106" s="176"/>
    </row>
    <row r="107" spans="2:73" ht="15.6">
      <c r="B107" s="750"/>
      <c r="C107" s="750"/>
      <c r="D107" s="750" t="s">
        <v>676</v>
      </c>
      <c r="E107" s="750" t="s">
        <v>745</v>
      </c>
      <c r="F107" s="750"/>
      <c r="G107" s="750"/>
      <c r="H107" s="750">
        <v>2015</v>
      </c>
      <c r="I107" s="649" t="s">
        <v>575</v>
      </c>
      <c r="J107" s="649" t="s">
        <v>589</v>
      </c>
      <c r="K107" s="63"/>
      <c r="L107" s="751"/>
      <c r="M107" s="752"/>
      <c r="N107" s="752"/>
      <c r="O107" s="752"/>
      <c r="P107" s="752">
        <v>165</v>
      </c>
      <c r="Q107" s="752">
        <v>165</v>
      </c>
      <c r="R107" s="752">
        <v>165</v>
      </c>
      <c r="S107" s="752">
        <v>165</v>
      </c>
      <c r="T107" s="752">
        <v>165</v>
      </c>
      <c r="U107" s="752">
        <v>165</v>
      </c>
      <c r="V107" s="752">
        <v>165</v>
      </c>
      <c r="W107" s="752">
        <v>165</v>
      </c>
      <c r="X107" s="752">
        <v>165</v>
      </c>
      <c r="Y107" s="752">
        <v>165</v>
      </c>
      <c r="Z107" s="752">
        <v>165</v>
      </c>
      <c r="AA107" s="752">
        <v>165</v>
      </c>
      <c r="AB107" s="752">
        <v>165</v>
      </c>
      <c r="AC107" s="752">
        <v>165</v>
      </c>
      <c r="AD107" s="752">
        <v>165</v>
      </c>
      <c r="AE107" s="752">
        <v>165</v>
      </c>
      <c r="AF107" s="752">
        <v>165</v>
      </c>
      <c r="AG107" s="752">
        <v>165</v>
      </c>
      <c r="AH107" s="752">
        <v>151</v>
      </c>
      <c r="AI107" s="752">
        <v>0</v>
      </c>
      <c r="AJ107" s="752">
        <v>0</v>
      </c>
      <c r="AK107" s="752">
        <v>0</v>
      </c>
      <c r="AL107" s="752">
        <v>0</v>
      </c>
      <c r="AM107" s="752">
        <v>0</v>
      </c>
      <c r="AN107" s="752">
        <v>0</v>
      </c>
      <c r="AO107" s="753">
        <v>0</v>
      </c>
      <c r="AP107" s="63"/>
      <c r="AQ107" s="751"/>
      <c r="AR107" s="752"/>
      <c r="AS107" s="752"/>
      <c r="AT107" s="752"/>
      <c r="AU107" s="752">
        <v>316186</v>
      </c>
      <c r="AV107" s="752">
        <v>316186</v>
      </c>
      <c r="AW107" s="752">
        <v>316186</v>
      </c>
      <c r="AX107" s="752">
        <v>316186</v>
      </c>
      <c r="AY107" s="752">
        <v>316186</v>
      </c>
      <c r="AZ107" s="752">
        <v>316186</v>
      </c>
      <c r="BA107" s="752">
        <v>316186</v>
      </c>
      <c r="BB107" s="752">
        <v>316186</v>
      </c>
      <c r="BC107" s="752">
        <v>316186</v>
      </c>
      <c r="BD107" s="752">
        <v>316186</v>
      </c>
      <c r="BE107" s="752">
        <v>316186</v>
      </c>
      <c r="BF107" s="752">
        <v>316186</v>
      </c>
      <c r="BG107" s="752">
        <v>316186</v>
      </c>
      <c r="BH107" s="752">
        <v>316186</v>
      </c>
      <c r="BI107" s="752">
        <v>316186</v>
      </c>
      <c r="BJ107" s="752">
        <v>316186</v>
      </c>
      <c r="BK107" s="752">
        <v>316186</v>
      </c>
      <c r="BL107" s="752">
        <v>316186</v>
      </c>
      <c r="BM107" s="752">
        <v>303838</v>
      </c>
      <c r="BN107" s="752">
        <v>0</v>
      </c>
      <c r="BO107" s="752">
        <v>0</v>
      </c>
      <c r="BP107" s="752">
        <v>0</v>
      </c>
      <c r="BQ107" s="752">
        <v>0</v>
      </c>
      <c r="BR107" s="752">
        <v>0</v>
      </c>
      <c r="BS107" s="752">
        <v>0</v>
      </c>
      <c r="BT107" s="753">
        <v>0</v>
      </c>
      <c r="BU107" s="176"/>
    </row>
    <row r="108" spans="2:73" ht="15.6">
      <c r="B108" s="750"/>
      <c r="C108" s="750"/>
      <c r="D108" s="750" t="s">
        <v>100</v>
      </c>
      <c r="E108" s="750" t="s">
        <v>745</v>
      </c>
      <c r="F108" s="750"/>
      <c r="G108" s="750"/>
      <c r="H108" s="750">
        <v>2015</v>
      </c>
      <c r="I108" s="649" t="s">
        <v>575</v>
      </c>
      <c r="J108" s="649" t="s">
        <v>589</v>
      </c>
      <c r="K108" s="63"/>
      <c r="L108" s="751"/>
      <c r="M108" s="752"/>
      <c r="N108" s="752"/>
      <c r="O108" s="752"/>
      <c r="P108" s="752">
        <v>545</v>
      </c>
      <c r="Q108" s="752">
        <v>545</v>
      </c>
      <c r="R108" s="752">
        <v>525</v>
      </c>
      <c r="S108" s="752">
        <v>524</v>
      </c>
      <c r="T108" s="752">
        <v>524</v>
      </c>
      <c r="U108" s="752">
        <v>456</v>
      </c>
      <c r="V108" s="752">
        <v>448</v>
      </c>
      <c r="W108" s="752">
        <v>448</v>
      </c>
      <c r="X108" s="752">
        <v>445</v>
      </c>
      <c r="Y108" s="752">
        <v>417</v>
      </c>
      <c r="Z108" s="752">
        <v>347</v>
      </c>
      <c r="AA108" s="752">
        <v>346</v>
      </c>
      <c r="AB108" s="752">
        <v>331</v>
      </c>
      <c r="AC108" s="752">
        <v>326</v>
      </c>
      <c r="AD108" s="752">
        <v>326</v>
      </c>
      <c r="AE108" s="752">
        <v>236</v>
      </c>
      <c r="AF108" s="752">
        <v>37</v>
      </c>
      <c r="AG108" s="752">
        <v>37</v>
      </c>
      <c r="AH108" s="752">
        <v>37</v>
      </c>
      <c r="AI108" s="752">
        <v>37</v>
      </c>
      <c r="AJ108" s="752">
        <v>0</v>
      </c>
      <c r="AK108" s="752">
        <v>0</v>
      </c>
      <c r="AL108" s="752">
        <v>0</v>
      </c>
      <c r="AM108" s="752">
        <v>0</v>
      </c>
      <c r="AN108" s="752">
        <v>0</v>
      </c>
      <c r="AO108" s="753">
        <v>0</v>
      </c>
      <c r="AP108" s="63"/>
      <c r="AQ108" s="751"/>
      <c r="AR108" s="752"/>
      <c r="AS108" s="752"/>
      <c r="AT108" s="752"/>
      <c r="AU108" s="752">
        <v>4647879</v>
      </c>
      <c r="AV108" s="752">
        <v>4647879</v>
      </c>
      <c r="AW108" s="752">
        <v>4583665</v>
      </c>
      <c r="AX108" s="752">
        <v>4583558</v>
      </c>
      <c r="AY108" s="752">
        <v>4583558</v>
      </c>
      <c r="AZ108" s="752">
        <v>4359005</v>
      </c>
      <c r="BA108" s="752">
        <v>4302487</v>
      </c>
      <c r="BB108" s="752">
        <v>4302487</v>
      </c>
      <c r="BC108" s="752">
        <v>4266744</v>
      </c>
      <c r="BD108" s="752">
        <v>4071369</v>
      </c>
      <c r="BE108" s="752">
        <v>3522471</v>
      </c>
      <c r="BF108" s="752">
        <v>3444711</v>
      </c>
      <c r="BG108" s="752">
        <v>2614208</v>
      </c>
      <c r="BH108" s="752">
        <v>2598536</v>
      </c>
      <c r="BI108" s="752">
        <v>2598536</v>
      </c>
      <c r="BJ108" s="752">
        <v>1820130</v>
      </c>
      <c r="BK108" s="752">
        <v>99469</v>
      </c>
      <c r="BL108" s="752">
        <v>99469</v>
      </c>
      <c r="BM108" s="752">
        <v>99469</v>
      </c>
      <c r="BN108" s="752">
        <v>99469</v>
      </c>
      <c r="BO108" s="752">
        <v>0</v>
      </c>
      <c r="BP108" s="752">
        <v>0</v>
      </c>
      <c r="BQ108" s="752">
        <v>0</v>
      </c>
      <c r="BR108" s="752">
        <v>0</v>
      </c>
      <c r="BS108" s="752">
        <v>0</v>
      </c>
      <c r="BT108" s="753">
        <v>0</v>
      </c>
      <c r="BU108" s="176"/>
    </row>
    <row r="109" spans="2:73" ht="15.6">
      <c r="B109" s="750"/>
      <c r="C109" s="750"/>
      <c r="D109" s="750" t="s">
        <v>101</v>
      </c>
      <c r="E109" s="750" t="s">
        <v>745</v>
      </c>
      <c r="F109" s="750"/>
      <c r="G109" s="750"/>
      <c r="H109" s="750">
        <v>2015</v>
      </c>
      <c r="I109" s="649" t="s">
        <v>575</v>
      </c>
      <c r="J109" s="649" t="s">
        <v>589</v>
      </c>
      <c r="K109" s="63"/>
      <c r="L109" s="751"/>
      <c r="M109" s="752"/>
      <c r="N109" s="752"/>
      <c r="O109" s="752"/>
      <c r="P109" s="752">
        <v>5</v>
      </c>
      <c r="Q109" s="752">
        <v>5</v>
      </c>
      <c r="R109" s="752">
        <v>2</v>
      </c>
      <c r="S109" s="752">
        <v>2</v>
      </c>
      <c r="T109" s="752">
        <v>2</v>
      </c>
      <c r="U109" s="752">
        <v>2</v>
      </c>
      <c r="V109" s="752">
        <v>2</v>
      </c>
      <c r="W109" s="752">
        <v>2</v>
      </c>
      <c r="X109" s="752">
        <v>2</v>
      </c>
      <c r="Y109" s="752">
        <v>2</v>
      </c>
      <c r="Z109" s="752">
        <v>2</v>
      </c>
      <c r="AA109" s="752">
        <v>1</v>
      </c>
      <c r="AB109" s="752">
        <v>0</v>
      </c>
      <c r="AC109" s="752">
        <v>0</v>
      </c>
      <c r="AD109" s="752">
        <v>0</v>
      </c>
      <c r="AE109" s="752">
        <v>0</v>
      </c>
      <c r="AF109" s="752">
        <v>0</v>
      </c>
      <c r="AG109" s="752">
        <v>0</v>
      </c>
      <c r="AH109" s="752">
        <v>0</v>
      </c>
      <c r="AI109" s="752">
        <v>0</v>
      </c>
      <c r="AJ109" s="752">
        <v>0</v>
      </c>
      <c r="AK109" s="752">
        <v>0</v>
      </c>
      <c r="AL109" s="752">
        <v>0</v>
      </c>
      <c r="AM109" s="752">
        <v>0</v>
      </c>
      <c r="AN109" s="752">
        <v>0</v>
      </c>
      <c r="AO109" s="753">
        <v>0</v>
      </c>
      <c r="AP109" s="63"/>
      <c r="AQ109" s="751"/>
      <c r="AR109" s="752"/>
      <c r="AS109" s="752"/>
      <c r="AT109" s="752"/>
      <c r="AU109" s="752">
        <v>19224</v>
      </c>
      <c r="AV109" s="752">
        <v>18917</v>
      </c>
      <c r="AW109" s="752">
        <v>9456</v>
      </c>
      <c r="AX109" s="752">
        <v>9456</v>
      </c>
      <c r="AY109" s="752">
        <v>9456</v>
      </c>
      <c r="AZ109" s="752">
        <v>9456</v>
      </c>
      <c r="BA109" s="752">
        <v>9456</v>
      </c>
      <c r="BB109" s="752">
        <v>9456</v>
      </c>
      <c r="BC109" s="752">
        <v>9456</v>
      </c>
      <c r="BD109" s="752">
        <v>9456</v>
      </c>
      <c r="BE109" s="752">
        <v>9456</v>
      </c>
      <c r="BF109" s="752">
        <v>5286</v>
      </c>
      <c r="BG109" s="752">
        <v>0</v>
      </c>
      <c r="BH109" s="752">
        <v>0</v>
      </c>
      <c r="BI109" s="752">
        <v>0</v>
      </c>
      <c r="BJ109" s="752">
        <v>0</v>
      </c>
      <c r="BK109" s="752">
        <v>0</v>
      </c>
      <c r="BL109" s="752">
        <v>0</v>
      </c>
      <c r="BM109" s="752">
        <v>0</v>
      </c>
      <c r="BN109" s="752">
        <v>0</v>
      </c>
      <c r="BO109" s="752">
        <v>0</v>
      </c>
      <c r="BP109" s="752">
        <v>0</v>
      </c>
      <c r="BQ109" s="752">
        <v>0</v>
      </c>
      <c r="BR109" s="752">
        <v>0</v>
      </c>
      <c r="BS109" s="752">
        <v>0</v>
      </c>
      <c r="BT109" s="753">
        <v>0</v>
      </c>
      <c r="BU109" s="176"/>
    </row>
    <row r="110" spans="2:73" ht="15.6">
      <c r="B110" s="750"/>
      <c r="C110" s="750"/>
      <c r="D110" s="750" t="s">
        <v>118</v>
      </c>
      <c r="E110" s="750" t="s">
        <v>745</v>
      </c>
      <c r="F110" s="750"/>
      <c r="G110" s="750"/>
      <c r="H110" s="750">
        <v>2015</v>
      </c>
      <c r="I110" s="649" t="s">
        <v>576</v>
      </c>
      <c r="J110" s="649" t="s">
        <v>582</v>
      </c>
      <c r="K110" s="63"/>
      <c r="L110" s="751"/>
      <c r="M110" s="752"/>
      <c r="N110" s="752"/>
      <c r="O110" s="752"/>
      <c r="P110" s="752">
        <v>0</v>
      </c>
      <c r="Q110" s="752">
        <v>0</v>
      </c>
      <c r="R110" s="752">
        <v>0</v>
      </c>
      <c r="S110" s="752">
        <v>0</v>
      </c>
      <c r="T110" s="752">
        <v>0</v>
      </c>
      <c r="U110" s="752">
        <v>0</v>
      </c>
      <c r="V110" s="752">
        <v>0</v>
      </c>
      <c r="W110" s="752">
        <v>0</v>
      </c>
      <c r="X110" s="752">
        <v>0</v>
      </c>
      <c r="Y110" s="752">
        <v>0</v>
      </c>
      <c r="Z110" s="752">
        <v>0</v>
      </c>
      <c r="AA110" s="752">
        <v>0</v>
      </c>
      <c r="AB110" s="752">
        <v>0</v>
      </c>
      <c r="AC110" s="752">
        <v>0</v>
      </c>
      <c r="AD110" s="752">
        <v>0</v>
      </c>
      <c r="AE110" s="752">
        <v>0</v>
      </c>
      <c r="AF110" s="752">
        <v>0</v>
      </c>
      <c r="AG110" s="752">
        <v>0</v>
      </c>
      <c r="AH110" s="752">
        <v>0</v>
      </c>
      <c r="AI110" s="752">
        <v>0</v>
      </c>
      <c r="AJ110" s="752">
        <v>0</v>
      </c>
      <c r="AK110" s="752">
        <v>0</v>
      </c>
      <c r="AL110" s="752">
        <v>0</v>
      </c>
      <c r="AM110" s="752">
        <v>0</v>
      </c>
      <c r="AN110" s="752">
        <v>0</v>
      </c>
      <c r="AO110" s="753">
        <v>0</v>
      </c>
      <c r="AP110" s="63"/>
      <c r="AQ110" s="751"/>
      <c r="AR110" s="752"/>
      <c r="AS110" s="752"/>
      <c r="AT110" s="752"/>
      <c r="AU110" s="752">
        <v>4307</v>
      </c>
      <c r="AV110" s="752">
        <v>4307</v>
      </c>
      <c r="AW110" s="752">
        <v>4307</v>
      </c>
      <c r="AX110" s="752">
        <v>4307</v>
      </c>
      <c r="AY110" s="752">
        <v>4307</v>
      </c>
      <c r="AZ110" s="752">
        <v>4307</v>
      </c>
      <c r="BA110" s="752">
        <v>4307</v>
      </c>
      <c r="BB110" s="752">
        <v>4307</v>
      </c>
      <c r="BC110" s="752">
        <v>4307</v>
      </c>
      <c r="BD110" s="752">
        <v>4307</v>
      </c>
      <c r="BE110" s="752">
        <v>4307</v>
      </c>
      <c r="BF110" s="752">
        <v>4307</v>
      </c>
      <c r="BG110" s="752">
        <v>0</v>
      </c>
      <c r="BH110" s="752">
        <v>0</v>
      </c>
      <c r="BI110" s="752">
        <v>0</v>
      </c>
      <c r="BJ110" s="752">
        <v>0</v>
      </c>
      <c r="BK110" s="752">
        <v>0</v>
      </c>
      <c r="BL110" s="752">
        <v>0</v>
      </c>
      <c r="BM110" s="752">
        <v>0</v>
      </c>
      <c r="BN110" s="752">
        <v>0</v>
      </c>
      <c r="BO110" s="752">
        <v>0</v>
      </c>
      <c r="BP110" s="752">
        <v>0</v>
      </c>
      <c r="BQ110" s="752">
        <v>0</v>
      </c>
      <c r="BR110" s="752">
        <v>0</v>
      </c>
      <c r="BS110" s="752">
        <v>0</v>
      </c>
      <c r="BT110" s="753">
        <v>0</v>
      </c>
      <c r="BU110" s="176"/>
    </row>
    <row r="111" spans="2:73" ht="15.6">
      <c r="B111" s="750"/>
      <c r="C111" s="750"/>
      <c r="D111" s="750" t="s">
        <v>95</v>
      </c>
      <c r="E111" s="750" t="s">
        <v>745</v>
      </c>
      <c r="F111" s="750"/>
      <c r="G111" s="750"/>
      <c r="H111" s="750">
        <v>2015</v>
      </c>
      <c r="I111" s="649" t="s">
        <v>576</v>
      </c>
      <c r="J111" s="649" t="s">
        <v>582</v>
      </c>
      <c r="K111" s="63"/>
      <c r="L111" s="751"/>
      <c r="M111" s="752"/>
      <c r="N111" s="752"/>
      <c r="O111" s="752"/>
      <c r="P111" s="752">
        <v>3</v>
      </c>
      <c r="Q111" s="752">
        <v>3</v>
      </c>
      <c r="R111" s="752">
        <v>3</v>
      </c>
      <c r="S111" s="752">
        <v>3</v>
      </c>
      <c r="T111" s="752">
        <v>3</v>
      </c>
      <c r="U111" s="752">
        <v>3</v>
      </c>
      <c r="V111" s="752">
        <v>3</v>
      </c>
      <c r="W111" s="752">
        <v>3</v>
      </c>
      <c r="X111" s="752">
        <v>3</v>
      </c>
      <c r="Y111" s="752">
        <v>3</v>
      </c>
      <c r="Z111" s="752">
        <v>3</v>
      </c>
      <c r="AA111" s="752">
        <v>3</v>
      </c>
      <c r="AB111" s="752">
        <v>3</v>
      </c>
      <c r="AC111" s="752">
        <v>3</v>
      </c>
      <c r="AD111" s="752">
        <v>3</v>
      </c>
      <c r="AE111" s="752">
        <v>3</v>
      </c>
      <c r="AF111" s="752">
        <v>2</v>
      </c>
      <c r="AG111" s="752">
        <v>2</v>
      </c>
      <c r="AH111" s="752">
        <v>2</v>
      </c>
      <c r="AI111" s="752">
        <v>2</v>
      </c>
      <c r="AJ111" s="752">
        <v>0</v>
      </c>
      <c r="AK111" s="752">
        <v>0</v>
      </c>
      <c r="AL111" s="752">
        <v>0</v>
      </c>
      <c r="AM111" s="752">
        <v>0</v>
      </c>
      <c r="AN111" s="752">
        <v>0</v>
      </c>
      <c r="AO111" s="753">
        <v>0</v>
      </c>
      <c r="AP111" s="63"/>
      <c r="AQ111" s="751"/>
      <c r="AR111" s="752"/>
      <c r="AS111" s="752"/>
      <c r="AT111" s="752"/>
      <c r="AU111" s="752">
        <v>50161</v>
      </c>
      <c r="AV111" s="752">
        <v>49436</v>
      </c>
      <c r="AW111" s="752">
        <v>49436</v>
      </c>
      <c r="AX111" s="752">
        <v>49436</v>
      </c>
      <c r="AY111" s="752">
        <v>49436</v>
      </c>
      <c r="AZ111" s="752">
        <v>49436</v>
      </c>
      <c r="BA111" s="752">
        <v>49436</v>
      </c>
      <c r="BB111" s="752">
        <v>49417</v>
      </c>
      <c r="BC111" s="752">
        <v>49417</v>
      </c>
      <c r="BD111" s="752">
        <v>49417</v>
      </c>
      <c r="BE111" s="752">
        <v>48228</v>
      </c>
      <c r="BF111" s="752">
        <v>48175</v>
      </c>
      <c r="BG111" s="752">
        <v>48175</v>
      </c>
      <c r="BH111" s="752">
        <v>48068</v>
      </c>
      <c r="BI111" s="752">
        <v>48068</v>
      </c>
      <c r="BJ111" s="752">
        <v>47983</v>
      </c>
      <c r="BK111" s="752">
        <v>25622</v>
      </c>
      <c r="BL111" s="752">
        <v>25622</v>
      </c>
      <c r="BM111" s="752">
        <v>25622</v>
      </c>
      <c r="BN111" s="752">
        <v>25622</v>
      </c>
      <c r="BO111" s="752">
        <v>0</v>
      </c>
      <c r="BP111" s="752">
        <v>0</v>
      </c>
      <c r="BQ111" s="752">
        <v>0</v>
      </c>
      <c r="BR111" s="752">
        <v>0</v>
      </c>
      <c r="BS111" s="752">
        <v>0</v>
      </c>
      <c r="BT111" s="753">
        <v>0</v>
      </c>
      <c r="BU111" s="176"/>
    </row>
    <row r="112" spans="2:73">
      <c r="B112" s="750"/>
      <c r="C112" s="750"/>
      <c r="D112" s="750" t="s">
        <v>96</v>
      </c>
      <c r="E112" s="750" t="s">
        <v>745</v>
      </c>
      <c r="F112" s="750"/>
      <c r="G112" s="750"/>
      <c r="H112" s="750">
        <v>2015</v>
      </c>
      <c r="I112" s="649" t="s">
        <v>576</v>
      </c>
      <c r="J112" s="649" t="s">
        <v>582</v>
      </c>
      <c r="K112" s="63"/>
      <c r="L112" s="751"/>
      <c r="M112" s="752"/>
      <c r="N112" s="752"/>
      <c r="O112" s="752"/>
      <c r="P112" s="752">
        <v>0</v>
      </c>
      <c r="Q112" s="752">
        <v>0</v>
      </c>
      <c r="R112" s="752">
        <v>0</v>
      </c>
      <c r="S112" s="752">
        <v>0</v>
      </c>
      <c r="T112" s="752">
        <v>0</v>
      </c>
      <c r="U112" s="752">
        <v>0</v>
      </c>
      <c r="V112" s="752">
        <v>0</v>
      </c>
      <c r="W112" s="752">
        <v>0</v>
      </c>
      <c r="X112" s="752">
        <v>0</v>
      </c>
      <c r="Y112" s="752">
        <v>0</v>
      </c>
      <c r="Z112" s="752">
        <v>0</v>
      </c>
      <c r="AA112" s="752">
        <v>0</v>
      </c>
      <c r="AB112" s="752">
        <v>0</v>
      </c>
      <c r="AC112" s="752">
        <v>0</v>
      </c>
      <c r="AD112" s="752">
        <v>0</v>
      </c>
      <c r="AE112" s="752">
        <v>0</v>
      </c>
      <c r="AF112" s="752">
        <v>0</v>
      </c>
      <c r="AG112" s="752">
        <v>0</v>
      </c>
      <c r="AH112" s="752">
        <v>0</v>
      </c>
      <c r="AI112" s="752">
        <v>0</v>
      </c>
      <c r="AJ112" s="752">
        <v>0</v>
      </c>
      <c r="AK112" s="752">
        <v>0</v>
      </c>
      <c r="AL112" s="752">
        <v>0</v>
      </c>
      <c r="AM112" s="752">
        <v>0</v>
      </c>
      <c r="AN112" s="752">
        <v>0</v>
      </c>
      <c r="AO112" s="753">
        <v>0</v>
      </c>
      <c r="AP112" s="63"/>
      <c r="AQ112" s="751"/>
      <c r="AR112" s="752"/>
      <c r="AS112" s="752"/>
      <c r="AT112" s="752"/>
      <c r="AU112" s="752">
        <v>5557</v>
      </c>
      <c r="AV112" s="752">
        <v>5492</v>
      </c>
      <c r="AW112" s="752">
        <v>5492</v>
      </c>
      <c r="AX112" s="752">
        <v>5492</v>
      </c>
      <c r="AY112" s="752">
        <v>5492</v>
      </c>
      <c r="AZ112" s="752">
        <v>5492</v>
      </c>
      <c r="BA112" s="752">
        <v>5492</v>
      </c>
      <c r="BB112" s="752">
        <v>5478</v>
      </c>
      <c r="BC112" s="752">
        <v>5478</v>
      </c>
      <c r="BD112" s="752">
        <v>5478</v>
      </c>
      <c r="BE112" s="752">
        <v>4646</v>
      </c>
      <c r="BF112" s="752">
        <v>4608</v>
      </c>
      <c r="BG112" s="752">
        <v>4608</v>
      </c>
      <c r="BH112" s="752">
        <v>4466</v>
      </c>
      <c r="BI112" s="752">
        <v>4466</v>
      </c>
      <c r="BJ112" s="752">
        <v>4450</v>
      </c>
      <c r="BK112" s="752">
        <v>1859</v>
      </c>
      <c r="BL112" s="752">
        <v>1859</v>
      </c>
      <c r="BM112" s="752">
        <v>1859</v>
      </c>
      <c r="BN112" s="752">
        <v>1859</v>
      </c>
      <c r="BO112" s="752">
        <v>0</v>
      </c>
      <c r="BP112" s="752">
        <v>0</v>
      </c>
      <c r="BQ112" s="752">
        <v>0</v>
      </c>
      <c r="BR112" s="752">
        <v>0</v>
      </c>
      <c r="BS112" s="752">
        <v>0</v>
      </c>
      <c r="BT112" s="753">
        <v>0</v>
      </c>
    </row>
    <row r="113" spans="2:73">
      <c r="B113" s="750"/>
      <c r="C113" s="750"/>
      <c r="D113" s="750" t="s">
        <v>676</v>
      </c>
      <c r="E113" s="750" t="s">
        <v>745</v>
      </c>
      <c r="F113" s="750"/>
      <c r="G113" s="750"/>
      <c r="H113" s="750">
        <v>2015</v>
      </c>
      <c r="I113" s="649" t="s">
        <v>576</v>
      </c>
      <c r="J113" s="649" t="s">
        <v>582</v>
      </c>
      <c r="K113" s="63"/>
      <c r="L113" s="751"/>
      <c r="M113" s="752"/>
      <c r="N113" s="752"/>
      <c r="O113" s="752"/>
      <c r="P113" s="752">
        <v>8</v>
      </c>
      <c r="Q113" s="752">
        <v>8</v>
      </c>
      <c r="R113" s="752">
        <v>8</v>
      </c>
      <c r="S113" s="752">
        <v>8</v>
      </c>
      <c r="T113" s="752">
        <v>8</v>
      </c>
      <c r="U113" s="752">
        <v>8</v>
      </c>
      <c r="V113" s="752">
        <v>8</v>
      </c>
      <c r="W113" s="752">
        <v>8</v>
      </c>
      <c r="X113" s="752">
        <v>8</v>
      </c>
      <c r="Y113" s="752">
        <v>8</v>
      </c>
      <c r="Z113" s="752">
        <v>8</v>
      </c>
      <c r="AA113" s="752">
        <v>8</v>
      </c>
      <c r="AB113" s="752">
        <v>8</v>
      </c>
      <c r="AC113" s="752">
        <v>8</v>
      </c>
      <c r="AD113" s="752">
        <v>8</v>
      </c>
      <c r="AE113" s="752">
        <v>8</v>
      </c>
      <c r="AF113" s="752">
        <v>8</v>
      </c>
      <c r="AG113" s="752">
        <v>8</v>
      </c>
      <c r="AH113" s="752">
        <v>8</v>
      </c>
      <c r="AI113" s="752">
        <v>0</v>
      </c>
      <c r="AJ113" s="752">
        <v>0</v>
      </c>
      <c r="AK113" s="752">
        <v>0</v>
      </c>
      <c r="AL113" s="752">
        <v>0</v>
      </c>
      <c r="AM113" s="752">
        <v>0</v>
      </c>
      <c r="AN113" s="752">
        <v>0</v>
      </c>
      <c r="AO113" s="753">
        <v>0</v>
      </c>
      <c r="AP113" s="63"/>
      <c r="AQ113" s="751"/>
      <c r="AR113" s="752"/>
      <c r="AS113" s="752"/>
      <c r="AT113" s="752"/>
      <c r="AU113" s="752">
        <v>15881</v>
      </c>
      <c r="AV113" s="752">
        <v>15881</v>
      </c>
      <c r="AW113" s="752">
        <v>15881</v>
      </c>
      <c r="AX113" s="752">
        <v>15881</v>
      </c>
      <c r="AY113" s="752">
        <v>15881</v>
      </c>
      <c r="AZ113" s="752">
        <v>15881</v>
      </c>
      <c r="BA113" s="752">
        <v>15881</v>
      </c>
      <c r="BB113" s="752">
        <v>15881</v>
      </c>
      <c r="BC113" s="752">
        <v>15881</v>
      </c>
      <c r="BD113" s="752">
        <v>15881</v>
      </c>
      <c r="BE113" s="752">
        <v>15881</v>
      </c>
      <c r="BF113" s="752">
        <v>15881</v>
      </c>
      <c r="BG113" s="752">
        <v>15881</v>
      </c>
      <c r="BH113" s="752">
        <v>15881</v>
      </c>
      <c r="BI113" s="752">
        <v>15881</v>
      </c>
      <c r="BJ113" s="752">
        <v>15881</v>
      </c>
      <c r="BK113" s="752">
        <v>15881</v>
      </c>
      <c r="BL113" s="752">
        <v>15881</v>
      </c>
      <c r="BM113" s="752">
        <v>15112</v>
      </c>
      <c r="BN113" s="752">
        <v>0</v>
      </c>
      <c r="BO113" s="752">
        <v>0</v>
      </c>
      <c r="BP113" s="752">
        <v>0</v>
      </c>
      <c r="BQ113" s="752">
        <v>0</v>
      </c>
      <c r="BR113" s="752">
        <v>0</v>
      </c>
      <c r="BS113" s="752">
        <v>0</v>
      </c>
      <c r="BT113" s="753">
        <v>0</v>
      </c>
    </row>
    <row r="114" spans="2:73">
      <c r="B114" s="750"/>
      <c r="C114" s="750"/>
      <c r="D114" s="750" t="s">
        <v>100</v>
      </c>
      <c r="E114" s="750" t="s">
        <v>745</v>
      </c>
      <c r="F114" s="750"/>
      <c r="G114" s="750"/>
      <c r="H114" s="750">
        <v>2015</v>
      </c>
      <c r="I114" s="649" t="s">
        <v>576</v>
      </c>
      <c r="J114" s="649" t="s">
        <v>582</v>
      </c>
      <c r="K114" s="63"/>
      <c r="L114" s="751"/>
      <c r="M114" s="752"/>
      <c r="N114" s="752"/>
      <c r="O114" s="752"/>
      <c r="P114" s="752">
        <v>17</v>
      </c>
      <c r="Q114" s="752">
        <v>17</v>
      </c>
      <c r="R114" s="752">
        <v>17</v>
      </c>
      <c r="S114" s="752">
        <v>17</v>
      </c>
      <c r="T114" s="752">
        <v>17</v>
      </c>
      <c r="U114" s="752">
        <v>17</v>
      </c>
      <c r="V114" s="752">
        <v>16</v>
      </c>
      <c r="W114" s="752">
        <v>16</v>
      </c>
      <c r="X114" s="752">
        <v>16</v>
      </c>
      <c r="Y114" s="752">
        <v>10</v>
      </c>
      <c r="Z114" s="752">
        <v>5</v>
      </c>
      <c r="AA114" s="752">
        <v>5</v>
      </c>
      <c r="AB114" s="752">
        <v>4</v>
      </c>
      <c r="AC114" s="752">
        <v>4</v>
      </c>
      <c r="AD114" s="752">
        <v>4</v>
      </c>
      <c r="AE114" s="752">
        <v>4</v>
      </c>
      <c r="AF114" s="752">
        <v>4</v>
      </c>
      <c r="AG114" s="752">
        <v>4</v>
      </c>
      <c r="AH114" s="752">
        <v>4</v>
      </c>
      <c r="AI114" s="752">
        <v>4</v>
      </c>
      <c r="AJ114" s="752">
        <v>0</v>
      </c>
      <c r="AK114" s="752">
        <v>0</v>
      </c>
      <c r="AL114" s="752">
        <v>0</v>
      </c>
      <c r="AM114" s="752">
        <v>0</v>
      </c>
      <c r="AN114" s="752">
        <v>0</v>
      </c>
      <c r="AO114" s="753">
        <v>0</v>
      </c>
      <c r="AP114" s="63"/>
      <c r="AQ114" s="751"/>
      <c r="AR114" s="752"/>
      <c r="AS114" s="752"/>
      <c r="AT114" s="752"/>
      <c r="AU114" s="752">
        <v>137839</v>
      </c>
      <c r="AV114" s="752">
        <v>137839</v>
      </c>
      <c r="AW114" s="752">
        <v>137839</v>
      </c>
      <c r="AX114" s="752">
        <v>137839</v>
      </c>
      <c r="AY114" s="752">
        <v>137839</v>
      </c>
      <c r="AZ114" s="752">
        <v>137839</v>
      </c>
      <c r="BA114" s="752">
        <v>130371</v>
      </c>
      <c r="BB114" s="752">
        <v>130371</v>
      </c>
      <c r="BC114" s="752">
        <v>130371</v>
      </c>
      <c r="BD114" s="752">
        <v>98734</v>
      </c>
      <c r="BE114" s="752">
        <v>67771</v>
      </c>
      <c r="BF114" s="752">
        <v>67771</v>
      </c>
      <c r="BG114" s="752">
        <v>11392</v>
      </c>
      <c r="BH114" s="752">
        <v>11392</v>
      </c>
      <c r="BI114" s="752">
        <v>11392</v>
      </c>
      <c r="BJ114" s="752">
        <v>11392</v>
      </c>
      <c r="BK114" s="752">
        <v>11392</v>
      </c>
      <c r="BL114" s="752">
        <v>11392</v>
      </c>
      <c r="BM114" s="752">
        <v>11392</v>
      </c>
      <c r="BN114" s="752">
        <v>11392</v>
      </c>
      <c r="BO114" s="752">
        <v>0</v>
      </c>
      <c r="BP114" s="752">
        <v>0</v>
      </c>
      <c r="BQ114" s="752">
        <v>0</v>
      </c>
      <c r="BR114" s="752">
        <v>0</v>
      </c>
      <c r="BS114" s="752">
        <v>0</v>
      </c>
      <c r="BT114" s="753">
        <v>0</v>
      </c>
    </row>
    <row r="115" spans="2:73" ht="15.6">
      <c r="B115" s="750"/>
      <c r="C115" s="750"/>
      <c r="D115" s="750" t="s">
        <v>100</v>
      </c>
      <c r="E115" s="750" t="s">
        <v>745</v>
      </c>
      <c r="F115" s="750"/>
      <c r="G115" s="750"/>
      <c r="H115" s="750">
        <v>2015</v>
      </c>
      <c r="I115" s="649" t="s">
        <v>577</v>
      </c>
      <c r="J115" s="649" t="s">
        <v>582</v>
      </c>
      <c r="K115" s="63"/>
      <c r="L115" s="751"/>
      <c r="M115" s="752"/>
      <c r="N115" s="752"/>
      <c r="O115" s="752"/>
      <c r="P115" s="752">
        <v>3</v>
      </c>
      <c r="Q115" s="752">
        <v>3</v>
      </c>
      <c r="R115" s="752">
        <v>23</v>
      </c>
      <c r="S115" s="752">
        <v>23</v>
      </c>
      <c r="T115" s="752">
        <v>23</v>
      </c>
      <c r="U115" s="752">
        <v>23</v>
      </c>
      <c r="V115" s="752">
        <v>33</v>
      </c>
      <c r="W115" s="752">
        <v>33</v>
      </c>
      <c r="X115" s="752">
        <v>33</v>
      </c>
      <c r="Y115" s="752">
        <v>30</v>
      </c>
      <c r="Z115" s="752">
        <v>23</v>
      </c>
      <c r="AA115" s="752">
        <v>23</v>
      </c>
      <c r="AB115" s="752">
        <v>9</v>
      </c>
      <c r="AC115" s="752">
        <v>6</v>
      </c>
      <c r="AD115" s="752">
        <v>6</v>
      </c>
      <c r="AE115" s="752">
        <v>6</v>
      </c>
      <c r="AF115" s="752">
        <v>6</v>
      </c>
      <c r="AG115" s="752">
        <v>6</v>
      </c>
      <c r="AH115" s="752">
        <v>6</v>
      </c>
      <c r="AI115" s="752">
        <v>6</v>
      </c>
      <c r="AJ115" s="752">
        <v>0</v>
      </c>
      <c r="AK115" s="752">
        <v>0</v>
      </c>
      <c r="AL115" s="752">
        <v>0</v>
      </c>
      <c r="AM115" s="752">
        <v>0</v>
      </c>
      <c r="AN115" s="752">
        <v>0</v>
      </c>
      <c r="AO115" s="753">
        <v>0</v>
      </c>
      <c r="AP115" s="63"/>
      <c r="AQ115" s="751"/>
      <c r="AR115" s="752"/>
      <c r="AS115" s="752"/>
      <c r="AT115" s="752"/>
      <c r="AU115" s="752">
        <v>28314</v>
      </c>
      <c r="AV115" s="752">
        <v>28314</v>
      </c>
      <c r="AW115" s="752">
        <v>92527</v>
      </c>
      <c r="AX115" s="752">
        <v>92635</v>
      </c>
      <c r="AY115" s="752">
        <v>92635</v>
      </c>
      <c r="AZ115" s="752">
        <v>92635</v>
      </c>
      <c r="BA115" s="752">
        <v>156621</v>
      </c>
      <c r="BB115" s="752">
        <v>156621</v>
      </c>
      <c r="BC115" s="752">
        <v>185909</v>
      </c>
      <c r="BD115" s="752">
        <v>178157</v>
      </c>
      <c r="BE115" s="752">
        <v>112760</v>
      </c>
      <c r="BF115" s="752">
        <v>95705</v>
      </c>
      <c r="BG115" s="752">
        <v>27910</v>
      </c>
      <c r="BH115" s="752">
        <v>18719</v>
      </c>
      <c r="BI115" s="752">
        <v>18719</v>
      </c>
      <c r="BJ115" s="752">
        <v>18719</v>
      </c>
      <c r="BK115" s="752">
        <v>18719</v>
      </c>
      <c r="BL115" s="752">
        <v>18719</v>
      </c>
      <c r="BM115" s="752">
        <v>18719</v>
      </c>
      <c r="BN115" s="752">
        <v>18719</v>
      </c>
      <c r="BO115" s="752">
        <v>0</v>
      </c>
      <c r="BP115" s="752">
        <v>0</v>
      </c>
      <c r="BQ115" s="752">
        <v>0</v>
      </c>
      <c r="BR115" s="752">
        <v>0</v>
      </c>
      <c r="BS115" s="752">
        <v>0</v>
      </c>
      <c r="BT115" s="753">
        <v>0</v>
      </c>
      <c r="BU115" s="176"/>
    </row>
    <row r="116" spans="2:73" ht="15.6">
      <c r="B116" s="750"/>
      <c r="C116" s="750"/>
      <c r="D116" s="750" t="s">
        <v>101</v>
      </c>
      <c r="E116" s="750" t="s">
        <v>745</v>
      </c>
      <c r="F116" s="750"/>
      <c r="G116" s="750"/>
      <c r="H116" s="750">
        <v>2015</v>
      </c>
      <c r="I116" s="649" t="s">
        <v>577</v>
      </c>
      <c r="J116" s="649" t="s">
        <v>582</v>
      </c>
      <c r="K116" s="63"/>
      <c r="L116" s="751"/>
      <c r="M116" s="752"/>
      <c r="N116" s="752"/>
      <c r="O116" s="752"/>
      <c r="P116" s="752">
        <v>-2</v>
      </c>
      <c r="Q116" s="752">
        <v>-2</v>
      </c>
      <c r="R116" s="752">
        <v>1</v>
      </c>
      <c r="S116" s="752">
        <v>1</v>
      </c>
      <c r="T116" s="752">
        <v>1</v>
      </c>
      <c r="U116" s="752">
        <v>1</v>
      </c>
      <c r="V116" s="752">
        <v>1</v>
      </c>
      <c r="W116" s="752">
        <v>1</v>
      </c>
      <c r="X116" s="752">
        <v>1</v>
      </c>
      <c r="Y116" s="752">
        <v>1</v>
      </c>
      <c r="Z116" s="752">
        <v>1</v>
      </c>
      <c r="AA116" s="752">
        <v>1</v>
      </c>
      <c r="AB116" s="752">
        <v>0</v>
      </c>
      <c r="AC116" s="752">
        <v>0</v>
      </c>
      <c r="AD116" s="752">
        <v>0</v>
      </c>
      <c r="AE116" s="752">
        <v>0</v>
      </c>
      <c r="AF116" s="752">
        <v>0</v>
      </c>
      <c r="AG116" s="752">
        <v>0</v>
      </c>
      <c r="AH116" s="752">
        <v>0</v>
      </c>
      <c r="AI116" s="752">
        <v>0</v>
      </c>
      <c r="AJ116" s="752">
        <v>0</v>
      </c>
      <c r="AK116" s="752">
        <v>0</v>
      </c>
      <c r="AL116" s="752">
        <v>0</v>
      </c>
      <c r="AM116" s="752">
        <v>0</v>
      </c>
      <c r="AN116" s="752">
        <v>0</v>
      </c>
      <c r="AO116" s="753">
        <v>0</v>
      </c>
      <c r="AP116" s="63"/>
      <c r="AQ116" s="751"/>
      <c r="AR116" s="752"/>
      <c r="AS116" s="752"/>
      <c r="AT116" s="752"/>
      <c r="AU116" s="752">
        <v>-6723</v>
      </c>
      <c r="AV116" s="752">
        <v>-6416</v>
      </c>
      <c r="AW116" s="752">
        <v>3045</v>
      </c>
      <c r="AX116" s="752">
        <v>3140</v>
      </c>
      <c r="AY116" s="752">
        <v>3140</v>
      </c>
      <c r="AZ116" s="752">
        <v>3140</v>
      </c>
      <c r="BA116" s="752">
        <v>3140</v>
      </c>
      <c r="BB116" s="752">
        <v>3140</v>
      </c>
      <c r="BC116" s="752">
        <v>3140</v>
      </c>
      <c r="BD116" s="752">
        <v>3140</v>
      </c>
      <c r="BE116" s="752">
        <v>3140</v>
      </c>
      <c r="BF116" s="752">
        <v>3140</v>
      </c>
      <c r="BG116" s="752">
        <v>0</v>
      </c>
      <c r="BH116" s="752">
        <v>0</v>
      </c>
      <c r="BI116" s="752">
        <v>0</v>
      </c>
      <c r="BJ116" s="752">
        <v>0</v>
      </c>
      <c r="BK116" s="752">
        <v>0</v>
      </c>
      <c r="BL116" s="752">
        <v>0</v>
      </c>
      <c r="BM116" s="752">
        <v>0</v>
      </c>
      <c r="BN116" s="752">
        <v>0</v>
      </c>
      <c r="BO116" s="752">
        <v>0</v>
      </c>
      <c r="BP116" s="752">
        <v>0</v>
      </c>
      <c r="BQ116" s="752">
        <v>0</v>
      </c>
      <c r="BR116" s="752">
        <v>0</v>
      </c>
      <c r="BS116" s="752">
        <v>0</v>
      </c>
      <c r="BT116" s="753">
        <v>0</v>
      </c>
      <c r="BU116" s="176"/>
    </row>
    <row r="117" spans="2:73" ht="15.6">
      <c r="B117" s="750"/>
      <c r="C117" s="750"/>
      <c r="D117" s="750" t="s">
        <v>113</v>
      </c>
      <c r="E117" s="750" t="s">
        <v>745</v>
      </c>
      <c r="F117" s="750"/>
      <c r="G117" s="750"/>
      <c r="H117" s="750">
        <v>2016</v>
      </c>
      <c r="I117" s="649" t="s">
        <v>576</v>
      </c>
      <c r="J117" s="649" t="s">
        <v>589</v>
      </c>
      <c r="K117" s="63"/>
      <c r="L117" s="751"/>
      <c r="M117" s="752"/>
      <c r="N117" s="752"/>
      <c r="O117" s="752"/>
      <c r="P117" s="752"/>
      <c r="Q117" s="752">
        <v>127</v>
      </c>
      <c r="R117" s="752">
        <v>127</v>
      </c>
      <c r="S117" s="752">
        <v>127</v>
      </c>
      <c r="T117" s="752">
        <v>127</v>
      </c>
      <c r="U117" s="752">
        <v>127</v>
      </c>
      <c r="V117" s="752">
        <v>127</v>
      </c>
      <c r="W117" s="752">
        <v>127</v>
      </c>
      <c r="X117" s="752">
        <v>127</v>
      </c>
      <c r="Y117" s="752">
        <v>127</v>
      </c>
      <c r="Z117" s="752">
        <v>127</v>
      </c>
      <c r="AA117" s="752">
        <v>122</v>
      </c>
      <c r="AB117" s="752">
        <v>122</v>
      </c>
      <c r="AC117" s="752">
        <v>122</v>
      </c>
      <c r="AD117" s="752">
        <v>122</v>
      </c>
      <c r="AE117" s="752">
        <v>106</v>
      </c>
      <c r="AF117" s="752">
        <v>106</v>
      </c>
      <c r="AG117" s="752">
        <v>46</v>
      </c>
      <c r="AH117" s="752">
        <v>0</v>
      </c>
      <c r="AI117" s="752">
        <v>0</v>
      </c>
      <c r="AJ117" s="752">
        <v>0</v>
      </c>
      <c r="AK117" s="752">
        <v>0</v>
      </c>
      <c r="AL117" s="752">
        <v>0</v>
      </c>
      <c r="AM117" s="752">
        <v>0</v>
      </c>
      <c r="AN117" s="752">
        <v>0</v>
      </c>
      <c r="AO117" s="753">
        <v>0</v>
      </c>
      <c r="AP117" s="63"/>
      <c r="AQ117" s="751"/>
      <c r="AR117" s="752"/>
      <c r="AS117" s="752"/>
      <c r="AT117" s="752"/>
      <c r="AU117" s="752"/>
      <c r="AV117" s="752">
        <v>1959951</v>
      </c>
      <c r="AW117" s="752">
        <v>1959951</v>
      </c>
      <c r="AX117" s="752">
        <v>1959951</v>
      </c>
      <c r="AY117" s="752">
        <v>1959951</v>
      </c>
      <c r="AZ117" s="752">
        <v>1959951</v>
      </c>
      <c r="BA117" s="752">
        <v>1959951</v>
      </c>
      <c r="BB117" s="752">
        <v>1959951</v>
      </c>
      <c r="BC117" s="752">
        <v>1959654</v>
      </c>
      <c r="BD117" s="752">
        <v>1959654</v>
      </c>
      <c r="BE117" s="752">
        <v>1951081</v>
      </c>
      <c r="BF117" s="752">
        <v>1927544</v>
      </c>
      <c r="BG117" s="752">
        <v>1926399</v>
      </c>
      <c r="BH117" s="752">
        <v>1926399</v>
      </c>
      <c r="BI117" s="752">
        <v>1915996</v>
      </c>
      <c r="BJ117" s="752">
        <v>1664106</v>
      </c>
      <c r="BK117" s="752">
        <v>1664106</v>
      </c>
      <c r="BL117" s="752">
        <v>731423</v>
      </c>
      <c r="BM117" s="752">
        <v>0</v>
      </c>
      <c r="BN117" s="752">
        <v>0</v>
      </c>
      <c r="BO117" s="752">
        <v>0</v>
      </c>
      <c r="BP117" s="752">
        <v>0</v>
      </c>
      <c r="BQ117" s="752">
        <v>0</v>
      </c>
      <c r="BR117" s="752">
        <v>0</v>
      </c>
      <c r="BS117" s="752">
        <v>0</v>
      </c>
      <c r="BT117" s="753">
        <v>0</v>
      </c>
      <c r="BU117" s="176"/>
    </row>
    <row r="118" spans="2:73" ht="15.6">
      <c r="B118" s="750"/>
      <c r="C118" s="750"/>
      <c r="D118" s="750" t="s">
        <v>767</v>
      </c>
      <c r="E118" s="750" t="s">
        <v>745</v>
      </c>
      <c r="F118" s="750"/>
      <c r="G118" s="750"/>
      <c r="H118" s="750">
        <v>2016</v>
      </c>
      <c r="I118" s="649" t="s">
        <v>576</v>
      </c>
      <c r="J118" s="649" t="s">
        <v>589</v>
      </c>
      <c r="K118" s="63"/>
      <c r="L118" s="751"/>
      <c r="M118" s="752"/>
      <c r="N118" s="752"/>
      <c r="O118" s="752"/>
      <c r="P118" s="752"/>
      <c r="Q118" s="752">
        <v>123</v>
      </c>
      <c r="R118" s="752">
        <v>123</v>
      </c>
      <c r="S118" s="752">
        <v>123</v>
      </c>
      <c r="T118" s="752">
        <v>123</v>
      </c>
      <c r="U118" s="752">
        <v>123</v>
      </c>
      <c r="V118" s="752">
        <v>123</v>
      </c>
      <c r="W118" s="752">
        <v>123</v>
      </c>
      <c r="X118" s="752">
        <v>123</v>
      </c>
      <c r="Y118" s="752">
        <v>123</v>
      </c>
      <c r="Z118" s="752">
        <v>123</v>
      </c>
      <c r="AA118" s="752">
        <v>123</v>
      </c>
      <c r="AB118" s="752">
        <v>123</v>
      </c>
      <c r="AC118" s="752">
        <v>123</v>
      </c>
      <c r="AD118" s="752">
        <v>123</v>
      </c>
      <c r="AE118" s="752">
        <v>123</v>
      </c>
      <c r="AF118" s="752">
        <v>123</v>
      </c>
      <c r="AG118" s="752">
        <v>123</v>
      </c>
      <c r="AH118" s="752">
        <v>123</v>
      </c>
      <c r="AI118" s="752">
        <v>110</v>
      </c>
      <c r="AJ118" s="752">
        <v>0</v>
      </c>
      <c r="AK118" s="752">
        <v>0</v>
      </c>
      <c r="AL118" s="752">
        <v>0</v>
      </c>
      <c r="AM118" s="752">
        <v>0</v>
      </c>
      <c r="AN118" s="752">
        <v>0</v>
      </c>
      <c r="AO118" s="753">
        <v>0</v>
      </c>
      <c r="AP118" s="63"/>
      <c r="AQ118" s="751"/>
      <c r="AR118" s="752"/>
      <c r="AS118" s="752"/>
      <c r="AT118" s="752"/>
      <c r="AU118" s="752"/>
      <c r="AV118" s="752">
        <v>410272</v>
      </c>
      <c r="AW118" s="752">
        <v>410272</v>
      </c>
      <c r="AX118" s="752">
        <v>410272</v>
      </c>
      <c r="AY118" s="752">
        <v>410272</v>
      </c>
      <c r="AZ118" s="752">
        <v>410272</v>
      </c>
      <c r="BA118" s="752">
        <v>410272</v>
      </c>
      <c r="BB118" s="752">
        <v>410272</v>
      </c>
      <c r="BC118" s="752">
        <v>410272</v>
      </c>
      <c r="BD118" s="752">
        <v>410272</v>
      </c>
      <c r="BE118" s="752">
        <v>410272</v>
      </c>
      <c r="BF118" s="752">
        <v>410272</v>
      </c>
      <c r="BG118" s="752">
        <v>410272</v>
      </c>
      <c r="BH118" s="752">
        <v>410272</v>
      </c>
      <c r="BI118" s="752">
        <v>410272</v>
      </c>
      <c r="BJ118" s="752">
        <v>410272</v>
      </c>
      <c r="BK118" s="752">
        <v>410272</v>
      </c>
      <c r="BL118" s="752">
        <v>410272</v>
      </c>
      <c r="BM118" s="752">
        <v>410272</v>
      </c>
      <c r="BN118" s="752">
        <v>398029</v>
      </c>
      <c r="BO118" s="752">
        <v>0</v>
      </c>
      <c r="BP118" s="752">
        <v>0</v>
      </c>
      <c r="BQ118" s="752">
        <v>0</v>
      </c>
      <c r="BR118" s="752">
        <v>0</v>
      </c>
      <c r="BS118" s="752">
        <v>0</v>
      </c>
      <c r="BT118" s="753">
        <v>0</v>
      </c>
      <c r="BU118" s="176"/>
    </row>
    <row r="119" spans="2:73" ht="15.6">
      <c r="B119" s="750"/>
      <c r="C119" s="750"/>
      <c r="D119" s="750" t="s">
        <v>118</v>
      </c>
      <c r="E119" s="750" t="s">
        <v>745</v>
      </c>
      <c r="F119" s="750"/>
      <c r="G119" s="750"/>
      <c r="H119" s="750">
        <v>2016</v>
      </c>
      <c r="I119" s="649" t="s">
        <v>576</v>
      </c>
      <c r="J119" s="649" t="s">
        <v>589</v>
      </c>
      <c r="K119" s="63"/>
      <c r="L119" s="751"/>
      <c r="M119" s="752"/>
      <c r="N119" s="752"/>
      <c r="O119" s="752"/>
      <c r="P119" s="752"/>
      <c r="Q119" s="752">
        <v>132</v>
      </c>
      <c r="R119" s="752">
        <v>128</v>
      </c>
      <c r="S119" s="752">
        <v>128</v>
      </c>
      <c r="T119" s="752">
        <v>128</v>
      </c>
      <c r="U119" s="752">
        <v>128</v>
      </c>
      <c r="V119" s="752">
        <v>120</v>
      </c>
      <c r="W119" s="752">
        <v>120</v>
      </c>
      <c r="X119" s="752">
        <v>120</v>
      </c>
      <c r="Y119" s="752">
        <v>120</v>
      </c>
      <c r="Z119" s="752">
        <v>120</v>
      </c>
      <c r="AA119" s="752">
        <v>120</v>
      </c>
      <c r="AB119" s="752">
        <v>80</v>
      </c>
      <c r="AC119" s="752">
        <v>16</v>
      </c>
      <c r="AD119" s="752">
        <v>16</v>
      </c>
      <c r="AE119" s="752">
        <v>12</v>
      </c>
      <c r="AF119" s="752">
        <v>2</v>
      </c>
      <c r="AG119" s="752">
        <v>2</v>
      </c>
      <c r="AH119" s="752">
        <v>2</v>
      </c>
      <c r="AI119" s="752">
        <v>2</v>
      </c>
      <c r="AJ119" s="752">
        <v>2</v>
      </c>
      <c r="AK119" s="752">
        <v>0</v>
      </c>
      <c r="AL119" s="752">
        <v>0</v>
      </c>
      <c r="AM119" s="752">
        <v>0</v>
      </c>
      <c r="AN119" s="752">
        <v>0</v>
      </c>
      <c r="AO119" s="753">
        <v>0</v>
      </c>
      <c r="AP119" s="63"/>
      <c r="AQ119" s="751"/>
      <c r="AR119" s="752"/>
      <c r="AS119" s="752"/>
      <c r="AT119" s="752"/>
      <c r="AU119" s="752"/>
      <c r="AV119" s="752">
        <v>2405084</v>
      </c>
      <c r="AW119" s="752">
        <v>2385368</v>
      </c>
      <c r="AX119" s="752">
        <v>2385368</v>
      </c>
      <c r="AY119" s="752">
        <v>2385368</v>
      </c>
      <c r="AZ119" s="752">
        <v>2385368</v>
      </c>
      <c r="BA119" s="752">
        <v>2340066</v>
      </c>
      <c r="BB119" s="752">
        <v>2340066</v>
      </c>
      <c r="BC119" s="752">
        <v>2340066</v>
      </c>
      <c r="BD119" s="752">
        <v>2340066</v>
      </c>
      <c r="BE119" s="752">
        <v>2340066</v>
      </c>
      <c r="BF119" s="752">
        <v>2339341</v>
      </c>
      <c r="BG119" s="752">
        <v>2153983</v>
      </c>
      <c r="BH119" s="752">
        <v>58371</v>
      </c>
      <c r="BI119" s="752">
        <v>58371</v>
      </c>
      <c r="BJ119" s="752">
        <v>33319</v>
      </c>
      <c r="BK119" s="752">
        <v>2322</v>
      </c>
      <c r="BL119" s="752">
        <v>2322</v>
      </c>
      <c r="BM119" s="752">
        <v>2322</v>
      </c>
      <c r="BN119" s="752">
        <v>2322</v>
      </c>
      <c r="BO119" s="752">
        <v>2322</v>
      </c>
      <c r="BP119" s="752">
        <v>0</v>
      </c>
      <c r="BQ119" s="752">
        <v>0</v>
      </c>
      <c r="BR119" s="752">
        <v>0</v>
      </c>
      <c r="BS119" s="752">
        <v>0</v>
      </c>
      <c r="BT119" s="753">
        <v>0</v>
      </c>
      <c r="BU119" s="176"/>
    </row>
    <row r="120" spans="2:73">
      <c r="B120" s="750"/>
      <c r="C120" s="750"/>
      <c r="D120" s="750" t="s">
        <v>113</v>
      </c>
      <c r="E120" s="750" t="s">
        <v>745</v>
      </c>
      <c r="F120" s="750"/>
      <c r="G120" s="750"/>
      <c r="H120" s="750">
        <v>2016</v>
      </c>
      <c r="I120" s="649" t="s">
        <v>577</v>
      </c>
      <c r="J120" s="649" t="s">
        <v>582</v>
      </c>
      <c r="K120" s="63"/>
      <c r="L120" s="751"/>
      <c r="M120" s="752"/>
      <c r="N120" s="752"/>
      <c r="O120" s="752"/>
      <c r="P120" s="752"/>
      <c r="Q120" s="752">
        <v>14</v>
      </c>
      <c r="R120" s="752">
        <v>14</v>
      </c>
      <c r="S120" s="752">
        <v>14</v>
      </c>
      <c r="T120" s="752">
        <v>14</v>
      </c>
      <c r="U120" s="752">
        <v>14</v>
      </c>
      <c r="V120" s="752">
        <v>14</v>
      </c>
      <c r="W120" s="752">
        <v>14</v>
      </c>
      <c r="X120" s="752">
        <v>14</v>
      </c>
      <c r="Y120" s="752">
        <v>14</v>
      </c>
      <c r="Z120" s="752">
        <v>14</v>
      </c>
      <c r="AA120" s="752">
        <v>14</v>
      </c>
      <c r="AB120" s="752">
        <v>14</v>
      </c>
      <c r="AC120" s="752">
        <v>14</v>
      </c>
      <c r="AD120" s="752">
        <v>14</v>
      </c>
      <c r="AE120" s="752">
        <v>12</v>
      </c>
      <c r="AF120" s="752">
        <v>12</v>
      </c>
      <c r="AG120" s="752">
        <v>5</v>
      </c>
      <c r="AH120" s="752">
        <v>0</v>
      </c>
      <c r="AI120" s="752">
        <v>0</v>
      </c>
      <c r="AJ120" s="752">
        <v>0</v>
      </c>
      <c r="AK120" s="752">
        <v>0</v>
      </c>
      <c r="AL120" s="752">
        <v>0</v>
      </c>
      <c r="AM120" s="752">
        <v>0</v>
      </c>
      <c r="AN120" s="752">
        <v>0</v>
      </c>
      <c r="AO120" s="753">
        <v>0</v>
      </c>
      <c r="AP120" s="63"/>
      <c r="AQ120" s="751"/>
      <c r="AR120" s="752"/>
      <c r="AS120" s="752"/>
      <c r="AT120" s="752"/>
      <c r="AU120" s="752"/>
      <c r="AV120" s="752">
        <v>219861</v>
      </c>
      <c r="AW120" s="752">
        <v>219861</v>
      </c>
      <c r="AX120" s="752">
        <v>219861</v>
      </c>
      <c r="AY120" s="752">
        <v>219861</v>
      </c>
      <c r="AZ120" s="752">
        <v>219861</v>
      </c>
      <c r="BA120" s="752">
        <v>219861</v>
      </c>
      <c r="BB120" s="752">
        <v>219861</v>
      </c>
      <c r="BC120" s="752">
        <v>219841</v>
      </c>
      <c r="BD120" s="752">
        <v>219841</v>
      </c>
      <c r="BE120" s="752">
        <v>220168</v>
      </c>
      <c r="BF120" s="752">
        <v>220306</v>
      </c>
      <c r="BG120" s="752">
        <v>220512</v>
      </c>
      <c r="BH120" s="752">
        <v>220512</v>
      </c>
      <c r="BI120" s="752">
        <v>219927</v>
      </c>
      <c r="BJ120" s="752">
        <v>190506</v>
      </c>
      <c r="BK120" s="752">
        <v>190506</v>
      </c>
      <c r="BL120" s="752">
        <v>78600</v>
      </c>
      <c r="BM120" s="752">
        <v>0</v>
      </c>
      <c r="BN120" s="752">
        <v>0</v>
      </c>
      <c r="BO120" s="752">
        <v>0</v>
      </c>
      <c r="BP120" s="752">
        <v>0</v>
      </c>
      <c r="BQ120" s="752">
        <v>0</v>
      </c>
      <c r="BR120" s="752">
        <v>0</v>
      </c>
      <c r="BS120" s="752">
        <v>0</v>
      </c>
      <c r="BT120" s="753">
        <v>0</v>
      </c>
    </row>
    <row r="121" spans="2:73" ht="15.6">
      <c r="B121" s="750"/>
      <c r="C121" s="750"/>
      <c r="D121" s="750" t="s">
        <v>767</v>
      </c>
      <c r="E121" s="750" t="s">
        <v>745</v>
      </c>
      <c r="F121" s="750"/>
      <c r="G121" s="750"/>
      <c r="H121" s="750">
        <v>2016</v>
      </c>
      <c r="I121" s="649" t="s">
        <v>577</v>
      </c>
      <c r="J121" s="649" t="s">
        <v>582</v>
      </c>
      <c r="K121" s="63"/>
      <c r="L121" s="751"/>
      <c r="M121" s="752"/>
      <c r="N121" s="752"/>
      <c r="O121" s="752"/>
      <c r="P121" s="752"/>
      <c r="Q121" s="752">
        <v>2</v>
      </c>
      <c r="R121" s="752">
        <v>2</v>
      </c>
      <c r="S121" s="752">
        <v>2</v>
      </c>
      <c r="T121" s="752">
        <v>2</v>
      </c>
      <c r="U121" s="752">
        <v>2</v>
      </c>
      <c r="V121" s="752">
        <v>2</v>
      </c>
      <c r="W121" s="752">
        <v>2</v>
      </c>
      <c r="X121" s="752">
        <v>2</v>
      </c>
      <c r="Y121" s="752">
        <v>2</v>
      </c>
      <c r="Z121" s="752">
        <v>2</v>
      </c>
      <c r="AA121" s="752">
        <v>2</v>
      </c>
      <c r="AB121" s="752">
        <v>2</v>
      </c>
      <c r="AC121" s="752">
        <v>2</v>
      </c>
      <c r="AD121" s="752">
        <v>2</v>
      </c>
      <c r="AE121" s="752">
        <v>2</v>
      </c>
      <c r="AF121" s="752">
        <v>2</v>
      </c>
      <c r="AG121" s="752">
        <v>2</v>
      </c>
      <c r="AH121" s="752">
        <v>2</v>
      </c>
      <c r="AI121" s="752">
        <v>2</v>
      </c>
      <c r="AJ121" s="752">
        <v>0</v>
      </c>
      <c r="AK121" s="752">
        <v>0</v>
      </c>
      <c r="AL121" s="752">
        <v>0</v>
      </c>
      <c r="AM121" s="752">
        <v>0</v>
      </c>
      <c r="AN121" s="752">
        <v>0</v>
      </c>
      <c r="AO121" s="753">
        <v>0</v>
      </c>
      <c r="AP121" s="63"/>
      <c r="AQ121" s="751"/>
      <c r="AR121" s="752"/>
      <c r="AS121" s="752"/>
      <c r="AT121" s="752"/>
      <c r="AU121" s="752"/>
      <c r="AV121" s="752">
        <v>5836</v>
      </c>
      <c r="AW121" s="752">
        <v>5836</v>
      </c>
      <c r="AX121" s="752">
        <v>5836</v>
      </c>
      <c r="AY121" s="752">
        <v>5836</v>
      </c>
      <c r="AZ121" s="752">
        <v>5836</v>
      </c>
      <c r="BA121" s="752">
        <v>5836</v>
      </c>
      <c r="BB121" s="752">
        <v>5836</v>
      </c>
      <c r="BC121" s="752">
        <v>5836</v>
      </c>
      <c r="BD121" s="752">
        <v>5836</v>
      </c>
      <c r="BE121" s="752">
        <v>5836</v>
      </c>
      <c r="BF121" s="752">
        <v>5836</v>
      </c>
      <c r="BG121" s="752">
        <v>5836</v>
      </c>
      <c r="BH121" s="752">
        <v>5836</v>
      </c>
      <c r="BI121" s="752">
        <v>5836</v>
      </c>
      <c r="BJ121" s="752">
        <v>5836</v>
      </c>
      <c r="BK121" s="752">
        <v>5836</v>
      </c>
      <c r="BL121" s="752">
        <v>5836</v>
      </c>
      <c r="BM121" s="752">
        <v>5836</v>
      </c>
      <c r="BN121" s="752">
        <v>5741</v>
      </c>
      <c r="BO121" s="752">
        <v>0</v>
      </c>
      <c r="BP121" s="752">
        <v>0</v>
      </c>
      <c r="BQ121" s="752">
        <v>0</v>
      </c>
      <c r="BR121" s="752">
        <v>0</v>
      </c>
      <c r="BS121" s="752">
        <v>0</v>
      </c>
      <c r="BT121" s="753">
        <v>0</v>
      </c>
      <c r="BU121" s="176"/>
    </row>
    <row r="122" spans="2:73" ht="15.6">
      <c r="B122" s="750"/>
      <c r="C122" s="750"/>
      <c r="D122" s="750" t="s">
        <v>118</v>
      </c>
      <c r="E122" s="750" t="s">
        <v>745</v>
      </c>
      <c r="F122" s="750"/>
      <c r="G122" s="750"/>
      <c r="H122" s="750">
        <v>2016</v>
      </c>
      <c r="I122" s="649" t="s">
        <v>577</v>
      </c>
      <c r="J122" s="649" t="s">
        <v>582</v>
      </c>
      <c r="K122" s="63"/>
      <c r="L122" s="751"/>
      <c r="M122" s="752"/>
      <c r="N122" s="752"/>
      <c r="O122" s="752"/>
      <c r="P122" s="752"/>
      <c r="Q122" s="752">
        <v>84</v>
      </c>
      <c r="R122" s="752">
        <v>89</v>
      </c>
      <c r="S122" s="752">
        <v>89</v>
      </c>
      <c r="T122" s="752">
        <v>89</v>
      </c>
      <c r="U122" s="752">
        <v>89</v>
      </c>
      <c r="V122" s="752">
        <v>89</v>
      </c>
      <c r="W122" s="752">
        <v>89</v>
      </c>
      <c r="X122" s="752">
        <v>89</v>
      </c>
      <c r="Y122" s="752">
        <v>89</v>
      </c>
      <c r="Z122" s="752">
        <v>89</v>
      </c>
      <c r="AA122" s="752">
        <v>89</v>
      </c>
      <c r="AB122" s="752">
        <v>84</v>
      </c>
      <c r="AC122" s="752">
        <v>78</v>
      </c>
      <c r="AD122" s="752">
        <v>78</v>
      </c>
      <c r="AE122" s="752">
        <v>5</v>
      </c>
      <c r="AF122" s="752">
        <v>0</v>
      </c>
      <c r="AG122" s="752">
        <v>0</v>
      </c>
      <c r="AH122" s="752">
        <v>0</v>
      </c>
      <c r="AI122" s="752">
        <v>0</v>
      </c>
      <c r="AJ122" s="752">
        <v>0</v>
      </c>
      <c r="AK122" s="752">
        <v>0</v>
      </c>
      <c r="AL122" s="752">
        <v>0</v>
      </c>
      <c r="AM122" s="752">
        <v>0</v>
      </c>
      <c r="AN122" s="752">
        <v>0</v>
      </c>
      <c r="AO122" s="753">
        <v>0</v>
      </c>
      <c r="AP122" s="63"/>
      <c r="AQ122" s="751"/>
      <c r="AR122" s="752"/>
      <c r="AS122" s="752"/>
      <c r="AT122" s="752"/>
      <c r="AU122" s="752"/>
      <c r="AV122" s="752">
        <v>1259829</v>
      </c>
      <c r="AW122" s="752">
        <v>1279544</v>
      </c>
      <c r="AX122" s="752">
        <v>1279544</v>
      </c>
      <c r="AY122" s="752">
        <v>1279544</v>
      </c>
      <c r="AZ122" s="752">
        <v>1279544</v>
      </c>
      <c r="BA122" s="752">
        <v>1279544</v>
      </c>
      <c r="BB122" s="752">
        <v>1279544</v>
      </c>
      <c r="BC122" s="752">
        <v>1279544</v>
      </c>
      <c r="BD122" s="752">
        <v>1279544</v>
      </c>
      <c r="BE122" s="752">
        <v>1279544</v>
      </c>
      <c r="BF122" s="752">
        <v>1279544</v>
      </c>
      <c r="BG122" s="752">
        <v>1254595</v>
      </c>
      <c r="BH122" s="752">
        <v>915611</v>
      </c>
      <c r="BI122" s="752">
        <v>915611</v>
      </c>
      <c r="BJ122" s="752">
        <v>63146</v>
      </c>
      <c r="BK122" s="752">
        <v>0</v>
      </c>
      <c r="BL122" s="752">
        <v>0</v>
      </c>
      <c r="BM122" s="752">
        <v>0</v>
      </c>
      <c r="BN122" s="752">
        <v>0</v>
      </c>
      <c r="BO122" s="752">
        <v>0</v>
      </c>
      <c r="BP122" s="752">
        <v>0</v>
      </c>
      <c r="BQ122" s="752">
        <v>0</v>
      </c>
      <c r="BR122" s="752">
        <v>0</v>
      </c>
      <c r="BS122" s="752">
        <v>0</v>
      </c>
      <c r="BT122" s="753">
        <v>0</v>
      </c>
      <c r="BU122" s="176"/>
    </row>
    <row r="123" spans="2:73">
      <c r="B123" s="750"/>
      <c r="C123" s="750"/>
      <c r="D123" s="750" t="s">
        <v>113</v>
      </c>
      <c r="E123" s="750" t="s">
        <v>745</v>
      </c>
      <c r="F123" s="750"/>
      <c r="G123" s="750"/>
      <c r="H123" s="750">
        <v>2017</v>
      </c>
      <c r="I123" s="649" t="s">
        <v>577</v>
      </c>
      <c r="J123" s="649" t="s">
        <v>589</v>
      </c>
      <c r="K123" s="63"/>
      <c r="L123" s="751"/>
      <c r="M123" s="752"/>
      <c r="N123" s="752"/>
      <c r="O123" s="752"/>
      <c r="P123" s="752"/>
      <c r="Q123" s="752"/>
      <c r="R123" s="752">
        <v>192</v>
      </c>
      <c r="S123" s="752">
        <v>156</v>
      </c>
      <c r="T123" s="752">
        <v>156</v>
      </c>
      <c r="U123" s="752">
        <v>156</v>
      </c>
      <c r="V123" s="752">
        <v>156</v>
      </c>
      <c r="W123" s="752">
        <v>156</v>
      </c>
      <c r="X123" s="752">
        <v>156</v>
      </c>
      <c r="Y123" s="752">
        <v>156</v>
      </c>
      <c r="Z123" s="752">
        <v>156</v>
      </c>
      <c r="AA123" s="752">
        <v>156</v>
      </c>
      <c r="AB123" s="752">
        <v>146</v>
      </c>
      <c r="AC123" s="752">
        <v>146</v>
      </c>
      <c r="AD123" s="752">
        <v>146</v>
      </c>
      <c r="AE123" s="752">
        <v>146</v>
      </c>
      <c r="AF123" s="752">
        <v>124</v>
      </c>
      <c r="AG123" s="752">
        <v>124</v>
      </c>
      <c r="AH123" s="752">
        <v>15</v>
      </c>
      <c r="AI123" s="752">
        <v>0</v>
      </c>
      <c r="AJ123" s="752">
        <v>0</v>
      </c>
      <c r="AK123" s="752">
        <v>0</v>
      </c>
      <c r="AL123" s="752">
        <v>0</v>
      </c>
      <c r="AM123" s="752">
        <v>0</v>
      </c>
      <c r="AN123" s="752">
        <v>0</v>
      </c>
      <c r="AO123" s="753">
        <v>0</v>
      </c>
      <c r="AP123" s="63"/>
      <c r="AQ123" s="751"/>
      <c r="AR123" s="752"/>
      <c r="AS123" s="752"/>
      <c r="AT123" s="752"/>
      <c r="AU123" s="752"/>
      <c r="AV123" s="752"/>
      <c r="AW123" s="752">
        <v>2771539</v>
      </c>
      <c r="AX123" s="752">
        <v>2230710</v>
      </c>
      <c r="AY123" s="752">
        <v>2230710</v>
      </c>
      <c r="AZ123" s="752">
        <v>2230710</v>
      </c>
      <c r="BA123" s="752">
        <v>2230710</v>
      </c>
      <c r="BB123" s="752">
        <v>2230710</v>
      </c>
      <c r="BC123" s="752">
        <v>2230710</v>
      </c>
      <c r="BD123" s="752">
        <v>2230687</v>
      </c>
      <c r="BE123" s="752">
        <v>2230687</v>
      </c>
      <c r="BF123" s="752">
        <v>2225156</v>
      </c>
      <c r="BG123" s="752">
        <v>2178198</v>
      </c>
      <c r="BH123" s="752">
        <v>2177831</v>
      </c>
      <c r="BI123" s="752">
        <v>2177831</v>
      </c>
      <c r="BJ123" s="752">
        <v>2177659</v>
      </c>
      <c r="BK123" s="752">
        <v>1848301</v>
      </c>
      <c r="BL123" s="752">
        <v>1848301</v>
      </c>
      <c r="BM123" s="752">
        <v>218921</v>
      </c>
      <c r="BN123" s="752">
        <v>0</v>
      </c>
      <c r="BO123" s="752">
        <v>0</v>
      </c>
      <c r="BP123" s="752">
        <v>0</v>
      </c>
      <c r="BQ123" s="752">
        <v>0</v>
      </c>
      <c r="BR123" s="752">
        <v>0</v>
      </c>
      <c r="BS123" s="752">
        <v>0</v>
      </c>
      <c r="BT123" s="753">
        <v>0</v>
      </c>
    </row>
    <row r="124" spans="2:73">
      <c r="B124" s="750"/>
      <c r="C124" s="750"/>
      <c r="D124" s="750" t="s">
        <v>768</v>
      </c>
      <c r="E124" s="750" t="s">
        <v>745</v>
      </c>
      <c r="F124" s="750"/>
      <c r="G124" s="750"/>
      <c r="H124" s="750">
        <v>2017</v>
      </c>
      <c r="I124" s="649" t="s">
        <v>577</v>
      </c>
      <c r="J124" s="649" t="s">
        <v>589</v>
      </c>
      <c r="K124" s="63"/>
      <c r="L124" s="751"/>
      <c r="M124" s="752"/>
      <c r="N124" s="752"/>
      <c r="O124" s="752"/>
      <c r="P124" s="752"/>
      <c r="Q124" s="752"/>
      <c r="R124" s="752">
        <v>179</v>
      </c>
      <c r="S124" s="752">
        <v>131</v>
      </c>
      <c r="T124" s="752">
        <v>131</v>
      </c>
      <c r="U124" s="752">
        <v>131</v>
      </c>
      <c r="V124" s="752">
        <v>131</v>
      </c>
      <c r="W124" s="752">
        <v>131</v>
      </c>
      <c r="X124" s="752">
        <v>131</v>
      </c>
      <c r="Y124" s="752">
        <v>131</v>
      </c>
      <c r="Z124" s="752">
        <v>131</v>
      </c>
      <c r="AA124" s="752">
        <v>131</v>
      </c>
      <c r="AB124" s="752">
        <v>124</v>
      </c>
      <c r="AC124" s="752">
        <v>124</v>
      </c>
      <c r="AD124" s="752">
        <v>124</v>
      </c>
      <c r="AE124" s="752">
        <v>105</v>
      </c>
      <c r="AF124" s="752">
        <v>105</v>
      </c>
      <c r="AG124" s="752">
        <v>81</v>
      </c>
      <c r="AH124" s="752">
        <v>64</v>
      </c>
      <c r="AI124" s="752">
        <v>0</v>
      </c>
      <c r="AJ124" s="752">
        <v>0</v>
      </c>
      <c r="AK124" s="752">
        <v>0</v>
      </c>
      <c r="AL124" s="752">
        <v>0</v>
      </c>
      <c r="AM124" s="752">
        <v>0</v>
      </c>
      <c r="AN124" s="752">
        <v>0</v>
      </c>
      <c r="AO124" s="753">
        <v>0</v>
      </c>
      <c r="AP124" s="63"/>
      <c r="AQ124" s="751"/>
      <c r="AR124" s="752"/>
      <c r="AS124" s="752"/>
      <c r="AT124" s="752"/>
      <c r="AU124" s="752"/>
      <c r="AV124" s="752"/>
      <c r="AW124" s="752">
        <v>2611264</v>
      </c>
      <c r="AX124" s="752">
        <v>1891047</v>
      </c>
      <c r="AY124" s="752">
        <v>1891047</v>
      </c>
      <c r="AZ124" s="752">
        <v>1891047</v>
      </c>
      <c r="BA124" s="752">
        <v>1891047</v>
      </c>
      <c r="BB124" s="752">
        <v>1891047</v>
      </c>
      <c r="BC124" s="752">
        <v>1891047</v>
      </c>
      <c r="BD124" s="752">
        <v>1891011</v>
      </c>
      <c r="BE124" s="752">
        <v>1891011</v>
      </c>
      <c r="BF124" s="752">
        <v>1891011</v>
      </c>
      <c r="BG124" s="752">
        <v>1856583</v>
      </c>
      <c r="BH124" s="752">
        <v>1853347</v>
      </c>
      <c r="BI124" s="752">
        <v>1853347</v>
      </c>
      <c r="BJ124" s="752">
        <v>1564901</v>
      </c>
      <c r="BK124" s="752">
        <v>1564901</v>
      </c>
      <c r="BL124" s="752">
        <v>1212087</v>
      </c>
      <c r="BM124" s="752">
        <v>960667</v>
      </c>
      <c r="BN124" s="752">
        <v>0</v>
      </c>
      <c r="BO124" s="752">
        <v>0</v>
      </c>
      <c r="BP124" s="752">
        <v>0</v>
      </c>
      <c r="BQ124" s="752">
        <v>0</v>
      </c>
      <c r="BR124" s="752">
        <v>0</v>
      </c>
      <c r="BS124" s="752">
        <v>0</v>
      </c>
      <c r="BT124" s="753">
        <v>0</v>
      </c>
    </row>
    <row r="125" spans="2:73">
      <c r="B125" s="750"/>
      <c r="C125" s="750"/>
      <c r="D125" s="750" t="s">
        <v>767</v>
      </c>
      <c r="E125" s="750" t="s">
        <v>745</v>
      </c>
      <c r="F125" s="750"/>
      <c r="G125" s="750"/>
      <c r="H125" s="750">
        <v>2017</v>
      </c>
      <c r="I125" s="649" t="s">
        <v>577</v>
      </c>
      <c r="J125" s="649" t="s">
        <v>589</v>
      </c>
      <c r="K125" s="63"/>
      <c r="L125" s="751"/>
      <c r="M125" s="752"/>
      <c r="N125" s="752"/>
      <c r="O125" s="752"/>
      <c r="P125" s="752"/>
      <c r="Q125" s="752"/>
      <c r="R125" s="752">
        <v>107</v>
      </c>
      <c r="S125" s="752">
        <v>107</v>
      </c>
      <c r="T125" s="752">
        <v>107</v>
      </c>
      <c r="U125" s="752">
        <v>107</v>
      </c>
      <c r="V125" s="752">
        <v>107</v>
      </c>
      <c r="W125" s="752">
        <v>107</v>
      </c>
      <c r="X125" s="752">
        <v>107</v>
      </c>
      <c r="Y125" s="752">
        <v>107</v>
      </c>
      <c r="Z125" s="752">
        <v>107</v>
      </c>
      <c r="AA125" s="752">
        <v>107</v>
      </c>
      <c r="AB125" s="752">
        <v>107</v>
      </c>
      <c r="AC125" s="752">
        <v>107</v>
      </c>
      <c r="AD125" s="752">
        <v>107</v>
      </c>
      <c r="AE125" s="752">
        <v>107</v>
      </c>
      <c r="AF125" s="752">
        <v>107</v>
      </c>
      <c r="AG125" s="752">
        <v>107</v>
      </c>
      <c r="AH125" s="752">
        <v>107</v>
      </c>
      <c r="AI125" s="752">
        <v>107</v>
      </c>
      <c r="AJ125" s="752">
        <v>98</v>
      </c>
      <c r="AK125" s="752">
        <v>0</v>
      </c>
      <c r="AL125" s="752">
        <v>0</v>
      </c>
      <c r="AM125" s="752">
        <v>0</v>
      </c>
      <c r="AN125" s="752">
        <v>0</v>
      </c>
      <c r="AO125" s="753">
        <v>0</v>
      </c>
      <c r="AP125" s="63"/>
      <c r="AQ125" s="751"/>
      <c r="AR125" s="752"/>
      <c r="AS125" s="752"/>
      <c r="AT125" s="752"/>
      <c r="AU125" s="752"/>
      <c r="AV125" s="752"/>
      <c r="AW125" s="752">
        <v>385017</v>
      </c>
      <c r="AX125" s="752">
        <v>385017</v>
      </c>
      <c r="AY125" s="752">
        <v>385017</v>
      </c>
      <c r="AZ125" s="752">
        <v>385017</v>
      </c>
      <c r="BA125" s="752">
        <v>385017</v>
      </c>
      <c r="BB125" s="752">
        <v>385017</v>
      </c>
      <c r="BC125" s="752">
        <v>385017</v>
      </c>
      <c r="BD125" s="752">
        <v>385017</v>
      </c>
      <c r="BE125" s="752">
        <v>385017</v>
      </c>
      <c r="BF125" s="752">
        <v>385017</v>
      </c>
      <c r="BG125" s="752">
        <v>385017</v>
      </c>
      <c r="BH125" s="752">
        <v>385017</v>
      </c>
      <c r="BI125" s="752">
        <v>385017</v>
      </c>
      <c r="BJ125" s="752">
        <v>385017</v>
      </c>
      <c r="BK125" s="752">
        <v>385017</v>
      </c>
      <c r="BL125" s="752">
        <v>385017</v>
      </c>
      <c r="BM125" s="752">
        <v>385017</v>
      </c>
      <c r="BN125" s="752">
        <v>385017</v>
      </c>
      <c r="BO125" s="752">
        <v>363415</v>
      </c>
      <c r="BP125" s="752">
        <v>0</v>
      </c>
      <c r="BQ125" s="752">
        <v>0</v>
      </c>
      <c r="BR125" s="752">
        <v>0</v>
      </c>
      <c r="BS125" s="752">
        <v>0</v>
      </c>
      <c r="BT125" s="753">
        <v>0</v>
      </c>
    </row>
    <row r="126" spans="2:73">
      <c r="B126" s="750"/>
      <c r="C126" s="750"/>
      <c r="D126" s="750" t="s">
        <v>118</v>
      </c>
      <c r="E126" s="750" t="s">
        <v>745</v>
      </c>
      <c r="F126" s="750"/>
      <c r="G126" s="750"/>
      <c r="H126" s="750">
        <v>2017</v>
      </c>
      <c r="I126" s="649" t="s">
        <v>577</v>
      </c>
      <c r="J126" s="649" t="s">
        <v>589</v>
      </c>
      <c r="K126" s="63"/>
      <c r="L126" s="751"/>
      <c r="M126" s="752"/>
      <c r="N126" s="752"/>
      <c r="O126" s="752"/>
      <c r="P126" s="752"/>
      <c r="Q126" s="752"/>
      <c r="R126" s="752">
        <v>591</v>
      </c>
      <c r="S126" s="752">
        <v>592</v>
      </c>
      <c r="T126" s="752">
        <v>592</v>
      </c>
      <c r="U126" s="752">
        <v>592</v>
      </c>
      <c r="V126" s="752">
        <v>592</v>
      </c>
      <c r="W126" s="752">
        <v>571</v>
      </c>
      <c r="X126" s="752">
        <v>571</v>
      </c>
      <c r="Y126" s="752">
        <v>571</v>
      </c>
      <c r="Z126" s="752">
        <v>571</v>
      </c>
      <c r="AA126" s="752">
        <v>571</v>
      </c>
      <c r="AB126" s="752">
        <v>563</v>
      </c>
      <c r="AC126" s="752">
        <v>535</v>
      </c>
      <c r="AD126" s="752">
        <v>217</v>
      </c>
      <c r="AE126" s="752">
        <v>164</v>
      </c>
      <c r="AF126" s="752">
        <v>14</v>
      </c>
      <c r="AG126" s="752">
        <v>0</v>
      </c>
      <c r="AH126" s="752">
        <v>0</v>
      </c>
      <c r="AI126" s="752">
        <v>0</v>
      </c>
      <c r="AJ126" s="752">
        <v>0</v>
      </c>
      <c r="AK126" s="752">
        <v>0</v>
      </c>
      <c r="AL126" s="752">
        <v>0</v>
      </c>
      <c r="AM126" s="752">
        <v>0</v>
      </c>
      <c r="AN126" s="752">
        <v>0</v>
      </c>
      <c r="AO126" s="753">
        <v>0</v>
      </c>
      <c r="AP126" s="63"/>
      <c r="AQ126" s="751"/>
      <c r="AR126" s="752"/>
      <c r="AS126" s="752"/>
      <c r="AT126" s="752"/>
      <c r="AU126" s="752"/>
      <c r="AV126" s="752"/>
      <c r="AW126" s="752">
        <v>2780342</v>
      </c>
      <c r="AX126" s="752">
        <v>2784605</v>
      </c>
      <c r="AY126" s="752">
        <v>2784605</v>
      </c>
      <c r="AZ126" s="752">
        <v>2784605</v>
      </c>
      <c r="BA126" s="752">
        <v>2784605</v>
      </c>
      <c r="BB126" s="752">
        <v>2681722</v>
      </c>
      <c r="BC126" s="752">
        <v>2681722</v>
      </c>
      <c r="BD126" s="752">
        <v>2681722</v>
      </c>
      <c r="BE126" s="752">
        <v>2680749</v>
      </c>
      <c r="BF126" s="752">
        <v>2680749</v>
      </c>
      <c r="BG126" s="752">
        <v>2646596</v>
      </c>
      <c r="BH126" s="752">
        <v>2575262</v>
      </c>
      <c r="BI126" s="752">
        <v>712106</v>
      </c>
      <c r="BJ126" s="752">
        <v>575184</v>
      </c>
      <c r="BK126" s="752">
        <v>47901</v>
      </c>
      <c r="BL126" s="752">
        <v>0</v>
      </c>
      <c r="BM126" s="752">
        <v>0</v>
      </c>
      <c r="BN126" s="752">
        <v>0</v>
      </c>
      <c r="BO126" s="752">
        <v>0</v>
      </c>
      <c r="BP126" s="752">
        <v>0</v>
      </c>
      <c r="BQ126" s="752">
        <v>0</v>
      </c>
      <c r="BR126" s="752">
        <v>0</v>
      </c>
      <c r="BS126" s="752">
        <v>0</v>
      </c>
      <c r="BT126" s="753">
        <v>0</v>
      </c>
    </row>
    <row r="127" spans="2:73">
      <c r="B127" s="750"/>
      <c r="C127" s="750"/>
      <c r="D127" s="750" t="s">
        <v>769</v>
      </c>
      <c r="E127" s="750" t="s">
        <v>745</v>
      </c>
      <c r="F127" s="750"/>
      <c r="G127" s="750"/>
      <c r="H127" s="750">
        <v>2017</v>
      </c>
      <c r="I127" s="649" t="s">
        <v>577</v>
      </c>
      <c r="J127" s="649" t="s">
        <v>589</v>
      </c>
      <c r="K127" s="63"/>
      <c r="L127" s="751"/>
      <c r="M127" s="752"/>
      <c r="N127" s="752"/>
      <c r="O127" s="752"/>
      <c r="P127" s="752"/>
      <c r="Q127" s="752"/>
      <c r="R127" s="752">
        <v>33</v>
      </c>
      <c r="S127" s="752">
        <v>33</v>
      </c>
      <c r="T127" s="752">
        <v>33</v>
      </c>
      <c r="U127" s="752">
        <v>33</v>
      </c>
      <c r="V127" s="752">
        <v>33</v>
      </c>
      <c r="W127" s="752">
        <v>33</v>
      </c>
      <c r="X127" s="752">
        <v>33</v>
      </c>
      <c r="Y127" s="752">
        <v>33</v>
      </c>
      <c r="Z127" s="752">
        <v>33</v>
      </c>
      <c r="AA127" s="752">
        <v>33</v>
      </c>
      <c r="AB127" s="752">
        <v>0</v>
      </c>
      <c r="AC127" s="752">
        <v>0</v>
      </c>
      <c r="AD127" s="752">
        <v>0</v>
      </c>
      <c r="AE127" s="752">
        <v>0</v>
      </c>
      <c r="AF127" s="752">
        <v>0</v>
      </c>
      <c r="AG127" s="752">
        <v>0</v>
      </c>
      <c r="AH127" s="752">
        <v>0</v>
      </c>
      <c r="AI127" s="752">
        <v>0</v>
      </c>
      <c r="AJ127" s="752">
        <v>0</v>
      </c>
      <c r="AK127" s="752">
        <v>0</v>
      </c>
      <c r="AL127" s="752">
        <v>0</v>
      </c>
      <c r="AM127" s="752">
        <v>0</v>
      </c>
      <c r="AN127" s="752">
        <v>0</v>
      </c>
      <c r="AO127" s="753">
        <v>0</v>
      </c>
      <c r="AP127" s="63"/>
      <c r="AQ127" s="751"/>
      <c r="AR127" s="752"/>
      <c r="AS127" s="752"/>
      <c r="AT127" s="752"/>
      <c r="AU127" s="752"/>
      <c r="AV127" s="752"/>
      <c r="AW127" s="752">
        <v>170819</v>
      </c>
      <c r="AX127" s="752">
        <v>170819</v>
      </c>
      <c r="AY127" s="752">
        <v>170819</v>
      </c>
      <c r="AZ127" s="752">
        <v>170819</v>
      </c>
      <c r="BA127" s="752">
        <v>170819</v>
      </c>
      <c r="BB127" s="752">
        <v>170819</v>
      </c>
      <c r="BC127" s="752">
        <v>170819</v>
      </c>
      <c r="BD127" s="752">
        <v>170819</v>
      </c>
      <c r="BE127" s="752">
        <v>170819</v>
      </c>
      <c r="BF127" s="752">
        <v>170819</v>
      </c>
      <c r="BG127" s="752">
        <v>0</v>
      </c>
      <c r="BH127" s="752">
        <v>0</v>
      </c>
      <c r="BI127" s="752">
        <v>0</v>
      </c>
      <c r="BJ127" s="752">
        <v>0</v>
      </c>
      <c r="BK127" s="752">
        <v>0</v>
      </c>
      <c r="BL127" s="752">
        <v>0</v>
      </c>
      <c r="BM127" s="752">
        <v>0</v>
      </c>
      <c r="BN127" s="752">
        <v>0</v>
      </c>
      <c r="BO127" s="752">
        <v>0</v>
      </c>
      <c r="BP127" s="752">
        <v>0</v>
      </c>
      <c r="BQ127" s="752">
        <v>0</v>
      </c>
      <c r="BR127" s="752">
        <v>0</v>
      </c>
      <c r="BS127" s="752">
        <v>0</v>
      </c>
      <c r="BT127" s="753">
        <v>0</v>
      </c>
    </row>
    <row r="128" spans="2:73">
      <c r="B128" s="750"/>
      <c r="C128" s="750"/>
      <c r="D128" s="750" t="s">
        <v>770</v>
      </c>
      <c r="E128" s="750" t="s">
        <v>745</v>
      </c>
      <c r="F128" s="750"/>
      <c r="G128" s="750"/>
      <c r="H128" s="750">
        <v>2017</v>
      </c>
      <c r="I128" s="649" t="s">
        <v>577</v>
      </c>
      <c r="J128" s="649" t="s">
        <v>589</v>
      </c>
      <c r="K128" s="63"/>
      <c r="L128" s="751"/>
      <c r="M128" s="752"/>
      <c r="N128" s="752"/>
      <c r="O128" s="752"/>
      <c r="P128" s="752"/>
      <c r="Q128" s="752"/>
      <c r="R128" s="752">
        <v>10</v>
      </c>
      <c r="S128" s="752">
        <v>10</v>
      </c>
      <c r="T128" s="752">
        <v>10</v>
      </c>
      <c r="U128" s="752">
        <v>10</v>
      </c>
      <c r="V128" s="752">
        <v>10</v>
      </c>
      <c r="W128" s="752">
        <v>10</v>
      </c>
      <c r="X128" s="752">
        <v>10</v>
      </c>
      <c r="Y128" s="752">
        <v>10</v>
      </c>
      <c r="Z128" s="752">
        <v>10</v>
      </c>
      <c r="AA128" s="752">
        <v>10</v>
      </c>
      <c r="AB128" s="752">
        <v>10</v>
      </c>
      <c r="AC128" s="752">
        <v>10</v>
      </c>
      <c r="AD128" s="752">
        <v>10</v>
      </c>
      <c r="AE128" s="752">
        <v>10</v>
      </c>
      <c r="AF128" s="752">
        <v>10</v>
      </c>
      <c r="AG128" s="752">
        <v>10</v>
      </c>
      <c r="AH128" s="752">
        <v>10</v>
      </c>
      <c r="AI128" s="752">
        <v>10</v>
      </c>
      <c r="AJ128" s="752">
        <v>8</v>
      </c>
      <c r="AK128" s="752">
        <v>6</v>
      </c>
      <c r="AL128" s="752">
        <v>0</v>
      </c>
      <c r="AM128" s="752">
        <v>0</v>
      </c>
      <c r="AN128" s="752">
        <v>0</v>
      </c>
      <c r="AO128" s="753">
        <v>0</v>
      </c>
      <c r="AP128" s="63"/>
      <c r="AQ128" s="751"/>
      <c r="AR128" s="752"/>
      <c r="AS128" s="752"/>
      <c r="AT128" s="752"/>
      <c r="AU128" s="752"/>
      <c r="AV128" s="752"/>
      <c r="AW128" s="752">
        <v>50819</v>
      </c>
      <c r="AX128" s="752">
        <v>50819</v>
      </c>
      <c r="AY128" s="752">
        <v>50819</v>
      </c>
      <c r="AZ128" s="752">
        <v>50819</v>
      </c>
      <c r="BA128" s="752">
        <v>50535</v>
      </c>
      <c r="BB128" s="752">
        <v>50200</v>
      </c>
      <c r="BC128" s="752">
        <v>50200</v>
      </c>
      <c r="BD128" s="752">
        <v>50200</v>
      </c>
      <c r="BE128" s="752">
        <v>50200</v>
      </c>
      <c r="BF128" s="752">
        <v>50200</v>
      </c>
      <c r="BG128" s="752">
        <v>50200</v>
      </c>
      <c r="BH128" s="752">
        <v>50200</v>
      </c>
      <c r="BI128" s="752">
        <v>50200</v>
      </c>
      <c r="BJ128" s="752">
        <v>50200</v>
      </c>
      <c r="BK128" s="752">
        <v>50200</v>
      </c>
      <c r="BL128" s="752">
        <v>49864</v>
      </c>
      <c r="BM128" s="752">
        <v>49864</v>
      </c>
      <c r="BN128" s="752">
        <v>49822</v>
      </c>
      <c r="BO128" s="752">
        <v>48699</v>
      </c>
      <c r="BP128" s="752">
        <v>16815</v>
      </c>
      <c r="BQ128" s="752">
        <v>0</v>
      </c>
      <c r="BR128" s="752">
        <v>0</v>
      </c>
      <c r="BS128" s="752">
        <v>0</v>
      </c>
      <c r="BT128" s="753">
        <v>0</v>
      </c>
    </row>
    <row r="129" spans="2:72">
      <c r="B129" s="750"/>
      <c r="C129" s="750"/>
      <c r="D129" s="754" t="s">
        <v>114</v>
      </c>
      <c r="E129" s="750" t="s">
        <v>745</v>
      </c>
      <c r="F129" s="750"/>
      <c r="G129" s="750"/>
      <c r="H129" s="750">
        <v>2018</v>
      </c>
      <c r="I129" s="649" t="s">
        <v>579</v>
      </c>
      <c r="J129" s="649" t="s">
        <v>589</v>
      </c>
      <c r="K129" s="63"/>
      <c r="L129" s="751"/>
      <c r="M129" s="752"/>
      <c r="N129" s="752"/>
      <c r="O129" s="752"/>
      <c r="P129" s="752"/>
      <c r="Q129" s="752"/>
      <c r="R129" s="752"/>
      <c r="S129" s="752">
        <f>AX129*((R118+R121+R125)/(AW118+AW121+AW125))</f>
        <v>55.919802072760184</v>
      </c>
      <c r="T129" s="752">
        <f t="shared" ref="T129:U129" si="0">AY129*((S118+S121+S125)/(AX118+AX121+AX125))</f>
        <v>55.919802072760184</v>
      </c>
      <c r="U129" s="752">
        <f t="shared" si="0"/>
        <v>55.919802072760184</v>
      </c>
      <c r="V129" s="752"/>
      <c r="W129" s="752"/>
      <c r="X129" s="752"/>
      <c r="Y129" s="752"/>
      <c r="Z129" s="752"/>
      <c r="AA129" s="752"/>
      <c r="AB129" s="752"/>
      <c r="AC129" s="752"/>
      <c r="AD129" s="752"/>
      <c r="AE129" s="752"/>
      <c r="AF129" s="752"/>
      <c r="AG129" s="752"/>
      <c r="AH129" s="752"/>
      <c r="AI129" s="752"/>
      <c r="AJ129" s="752"/>
      <c r="AK129" s="752"/>
      <c r="AL129" s="752"/>
      <c r="AM129" s="752"/>
      <c r="AN129" s="752"/>
      <c r="AO129" s="753"/>
      <c r="AP129" s="63"/>
      <c r="AQ129" s="751"/>
      <c r="AR129" s="752"/>
      <c r="AS129" s="752"/>
      <c r="AT129" s="752"/>
      <c r="AU129" s="752"/>
      <c r="AV129" s="752"/>
      <c r="AW129" s="752"/>
      <c r="AX129" s="752">
        <v>193098.0665325</v>
      </c>
      <c r="AY129" s="752">
        <f t="shared" ref="AY129:AY130" si="1">(AX129+AZ129)/2</f>
        <v>193098.0665325</v>
      </c>
      <c r="AZ129" s="752">
        <v>193098.0665325</v>
      </c>
      <c r="BA129" s="752"/>
      <c r="BB129" s="752"/>
      <c r="BC129" s="752"/>
      <c r="BD129" s="752"/>
      <c r="BE129" s="752"/>
      <c r="BF129" s="752"/>
      <c r="BG129" s="752"/>
      <c r="BH129" s="752"/>
      <c r="BI129" s="752"/>
      <c r="BJ129" s="752"/>
      <c r="BK129" s="752"/>
      <c r="BL129" s="752"/>
      <c r="BM129" s="752"/>
      <c r="BN129" s="752"/>
      <c r="BO129" s="752"/>
      <c r="BP129" s="752"/>
      <c r="BQ129" s="752"/>
      <c r="BR129" s="752"/>
      <c r="BS129" s="752"/>
      <c r="BT129" s="753"/>
    </row>
    <row r="130" spans="2:72">
      <c r="B130" s="750"/>
      <c r="C130" s="750"/>
      <c r="D130" s="754" t="s">
        <v>768</v>
      </c>
      <c r="E130" s="750" t="s">
        <v>745</v>
      </c>
      <c r="F130" s="750"/>
      <c r="G130" s="750"/>
      <c r="H130" s="750">
        <v>2018</v>
      </c>
      <c r="I130" s="649" t="s">
        <v>579</v>
      </c>
      <c r="J130" s="649" t="s">
        <v>589</v>
      </c>
      <c r="K130" s="63"/>
      <c r="L130" s="751"/>
      <c r="M130" s="752"/>
      <c r="N130" s="752"/>
      <c r="O130" s="752"/>
      <c r="P130" s="752"/>
      <c r="Q130" s="752"/>
      <c r="R130" s="752"/>
      <c r="S130" s="752">
        <f>AX130*((R124)/(AW124))</f>
        <v>76.722509362588497</v>
      </c>
      <c r="T130" s="752">
        <f t="shared" ref="T130:U130" si="2">AY130*((S124)/(AX124))</f>
        <v>77.214836107454829</v>
      </c>
      <c r="U130" s="752">
        <f t="shared" si="2"/>
        <v>76.896148506257475</v>
      </c>
      <c r="V130" s="752"/>
      <c r="W130" s="752"/>
      <c r="X130" s="752"/>
      <c r="Y130" s="752"/>
      <c r="Z130" s="752"/>
      <c r="AA130" s="752"/>
      <c r="AB130" s="752"/>
      <c r="AC130" s="752"/>
      <c r="AD130" s="752"/>
      <c r="AE130" s="752"/>
      <c r="AF130" s="752"/>
      <c r="AG130" s="752"/>
      <c r="AH130" s="752"/>
      <c r="AI130" s="752"/>
      <c r="AJ130" s="752"/>
      <c r="AK130" s="752"/>
      <c r="AL130" s="752"/>
      <c r="AM130" s="752"/>
      <c r="AN130" s="752"/>
      <c r="AO130" s="753"/>
      <c r="AP130" s="63"/>
      <c r="AQ130" s="751"/>
      <c r="AR130" s="752"/>
      <c r="AS130" s="752"/>
      <c r="AT130" s="752"/>
      <c r="AU130" s="752"/>
      <c r="AV130" s="752"/>
      <c r="AW130" s="752"/>
      <c r="AX130" s="752">
        <v>1119233.1099898899</v>
      </c>
      <c r="AY130" s="752">
        <f t="shared" si="1"/>
        <v>1114632.7036373597</v>
      </c>
      <c r="AZ130" s="752">
        <v>1110032.2972848297</v>
      </c>
      <c r="BA130" s="752"/>
      <c r="BB130" s="752"/>
      <c r="BC130" s="752"/>
      <c r="BD130" s="752"/>
      <c r="BE130" s="752"/>
      <c r="BF130" s="752"/>
      <c r="BG130" s="752"/>
      <c r="BH130" s="752"/>
      <c r="BI130" s="752"/>
      <c r="BJ130" s="752"/>
      <c r="BK130" s="752"/>
      <c r="BL130" s="752"/>
      <c r="BM130" s="752"/>
      <c r="BN130" s="752"/>
      <c r="BO130" s="752"/>
      <c r="BP130" s="752"/>
      <c r="BQ130" s="752"/>
      <c r="BR130" s="752"/>
      <c r="BS130" s="752"/>
      <c r="BT130" s="753"/>
    </row>
    <row r="131" spans="2:72">
      <c r="B131" s="750"/>
      <c r="C131" s="750"/>
      <c r="D131" s="754" t="s">
        <v>771</v>
      </c>
      <c r="E131" s="750" t="s">
        <v>745</v>
      </c>
      <c r="F131" s="750"/>
      <c r="G131" s="750"/>
      <c r="H131" s="750">
        <v>2018</v>
      </c>
      <c r="I131" s="649" t="s">
        <v>579</v>
      </c>
      <c r="J131" s="649" t="s">
        <v>589</v>
      </c>
      <c r="K131" s="63"/>
      <c r="L131" s="751"/>
      <c r="M131" s="752"/>
      <c r="N131" s="752"/>
      <c r="O131" s="752"/>
      <c r="P131" s="752"/>
      <c r="Q131" s="752"/>
      <c r="R131" s="752"/>
      <c r="S131" s="752">
        <f>AX131*(P113/AU113)</f>
        <v>29.083810843145898</v>
      </c>
      <c r="T131" s="752">
        <f>AY131*(Q113/AV113)</f>
        <v>29.083810843145898</v>
      </c>
      <c r="U131" s="752">
        <f t="shared" ref="U131" si="3">AZ131*(R113/AW113)</f>
        <v>29.083810843145898</v>
      </c>
      <c r="V131" s="752"/>
      <c r="W131" s="752"/>
      <c r="X131" s="752"/>
      <c r="Y131" s="752"/>
      <c r="Z131" s="752"/>
      <c r="AA131" s="752"/>
      <c r="AB131" s="752"/>
      <c r="AC131" s="752"/>
      <c r="AD131" s="752"/>
      <c r="AE131" s="752"/>
      <c r="AF131" s="752"/>
      <c r="AG131" s="752"/>
      <c r="AH131" s="752"/>
      <c r="AI131" s="752"/>
      <c r="AJ131" s="752"/>
      <c r="AK131" s="752"/>
      <c r="AL131" s="752"/>
      <c r="AM131" s="752"/>
      <c r="AN131" s="752"/>
      <c r="AO131" s="753"/>
      <c r="AP131" s="63"/>
      <c r="AQ131" s="751"/>
      <c r="AR131" s="752"/>
      <c r="AS131" s="752"/>
      <c r="AT131" s="752"/>
      <c r="AU131" s="752"/>
      <c r="AV131" s="752"/>
      <c r="AW131" s="752"/>
      <c r="AX131" s="752">
        <v>57735</v>
      </c>
      <c r="AY131" s="752">
        <f>(AX131+AZ131)/2</f>
        <v>57735</v>
      </c>
      <c r="AZ131" s="752">
        <v>57735</v>
      </c>
      <c r="BA131" s="752"/>
      <c r="BB131" s="752"/>
      <c r="BC131" s="752"/>
      <c r="BD131" s="752"/>
      <c r="BE131" s="752"/>
      <c r="BF131" s="752"/>
      <c r="BG131" s="752"/>
      <c r="BH131" s="752"/>
      <c r="BI131" s="752"/>
      <c r="BJ131" s="752"/>
      <c r="BK131" s="752"/>
      <c r="BL131" s="752"/>
      <c r="BM131" s="752"/>
      <c r="BN131" s="752"/>
      <c r="BO131" s="752"/>
      <c r="BP131" s="752"/>
      <c r="BQ131" s="752"/>
      <c r="BR131" s="752"/>
      <c r="BS131" s="752"/>
      <c r="BT131" s="753"/>
    </row>
    <row r="132" spans="2:72">
      <c r="B132" s="750"/>
      <c r="C132" s="750"/>
      <c r="D132" s="754" t="s">
        <v>118</v>
      </c>
      <c r="E132" s="750" t="s">
        <v>745</v>
      </c>
      <c r="F132" s="750"/>
      <c r="G132" s="750"/>
      <c r="H132" s="750">
        <v>2018</v>
      </c>
      <c r="I132" s="649" t="s">
        <v>579</v>
      </c>
      <c r="J132" s="649" t="s">
        <v>589</v>
      </c>
      <c r="K132" s="63"/>
      <c r="L132" s="751"/>
      <c r="M132" s="752"/>
      <c r="N132" s="752"/>
      <c r="O132" s="752"/>
      <c r="P132" s="752"/>
      <c r="Q132" s="752"/>
      <c r="R132" s="752"/>
      <c r="S132" s="752">
        <f>AX132*((Q119+Q122+R126)/(AW119+AW122+AX126))</f>
        <v>216.96507811967999</v>
      </c>
      <c r="T132" s="752">
        <f t="shared" ref="T132:U132" si="4">AY132*((R119+R122+S126)/(AX119+AX122+AY126))</f>
        <v>216.9649989089082</v>
      </c>
      <c r="U132" s="752">
        <f t="shared" si="4"/>
        <v>216.42721194567133</v>
      </c>
      <c r="V132" s="752"/>
      <c r="W132" s="752"/>
      <c r="X132" s="752"/>
      <c r="Y132" s="752"/>
      <c r="Z132" s="752"/>
      <c r="AA132" s="752"/>
      <c r="AB132" s="752"/>
      <c r="AC132" s="752"/>
      <c r="AD132" s="752"/>
      <c r="AE132" s="752"/>
      <c r="AF132" s="752"/>
      <c r="AG132" s="752"/>
      <c r="AH132" s="752"/>
      <c r="AI132" s="752"/>
      <c r="AJ132" s="752"/>
      <c r="AK132" s="752"/>
      <c r="AL132" s="752"/>
      <c r="AM132" s="752"/>
      <c r="AN132" s="752"/>
      <c r="AO132" s="753"/>
      <c r="AP132" s="63"/>
      <c r="AQ132" s="751"/>
      <c r="AR132" s="752"/>
      <c r="AS132" s="752"/>
      <c r="AT132" s="752"/>
      <c r="AU132" s="752"/>
      <c r="AV132" s="752"/>
      <c r="AW132" s="752"/>
      <c r="AX132" s="752">
        <v>1733977.6452778243</v>
      </c>
      <c r="AY132" s="752">
        <f t="shared" ref="AY132:AY135" si="5">(AX132+AZ132)/2</f>
        <v>1729690.2952632695</v>
      </c>
      <c r="AZ132" s="752">
        <v>1725402.9452487149</v>
      </c>
      <c r="BA132" s="752"/>
      <c r="BB132" s="752"/>
      <c r="BC132" s="752"/>
      <c r="BD132" s="752"/>
      <c r="BE132" s="752"/>
      <c r="BF132" s="752"/>
      <c r="BG132" s="752"/>
      <c r="BH132" s="752"/>
      <c r="BI132" s="752"/>
      <c r="BJ132" s="752"/>
      <c r="BK132" s="752"/>
      <c r="BL132" s="752"/>
      <c r="BM132" s="752"/>
      <c r="BN132" s="752"/>
      <c r="BO132" s="752"/>
      <c r="BP132" s="752"/>
      <c r="BQ132" s="752"/>
      <c r="BR132" s="752"/>
      <c r="BS132" s="752"/>
      <c r="BT132" s="753"/>
    </row>
    <row r="133" spans="2:72">
      <c r="B133" s="750"/>
      <c r="C133" s="750"/>
      <c r="D133" s="754" t="s">
        <v>120</v>
      </c>
      <c r="E133" s="750" t="s">
        <v>745</v>
      </c>
      <c r="F133" s="750"/>
      <c r="G133" s="750"/>
      <c r="H133" s="750">
        <v>2018</v>
      </c>
      <c r="I133" s="649" t="s">
        <v>579</v>
      </c>
      <c r="J133" s="649" t="s">
        <v>589</v>
      </c>
      <c r="K133" s="63"/>
      <c r="L133" s="751"/>
      <c r="M133" s="752"/>
      <c r="N133" s="752"/>
      <c r="O133" s="752"/>
      <c r="P133" s="752"/>
      <c r="Q133" s="752"/>
      <c r="R133" s="752"/>
      <c r="S133" s="752">
        <f>AX133*((R88)/(AW88))</f>
        <v>5.9875177733378306</v>
      </c>
      <c r="T133" s="752">
        <f t="shared" ref="T133:U133" si="6">AY133*((S88)/(AX88))</f>
        <v>5.9578085082850105</v>
      </c>
      <c r="U133" s="752">
        <f t="shared" si="6"/>
        <v>5.9280992432321904</v>
      </c>
      <c r="V133" s="752"/>
      <c r="W133" s="752"/>
      <c r="X133" s="752"/>
      <c r="Y133" s="752"/>
      <c r="Z133" s="752"/>
      <c r="AA133" s="752"/>
      <c r="AB133" s="752"/>
      <c r="AC133" s="752"/>
      <c r="AD133" s="752"/>
      <c r="AE133" s="752"/>
      <c r="AF133" s="752"/>
      <c r="AG133" s="752"/>
      <c r="AH133" s="752"/>
      <c r="AI133" s="752"/>
      <c r="AJ133" s="752"/>
      <c r="AK133" s="752"/>
      <c r="AL133" s="752"/>
      <c r="AM133" s="752"/>
      <c r="AN133" s="752"/>
      <c r="AO133" s="753"/>
      <c r="AP133" s="63"/>
      <c r="AQ133" s="751"/>
      <c r="AR133" s="752"/>
      <c r="AS133" s="752"/>
      <c r="AT133" s="752"/>
      <c r="AU133" s="752"/>
      <c r="AV133" s="752"/>
      <c r="AW133" s="752"/>
      <c r="AX133" s="752">
        <v>31041.669251232775</v>
      </c>
      <c r="AY133" s="752">
        <f t="shared" si="5"/>
        <v>30887.64462627492</v>
      </c>
      <c r="AZ133" s="752">
        <v>30733.620001317064</v>
      </c>
      <c r="BA133" s="752"/>
      <c r="BB133" s="752"/>
      <c r="BC133" s="752"/>
      <c r="BD133" s="752"/>
      <c r="BE133" s="752"/>
      <c r="BF133" s="752"/>
      <c r="BG133" s="752"/>
      <c r="BH133" s="752"/>
      <c r="BI133" s="752"/>
      <c r="BJ133" s="752"/>
      <c r="BK133" s="752"/>
      <c r="BL133" s="752"/>
      <c r="BM133" s="752"/>
      <c r="BN133" s="752"/>
      <c r="BO133" s="752"/>
      <c r="BP133" s="752"/>
      <c r="BQ133" s="752"/>
      <c r="BR133" s="752"/>
      <c r="BS133" s="752"/>
      <c r="BT133" s="753"/>
    </row>
    <row r="134" spans="2:72">
      <c r="B134" s="750"/>
      <c r="C134" s="750"/>
      <c r="D134" s="754" t="s">
        <v>772</v>
      </c>
      <c r="E134" s="750" t="s">
        <v>745</v>
      </c>
      <c r="F134" s="750"/>
      <c r="G134" s="750"/>
      <c r="H134" s="750">
        <v>2018</v>
      </c>
      <c r="I134" s="649" t="s">
        <v>579</v>
      </c>
      <c r="J134" s="649" t="s">
        <v>589</v>
      </c>
      <c r="K134" s="63"/>
      <c r="L134" s="751"/>
      <c r="M134" s="752"/>
      <c r="N134" s="752"/>
      <c r="O134" s="752"/>
      <c r="P134" s="752"/>
      <c r="Q134" s="752"/>
      <c r="R134" s="752"/>
      <c r="S134" s="752">
        <f>AX134*((R127)/(AW127))</f>
        <v>21.872432223581686</v>
      </c>
      <c r="T134" s="752">
        <f t="shared" ref="T134:U134" si="7">AY134*((S127)/(AX127))</f>
        <v>21.872432223581686</v>
      </c>
      <c r="U134" s="752">
        <f t="shared" si="7"/>
        <v>21.872432223581686</v>
      </c>
      <c r="V134" s="752"/>
      <c r="W134" s="752"/>
      <c r="X134" s="752"/>
      <c r="Y134" s="752"/>
      <c r="Z134" s="752"/>
      <c r="AA134" s="752"/>
      <c r="AB134" s="752"/>
      <c r="AC134" s="752"/>
      <c r="AD134" s="752"/>
      <c r="AE134" s="752"/>
      <c r="AF134" s="752"/>
      <c r="AG134" s="752"/>
      <c r="AH134" s="752"/>
      <c r="AI134" s="752"/>
      <c r="AJ134" s="752"/>
      <c r="AK134" s="752"/>
      <c r="AL134" s="752"/>
      <c r="AM134" s="752"/>
      <c r="AN134" s="752"/>
      <c r="AO134" s="753"/>
      <c r="AP134" s="63"/>
      <c r="AQ134" s="751"/>
      <c r="AR134" s="752"/>
      <c r="AS134" s="752"/>
      <c r="AT134" s="752"/>
      <c r="AU134" s="752"/>
      <c r="AV134" s="752"/>
      <c r="AW134" s="752"/>
      <c r="AX134" s="752">
        <v>113219</v>
      </c>
      <c r="AY134" s="752">
        <f t="shared" si="5"/>
        <v>113219</v>
      </c>
      <c r="AZ134" s="752">
        <v>113219</v>
      </c>
      <c r="BA134" s="752"/>
      <c r="BB134" s="752"/>
      <c r="BC134" s="752"/>
      <c r="BD134" s="752"/>
      <c r="BE134" s="752"/>
      <c r="BF134" s="752"/>
      <c r="BG134" s="752"/>
      <c r="BH134" s="752"/>
      <c r="BI134" s="752"/>
      <c r="BJ134" s="752"/>
      <c r="BK134" s="752"/>
      <c r="BL134" s="752"/>
      <c r="BM134" s="752"/>
      <c r="BN134" s="752"/>
      <c r="BO134" s="752"/>
      <c r="BP134" s="752"/>
      <c r="BQ134" s="752"/>
      <c r="BR134" s="752"/>
      <c r="BS134" s="752"/>
      <c r="BT134" s="753"/>
    </row>
    <row r="135" spans="2:72">
      <c r="B135" s="750"/>
      <c r="C135" s="750"/>
      <c r="D135" s="750" t="s">
        <v>119</v>
      </c>
      <c r="E135" s="750" t="s">
        <v>745</v>
      </c>
      <c r="F135" s="750"/>
      <c r="G135" s="750"/>
      <c r="H135" s="750">
        <v>2018</v>
      </c>
      <c r="I135" s="649" t="s">
        <v>579</v>
      </c>
      <c r="J135" s="649" t="s">
        <v>589</v>
      </c>
      <c r="K135" s="63"/>
      <c r="L135" s="751"/>
      <c r="M135" s="752"/>
      <c r="N135" s="752"/>
      <c r="O135" s="752"/>
      <c r="P135" s="752"/>
      <c r="Q135" s="752"/>
      <c r="R135" s="752"/>
      <c r="S135" s="752">
        <f>AX135*0.000256331285410396</f>
        <v>10.081837822221967</v>
      </c>
      <c r="T135" s="752">
        <f>AY135*0.000256331285410396</f>
        <v>8.2821714415563452</v>
      </c>
      <c r="U135" s="752">
        <f>AZ135*0.000256331285410396</f>
        <v>6.4825050608907242</v>
      </c>
      <c r="V135" s="752"/>
      <c r="W135" s="752"/>
      <c r="X135" s="752"/>
      <c r="Y135" s="752"/>
      <c r="Z135" s="752"/>
      <c r="AA135" s="752"/>
      <c r="AB135" s="752"/>
      <c r="AC135" s="752"/>
      <c r="AD135" s="752"/>
      <c r="AE135" s="752"/>
      <c r="AF135" s="752"/>
      <c r="AG135" s="752"/>
      <c r="AH135" s="752"/>
      <c r="AI135" s="752"/>
      <c r="AJ135" s="752"/>
      <c r="AK135" s="752"/>
      <c r="AL135" s="752"/>
      <c r="AM135" s="752"/>
      <c r="AN135" s="752"/>
      <c r="AO135" s="753"/>
      <c r="AP135" s="63"/>
      <c r="AQ135" s="751"/>
      <c r="AR135" s="752"/>
      <c r="AS135" s="752"/>
      <c r="AT135" s="752"/>
      <c r="AU135" s="752"/>
      <c r="AV135" s="752"/>
      <c r="AW135" s="752"/>
      <c r="AX135" s="752">
        <v>39331.281025960474</v>
      </c>
      <c r="AY135" s="752">
        <f t="shared" si="5"/>
        <v>32310.41980808655</v>
      </c>
      <c r="AZ135" s="752">
        <v>25289.558590212626</v>
      </c>
      <c r="BA135" s="752"/>
      <c r="BB135" s="752"/>
      <c r="BC135" s="752"/>
      <c r="BD135" s="752"/>
      <c r="BE135" s="752"/>
      <c r="BF135" s="752"/>
      <c r="BG135" s="752"/>
      <c r="BH135" s="752"/>
      <c r="BI135" s="752"/>
      <c r="BJ135" s="752"/>
      <c r="BK135" s="752"/>
      <c r="BL135" s="752"/>
      <c r="BM135" s="752"/>
      <c r="BN135" s="752"/>
      <c r="BO135" s="752"/>
      <c r="BP135" s="752"/>
      <c r="BQ135" s="752"/>
      <c r="BR135" s="752"/>
      <c r="BS135" s="752"/>
      <c r="BT135" s="753"/>
    </row>
    <row r="136" spans="2:72">
      <c r="B136" s="750"/>
      <c r="C136" s="750"/>
      <c r="D136" s="750" t="s">
        <v>118</v>
      </c>
      <c r="E136" s="750" t="s">
        <v>745</v>
      </c>
      <c r="F136" s="750"/>
      <c r="G136" s="750"/>
      <c r="H136" s="750">
        <v>2019</v>
      </c>
      <c r="I136" s="649" t="s">
        <v>579</v>
      </c>
      <c r="J136" s="649" t="s">
        <v>589</v>
      </c>
      <c r="K136" s="63"/>
      <c r="L136" s="751"/>
      <c r="M136" s="752"/>
      <c r="N136" s="752"/>
      <c r="O136" s="752"/>
      <c r="P136" s="752"/>
      <c r="Q136" s="752"/>
      <c r="R136" s="752"/>
      <c r="S136" s="752"/>
      <c r="T136" s="752">
        <f>AY136*((Q119+Q122+R126)/(AV119+AV122+AW126))</f>
        <v>32.433628293043313</v>
      </c>
      <c r="U136" s="752">
        <f>AZ136*((R119+R122+S126)/(AW119+AW122+AX126))</f>
        <v>32.492522972731784</v>
      </c>
      <c r="V136" s="752"/>
      <c r="W136" s="752"/>
      <c r="X136" s="752"/>
      <c r="Y136" s="752"/>
      <c r="Z136" s="752"/>
      <c r="AA136" s="752"/>
      <c r="AB136" s="752"/>
      <c r="AC136" s="752"/>
      <c r="AD136" s="752"/>
      <c r="AE136" s="752"/>
      <c r="AF136" s="752"/>
      <c r="AG136" s="752"/>
      <c r="AH136" s="752"/>
      <c r="AI136" s="752"/>
      <c r="AJ136" s="752"/>
      <c r="AK136" s="752"/>
      <c r="AL136" s="752"/>
      <c r="AM136" s="752"/>
      <c r="AN136" s="752"/>
      <c r="AO136" s="753"/>
      <c r="AP136" s="63"/>
      <c r="AQ136" s="751"/>
      <c r="AR136" s="752"/>
      <c r="AS136" s="752"/>
      <c r="AT136" s="752"/>
      <c r="AU136" s="752"/>
      <c r="AV136" s="752"/>
      <c r="AW136" s="752"/>
      <c r="AX136" s="752"/>
      <c r="AY136" s="752">
        <v>259037.18082265044</v>
      </c>
      <c r="AZ136" s="752">
        <v>259037.18082265044</v>
      </c>
      <c r="BA136" s="752"/>
      <c r="BB136" s="752"/>
      <c r="BC136" s="752"/>
      <c r="BD136" s="752"/>
      <c r="BE136" s="752"/>
      <c r="BF136" s="752"/>
      <c r="BG136" s="752"/>
      <c r="BH136" s="752"/>
      <c r="BI136" s="752"/>
      <c r="BJ136" s="752"/>
      <c r="BK136" s="752"/>
      <c r="BL136" s="752"/>
      <c r="BM136" s="752"/>
      <c r="BN136" s="752"/>
      <c r="BO136" s="752"/>
      <c r="BP136" s="752"/>
      <c r="BQ136" s="752"/>
      <c r="BR136" s="752"/>
      <c r="BS136" s="752"/>
      <c r="BT136" s="753"/>
    </row>
    <row r="137" spans="2:72">
      <c r="B137" s="750"/>
      <c r="C137" s="750"/>
      <c r="D137" s="754" t="s">
        <v>119</v>
      </c>
      <c r="E137" s="750" t="s">
        <v>745</v>
      </c>
      <c r="F137" s="750"/>
      <c r="G137" s="750"/>
      <c r="H137" s="750">
        <v>2019</v>
      </c>
      <c r="I137" s="649" t="s">
        <v>579</v>
      </c>
      <c r="J137" s="649" t="s">
        <v>589</v>
      </c>
      <c r="K137" s="63"/>
      <c r="L137" s="751"/>
      <c r="M137" s="752"/>
      <c r="N137" s="752"/>
      <c r="O137" s="752"/>
      <c r="P137" s="752"/>
      <c r="Q137" s="752"/>
      <c r="R137" s="752"/>
      <c r="S137" s="752"/>
      <c r="T137" s="752">
        <f>AY137*0.000256331285410396</f>
        <v>3.2602299311312084</v>
      </c>
      <c r="U137" s="752">
        <f>AZ137*0.000256331285410396</f>
        <v>2.8706367801796229</v>
      </c>
      <c r="V137" s="752"/>
      <c r="W137" s="752"/>
      <c r="X137" s="752"/>
      <c r="Y137" s="752"/>
      <c r="Z137" s="752"/>
      <c r="AA137" s="752"/>
      <c r="AB137" s="752"/>
      <c r="AC137" s="752"/>
      <c r="AD137" s="752"/>
      <c r="AE137" s="752"/>
      <c r="AF137" s="752"/>
      <c r="AG137" s="752"/>
      <c r="AH137" s="752"/>
      <c r="AI137" s="752"/>
      <c r="AJ137" s="752"/>
      <c r="AK137" s="752"/>
      <c r="AL137" s="752"/>
      <c r="AM137" s="752"/>
      <c r="AN137" s="752"/>
      <c r="AO137" s="753"/>
      <c r="AP137" s="63"/>
      <c r="AQ137" s="751"/>
      <c r="AR137" s="752"/>
      <c r="AS137" s="752"/>
      <c r="AT137" s="752"/>
      <c r="AU137" s="752"/>
      <c r="AV137" s="752"/>
      <c r="AW137" s="752"/>
      <c r="AX137" s="752"/>
      <c r="AY137" s="752">
        <v>12718.813959487848</v>
      </c>
      <c r="AZ137" s="752">
        <v>11198.932567219119</v>
      </c>
      <c r="BA137" s="752"/>
      <c r="BB137" s="752"/>
      <c r="BC137" s="752"/>
      <c r="BD137" s="752"/>
      <c r="BE137" s="752"/>
      <c r="BF137" s="752"/>
      <c r="BG137" s="752"/>
      <c r="BH137" s="752"/>
      <c r="BI137" s="752"/>
      <c r="BJ137" s="752"/>
      <c r="BK137" s="752"/>
      <c r="BL137" s="752"/>
      <c r="BM137" s="752"/>
      <c r="BN137" s="752"/>
      <c r="BO137" s="752"/>
      <c r="BP137" s="752"/>
      <c r="BQ137" s="752"/>
      <c r="BR137" s="752"/>
      <c r="BS137" s="752"/>
      <c r="BT137" s="753"/>
    </row>
    <row r="138" spans="2:72">
      <c r="B138" s="750"/>
      <c r="C138" s="750"/>
      <c r="D138" s="754" t="s">
        <v>795</v>
      </c>
      <c r="E138" s="750" t="s">
        <v>745</v>
      </c>
      <c r="F138" s="750"/>
      <c r="G138" s="750"/>
      <c r="H138" s="750">
        <v>2019</v>
      </c>
      <c r="I138" s="649" t="s">
        <v>579</v>
      </c>
      <c r="J138" s="649" t="s">
        <v>589</v>
      </c>
      <c r="K138" s="63"/>
      <c r="L138" s="751"/>
      <c r="M138" s="752"/>
      <c r="N138" s="752"/>
      <c r="O138" s="752"/>
      <c r="P138" s="752"/>
      <c r="Q138" s="752"/>
      <c r="R138" s="752"/>
      <c r="S138" s="752"/>
      <c r="T138" s="752">
        <f>AY138*0.000134959774652383</f>
        <v>3.1259895852128605</v>
      </c>
      <c r="U138" s="752">
        <f>AZ138*0.000134959774652383</f>
        <v>3.1259895852128605</v>
      </c>
      <c r="V138" s="752"/>
      <c r="W138" s="752"/>
      <c r="X138" s="752"/>
      <c r="Y138" s="752"/>
      <c r="Z138" s="752"/>
      <c r="AA138" s="752"/>
      <c r="AB138" s="752"/>
      <c r="AC138" s="752"/>
      <c r="AD138" s="752"/>
      <c r="AE138" s="752"/>
      <c r="AF138" s="752"/>
      <c r="AG138" s="752"/>
      <c r="AH138" s="752"/>
      <c r="AI138" s="752"/>
      <c r="AJ138" s="752"/>
      <c r="AK138" s="752"/>
      <c r="AL138" s="752"/>
      <c r="AM138" s="752"/>
      <c r="AN138" s="752"/>
      <c r="AO138" s="753"/>
      <c r="AP138" s="63"/>
      <c r="AQ138" s="751"/>
      <c r="AR138" s="752"/>
      <c r="AS138" s="752"/>
      <c r="AT138" s="752"/>
      <c r="AU138" s="752"/>
      <c r="AV138" s="752"/>
      <c r="AW138" s="752"/>
      <c r="AX138" s="752"/>
      <c r="AY138" s="752">
        <v>23162.379999999983</v>
      </c>
      <c r="AZ138" s="752">
        <v>23162.379999999983</v>
      </c>
      <c r="BA138" s="752"/>
      <c r="BB138" s="752"/>
      <c r="BC138" s="752"/>
      <c r="BD138" s="752"/>
      <c r="BE138" s="752"/>
      <c r="BF138" s="752"/>
      <c r="BG138" s="752"/>
      <c r="BH138" s="752"/>
      <c r="BI138" s="752"/>
      <c r="BJ138" s="752"/>
      <c r="BK138" s="752"/>
      <c r="BL138" s="752"/>
      <c r="BM138" s="752"/>
      <c r="BN138" s="752"/>
      <c r="BO138" s="752"/>
      <c r="BP138" s="752"/>
      <c r="BQ138" s="752"/>
      <c r="BR138" s="752"/>
      <c r="BS138" s="752"/>
      <c r="BT138" s="753"/>
    </row>
    <row r="139" spans="2:72">
      <c r="B139" s="750"/>
      <c r="C139" s="750"/>
      <c r="D139" s="754" t="s">
        <v>845</v>
      </c>
      <c r="E139" s="750" t="s">
        <v>745</v>
      </c>
      <c r="F139" s="750"/>
      <c r="G139" s="750"/>
      <c r="H139" s="750" t="s">
        <v>846</v>
      </c>
      <c r="I139" s="649">
        <v>2020</v>
      </c>
      <c r="J139" s="649" t="s">
        <v>582</v>
      </c>
      <c r="K139" s="63"/>
      <c r="L139" s="751"/>
      <c r="M139" s="752"/>
      <c r="N139" s="752"/>
      <c r="O139" s="752"/>
      <c r="P139" s="752">
        <f>AU139*((Q119+Q122+R126)/(AV119+AV122+AW126))</f>
        <v>-2.4339832687341705</v>
      </c>
      <c r="Q139" s="752">
        <f>AV139*((R119+R122+S126)/(AW119+AW122+AX126))</f>
        <v>-17.132211376707783</v>
      </c>
      <c r="R139" s="752">
        <f t="shared" ref="R139:U139" si="8">AW139*((S119+S122+T126)/(AX119+AX122+AY126))</f>
        <v>-17.132211376707783</v>
      </c>
      <c r="S139" s="752">
        <f t="shared" si="8"/>
        <v>-17.132211376707783</v>
      </c>
      <c r="T139" s="752">
        <f t="shared" si="8"/>
        <v>-17.132211376707783</v>
      </c>
      <c r="U139" s="752">
        <f t="shared" si="8"/>
        <v>-16.906524374421725</v>
      </c>
      <c r="V139" s="752"/>
      <c r="W139" s="752"/>
      <c r="X139" s="752"/>
      <c r="Y139" s="752"/>
      <c r="Z139" s="752"/>
      <c r="AA139" s="752"/>
      <c r="AB139" s="752"/>
      <c r="AC139" s="752"/>
      <c r="AD139" s="752"/>
      <c r="AE139" s="752"/>
      <c r="AF139" s="752"/>
      <c r="AG139" s="752"/>
      <c r="AH139" s="752"/>
      <c r="AI139" s="752"/>
      <c r="AJ139" s="752"/>
      <c r="AK139" s="752"/>
      <c r="AL139" s="752"/>
      <c r="AM139" s="752"/>
      <c r="AN139" s="752"/>
      <c r="AO139" s="753"/>
      <c r="AP139" s="63"/>
      <c r="AQ139" s="751"/>
      <c r="AR139" s="752"/>
      <c r="AS139" s="752"/>
      <c r="AT139" s="752"/>
      <c r="AU139" s="752">
        <f>'8.  Streetlighting'!U38</f>
        <v>-19439.458280948274</v>
      </c>
      <c r="AV139" s="752">
        <f>-'8.  Streetlighting'!U39</f>
        <v>-136581.56801195335</v>
      </c>
      <c r="AW139" s="752">
        <f>-'8.  Streetlighting'!U40</f>
        <v>-136581.56801195335</v>
      </c>
      <c r="AX139" s="752">
        <f>-'8.  Streetlighting'!U41</f>
        <v>-136581.56801195335</v>
      </c>
      <c r="AY139" s="752">
        <f>-'8.  Streetlighting'!U42</f>
        <v>-136581.56801195335</v>
      </c>
      <c r="AZ139" s="752">
        <f t="shared" ref="AZ139:AZ147" si="9">AY139-(AX139-AY139)</f>
        <v>-136581.56801195335</v>
      </c>
      <c r="BA139" s="752"/>
      <c r="BB139" s="752"/>
      <c r="BC139" s="752"/>
      <c r="BD139" s="752"/>
      <c r="BE139" s="752"/>
      <c r="BF139" s="752"/>
      <c r="BG139" s="752"/>
      <c r="BH139" s="752"/>
      <c r="BI139" s="752"/>
      <c r="BJ139" s="752"/>
      <c r="BK139" s="752"/>
      <c r="BL139" s="752"/>
      <c r="BM139" s="752"/>
      <c r="BN139" s="752"/>
      <c r="BO139" s="752"/>
      <c r="BP139" s="752"/>
      <c r="BQ139" s="752"/>
      <c r="BR139" s="752"/>
      <c r="BS139" s="752"/>
      <c r="BT139" s="753"/>
    </row>
    <row r="140" spans="2:72">
      <c r="B140" s="750"/>
      <c r="C140" s="750"/>
      <c r="D140" s="754" t="s">
        <v>845</v>
      </c>
      <c r="E140" s="750" t="s">
        <v>745</v>
      </c>
      <c r="F140" s="750"/>
      <c r="G140" s="750"/>
      <c r="H140" s="750" t="s">
        <v>847</v>
      </c>
      <c r="I140" s="649">
        <v>2020</v>
      </c>
      <c r="J140" s="649" t="s">
        <v>582</v>
      </c>
      <c r="K140" s="63"/>
      <c r="L140" s="751"/>
      <c r="M140" s="752"/>
      <c r="N140" s="752"/>
      <c r="O140" s="752"/>
      <c r="P140" s="752"/>
      <c r="Q140" s="752">
        <f>AV140*((Q119+Q122+R126)/(AV119+AV122+AW126))</f>
        <v>-83.773020464079835</v>
      </c>
      <c r="R140" s="752">
        <f t="shared" ref="R140:U140" si="10">AW140*((R119+R122+S126)/(AW119+AW122+AX126))</f>
        <v>-161.23549722059937</v>
      </c>
      <c r="S140" s="752">
        <f t="shared" si="10"/>
        <v>-161.23549722059937</v>
      </c>
      <c r="T140" s="752">
        <f t="shared" si="10"/>
        <v>-161.23549722059937</v>
      </c>
      <c r="U140" s="752">
        <f t="shared" si="10"/>
        <v>-161.23549722059937</v>
      </c>
      <c r="V140" s="752"/>
      <c r="W140" s="752"/>
      <c r="X140" s="752"/>
      <c r="Y140" s="752"/>
      <c r="Z140" s="752"/>
      <c r="AA140" s="752"/>
      <c r="AB140" s="752"/>
      <c r="AC140" s="752"/>
      <c r="AD140" s="752"/>
      <c r="AE140" s="752"/>
      <c r="AF140" s="752"/>
      <c r="AG140" s="752"/>
      <c r="AH140" s="752"/>
      <c r="AI140" s="752"/>
      <c r="AJ140" s="752"/>
      <c r="AK140" s="752"/>
      <c r="AL140" s="752"/>
      <c r="AM140" s="752"/>
      <c r="AN140" s="752"/>
      <c r="AO140" s="753"/>
      <c r="AP140" s="63"/>
      <c r="AQ140" s="751"/>
      <c r="AR140" s="752"/>
      <c r="AS140" s="752"/>
      <c r="AT140" s="752"/>
      <c r="AU140" s="752"/>
      <c r="AV140" s="752">
        <f>'8.  Streetlighting'!U62</f>
        <v>-669068.74722579052</v>
      </c>
      <c r="AW140" s="752">
        <f>-'8.  Streetlighting'!U63</f>
        <v>-1285403.0659180575</v>
      </c>
      <c r="AX140" s="752">
        <f>-'8.  Streetlighting'!U64</f>
        <v>-1285403.0659180575</v>
      </c>
      <c r="AY140" s="752">
        <f>-'8.  Streetlighting'!U65</f>
        <v>-1285403.0659180575</v>
      </c>
      <c r="AZ140" s="752">
        <f t="shared" si="9"/>
        <v>-1285403.0659180575</v>
      </c>
      <c r="BA140" s="752"/>
      <c r="BB140" s="752"/>
      <c r="BC140" s="752"/>
      <c r="BD140" s="752"/>
      <c r="BE140" s="752"/>
      <c r="BF140" s="752"/>
      <c r="BG140" s="752"/>
      <c r="BH140" s="752"/>
      <c r="BI140" s="752"/>
      <c r="BJ140" s="752"/>
      <c r="BK140" s="752"/>
      <c r="BL140" s="752"/>
      <c r="BM140" s="752"/>
      <c r="BN140" s="752"/>
      <c r="BO140" s="752"/>
      <c r="BP140" s="752"/>
      <c r="BQ140" s="752"/>
      <c r="BR140" s="752"/>
      <c r="BS140" s="752"/>
      <c r="BT140" s="753"/>
    </row>
    <row r="141" spans="2:72">
      <c r="B141" s="750"/>
      <c r="C141" s="750"/>
      <c r="D141" s="754" t="s">
        <v>845</v>
      </c>
      <c r="E141" s="750" t="s">
        <v>745</v>
      </c>
      <c r="F141" s="750"/>
      <c r="G141" s="750"/>
      <c r="H141" s="750" t="s">
        <v>848</v>
      </c>
      <c r="I141" s="649">
        <v>2020</v>
      </c>
      <c r="J141" s="649" t="s">
        <v>582</v>
      </c>
      <c r="K141" s="63"/>
      <c r="L141" s="751"/>
      <c r="M141" s="752"/>
      <c r="N141" s="752"/>
      <c r="O141" s="752"/>
      <c r="P141" s="752"/>
      <c r="Q141" s="752"/>
      <c r="R141" s="752">
        <f>AW141*((Q119+Q122+R126)/(AV119+AV122+AW126))</f>
        <v>-5.2241744951803852</v>
      </c>
      <c r="S141" s="752">
        <f t="shared" ref="S141:U141" si="11">AX141*((R119+R122+S126)/(AW119+AW122+AX126))</f>
        <v>-10.29833032893829</v>
      </c>
      <c r="T141" s="752">
        <f t="shared" si="11"/>
        <v>-10.29833032893829</v>
      </c>
      <c r="U141" s="752">
        <f t="shared" si="11"/>
        <v>-10.29833032893829</v>
      </c>
      <c r="V141" s="752"/>
      <c r="W141" s="752"/>
      <c r="X141" s="752"/>
      <c r="Y141" s="752"/>
      <c r="Z141" s="752"/>
      <c r="AA141" s="752"/>
      <c r="AB141" s="752"/>
      <c r="AC141" s="752"/>
      <c r="AD141" s="752"/>
      <c r="AE141" s="752"/>
      <c r="AF141" s="752"/>
      <c r="AG141" s="752"/>
      <c r="AH141" s="752"/>
      <c r="AI141" s="752"/>
      <c r="AJ141" s="752"/>
      <c r="AK141" s="752"/>
      <c r="AL141" s="752"/>
      <c r="AM141" s="752"/>
      <c r="AN141" s="752"/>
      <c r="AO141" s="753"/>
      <c r="AP141" s="63"/>
      <c r="AQ141" s="751"/>
      <c r="AR141" s="752"/>
      <c r="AS141" s="752"/>
      <c r="AT141" s="752"/>
      <c r="AU141" s="752"/>
      <c r="AV141" s="752"/>
      <c r="AW141" s="752">
        <f>'8.  Streetlighting'!U86</f>
        <v>-41723.837405122496</v>
      </c>
      <c r="AX141" s="752">
        <f>-'8.  Streetlighting'!U87</f>
        <v>-82100.440702228792</v>
      </c>
      <c r="AY141" s="752">
        <f>-'8.  Streetlighting'!U87</f>
        <v>-82100.440702228792</v>
      </c>
      <c r="AZ141" s="752">
        <f t="shared" si="9"/>
        <v>-82100.440702228792</v>
      </c>
      <c r="BA141" s="752"/>
      <c r="BB141" s="752"/>
      <c r="BC141" s="752"/>
      <c r="BD141" s="752"/>
      <c r="BE141" s="752"/>
      <c r="BF141" s="752"/>
      <c r="BG141" s="752"/>
      <c r="BH141" s="752"/>
      <c r="BI141" s="752"/>
      <c r="BJ141" s="752"/>
      <c r="BK141" s="752"/>
      <c r="BL141" s="752"/>
      <c r="BM141" s="752"/>
      <c r="BN141" s="752"/>
      <c r="BO141" s="752"/>
      <c r="BP141" s="752"/>
      <c r="BQ141" s="752"/>
      <c r="BR141" s="752"/>
      <c r="BS141" s="752"/>
      <c r="BT141" s="753"/>
    </row>
    <row r="142" spans="2:72">
      <c r="B142" s="750"/>
      <c r="C142" s="750"/>
      <c r="D142" s="754" t="s">
        <v>118</v>
      </c>
      <c r="E142" s="750" t="s">
        <v>745</v>
      </c>
      <c r="F142" s="750"/>
      <c r="G142" s="750"/>
      <c r="H142" s="750" t="s">
        <v>847</v>
      </c>
      <c r="I142" s="649">
        <v>2019</v>
      </c>
      <c r="J142" s="649" t="s">
        <v>582</v>
      </c>
      <c r="K142" s="63"/>
      <c r="L142" s="751"/>
      <c r="M142" s="752"/>
      <c r="N142" s="752"/>
      <c r="O142" s="752"/>
      <c r="P142" s="752"/>
      <c r="Q142" s="850">
        <f>AV142*((Q119+Q122+R126)/(AV119+AV122+AW126))</f>
        <v>7.834337753755606</v>
      </c>
      <c r="R142" s="850">
        <f t="shared" ref="R142:T142" si="12">AW142*((R119+R122+S126)/(AW119+AW122+AX126))</f>
        <v>7.8485637542637798</v>
      </c>
      <c r="S142" s="850">
        <f t="shared" si="12"/>
        <v>7.8485637542637798</v>
      </c>
      <c r="T142" s="850">
        <f t="shared" si="12"/>
        <v>7.8485637542637798</v>
      </c>
      <c r="U142" s="752"/>
      <c r="V142" s="752"/>
      <c r="W142" s="752"/>
      <c r="X142" s="752"/>
      <c r="Y142" s="752"/>
      <c r="Z142" s="752"/>
      <c r="AA142" s="752"/>
      <c r="AB142" s="752"/>
      <c r="AC142" s="752"/>
      <c r="AD142" s="752"/>
      <c r="AE142" s="752"/>
      <c r="AF142" s="752"/>
      <c r="AG142" s="752"/>
      <c r="AH142" s="752"/>
      <c r="AI142" s="752"/>
      <c r="AJ142" s="752"/>
      <c r="AK142" s="752"/>
      <c r="AL142" s="752"/>
      <c r="AM142" s="752"/>
      <c r="AN142" s="752"/>
      <c r="AO142" s="753"/>
      <c r="AP142" s="63"/>
      <c r="AQ142" s="751"/>
      <c r="AR142" s="752"/>
      <c r="AS142" s="752"/>
      <c r="AT142" s="752"/>
      <c r="AU142" s="752"/>
      <c r="AV142" s="752">
        <v>62570.389812988964</v>
      </c>
      <c r="AW142" s="752">
        <f>AV142</f>
        <v>62570.389812988964</v>
      </c>
      <c r="AX142" s="752">
        <f>AW142</f>
        <v>62570.389812988964</v>
      </c>
      <c r="AY142" s="752">
        <v>62570.389812988964</v>
      </c>
      <c r="AZ142" s="752">
        <f t="shared" si="9"/>
        <v>62570.389812988964</v>
      </c>
      <c r="BA142" s="752"/>
      <c r="BB142" s="752"/>
      <c r="BC142" s="752"/>
      <c r="BD142" s="752"/>
      <c r="BE142" s="752"/>
      <c r="BF142" s="752"/>
      <c r="BG142" s="752"/>
      <c r="BH142" s="752"/>
      <c r="BI142" s="752"/>
      <c r="BJ142" s="752"/>
      <c r="BK142" s="752"/>
      <c r="BL142" s="752"/>
      <c r="BM142" s="752"/>
      <c r="BN142" s="752"/>
      <c r="BO142" s="752"/>
      <c r="BP142" s="752"/>
      <c r="BQ142" s="752"/>
      <c r="BR142" s="752"/>
      <c r="BS142" s="752"/>
      <c r="BT142" s="753"/>
    </row>
    <row r="143" spans="2:72">
      <c r="B143" s="750"/>
      <c r="C143" s="750"/>
      <c r="D143" s="754" t="s">
        <v>113</v>
      </c>
      <c r="E143" s="750" t="s">
        <v>745</v>
      </c>
      <c r="F143" s="750"/>
      <c r="G143" s="750"/>
      <c r="H143" s="750" t="s">
        <v>848</v>
      </c>
      <c r="I143" s="649">
        <v>2019</v>
      </c>
      <c r="J143" s="649" t="s">
        <v>582</v>
      </c>
      <c r="K143" s="63"/>
      <c r="L143" s="751"/>
      <c r="M143" s="752"/>
      <c r="N143" s="752"/>
      <c r="O143" s="752"/>
      <c r="P143" s="752"/>
      <c r="Q143" s="752"/>
      <c r="R143" s="752"/>
      <c r="S143" s="752"/>
      <c r="T143" s="752"/>
      <c r="U143" s="752"/>
      <c r="V143" s="752"/>
      <c r="W143" s="752"/>
      <c r="X143" s="752"/>
      <c r="Y143" s="752"/>
      <c r="Z143" s="752"/>
      <c r="AA143" s="752"/>
      <c r="AB143" s="752"/>
      <c r="AC143" s="752"/>
      <c r="AD143" s="752"/>
      <c r="AE143" s="752"/>
      <c r="AF143" s="752"/>
      <c r="AG143" s="752"/>
      <c r="AH143" s="752"/>
      <c r="AI143" s="752"/>
      <c r="AJ143" s="752"/>
      <c r="AK143" s="752"/>
      <c r="AL143" s="752"/>
      <c r="AM143" s="752"/>
      <c r="AN143" s="752"/>
      <c r="AO143" s="753"/>
      <c r="AP143" s="63"/>
      <c r="AQ143" s="751"/>
      <c r="AR143" s="752"/>
      <c r="AS143" s="752"/>
      <c r="AT143" s="752"/>
      <c r="AU143" s="752"/>
      <c r="AV143" s="752"/>
      <c r="AW143" s="752">
        <v>3073.7186798762305</v>
      </c>
      <c r="AX143" s="752">
        <f t="shared" ref="AX143:AX145" si="13">(AW143+AY143)/2</f>
        <v>3061.0847121937386</v>
      </c>
      <c r="AY143" s="752">
        <v>3048.4507445112463</v>
      </c>
      <c r="AZ143" s="752">
        <f t="shared" si="9"/>
        <v>3035.816776828754</v>
      </c>
      <c r="BA143" s="752"/>
      <c r="BB143" s="752"/>
      <c r="BC143" s="752"/>
      <c r="BD143" s="752"/>
      <c r="BE143" s="752"/>
      <c r="BF143" s="752"/>
      <c r="BG143" s="752"/>
      <c r="BH143" s="752"/>
      <c r="BI143" s="752"/>
      <c r="BJ143" s="752"/>
      <c r="BK143" s="752"/>
      <c r="BL143" s="752"/>
      <c r="BM143" s="752"/>
      <c r="BN143" s="752"/>
      <c r="BO143" s="752"/>
      <c r="BP143" s="752"/>
      <c r="BQ143" s="752"/>
      <c r="BR143" s="752"/>
      <c r="BS143" s="752"/>
      <c r="BT143" s="753"/>
    </row>
    <row r="144" spans="2:72">
      <c r="B144" s="750"/>
      <c r="C144" s="750"/>
      <c r="D144" s="754" t="s">
        <v>114</v>
      </c>
      <c r="E144" s="750" t="s">
        <v>745</v>
      </c>
      <c r="F144" s="750"/>
      <c r="G144" s="750"/>
      <c r="H144" s="750" t="s">
        <v>848</v>
      </c>
      <c r="I144" s="649">
        <v>2019</v>
      </c>
      <c r="J144" s="649" t="s">
        <v>582</v>
      </c>
      <c r="K144" s="63"/>
      <c r="L144" s="751"/>
      <c r="M144" s="752"/>
      <c r="N144" s="752"/>
      <c r="O144" s="752"/>
      <c r="P144" s="752"/>
      <c r="Q144" s="752"/>
      <c r="R144" s="752">
        <f>AW144*((R118+R121+R125)/(AW118+AW121+AW125))</f>
        <v>11.928629880022589</v>
      </c>
      <c r="S144" s="752">
        <f t="shared" ref="S144:T144" si="14">AX144*((S118+S121+S125)/(AX118+AX121+AX125))</f>
        <v>11.928629880022589</v>
      </c>
      <c r="T144" s="752">
        <f t="shared" si="14"/>
        <v>11.928629880022589</v>
      </c>
      <c r="U144" s="752"/>
      <c r="V144" s="752"/>
      <c r="W144" s="752"/>
      <c r="X144" s="752"/>
      <c r="Y144" s="752"/>
      <c r="Z144" s="752"/>
      <c r="AA144" s="752"/>
      <c r="AB144" s="752"/>
      <c r="AC144" s="752"/>
      <c r="AD144" s="752"/>
      <c r="AE144" s="752"/>
      <c r="AF144" s="752"/>
      <c r="AG144" s="752"/>
      <c r="AH144" s="752"/>
      <c r="AI144" s="752"/>
      <c r="AJ144" s="752"/>
      <c r="AK144" s="752"/>
      <c r="AL144" s="752"/>
      <c r="AM144" s="752"/>
      <c r="AN144" s="752"/>
      <c r="AO144" s="753"/>
      <c r="AP144" s="63"/>
      <c r="AQ144" s="751"/>
      <c r="AR144" s="752"/>
      <c r="AS144" s="752"/>
      <c r="AT144" s="752"/>
      <c r="AU144" s="752"/>
      <c r="AV144" s="752"/>
      <c r="AW144" s="752">
        <v>41191.050054453</v>
      </c>
      <c r="AX144" s="752">
        <f t="shared" si="13"/>
        <v>41191.050054453</v>
      </c>
      <c r="AY144" s="752">
        <v>41191.050054453</v>
      </c>
      <c r="AZ144" s="752">
        <f t="shared" si="9"/>
        <v>41191.050054453</v>
      </c>
      <c r="BA144" s="752"/>
      <c r="BB144" s="752"/>
      <c r="BC144" s="752"/>
      <c r="BD144" s="752"/>
      <c r="BE144" s="752"/>
      <c r="BF144" s="752"/>
      <c r="BG144" s="752"/>
      <c r="BH144" s="752"/>
      <c r="BI144" s="752"/>
      <c r="BJ144" s="752"/>
      <c r="BK144" s="752"/>
      <c r="BL144" s="752"/>
      <c r="BM144" s="752"/>
      <c r="BN144" s="752"/>
      <c r="BO144" s="752"/>
      <c r="BP144" s="752"/>
      <c r="BQ144" s="752"/>
      <c r="BR144" s="752"/>
      <c r="BS144" s="752"/>
      <c r="BT144" s="753"/>
    </row>
    <row r="145" spans="2:72">
      <c r="B145" s="750"/>
      <c r="C145" s="750"/>
      <c r="D145" s="754" t="s">
        <v>771</v>
      </c>
      <c r="E145" s="750" t="s">
        <v>745</v>
      </c>
      <c r="F145" s="750"/>
      <c r="G145" s="750"/>
      <c r="H145" s="750" t="s">
        <v>848</v>
      </c>
      <c r="I145" s="649">
        <v>2019</v>
      </c>
      <c r="J145" s="649" t="s">
        <v>582</v>
      </c>
      <c r="K145" s="63"/>
      <c r="L145" s="751"/>
      <c r="M145" s="752"/>
      <c r="N145" s="752"/>
      <c r="O145" s="752"/>
      <c r="P145" s="752"/>
      <c r="Q145" s="752"/>
      <c r="R145" s="752">
        <f>AW145*(P113/AU113)</f>
        <v>5.6988350859517691</v>
      </c>
      <c r="S145" s="752">
        <f t="shared" ref="S145:T145" si="15">AX145*(Q113/AV113)</f>
        <v>5.6988350859517691</v>
      </c>
      <c r="T145" s="752">
        <f t="shared" si="15"/>
        <v>5.6988350859517691</v>
      </c>
      <c r="U145" s="752"/>
      <c r="V145" s="752"/>
      <c r="W145" s="752"/>
      <c r="X145" s="752"/>
      <c r="Y145" s="752"/>
      <c r="Z145" s="752"/>
      <c r="AA145" s="752"/>
      <c r="AB145" s="752"/>
      <c r="AC145" s="752"/>
      <c r="AD145" s="752"/>
      <c r="AE145" s="752"/>
      <c r="AF145" s="752"/>
      <c r="AG145" s="752"/>
      <c r="AH145" s="752"/>
      <c r="AI145" s="752"/>
      <c r="AJ145" s="752"/>
      <c r="AK145" s="752"/>
      <c r="AL145" s="752"/>
      <c r="AM145" s="752"/>
      <c r="AN145" s="752"/>
      <c r="AO145" s="753"/>
      <c r="AP145" s="63"/>
      <c r="AQ145" s="751"/>
      <c r="AR145" s="752"/>
      <c r="AS145" s="752"/>
      <c r="AT145" s="752"/>
      <c r="AU145" s="752"/>
      <c r="AV145" s="752"/>
      <c r="AW145" s="752">
        <v>11312.900000000005</v>
      </c>
      <c r="AX145" s="752">
        <f t="shared" si="13"/>
        <v>11312.900000000005</v>
      </c>
      <c r="AY145" s="752">
        <v>11312.900000000005</v>
      </c>
      <c r="AZ145" s="752">
        <f t="shared" si="9"/>
        <v>11312.900000000005</v>
      </c>
      <c r="BA145" s="752"/>
      <c r="BB145" s="752"/>
      <c r="BC145" s="752"/>
      <c r="BD145" s="752"/>
      <c r="BE145" s="752"/>
      <c r="BF145" s="752"/>
      <c r="BG145" s="752"/>
      <c r="BH145" s="752"/>
      <c r="BI145" s="752"/>
      <c r="BJ145" s="752"/>
      <c r="BK145" s="752"/>
      <c r="BL145" s="752"/>
      <c r="BM145" s="752"/>
      <c r="BN145" s="752"/>
      <c r="BO145" s="752"/>
      <c r="BP145" s="752"/>
      <c r="BQ145" s="752"/>
      <c r="BR145" s="752"/>
      <c r="BS145" s="752"/>
      <c r="BT145" s="753"/>
    </row>
    <row r="146" spans="2:72">
      <c r="B146" s="750"/>
      <c r="C146" s="750"/>
      <c r="D146" s="754" t="s">
        <v>118</v>
      </c>
      <c r="E146" s="750" t="s">
        <v>745</v>
      </c>
      <c r="F146" s="750"/>
      <c r="G146" s="750"/>
      <c r="H146" s="750" t="s">
        <v>848</v>
      </c>
      <c r="I146" s="649">
        <v>2019</v>
      </c>
      <c r="J146" s="649" t="s">
        <v>582</v>
      </c>
      <c r="K146" s="63"/>
      <c r="L146" s="751"/>
      <c r="M146" s="752"/>
      <c r="N146" s="752"/>
      <c r="O146" s="752"/>
      <c r="P146" s="752"/>
      <c r="Q146" s="752"/>
      <c r="R146" s="752">
        <f>AW146*((Q119+Q122+R126)/(AV119+AV122+AW126))</f>
        <v>70.652043475291748</v>
      </c>
      <c r="S146" s="752">
        <f t="shared" ref="S146:T146" si="16">AX146*((R119+R122+S126)/(AW119+AW122+AX126))</f>
        <v>70.605329084374176</v>
      </c>
      <c r="T146" s="752">
        <f t="shared" si="16"/>
        <v>70.43032101529586</v>
      </c>
      <c r="U146" s="752"/>
      <c r="V146" s="752"/>
      <c r="W146" s="752"/>
      <c r="X146" s="752"/>
      <c r="Y146" s="752"/>
      <c r="Z146" s="752"/>
      <c r="AA146" s="752"/>
      <c r="AB146" s="752"/>
      <c r="AC146" s="752"/>
      <c r="AD146" s="752"/>
      <c r="AE146" s="752"/>
      <c r="AF146" s="752"/>
      <c r="AG146" s="752"/>
      <c r="AH146" s="752"/>
      <c r="AI146" s="752"/>
      <c r="AJ146" s="752"/>
      <c r="AK146" s="752"/>
      <c r="AL146" s="752"/>
      <c r="AM146" s="752"/>
      <c r="AN146" s="752"/>
      <c r="AO146" s="753"/>
      <c r="AP146" s="63"/>
      <c r="AQ146" s="751"/>
      <c r="AR146" s="752"/>
      <c r="AS146" s="752"/>
      <c r="AT146" s="752"/>
      <c r="AU146" s="752"/>
      <c r="AV146" s="752"/>
      <c r="AW146" s="752">
        <v>564275.63379100559</v>
      </c>
      <c r="AX146" s="752">
        <f>(AW146+AY146)/2</f>
        <v>562880.43290514918</v>
      </c>
      <c r="AY146" s="752">
        <v>561485.23201929289</v>
      </c>
      <c r="AZ146" s="752">
        <f>AY146-(AX146-AY146)</f>
        <v>560090.0311334366</v>
      </c>
      <c r="BA146" s="752"/>
      <c r="BB146" s="752"/>
      <c r="BC146" s="752"/>
      <c r="BD146" s="752"/>
      <c r="BE146" s="752"/>
      <c r="BF146" s="752"/>
      <c r="BG146" s="752"/>
      <c r="BH146" s="752"/>
      <c r="BI146" s="752"/>
      <c r="BJ146" s="752"/>
      <c r="BK146" s="752"/>
      <c r="BL146" s="752"/>
      <c r="BM146" s="752"/>
      <c r="BN146" s="752"/>
      <c r="BO146" s="752"/>
      <c r="BP146" s="752"/>
      <c r="BQ146" s="752"/>
      <c r="BR146" s="752"/>
      <c r="BS146" s="752"/>
      <c r="BT146" s="753"/>
    </row>
    <row r="147" spans="2:72">
      <c r="B147" s="750"/>
      <c r="C147" s="750"/>
      <c r="D147" s="754" t="s">
        <v>772</v>
      </c>
      <c r="E147" s="750" t="s">
        <v>745</v>
      </c>
      <c r="F147" s="750"/>
      <c r="G147" s="750"/>
      <c r="H147" s="750" t="s">
        <v>848</v>
      </c>
      <c r="I147" s="649">
        <v>2019</v>
      </c>
      <c r="J147" s="649" t="s">
        <v>582</v>
      </c>
      <c r="K147" s="63"/>
      <c r="L147" s="751"/>
      <c r="M147" s="752"/>
      <c r="N147" s="752"/>
      <c r="O147" s="752"/>
      <c r="P147" s="752"/>
      <c r="Q147" s="752"/>
      <c r="R147" s="850">
        <f>AW147*((R127)/(AW127))</f>
        <v>1.8178181070651933E-4</v>
      </c>
      <c r="S147" s="850">
        <f t="shared" ref="S147:T147" si="17">AX147*((S127)/(AX127))</f>
        <v>1.8178181070651933E-4</v>
      </c>
      <c r="T147" s="850">
        <f t="shared" si="17"/>
        <v>1.8178181070651933E-4</v>
      </c>
      <c r="U147" s="752"/>
      <c r="V147" s="752"/>
      <c r="W147" s="752"/>
      <c r="X147" s="752"/>
      <c r="Y147" s="752"/>
      <c r="Z147" s="752"/>
      <c r="AA147" s="752"/>
      <c r="AB147" s="752"/>
      <c r="AC147" s="752"/>
      <c r="AD147" s="752"/>
      <c r="AE147" s="752"/>
      <c r="AF147" s="752"/>
      <c r="AG147" s="752"/>
      <c r="AH147" s="752"/>
      <c r="AI147" s="752"/>
      <c r="AJ147" s="752"/>
      <c r="AK147" s="752"/>
      <c r="AL147" s="752"/>
      <c r="AM147" s="752"/>
      <c r="AN147" s="752"/>
      <c r="AO147" s="753"/>
      <c r="AP147" s="63"/>
      <c r="AQ147" s="751"/>
      <c r="AR147" s="752"/>
      <c r="AS147" s="752"/>
      <c r="AT147" s="752"/>
      <c r="AU147" s="752"/>
      <c r="AV147" s="752"/>
      <c r="AW147" s="752">
        <v>0.94096324615384619</v>
      </c>
      <c r="AX147" s="752">
        <f>(AW147+AY147)/2</f>
        <v>0.94096324615384619</v>
      </c>
      <c r="AY147" s="752">
        <v>0.94096324615384619</v>
      </c>
      <c r="AZ147" s="752">
        <f t="shared" si="9"/>
        <v>0.94096324615384619</v>
      </c>
      <c r="BA147" s="752"/>
      <c r="BB147" s="752"/>
      <c r="BC147" s="752"/>
      <c r="BD147" s="752"/>
      <c r="BE147" s="752"/>
      <c r="BF147" s="752"/>
      <c r="BG147" s="752"/>
      <c r="BH147" s="752"/>
      <c r="BI147" s="752"/>
      <c r="BJ147" s="752"/>
      <c r="BK147" s="752"/>
      <c r="BL147" s="752"/>
      <c r="BM147" s="752"/>
      <c r="BN147" s="752"/>
      <c r="BO147" s="752"/>
      <c r="BP147" s="752"/>
      <c r="BQ147" s="752"/>
      <c r="BR147" s="752"/>
      <c r="BS147" s="752"/>
      <c r="BT147" s="753"/>
    </row>
    <row r="148" spans="2:72">
      <c r="B148" s="750"/>
      <c r="C148" s="750"/>
      <c r="D148" s="754"/>
      <c r="E148" s="750"/>
      <c r="F148" s="750"/>
      <c r="G148" s="750"/>
      <c r="H148" s="750"/>
      <c r="I148" s="649"/>
      <c r="J148" s="649"/>
      <c r="K148" s="63"/>
      <c r="L148" s="751"/>
      <c r="M148" s="752"/>
      <c r="N148" s="752"/>
      <c r="O148" s="752"/>
      <c r="P148" s="752"/>
      <c r="Q148" s="752"/>
      <c r="R148" s="752"/>
      <c r="S148" s="752"/>
      <c r="T148" s="752"/>
      <c r="U148" s="752"/>
      <c r="V148" s="752"/>
      <c r="W148" s="752"/>
      <c r="X148" s="752"/>
      <c r="Y148" s="752"/>
      <c r="Z148" s="752"/>
      <c r="AA148" s="752"/>
      <c r="AB148" s="752"/>
      <c r="AC148" s="752"/>
      <c r="AD148" s="752"/>
      <c r="AE148" s="752"/>
      <c r="AF148" s="752"/>
      <c r="AG148" s="752"/>
      <c r="AH148" s="752"/>
      <c r="AI148" s="752"/>
      <c r="AJ148" s="752"/>
      <c r="AK148" s="752"/>
      <c r="AL148" s="752"/>
      <c r="AM148" s="752"/>
      <c r="AN148" s="752"/>
      <c r="AO148" s="753"/>
      <c r="AP148" s="63"/>
      <c r="AQ148" s="751"/>
      <c r="AR148" s="752"/>
      <c r="AS148" s="752"/>
      <c r="AT148" s="752"/>
      <c r="AU148" s="752"/>
      <c r="AV148" s="752"/>
      <c r="AW148" s="752"/>
      <c r="AX148" s="752"/>
      <c r="AY148" s="752"/>
      <c r="AZ148" s="752"/>
      <c r="BA148" s="752"/>
      <c r="BB148" s="752"/>
      <c r="BC148" s="752"/>
      <c r="BD148" s="752"/>
      <c r="BE148" s="752"/>
      <c r="BF148" s="752"/>
      <c r="BG148" s="752"/>
      <c r="BH148" s="752"/>
      <c r="BI148" s="752"/>
      <c r="BJ148" s="752"/>
      <c r="BK148" s="752"/>
      <c r="BL148" s="752"/>
      <c r="BM148" s="752"/>
      <c r="BN148" s="752"/>
      <c r="BO148" s="752"/>
      <c r="BP148" s="752"/>
      <c r="BQ148" s="752"/>
      <c r="BR148" s="752"/>
      <c r="BS148" s="752"/>
      <c r="BT148" s="753"/>
    </row>
    <row r="151" spans="2:72">
      <c r="Y151" s="845"/>
    </row>
    <row r="152" spans="2:72">
      <c r="Y152" s="845"/>
    </row>
    <row r="153" spans="2:72">
      <c r="Y153" s="845"/>
    </row>
    <row r="154" spans="2:72">
      <c r="Y154" s="845"/>
    </row>
    <row r="155" spans="2:72">
      <c r="D155" s="853"/>
      <c r="Y155" s="845"/>
    </row>
    <row r="156" spans="2:72">
      <c r="Y156" s="845"/>
    </row>
    <row r="157" spans="2:72">
      <c r="Y157" s="845"/>
    </row>
    <row r="158" spans="2:72">
      <c r="Y158" s="845"/>
    </row>
    <row r="159" spans="2:72">
      <c r="Y159" s="845"/>
    </row>
    <row r="160" spans="2:72">
      <c r="Y160" s="845"/>
    </row>
    <row r="161" spans="25:25">
      <c r="Y161" s="845"/>
    </row>
    <row r="162" spans="25:25">
      <c r="Y162" s="845"/>
    </row>
    <row r="163" spans="25:25">
      <c r="Y163" s="845"/>
    </row>
    <row r="164" spans="25:25">
      <c r="Y164" s="845"/>
    </row>
    <row r="165" spans="25:25">
      <c r="Y165" s="845"/>
    </row>
    <row r="166" spans="25:25">
      <c r="Y166" s="845"/>
    </row>
    <row r="167" spans="25:25">
      <c r="Y167" s="845"/>
    </row>
    <row r="168" spans="25:25">
      <c r="Y168" s="845"/>
    </row>
    <row r="169" spans="25:25">
      <c r="Y169" s="845"/>
    </row>
    <row r="170" spans="25:25">
      <c r="Y170" s="845"/>
    </row>
    <row r="171" spans="25:25">
      <c r="Y171" s="845"/>
    </row>
    <row r="172" spans="25:25">
      <c r="Y172" s="845"/>
    </row>
    <row r="173" spans="25:25">
      <c r="Y173" s="845"/>
    </row>
    <row r="174" spans="25:25">
      <c r="Y174" s="845"/>
    </row>
    <row r="175" spans="25:25">
      <c r="Y175" s="845"/>
    </row>
    <row r="176" spans="25:25">
      <c r="Y176" s="845"/>
    </row>
    <row r="177" spans="25:25">
      <c r="Y177" s="845"/>
    </row>
    <row r="178" spans="25:25">
      <c r="Y178" s="845"/>
    </row>
    <row r="179" spans="25:25">
      <c r="Y179" s="845"/>
    </row>
    <row r="180" spans="25:25">
      <c r="Y180" s="845"/>
    </row>
    <row r="181" spans="25:25">
      <c r="Y181" s="845"/>
    </row>
    <row r="182" spans="25:25">
      <c r="Y182" s="845"/>
    </row>
    <row r="183" spans="25:25">
      <c r="Y183" s="845"/>
    </row>
    <row r="184" spans="25:25">
      <c r="Y184" s="845"/>
    </row>
    <row r="185" spans="25:25">
      <c r="Y185" s="845"/>
    </row>
    <row r="186" spans="25:25">
      <c r="Y186" s="845"/>
    </row>
    <row r="187" spans="25:25">
      <c r="Y187" s="845"/>
    </row>
    <row r="188" spans="25:25">
      <c r="Y188" s="845"/>
    </row>
    <row r="189" spans="25:25">
      <c r="Y189" s="845"/>
    </row>
    <row r="190" spans="25:25">
      <c r="Y190" s="845">
        <f t="shared" ref="Y190:Y196" si="18">AZ113/V113</f>
        <v>1985.125</v>
      </c>
    </row>
    <row r="191" spans="25:25">
      <c r="Y191" s="845">
        <f t="shared" si="18"/>
        <v>8614.9375</v>
      </c>
    </row>
    <row r="192" spans="25:25">
      <c r="Y192" s="845">
        <f t="shared" si="18"/>
        <v>2807.121212121212</v>
      </c>
    </row>
    <row r="193" spans="25:25">
      <c r="Y193" s="845">
        <f t="shared" si="18"/>
        <v>3140</v>
      </c>
    </row>
    <row r="194" spans="25:25">
      <c r="Y194" s="845">
        <f t="shared" si="18"/>
        <v>15432.685039370079</v>
      </c>
    </row>
    <row r="195" spans="25:25">
      <c r="Y195" s="845">
        <f t="shared" si="18"/>
        <v>3335.5447154471544</v>
      </c>
    </row>
    <row r="196" spans="25:25">
      <c r="Y196" s="845">
        <f t="shared" si="18"/>
        <v>19878.066666666666</v>
      </c>
    </row>
  </sheetData>
  <autoFilter ref="C26:BT26">
    <sortState ref="C26:BT42">
      <sortCondition ref="H26:H42"/>
    </sortState>
  </autoFilter>
  <mergeCells count="1">
    <mergeCell ref="C24:G24"/>
  </mergeCells>
  <conditionalFormatting sqref="AW128:BS128 L123:Q124 L117:P122 L104:O116 AR29:BS38 L27:AO43 AQ40:BS127 AQ27:AQ39 L44:AN103 AQ147:AW147 BA147:BT147 AY147 L147:AO148 AQ148:BT148">
    <cfRule type="cellIs" dxfId="30" priority="36" operator="equal">
      <formula>0</formula>
    </cfRule>
  </conditionalFormatting>
  <conditionalFormatting sqref="AQ128:AV128 AQ129:AW134 BA129:BT134 V130:AO134 V129:AN129 AY129:AY135 L129:U134">
    <cfRule type="cellIs" dxfId="29" priority="35" operator="equal">
      <formula>0</formula>
    </cfRule>
  </conditionalFormatting>
  <conditionalFormatting sqref="L27:AO32">
    <cfRule type="cellIs" dxfId="28" priority="34" operator="equal">
      <formula>0</formula>
    </cfRule>
  </conditionalFormatting>
  <conditionalFormatting sqref="AQ40:BS43">
    <cfRule type="cellIs" dxfId="27" priority="33" operator="equal">
      <formula>0</formula>
    </cfRule>
  </conditionalFormatting>
  <conditionalFormatting sqref="L125:Q128">
    <cfRule type="cellIs" dxfId="26" priority="32" operator="equal">
      <formula>0</formula>
    </cfRule>
  </conditionalFormatting>
  <conditionalFormatting sqref="R104:AN128 Q104:Q122 P104:P116">
    <cfRule type="cellIs" dxfId="25" priority="30" operator="equal">
      <formula>0</formula>
    </cfRule>
  </conditionalFormatting>
  <conditionalFormatting sqref="BT105:BT128">
    <cfRule type="cellIs" dxfId="24" priority="31" operator="equal">
      <formula>0</formula>
    </cfRule>
  </conditionalFormatting>
  <conditionalFormatting sqref="AR35:BS39">
    <cfRule type="cellIs" dxfId="23" priority="29" operator="equal">
      <formula>0</formula>
    </cfRule>
  </conditionalFormatting>
  <conditionalFormatting sqref="AR39:BS39">
    <cfRule type="cellIs" dxfId="22" priority="28" operator="equal">
      <formula>0</formula>
    </cfRule>
  </conditionalFormatting>
  <conditionalFormatting sqref="AR27:BS28">
    <cfRule type="cellIs" dxfId="21" priority="27" operator="equal">
      <formula>0</formula>
    </cfRule>
  </conditionalFormatting>
  <conditionalFormatting sqref="AO40 AO43">
    <cfRule type="cellIs" dxfId="20" priority="26" operator="equal">
      <formula>0</formula>
    </cfRule>
  </conditionalFormatting>
  <conditionalFormatting sqref="AQ44">
    <cfRule type="cellIs" dxfId="19" priority="25" operator="equal">
      <formula>0</formula>
    </cfRule>
  </conditionalFormatting>
  <conditionalFormatting sqref="BT27:BT104">
    <cfRule type="cellIs" dxfId="18" priority="24" operator="equal">
      <formula>0</formula>
    </cfRule>
  </conditionalFormatting>
  <conditionalFormatting sqref="AQ31:AQ32">
    <cfRule type="cellIs" dxfId="17" priority="23" operator="equal">
      <formula>0</formula>
    </cfRule>
  </conditionalFormatting>
  <conditionalFormatting sqref="AO44:AO129">
    <cfRule type="cellIs" dxfId="16" priority="22" operator="equal">
      <formula>0</formula>
    </cfRule>
  </conditionalFormatting>
  <conditionalFormatting sqref="AO44:AO129">
    <cfRule type="cellIs" dxfId="15" priority="21" operator="equal">
      <formula>0</formula>
    </cfRule>
  </conditionalFormatting>
  <conditionalFormatting sqref="AX129:AX134">
    <cfRule type="cellIs" dxfId="14" priority="20" operator="equal">
      <formula>0</formula>
    </cfRule>
  </conditionalFormatting>
  <conditionalFormatting sqref="AZ129:AZ133">
    <cfRule type="cellIs" dxfId="13" priority="19" operator="equal">
      <formula>0</formula>
    </cfRule>
  </conditionalFormatting>
  <conditionalFormatting sqref="AW136:BS136 AQ135:AX135 AZ135:BS135">
    <cfRule type="cellIs" dxfId="12" priority="18" operator="equal">
      <formula>0</formula>
    </cfRule>
  </conditionalFormatting>
  <conditionalFormatting sqref="AQ136:AV136 BA137:BT142 AY137:AY142 V138:AO142 V137:AN137 AQ137:AW142 L137:U142">
    <cfRule type="cellIs" dxfId="11" priority="17" operator="equal">
      <formula>0</formula>
    </cfRule>
  </conditionalFormatting>
  <conditionalFormatting sqref="L135:Q136">
    <cfRule type="cellIs" dxfId="10" priority="16" operator="equal">
      <formula>0</formula>
    </cfRule>
  </conditionalFormatting>
  <conditionalFormatting sqref="R135:AN136">
    <cfRule type="cellIs" dxfId="9" priority="14" operator="equal">
      <formula>0</formula>
    </cfRule>
  </conditionalFormatting>
  <conditionalFormatting sqref="BT135:BT136">
    <cfRule type="cellIs" dxfId="8" priority="15" operator="equal">
      <formula>0</formula>
    </cfRule>
  </conditionalFormatting>
  <conditionalFormatting sqref="AO135:AO137">
    <cfRule type="cellIs" dxfId="7" priority="13" operator="equal">
      <formula>0</formula>
    </cfRule>
  </conditionalFormatting>
  <conditionalFormatting sqref="AO135:AO137">
    <cfRule type="cellIs" dxfId="6" priority="12" operator="equal">
      <formula>0</formula>
    </cfRule>
  </conditionalFormatting>
  <conditionalFormatting sqref="AX137:AX142">
    <cfRule type="cellIs" dxfId="5" priority="11" operator="equal">
      <formula>0</formula>
    </cfRule>
  </conditionalFormatting>
  <conditionalFormatting sqref="AZ137:AZ138">
    <cfRule type="cellIs" dxfId="4" priority="10" operator="equal">
      <formula>0</formula>
    </cfRule>
  </conditionalFormatting>
  <conditionalFormatting sqref="AZ134">
    <cfRule type="cellIs" dxfId="3" priority="7" operator="equal">
      <formula>0</formula>
    </cfRule>
  </conditionalFormatting>
  <conditionalFormatting sqref="AQ143:AW146 BA143:BT146 AY143:AY146 L143:AO146">
    <cfRule type="cellIs" dxfId="2" priority="6" operator="equal">
      <formula>0</formula>
    </cfRule>
  </conditionalFormatting>
  <conditionalFormatting sqref="AX143:AX147">
    <cfRule type="cellIs" dxfId="1" priority="5" operator="equal">
      <formula>0</formula>
    </cfRule>
  </conditionalFormatting>
  <conditionalFormatting sqref="AZ139:AZ147">
    <cfRule type="cellIs" dxfId="0" priority="4"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I149:I1048576</xm:sqref>
        </x14:dataValidation>
        <x14:dataValidation type="list" allowBlank="1" showInputMessage="1" showErrorMessage="1">
          <x14:formula1>
            <xm:f>DropDownList!$H$2:$H$3</xm:f>
          </x14:formula1>
          <xm:sqref>J149:J1048576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AM157"/>
  <sheetViews>
    <sheetView topLeftCell="A110" zoomScale="90" zoomScaleNormal="90" workbookViewId="0">
      <selection activeCell="W167" sqref="W167"/>
    </sheetView>
  </sheetViews>
  <sheetFormatPr defaultColWidth="9" defaultRowHeight="14.4"/>
  <cols>
    <col min="1" max="1" width="9" style="25"/>
    <col min="2" max="2" width="10" style="25" customWidth="1"/>
    <col min="3" max="3" width="11.44140625" style="25" customWidth="1"/>
    <col min="4" max="4" width="13.44140625" style="25" customWidth="1"/>
    <col min="5" max="6" width="12.88671875" style="25" customWidth="1"/>
    <col min="7" max="7" width="12" style="812" customWidth="1"/>
    <col min="8" max="8" width="9" style="25"/>
    <col min="9" max="9" width="24.5546875" style="25" hidden="1" customWidth="1"/>
    <col min="10" max="10" width="11" style="25" hidden="1" customWidth="1"/>
    <col min="11" max="11" width="0" style="25" hidden="1" customWidth="1"/>
    <col min="12" max="12" width="11.5546875" style="25" hidden="1" customWidth="1"/>
    <col min="13" max="13" width="0" style="25" hidden="1" customWidth="1"/>
    <col min="14" max="14" width="26" style="25" hidden="1" customWidth="1"/>
    <col min="15" max="15" width="10" style="25" hidden="1" customWidth="1"/>
    <col min="16" max="16" width="0" style="25" hidden="1" customWidth="1"/>
    <col min="17" max="17" width="12.44140625" style="25" hidden="1" customWidth="1"/>
    <col min="18" max="18" width="0" style="25" hidden="1" customWidth="1"/>
    <col min="19" max="19" width="9" style="25"/>
    <col min="20" max="20" width="18.5546875" style="25" customWidth="1"/>
    <col min="21" max="21" width="14.5546875" style="25" bestFit="1" customWidth="1"/>
    <col min="22" max="23" width="13.44140625" style="25" bestFit="1" customWidth="1"/>
    <col min="24" max="24" width="4.5546875" style="25" customWidth="1"/>
    <col min="25" max="25" width="4.44140625" style="25" customWidth="1"/>
    <col min="26" max="26" width="14" style="25" customWidth="1"/>
    <col min="27" max="28" width="9.88671875" style="25" bestFit="1" customWidth="1"/>
    <col min="29" max="29" width="11.109375" style="25" bestFit="1" customWidth="1"/>
    <col min="30" max="32" width="9.88671875" style="25" bestFit="1" customWidth="1"/>
    <col min="33" max="35" width="13.88671875" style="25" bestFit="1" customWidth="1"/>
    <col min="36" max="38" width="12.109375" style="25" bestFit="1" customWidth="1"/>
    <col min="39" max="39" width="13.88671875" style="25" bestFit="1" customWidth="1"/>
    <col min="40" max="16384" width="9" style="25"/>
  </cols>
  <sheetData>
    <row r="12" spans="1:18" ht="24" customHeight="1" thickBot="1"/>
    <row r="13" spans="1:18" s="22" customFormat="1" ht="23.4" customHeight="1" thickBot="1">
      <c r="A13" s="594"/>
      <c r="B13" s="594" t="s">
        <v>171</v>
      </c>
      <c r="D13" s="139" t="s">
        <v>175</v>
      </c>
      <c r="E13" s="740"/>
      <c r="F13" s="740"/>
      <c r="G13" s="813"/>
      <c r="H13" s="191"/>
      <c r="I13" s="192"/>
      <c r="L13" s="192"/>
      <c r="M13" s="190"/>
      <c r="N13" s="190"/>
      <c r="O13" s="190"/>
      <c r="P13" s="190"/>
      <c r="Q13" s="190"/>
      <c r="R13" s="193"/>
    </row>
    <row r="14" spans="1:18" s="22" customFormat="1" ht="15.75" customHeight="1">
      <c r="B14" s="557"/>
      <c r="D14" s="30"/>
      <c r="E14" s="30"/>
      <c r="F14" s="30"/>
      <c r="G14" s="813"/>
      <c r="H14" s="191"/>
      <c r="I14" s="192"/>
      <c r="L14" s="192"/>
      <c r="M14" s="190"/>
      <c r="N14" s="190"/>
      <c r="O14" s="190"/>
      <c r="P14" s="190"/>
      <c r="Q14" s="190"/>
      <c r="R14" s="193"/>
    </row>
    <row r="15" spans="1:18" ht="15.6">
      <c r="B15" s="594" t="s">
        <v>504</v>
      </c>
    </row>
    <row r="16" spans="1:18" ht="15.6">
      <c r="B16" s="594"/>
    </row>
    <row r="17" spans="2:28" s="673" customFormat="1" ht="20.399999999999999" customHeight="1">
      <c r="B17" s="671" t="s">
        <v>664</v>
      </c>
      <c r="C17" s="672"/>
      <c r="D17" s="672"/>
      <c r="E17" s="672"/>
      <c r="F17" s="672"/>
      <c r="G17" s="814"/>
      <c r="H17" s="672"/>
      <c r="I17" s="672"/>
      <c r="J17" s="672"/>
      <c r="K17" s="672"/>
      <c r="L17" s="672"/>
      <c r="M17" s="672"/>
      <c r="N17" s="672"/>
      <c r="O17" s="672"/>
      <c r="P17" s="672"/>
      <c r="Q17" s="672"/>
      <c r="R17" s="672"/>
      <c r="S17" s="672"/>
      <c r="T17" s="672"/>
      <c r="U17" s="672"/>
    </row>
    <row r="18" spans="2:28" ht="60" customHeight="1">
      <c r="B18" s="917" t="s">
        <v>704</v>
      </c>
      <c r="C18" s="917"/>
      <c r="D18" s="917"/>
      <c r="E18" s="917"/>
      <c r="F18" s="917"/>
      <c r="G18" s="917"/>
      <c r="H18" s="917"/>
      <c r="I18" s="917"/>
      <c r="J18" s="917"/>
      <c r="K18" s="917"/>
      <c r="L18" s="917"/>
      <c r="M18" s="917"/>
      <c r="N18" s="917"/>
      <c r="O18" s="917"/>
      <c r="P18" s="917"/>
      <c r="Q18" s="917"/>
      <c r="R18" s="917"/>
      <c r="S18" s="917"/>
      <c r="T18" s="917"/>
      <c r="U18" s="917"/>
    </row>
    <row r="20" spans="2:28" ht="21">
      <c r="B20" s="738" t="s">
        <v>701</v>
      </c>
    </row>
    <row r="22" spans="2:28" ht="21">
      <c r="B22" s="738" t="s">
        <v>702</v>
      </c>
      <c r="C22" s="739"/>
      <c r="E22" s="739"/>
      <c r="F22" s="739"/>
      <c r="G22" s="815"/>
      <c r="I22" s="738" t="s">
        <v>703</v>
      </c>
      <c r="AB22" s="853"/>
    </row>
    <row r="23" spans="2:28" ht="18.75" customHeight="1">
      <c r="B23" s="916" t="s">
        <v>680</v>
      </c>
      <c r="C23" s="916"/>
      <c r="D23" s="916"/>
      <c r="E23" s="916"/>
      <c r="F23" s="916"/>
      <c r="G23" s="916"/>
      <c r="I23" s="25" t="s">
        <v>688</v>
      </c>
      <c r="N23" s="25" t="s">
        <v>689</v>
      </c>
    </row>
    <row r="24" spans="2:28" ht="43.2">
      <c r="B24" s="749" t="s">
        <v>62</v>
      </c>
      <c r="C24" s="749" t="s">
        <v>681</v>
      </c>
      <c r="D24" s="749" t="s">
        <v>682</v>
      </c>
      <c r="E24" s="749" t="s">
        <v>684</v>
      </c>
      <c r="F24" s="749" t="s">
        <v>809</v>
      </c>
      <c r="G24" s="816" t="s">
        <v>683</v>
      </c>
      <c r="I24" s="749" t="s">
        <v>685</v>
      </c>
      <c r="J24" s="749" t="s">
        <v>686</v>
      </c>
      <c r="K24" s="749" t="s">
        <v>687</v>
      </c>
      <c r="L24" s="749" t="s">
        <v>681</v>
      </c>
      <c r="N24" s="749" t="s">
        <v>685</v>
      </c>
      <c r="O24" s="749" t="s">
        <v>686</v>
      </c>
      <c r="P24" s="749" t="s">
        <v>687</v>
      </c>
      <c r="Q24" s="749" t="s">
        <v>681</v>
      </c>
      <c r="T24" s="839"/>
      <c r="U24" s="839" t="s">
        <v>844</v>
      </c>
      <c r="V24" s="839" t="s">
        <v>839</v>
      </c>
    </row>
    <row r="25" spans="2:28" ht="15.6">
      <c r="B25" s="749"/>
      <c r="C25" s="749" t="s">
        <v>691</v>
      </c>
      <c r="D25" s="749" t="s">
        <v>692</v>
      </c>
      <c r="E25" s="749" t="s">
        <v>693</v>
      </c>
      <c r="F25" s="749" t="s">
        <v>695</v>
      </c>
      <c r="G25" s="816" t="s">
        <v>842</v>
      </c>
      <c r="I25" s="749"/>
      <c r="J25" s="749" t="s">
        <v>695</v>
      </c>
      <c r="K25" s="749" t="s">
        <v>696</v>
      </c>
      <c r="L25" s="749" t="s">
        <v>697</v>
      </c>
      <c r="N25" s="749"/>
      <c r="O25" s="749" t="s">
        <v>698</v>
      </c>
      <c r="P25" s="749" t="s">
        <v>699</v>
      </c>
      <c r="Q25" s="749" t="s">
        <v>700</v>
      </c>
      <c r="T25" s="839" t="s">
        <v>840</v>
      </c>
      <c r="U25" s="839" t="s">
        <v>843</v>
      </c>
      <c r="V25" s="839" t="s">
        <v>841</v>
      </c>
    </row>
    <row r="26" spans="2:28" ht="15.75" customHeight="1">
      <c r="B26" s="737">
        <v>42005</v>
      </c>
      <c r="C26" s="736"/>
      <c r="D26" s="743"/>
      <c r="E26" s="736"/>
      <c r="F26" s="736">
        <v>12</v>
      </c>
      <c r="G26" s="817">
        <f>D26*E26*F26</f>
        <v>0</v>
      </c>
      <c r="I26" s="736" t="s">
        <v>807</v>
      </c>
      <c r="J26" s="736"/>
      <c r="K26" s="736"/>
      <c r="L26" s="736"/>
      <c r="N26" s="736"/>
      <c r="O26" s="736"/>
      <c r="P26" s="736"/>
      <c r="Q26" s="736"/>
      <c r="T26" s="737">
        <f>B26</f>
        <v>42005</v>
      </c>
      <c r="U26" s="736">
        <f t="shared" ref="U26:U34" si="0">G26*V26</f>
        <v>0</v>
      </c>
      <c r="V26" s="846">
        <v>451.37994892445795</v>
      </c>
      <c r="X26" s="25" t="s">
        <v>849</v>
      </c>
    </row>
    <row r="27" spans="2:28" ht="15.75" customHeight="1">
      <c r="B27" s="737">
        <v>42036</v>
      </c>
      <c r="C27" s="736"/>
      <c r="D27" s="746">
        <f>C27-C26</f>
        <v>0</v>
      </c>
      <c r="E27" s="736"/>
      <c r="F27" s="736">
        <v>11</v>
      </c>
      <c r="G27" s="817">
        <f t="shared" ref="G27:G36" si="1">D27*E27*F27</f>
        <v>0</v>
      </c>
      <c r="I27" s="736"/>
      <c r="J27" s="736"/>
      <c r="K27" s="736"/>
      <c r="L27" s="736"/>
      <c r="N27" s="736"/>
      <c r="O27" s="736"/>
      <c r="P27" s="736"/>
      <c r="Q27" s="736"/>
      <c r="T27" s="737">
        <f t="shared" ref="T27:T37" si="2">B27</f>
        <v>42036</v>
      </c>
      <c r="U27" s="736">
        <f t="shared" si="0"/>
        <v>0</v>
      </c>
      <c r="V27" s="846">
        <v>389.01886907236951</v>
      </c>
      <c r="Y27" s="25" t="s">
        <v>850</v>
      </c>
    </row>
    <row r="28" spans="2:28" ht="15.75" customHeight="1">
      <c r="B28" s="737">
        <v>42064</v>
      </c>
      <c r="C28" s="736"/>
      <c r="D28" s="746">
        <f t="shared" ref="D28:D37" si="3">C28-C27</f>
        <v>0</v>
      </c>
      <c r="E28" s="736"/>
      <c r="F28" s="736">
        <v>10</v>
      </c>
      <c r="G28" s="817">
        <f t="shared" si="1"/>
        <v>0</v>
      </c>
      <c r="I28" s="736"/>
      <c r="J28" s="736"/>
      <c r="K28" s="736"/>
      <c r="L28" s="736"/>
      <c r="N28" s="736"/>
      <c r="O28" s="736"/>
      <c r="P28" s="736"/>
      <c r="Q28" s="736"/>
      <c r="T28" s="737">
        <f t="shared" si="2"/>
        <v>42064</v>
      </c>
      <c r="U28" s="736">
        <f t="shared" si="0"/>
        <v>0</v>
      </c>
      <c r="V28" s="846">
        <v>372.2876474295274</v>
      </c>
      <c r="Z28" s="25" t="s">
        <v>851</v>
      </c>
    </row>
    <row r="29" spans="2:28" ht="15.75" customHeight="1">
      <c r="B29" s="737">
        <v>42095</v>
      </c>
      <c r="C29" s="736"/>
      <c r="D29" s="746">
        <f t="shared" si="3"/>
        <v>0</v>
      </c>
      <c r="E29" s="736"/>
      <c r="F29" s="736">
        <v>9</v>
      </c>
      <c r="G29" s="817">
        <f t="shared" si="1"/>
        <v>0</v>
      </c>
      <c r="I29" s="736"/>
      <c r="J29" s="736"/>
      <c r="K29" s="736"/>
      <c r="L29" s="736"/>
      <c r="N29" s="736"/>
      <c r="O29" s="736"/>
      <c r="P29" s="736"/>
      <c r="Q29" s="736"/>
      <c r="T29" s="737">
        <f t="shared" si="2"/>
        <v>42095</v>
      </c>
      <c r="U29" s="736">
        <f t="shared" si="0"/>
        <v>0</v>
      </c>
      <c r="V29" s="846">
        <v>316.61877213705907</v>
      </c>
      <c r="Y29" s="25" t="s">
        <v>852</v>
      </c>
    </row>
    <row r="30" spans="2:28" ht="15.75" customHeight="1">
      <c r="B30" s="737">
        <v>42125</v>
      </c>
      <c r="C30" s="736"/>
      <c r="D30" s="746">
        <f t="shared" si="3"/>
        <v>0</v>
      </c>
      <c r="E30" s="736"/>
      <c r="F30" s="736">
        <v>8</v>
      </c>
      <c r="G30" s="817">
        <f t="shared" si="1"/>
        <v>0</v>
      </c>
      <c r="I30" s="736"/>
      <c r="J30" s="736"/>
      <c r="K30" s="736"/>
      <c r="L30" s="736"/>
      <c r="N30" s="736"/>
      <c r="O30" s="736"/>
      <c r="P30" s="736"/>
      <c r="Q30" s="736"/>
      <c r="T30" s="737">
        <f t="shared" si="2"/>
        <v>42125</v>
      </c>
      <c r="U30" s="736">
        <f t="shared" si="0"/>
        <v>0</v>
      </c>
      <c r="V30" s="846">
        <v>287.61735052653427</v>
      </c>
    </row>
    <row r="31" spans="2:28" ht="15.75" customHeight="1">
      <c r="B31" s="737">
        <v>42156</v>
      </c>
      <c r="C31" s="736"/>
      <c r="D31" s="746">
        <f t="shared" si="3"/>
        <v>0</v>
      </c>
      <c r="E31" s="736"/>
      <c r="F31" s="736">
        <v>7</v>
      </c>
      <c r="G31" s="817">
        <f t="shared" si="1"/>
        <v>0</v>
      </c>
      <c r="I31" s="736"/>
      <c r="J31" s="736"/>
      <c r="K31" s="736"/>
      <c r="L31" s="736"/>
      <c r="N31" s="736"/>
      <c r="O31" s="736"/>
      <c r="P31" s="736"/>
      <c r="Q31" s="736"/>
      <c r="T31" s="737">
        <f t="shared" si="2"/>
        <v>42156</v>
      </c>
      <c r="U31" s="736">
        <f t="shared" si="0"/>
        <v>0</v>
      </c>
      <c r="V31" s="846">
        <v>259.86747980357978</v>
      </c>
    </row>
    <row r="32" spans="2:28" ht="15.75" customHeight="1">
      <c r="B32" s="737">
        <v>42186</v>
      </c>
      <c r="C32" s="736"/>
      <c r="D32" s="746">
        <f t="shared" si="3"/>
        <v>0</v>
      </c>
      <c r="E32" s="736"/>
      <c r="F32" s="736">
        <v>6</v>
      </c>
      <c r="G32" s="817">
        <f t="shared" si="1"/>
        <v>0</v>
      </c>
      <c r="I32" s="736"/>
      <c r="J32" s="736"/>
      <c r="K32" s="736"/>
      <c r="L32" s="736"/>
      <c r="N32" s="736"/>
      <c r="O32" s="736"/>
      <c r="P32" s="736"/>
      <c r="Q32" s="736"/>
      <c r="T32" s="737">
        <f t="shared" si="2"/>
        <v>42186</v>
      </c>
      <c r="U32" s="736">
        <f t="shared" si="0"/>
        <v>0</v>
      </c>
      <c r="V32" s="846">
        <v>278.72974823283761</v>
      </c>
    </row>
    <row r="33" spans="2:39" ht="15.75" customHeight="1">
      <c r="B33" s="737">
        <v>42217</v>
      </c>
      <c r="C33" s="736"/>
      <c r="D33" s="746">
        <f t="shared" si="3"/>
        <v>0</v>
      </c>
      <c r="E33" s="736"/>
      <c r="F33" s="736">
        <v>5</v>
      </c>
      <c r="G33" s="817">
        <f t="shared" si="1"/>
        <v>0</v>
      </c>
      <c r="I33" s="736"/>
      <c r="J33" s="736"/>
      <c r="K33" s="736"/>
      <c r="L33" s="736"/>
      <c r="N33" s="736"/>
      <c r="O33" s="736"/>
      <c r="P33" s="736"/>
      <c r="Q33" s="736"/>
      <c r="T33" s="737">
        <f t="shared" si="2"/>
        <v>42217</v>
      </c>
      <c r="U33" s="736">
        <f t="shared" si="0"/>
        <v>0</v>
      </c>
      <c r="V33" s="846">
        <v>314.85348450251263</v>
      </c>
    </row>
    <row r="34" spans="2:39" ht="15.75" customHeight="1">
      <c r="B34" s="737">
        <v>42248</v>
      </c>
      <c r="C34" s="736">
        <f>'Streetlight Details'!C110</f>
        <v>654.37599999999998</v>
      </c>
      <c r="D34" s="746"/>
      <c r="E34" s="810">
        <v>0.85199999999999998</v>
      </c>
      <c r="F34" s="736">
        <v>4</v>
      </c>
      <c r="G34" s="817">
        <f t="shared" si="1"/>
        <v>0</v>
      </c>
      <c r="I34" s="736"/>
      <c r="J34" s="736"/>
      <c r="K34" s="736"/>
      <c r="L34" s="736"/>
      <c r="N34" s="736"/>
      <c r="O34" s="736"/>
      <c r="P34" s="736"/>
      <c r="Q34" s="736"/>
      <c r="T34" s="737">
        <f t="shared" si="2"/>
        <v>42248</v>
      </c>
      <c r="U34" s="736">
        <f t="shared" si="0"/>
        <v>0</v>
      </c>
      <c r="V34" s="846">
        <v>344.56557016802452</v>
      </c>
    </row>
    <row r="35" spans="2:39" ht="15.75" customHeight="1">
      <c r="B35" s="737">
        <v>42278</v>
      </c>
      <c r="C35" s="736">
        <f>'Streetlight Details'!C108</f>
        <v>650.34400000000005</v>
      </c>
      <c r="D35" s="746">
        <f>C35-C34</f>
        <v>-4.0319999999999254</v>
      </c>
      <c r="E35" s="810">
        <v>0.85199999999999998</v>
      </c>
      <c r="F35" s="736">
        <v>3</v>
      </c>
      <c r="G35" s="817">
        <f>D35*E35*F35</f>
        <v>-10.30579199999981</v>
      </c>
      <c r="I35" s="736"/>
      <c r="J35" s="736"/>
      <c r="K35" s="736"/>
      <c r="L35" s="736"/>
      <c r="N35" s="736"/>
      <c r="O35" s="736"/>
      <c r="P35" s="736"/>
      <c r="Q35" s="736"/>
      <c r="T35" s="737">
        <f t="shared" si="2"/>
        <v>42278</v>
      </c>
      <c r="U35" s="847">
        <f>G35*V35-D35*V35*E35/2</f>
        <v>-3485.8526727637204</v>
      </c>
      <c r="V35" s="846">
        <v>405.89051354001145</v>
      </c>
      <c r="AA35" s="853"/>
      <c r="AB35" s="853"/>
      <c r="AC35" s="853"/>
      <c r="AD35" s="853"/>
      <c r="AE35" s="853"/>
      <c r="AF35" s="853"/>
      <c r="AG35" s="853"/>
      <c r="AH35" s="853"/>
      <c r="AI35" s="853"/>
      <c r="AJ35" s="853"/>
      <c r="AK35" s="853"/>
      <c r="AL35" s="853"/>
    </row>
    <row r="36" spans="2:39" ht="15.75" customHeight="1">
      <c r="B36" s="737">
        <v>42309</v>
      </c>
      <c r="C36" s="736">
        <f>'Streetlight Details'!C106</f>
        <v>623.44900000000007</v>
      </c>
      <c r="D36" s="746">
        <f t="shared" si="3"/>
        <v>-26.894999999999982</v>
      </c>
      <c r="E36" s="810">
        <v>0.85199999999999998</v>
      </c>
      <c r="F36" s="736">
        <v>2</v>
      </c>
      <c r="G36" s="817">
        <f t="shared" si="1"/>
        <v>-45.829079999999969</v>
      </c>
      <c r="I36" s="736"/>
      <c r="J36" s="736"/>
      <c r="K36" s="736"/>
      <c r="L36" s="736"/>
      <c r="N36" s="736"/>
      <c r="O36" s="736"/>
      <c r="P36" s="736"/>
      <c r="Q36" s="736"/>
      <c r="T36" s="737">
        <f t="shared" si="2"/>
        <v>42309</v>
      </c>
      <c r="U36" s="847">
        <f t="shared" ref="U36:U37" si="4">G36*V36-D36*V36*E36/2</f>
        <v>-14717.149369088871</v>
      </c>
      <c r="V36" s="846">
        <v>428.17498901247507</v>
      </c>
      <c r="AA36" s="853"/>
      <c r="AB36" s="853"/>
      <c r="AC36" s="853"/>
      <c r="AD36" s="853"/>
      <c r="AE36" s="853"/>
      <c r="AF36" s="853"/>
      <c r="AG36" s="853"/>
      <c r="AH36" s="853"/>
      <c r="AI36" s="853"/>
      <c r="AJ36" s="853"/>
      <c r="AK36" s="853"/>
      <c r="AL36" s="853"/>
    </row>
    <row r="37" spans="2:39" ht="15.75" customHeight="1">
      <c r="B37" s="737">
        <v>42339</v>
      </c>
      <c r="C37" s="736">
        <f>'Streetlight Details'!C104</f>
        <v>617.23299999999995</v>
      </c>
      <c r="D37" s="746">
        <f t="shared" si="3"/>
        <v>-6.2160000000001219</v>
      </c>
      <c r="E37" s="810">
        <v>0.85199999999999998</v>
      </c>
      <c r="F37" s="736">
        <v>1</v>
      </c>
      <c r="G37" s="817">
        <f>D37*E37*F37</f>
        <v>-5.2960320000001033</v>
      </c>
      <c r="I37" s="736"/>
      <c r="J37" s="736"/>
      <c r="K37" s="736"/>
      <c r="L37" s="736"/>
      <c r="N37" s="736"/>
      <c r="O37" s="736"/>
      <c r="P37" s="736"/>
      <c r="Q37" s="736"/>
      <c r="T37" s="737">
        <f t="shared" si="2"/>
        <v>42339</v>
      </c>
      <c r="U37" s="847">
        <f t="shared" si="4"/>
        <v>-1236.4562390956801</v>
      </c>
      <c r="V37" s="846">
        <v>466.93684596152588</v>
      </c>
      <c r="AA37" s="853"/>
      <c r="AB37" s="853"/>
      <c r="AC37" s="853"/>
      <c r="AD37" s="853"/>
      <c r="AE37" s="853"/>
      <c r="AF37" s="853"/>
      <c r="AG37" s="853"/>
      <c r="AH37" s="853"/>
      <c r="AI37" s="853"/>
      <c r="AJ37" s="853"/>
      <c r="AK37" s="853"/>
      <c r="AL37" s="853"/>
    </row>
    <row r="38" spans="2:39" ht="16.350000000000001" customHeight="1">
      <c r="B38" s="747" t="s">
        <v>26</v>
      </c>
      <c r="C38" s="748"/>
      <c r="D38" s="748"/>
      <c r="E38" s="748"/>
      <c r="F38" s="748"/>
      <c r="G38" s="818">
        <f>SUM(G26:G37)</f>
        <v>-61.430903999999884</v>
      </c>
      <c r="I38" s="736"/>
      <c r="J38" s="736"/>
      <c r="K38" s="736"/>
      <c r="L38" s="736"/>
      <c r="N38" s="736"/>
      <c r="O38" s="736"/>
      <c r="P38" s="736"/>
      <c r="Q38" s="736"/>
      <c r="T38" s="747" t="s">
        <v>26</v>
      </c>
      <c r="U38" s="848">
        <f>SUM(U26:U37)</f>
        <v>-19439.458280948274</v>
      </c>
      <c r="V38" s="849">
        <f>SUM(V26:V37)</f>
        <v>4315.9412193109156</v>
      </c>
    </row>
    <row r="39" spans="2:39">
      <c r="B39" s="737" t="s">
        <v>797</v>
      </c>
      <c r="C39" s="736"/>
      <c r="D39" s="736"/>
      <c r="E39" s="736"/>
      <c r="F39" s="736"/>
      <c r="G39" s="817">
        <f>SUM(D26:D37)*-12*$E$37</f>
        <v>379.75003200000026</v>
      </c>
      <c r="I39" s="736"/>
      <c r="J39" s="736"/>
      <c r="K39" s="736"/>
      <c r="L39" s="736"/>
      <c r="N39" s="736"/>
      <c r="O39" s="736"/>
      <c r="P39" s="736"/>
      <c r="Q39" s="736"/>
      <c r="T39" s="737" t="str">
        <f>B39</f>
        <v>Persistence in 2016</v>
      </c>
      <c r="U39" s="847">
        <f>G39*V38/12</f>
        <v>136581.56801195335</v>
      </c>
      <c r="V39" s="736"/>
    </row>
    <row r="40" spans="2:39">
      <c r="B40" s="737" t="s">
        <v>798</v>
      </c>
      <c r="C40" s="736"/>
      <c r="D40" s="736"/>
      <c r="E40" s="736"/>
      <c r="F40" s="736"/>
      <c r="G40" s="817">
        <f>G39</f>
        <v>379.75003200000026</v>
      </c>
      <c r="I40" s="736"/>
      <c r="J40" s="736"/>
      <c r="K40" s="736"/>
      <c r="L40" s="736"/>
      <c r="N40" s="736"/>
      <c r="O40" s="736"/>
      <c r="P40" s="736"/>
      <c r="Q40" s="736"/>
      <c r="T40" s="737" t="str">
        <f t="shared" ref="T40:T43" si="5">B40</f>
        <v>Persistence in 2017</v>
      </c>
      <c r="U40" s="847">
        <f>G40*V38/12</f>
        <v>136581.56801195335</v>
      </c>
      <c r="V40" s="736"/>
      <c r="AG40" s="845"/>
      <c r="AH40" s="845"/>
      <c r="AI40" s="845"/>
      <c r="AJ40" s="845"/>
      <c r="AK40" s="845"/>
      <c r="AL40" s="845"/>
      <c r="AM40" s="857"/>
    </row>
    <row r="41" spans="2:39">
      <c r="B41" s="737" t="s">
        <v>799</v>
      </c>
      <c r="C41" s="736"/>
      <c r="D41" s="736"/>
      <c r="E41" s="736"/>
      <c r="F41" s="736"/>
      <c r="G41" s="817">
        <f>G40</f>
        <v>379.75003200000026</v>
      </c>
      <c r="I41" s="736"/>
      <c r="J41" s="736"/>
      <c r="K41" s="736"/>
      <c r="L41" s="736"/>
      <c r="N41" s="736"/>
      <c r="O41" s="736"/>
      <c r="P41" s="736"/>
      <c r="Q41" s="736"/>
      <c r="T41" s="737" t="str">
        <f t="shared" si="5"/>
        <v>Persistence in 2018</v>
      </c>
      <c r="U41" s="847">
        <f>G41*V38/12</f>
        <v>136581.56801195335</v>
      </c>
      <c r="V41" s="736"/>
      <c r="AF41" s="845"/>
      <c r="AG41" s="845"/>
      <c r="AH41" s="845"/>
      <c r="AI41" s="845"/>
      <c r="AJ41" s="845"/>
      <c r="AK41" s="845"/>
      <c r="AL41" s="845"/>
    </row>
    <row r="42" spans="2:39">
      <c r="B42" s="737" t="s">
        <v>800</v>
      </c>
      <c r="C42" s="736"/>
      <c r="D42" s="736"/>
      <c r="E42" s="736"/>
      <c r="F42" s="736"/>
      <c r="G42" s="817">
        <f>G41</f>
        <v>379.75003200000026</v>
      </c>
      <c r="I42" s="736"/>
      <c r="J42" s="736"/>
      <c r="K42" s="736"/>
      <c r="L42" s="736"/>
      <c r="N42" s="736"/>
      <c r="O42" s="736"/>
      <c r="P42" s="736"/>
      <c r="Q42" s="736"/>
      <c r="T42" s="737" t="str">
        <f t="shared" si="5"/>
        <v>Persistence in 2019</v>
      </c>
      <c r="U42" s="847">
        <f>G42*V38/12</f>
        <v>136581.56801195335</v>
      </c>
      <c r="V42" s="736"/>
    </row>
    <row r="43" spans="2:39">
      <c r="B43" s="737" t="s">
        <v>801</v>
      </c>
      <c r="C43" s="736"/>
      <c r="D43" s="736"/>
      <c r="E43" s="736"/>
      <c r="F43" s="736"/>
      <c r="G43" s="817">
        <f>G42</f>
        <v>379.75003200000026</v>
      </c>
      <c r="I43" s="736"/>
      <c r="J43" s="736"/>
      <c r="K43" s="736"/>
      <c r="L43" s="736"/>
      <c r="N43" s="736"/>
      <c r="O43" s="736"/>
      <c r="P43" s="736"/>
      <c r="Q43" s="736"/>
      <c r="T43" s="737" t="str">
        <f t="shared" si="5"/>
        <v>Persistence in 2020</v>
      </c>
      <c r="U43" s="847">
        <f>G43*V38/12</f>
        <v>136581.56801195335</v>
      </c>
      <c r="V43" s="736"/>
    </row>
    <row r="44" spans="2:39">
      <c r="I44" s="747" t="s">
        <v>26</v>
      </c>
      <c r="J44" s="748"/>
      <c r="K44" s="744">
        <f>SUM(K26:K43)</f>
        <v>0</v>
      </c>
      <c r="L44" s="744">
        <f>SUM(L26:L43)</f>
        <v>0</v>
      </c>
      <c r="N44" s="747" t="s">
        <v>26</v>
      </c>
      <c r="O44" s="748"/>
      <c r="P44" s="745">
        <f>SUM(P26:P43)</f>
        <v>0</v>
      </c>
      <c r="Q44" s="745">
        <f>SUM(Q26:Q43)</f>
        <v>0</v>
      </c>
      <c r="T44" s="747"/>
      <c r="U44" s="748"/>
      <c r="V44" s="745"/>
    </row>
    <row r="45" spans="2:39">
      <c r="AC45" s="857"/>
    </row>
    <row r="46" spans="2:39" ht="21">
      <c r="B46" s="738" t="s">
        <v>702</v>
      </c>
      <c r="C46" s="739"/>
      <c r="E46" s="739"/>
      <c r="F46" s="739"/>
      <c r="G46" s="815"/>
      <c r="I46" s="738" t="s">
        <v>703</v>
      </c>
    </row>
    <row r="47" spans="2:39" ht="18.75" customHeight="1">
      <c r="B47" s="916" t="s">
        <v>680</v>
      </c>
      <c r="C47" s="916"/>
      <c r="D47" s="916"/>
      <c r="E47" s="916"/>
      <c r="F47" s="916"/>
      <c r="G47" s="916"/>
      <c r="I47" s="25" t="s">
        <v>688</v>
      </c>
      <c r="N47" s="25" t="s">
        <v>689</v>
      </c>
    </row>
    <row r="48" spans="2:39" ht="43.2">
      <c r="B48" s="735" t="s">
        <v>62</v>
      </c>
      <c r="C48" s="735" t="s">
        <v>681</v>
      </c>
      <c r="D48" s="735" t="s">
        <v>682</v>
      </c>
      <c r="E48" s="735" t="s">
        <v>684</v>
      </c>
      <c r="F48" s="749"/>
      <c r="G48" s="816" t="s">
        <v>683</v>
      </c>
      <c r="I48" s="735" t="s">
        <v>685</v>
      </c>
      <c r="J48" s="735" t="s">
        <v>686</v>
      </c>
      <c r="K48" s="735" t="s">
        <v>687</v>
      </c>
      <c r="L48" s="735" t="s">
        <v>681</v>
      </c>
      <c r="N48" s="735" t="s">
        <v>685</v>
      </c>
      <c r="O48" s="735" t="s">
        <v>686</v>
      </c>
      <c r="P48" s="735" t="s">
        <v>687</v>
      </c>
      <c r="Q48" s="735" t="s">
        <v>681</v>
      </c>
      <c r="T48" s="839"/>
      <c r="U48" s="839" t="s">
        <v>844</v>
      </c>
      <c r="V48" s="839" t="s">
        <v>839</v>
      </c>
    </row>
    <row r="49" spans="2:22" ht="15.6">
      <c r="B49" s="742"/>
      <c r="C49" s="742" t="s">
        <v>691</v>
      </c>
      <c r="D49" s="742" t="s">
        <v>692</v>
      </c>
      <c r="E49" s="742" t="s">
        <v>693</v>
      </c>
      <c r="F49" s="749"/>
      <c r="G49" s="816" t="s">
        <v>694</v>
      </c>
      <c r="I49" s="742"/>
      <c r="J49" s="742" t="s">
        <v>695</v>
      </c>
      <c r="K49" s="742" t="s">
        <v>696</v>
      </c>
      <c r="L49" s="742" t="s">
        <v>697</v>
      </c>
      <c r="N49" s="742"/>
      <c r="O49" s="742" t="s">
        <v>698</v>
      </c>
      <c r="P49" s="742" t="s">
        <v>699</v>
      </c>
      <c r="Q49" s="742" t="s">
        <v>700</v>
      </c>
      <c r="T49" s="839" t="s">
        <v>840</v>
      </c>
      <c r="U49" s="839" t="s">
        <v>843</v>
      </c>
      <c r="V49" s="839" t="s">
        <v>841</v>
      </c>
    </row>
    <row r="50" spans="2:22" ht="15.75" customHeight="1">
      <c r="B50" s="737">
        <v>42370</v>
      </c>
      <c r="C50" s="736">
        <f>'Streetlight Details'!C102</f>
        <v>584.83299999999997</v>
      </c>
      <c r="D50" s="809">
        <f>C50-C37</f>
        <v>-32.399999999999977</v>
      </c>
      <c r="E50" s="810">
        <v>0.85199999999999998</v>
      </c>
      <c r="F50" s="736">
        <v>12</v>
      </c>
      <c r="G50" s="817">
        <f>D50*E50*F50</f>
        <v>-331.25759999999974</v>
      </c>
      <c r="I50" s="736"/>
      <c r="J50" s="736"/>
      <c r="K50" s="736"/>
      <c r="L50" s="736">
        <f>J50*K50</f>
        <v>0</v>
      </c>
      <c r="N50" s="736"/>
      <c r="O50" s="736"/>
      <c r="P50" s="736"/>
      <c r="Q50" s="736">
        <f>O50*P50</f>
        <v>0</v>
      </c>
      <c r="T50" s="737">
        <f>B50</f>
        <v>42370</v>
      </c>
      <c r="U50" s="847">
        <f>G50*V50-D50*V50*E50/2</f>
        <v>-143292.91196180347</v>
      </c>
      <c r="V50" s="846">
        <v>451.37994892445795</v>
      </c>
    </row>
    <row r="51" spans="2:22" ht="15.75" customHeight="1">
      <c r="B51" s="737">
        <v>42401</v>
      </c>
      <c r="C51" s="736">
        <f>'Streetlight Details'!C100</f>
        <v>546.34899999999993</v>
      </c>
      <c r="D51" s="746">
        <f>C51-C50</f>
        <v>-38.484000000000037</v>
      </c>
      <c r="E51" s="810">
        <v>0.85199999999999998</v>
      </c>
      <c r="F51" s="736">
        <v>11</v>
      </c>
      <c r="G51" s="817">
        <f t="shared" ref="G51:G61" si="6">D51*E51*F51</f>
        <v>-360.67204800000036</v>
      </c>
      <c r="I51" s="736"/>
      <c r="J51" s="736"/>
      <c r="K51" s="736"/>
      <c r="L51" s="736"/>
      <c r="N51" s="736"/>
      <c r="O51" s="736"/>
      <c r="P51" s="736"/>
      <c r="Q51" s="736"/>
      <c r="T51" s="737">
        <f t="shared" ref="T51:T61" si="7">B51</f>
        <v>42401</v>
      </c>
      <c r="U51" s="847">
        <f t="shared" ref="U51:U61" si="8">G51*V51-D51*V51*E51/2</f>
        <v>-133930.58529993118</v>
      </c>
      <c r="V51" s="846">
        <v>389.01886907236951</v>
      </c>
    </row>
    <row r="52" spans="2:22" ht="15.75" customHeight="1">
      <c r="B52" s="737">
        <v>42430</v>
      </c>
      <c r="C52" s="736">
        <f>'Streetlight Details'!C98</f>
        <v>529.78499999999997</v>
      </c>
      <c r="D52" s="746">
        <f t="shared" ref="D52:D61" si="9">C52-C51</f>
        <v>-16.563999999999965</v>
      </c>
      <c r="E52" s="810">
        <v>0.85199999999999998</v>
      </c>
      <c r="F52" s="736">
        <v>10</v>
      </c>
      <c r="G52" s="817">
        <f>D52*E52*F52</f>
        <v>-141.12527999999969</v>
      </c>
      <c r="I52" s="736"/>
      <c r="J52" s="736"/>
      <c r="K52" s="736"/>
      <c r="L52" s="736"/>
      <c r="N52" s="736"/>
      <c r="O52" s="736"/>
      <c r="P52" s="736"/>
      <c r="Q52" s="736"/>
      <c r="T52" s="737">
        <f t="shared" si="7"/>
        <v>42430</v>
      </c>
      <c r="U52" s="847">
        <f t="shared" si="8"/>
        <v>-49912.23855983156</v>
      </c>
      <c r="V52" s="846">
        <v>372.2876474295274</v>
      </c>
    </row>
    <row r="53" spans="2:22" ht="15.75" customHeight="1">
      <c r="B53" s="737">
        <v>42461</v>
      </c>
      <c r="C53" s="736">
        <f>'Streetlight Details'!C96</f>
        <v>498.66699999999997</v>
      </c>
      <c r="D53" s="746">
        <f t="shared" si="9"/>
        <v>-31.117999999999995</v>
      </c>
      <c r="E53" s="810">
        <v>0.85199999999999998</v>
      </c>
      <c r="F53" s="736">
        <v>9</v>
      </c>
      <c r="G53" s="817">
        <f t="shared" si="6"/>
        <v>-238.61282399999993</v>
      </c>
      <c r="I53" s="736"/>
      <c r="J53" s="736"/>
      <c r="K53" s="736"/>
      <c r="L53" s="736"/>
      <c r="N53" s="736"/>
      <c r="O53" s="736"/>
      <c r="P53" s="736"/>
      <c r="Q53" s="736"/>
      <c r="T53" s="737">
        <f t="shared" si="7"/>
        <v>42461</v>
      </c>
      <c r="U53" s="847">
        <f t="shared" si="8"/>
        <v>-71352.11605375637</v>
      </c>
      <c r="V53" s="846">
        <v>316.61877213705907</v>
      </c>
    </row>
    <row r="54" spans="2:22" ht="15.75" customHeight="1">
      <c r="B54" s="737">
        <v>42491</v>
      </c>
      <c r="C54" s="736">
        <f>'Streetlight Details'!C94</f>
        <v>476.95500000000004</v>
      </c>
      <c r="D54" s="746">
        <f t="shared" si="9"/>
        <v>-21.711999999999932</v>
      </c>
      <c r="E54" s="810">
        <v>0.85199999999999998</v>
      </c>
      <c r="F54" s="736">
        <v>8</v>
      </c>
      <c r="G54" s="817">
        <f t="shared" si="6"/>
        <v>-147.98899199999954</v>
      </c>
      <c r="I54" s="736"/>
      <c r="J54" s="736"/>
      <c r="K54" s="736"/>
      <c r="L54" s="736"/>
      <c r="N54" s="736"/>
      <c r="O54" s="736"/>
      <c r="P54" s="736"/>
      <c r="Q54" s="736"/>
      <c r="T54" s="737">
        <f t="shared" si="7"/>
        <v>42491</v>
      </c>
      <c r="U54" s="847">
        <f t="shared" si="8"/>
        <v>-39903.939174499072</v>
      </c>
      <c r="V54" s="846">
        <v>287.61735052653427</v>
      </c>
    </row>
    <row r="55" spans="2:22" ht="15.75" customHeight="1">
      <c r="B55" s="737">
        <v>42522</v>
      </c>
      <c r="C55" s="736">
        <f>'Streetlight Details'!C92</f>
        <v>440.06</v>
      </c>
      <c r="D55" s="746">
        <f t="shared" si="9"/>
        <v>-36.895000000000039</v>
      </c>
      <c r="E55" s="810">
        <v>0.85199999999999998</v>
      </c>
      <c r="F55" s="736">
        <v>7</v>
      </c>
      <c r="G55" s="817">
        <f t="shared" si="6"/>
        <v>-220.04178000000024</v>
      </c>
      <c r="I55" s="736"/>
      <c r="J55" s="736"/>
      <c r="K55" s="736"/>
      <c r="L55" s="736"/>
      <c r="N55" s="736"/>
      <c r="O55" s="736"/>
      <c r="P55" s="736"/>
      <c r="Q55" s="736"/>
      <c r="T55" s="737">
        <f t="shared" si="7"/>
        <v>42522</v>
      </c>
      <c r="U55" s="847">
        <f t="shared" si="8"/>
        <v>-53097.295475801395</v>
      </c>
      <c r="V55" s="846">
        <v>259.86747980357978</v>
      </c>
    </row>
    <row r="56" spans="2:22" ht="15.75" customHeight="1">
      <c r="B56" s="737">
        <v>42552</v>
      </c>
      <c r="C56" s="736">
        <f>'Streetlight Details'!C90</f>
        <v>409.86400000000003</v>
      </c>
      <c r="D56" s="746">
        <f t="shared" si="9"/>
        <v>-30.19599999999997</v>
      </c>
      <c r="E56" s="810">
        <v>0.85199999999999998</v>
      </c>
      <c r="F56" s="736">
        <v>6</v>
      </c>
      <c r="G56" s="817">
        <f t="shared" si="6"/>
        <v>-154.36195199999986</v>
      </c>
      <c r="I56" s="736"/>
      <c r="J56" s="736"/>
      <c r="K56" s="736"/>
      <c r="L56" s="736"/>
      <c r="N56" s="736"/>
      <c r="O56" s="736"/>
      <c r="P56" s="736"/>
      <c r="Q56" s="736"/>
      <c r="T56" s="737">
        <f t="shared" si="7"/>
        <v>42552</v>
      </c>
      <c r="U56" s="847">
        <f t="shared" si="8"/>
        <v>-39439.829016215219</v>
      </c>
      <c r="V56" s="846">
        <v>278.72974823283761</v>
      </c>
    </row>
    <row r="57" spans="2:22" ht="15.75" customHeight="1">
      <c r="B57" s="737">
        <v>42583</v>
      </c>
      <c r="C57" s="736">
        <f>'Streetlight Details'!C88</f>
        <v>338.11799999999999</v>
      </c>
      <c r="D57" s="746">
        <f t="shared" si="9"/>
        <v>-71.746000000000038</v>
      </c>
      <c r="E57" s="810">
        <v>0.85199999999999998</v>
      </c>
      <c r="F57" s="736">
        <v>5</v>
      </c>
      <c r="G57" s="817">
        <f t="shared" si="6"/>
        <v>-305.63796000000013</v>
      </c>
      <c r="I57" s="736"/>
      <c r="J57" s="736"/>
      <c r="K57" s="736"/>
      <c r="L57" s="736"/>
      <c r="N57" s="736"/>
      <c r="O57" s="736"/>
      <c r="P57" s="736"/>
      <c r="Q57" s="736"/>
      <c r="T57" s="737">
        <f t="shared" si="7"/>
        <v>42583</v>
      </c>
      <c r="U57" s="847">
        <f t="shared" si="8"/>
        <v>-86608.059032015663</v>
      </c>
      <c r="V57" s="846">
        <v>314.85348450251263</v>
      </c>
    </row>
    <row r="58" spans="2:22" ht="15.75" customHeight="1">
      <c r="B58" s="737">
        <v>42614</v>
      </c>
      <c r="C58" s="736">
        <f>'Streetlight Details'!C86</f>
        <v>331.29199999999997</v>
      </c>
      <c r="D58" s="746">
        <f t="shared" si="9"/>
        <v>-6.8260000000000218</v>
      </c>
      <c r="E58" s="810">
        <v>0.85199999999999998</v>
      </c>
      <c r="F58" s="736">
        <v>4</v>
      </c>
      <c r="G58" s="817">
        <f t="shared" si="6"/>
        <v>-23.263008000000074</v>
      </c>
      <c r="I58" s="736"/>
      <c r="J58" s="736"/>
      <c r="K58" s="736"/>
      <c r="L58" s="736"/>
      <c r="N58" s="736"/>
      <c r="O58" s="736"/>
      <c r="P58" s="736"/>
      <c r="Q58" s="736"/>
      <c r="T58" s="737">
        <f t="shared" si="7"/>
        <v>42614</v>
      </c>
      <c r="U58" s="847">
        <f t="shared" si="8"/>
        <v>-7013.6776634254229</v>
      </c>
      <c r="V58" s="846">
        <v>344.56557016802452</v>
      </c>
    </row>
    <row r="59" spans="2:22" ht="15.75" customHeight="1">
      <c r="B59" s="737">
        <v>42644</v>
      </c>
      <c r="C59" s="736">
        <f>'Streetlight Details'!C84</f>
        <v>297.23399999999998</v>
      </c>
      <c r="D59" s="746">
        <f>C59-C58</f>
        <v>-34.057999999999993</v>
      </c>
      <c r="E59" s="810">
        <v>0.85199999999999998</v>
      </c>
      <c r="F59" s="736">
        <v>3</v>
      </c>
      <c r="G59" s="817">
        <f t="shared" si="6"/>
        <v>-87.052247999999977</v>
      </c>
      <c r="I59" s="736"/>
      <c r="J59" s="736"/>
      <c r="K59" s="736"/>
      <c r="L59" s="736"/>
      <c r="N59" s="736"/>
      <c r="O59" s="736"/>
      <c r="P59" s="736"/>
      <c r="Q59" s="736"/>
      <c r="T59" s="737">
        <f t="shared" si="7"/>
        <v>42644</v>
      </c>
      <c r="U59" s="847">
        <f t="shared" si="8"/>
        <v>-29444.734704610353</v>
      </c>
      <c r="V59" s="846">
        <v>405.89051354001145</v>
      </c>
    </row>
    <row r="60" spans="2:22" ht="15.75" customHeight="1">
      <c r="B60" s="737">
        <v>42675</v>
      </c>
      <c r="C60" s="736">
        <f>'Streetlight Details'!C82</f>
        <v>270.84000000000003</v>
      </c>
      <c r="D60" s="746">
        <f t="shared" si="9"/>
        <v>-26.393999999999949</v>
      </c>
      <c r="E60" s="810">
        <v>0.85199999999999998</v>
      </c>
      <c r="F60" s="736">
        <v>2</v>
      </c>
      <c r="G60" s="817">
        <f t="shared" si="6"/>
        <v>-44.975375999999912</v>
      </c>
      <c r="I60" s="736"/>
      <c r="J60" s="736"/>
      <c r="K60" s="736"/>
      <c r="L60" s="736"/>
      <c r="N60" s="736"/>
      <c r="O60" s="736"/>
      <c r="P60" s="736"/>
      <c r="Q60" s="736"/>
      <c r="T60" s="737">
        <f t="shared" si="7"/>
        <v>42675</v>
      </c>
      <c r="U60" s="847">
        <f t="shared" si="8"/>
        <v>-14442.998343473922</v>
      </c>
      <c r="V60" s="846">
        <v>428.17498901247507</v>
      </c>
    </row>
    <row r="61" spans="2:22" ht="15.75" customHeight="1">
      <c r="B61" s="737">
        <v>42705</v>
      </c>
      <c r="C61" s="736">
        <f>'Streetlight Details'!C80</f>
        <v>267.67099999999999</v>
      </c>
      <c r="D61" s="746">
        <f t="shared" si="9"/>
        <v>-3.1690000000000396</v>
      </c>
      <c r="E61" s="810">
        <v>0.85199999999999998</v>
      </c>
      <c r="F61" s="736">
        <v>1</v>
      </c>
      <c r="G61" s="817">
        <f t="shared" si="6"/>
        <v>-2.6999880000000336</v>
      </c>
      <c r="I61" s="736"/>
      <c r="J61" s="736"/>
      <c r="K61" s="736"/>
      <c r="L61" s="736"/>
      <c r="N61" s="736"/>
      <c r="O61" s="736"/>
      <c r="P61" s="736"/>
      <c r="Q61" s="736"/>
      <c r="T61" s="737">
        <f t="shared" si="7"/>
        <v>42705</v>
      </c>
      <c r="U61" s="847">
        <f t="shared" si="8"/>
        <v>-630.36194042699185</v>
      </c>
      <c r="V61" s="846">
        <v>466.93684596152588</v>
      </c>
    </row>
    <row r="62" spans="2:22" ht="16.350000000000001" customHeight="1">
      <c r="B62" s="747" t="s">
        <v>26</v>
      </c>
      <c r="C62" s="748"/>
      <c r="D62" s="748"/>
      <c r="E62" s="748"/>
      <c r="F62" s="748"/>
      <c r="G62" s="818">
        <f>SUM(G50:G61)</f>
        <v>-2057.6890559999997</v>
      </c>
      <c r="I62" s="736"/>
      <c r="J62" s="736"/>
      <c r="K62" s="736"/>
      <c r="L62" s="736"/>
      <c r="N62" s="736"/>
      <c r="O62" s="736"/>
      <c r="P62" s="736"/>
      <c r="Q62" s="736"/>
      <c r="T62" s="747" t="s">
        <v>26</v>
      </c>
      <c r="U62" s="848">
        <f>SUM(U50:U61)</f>
        <v>-669068.74722579052</v>
      </c>
      <c r="V62" s="849">
        <f>SUM(V50:V61)</f>
        <v>4315.9412193109156</v>
      </c>
    </row>
    <row r="63" spans="2:22">
      <c r="B63" s="737" t="s">
        <v>798</v>
      </c>
      <c r="C63" s="736"/>
      <c r="D63" s="736"/>
      <c r="E63" s="736"/>
      <c r="F63" s="736"/>
      <c r="G63" s="817">
        <f>SUM(D50:D61)*-12*E61</f>
        <v>3573.9218879999999</v>
      </c>
      <c r="I63" s="736"/>
      <c r="J63" s="736"/>
      <c r="K63" s="736"/>
      <c r="L63" s="736"/>
      <c r="N63" s="736"/>
      <c r="O63" s="736"/>
      <c r="P63" s="736"/>
      <c r="Q63" s="736"/>
      <c r="T63" s="737" t="str">
        <f>B63</f>
        <v>Persistence in 2017</v>
      </c>
      <c r="U63" s="847">
        <f>G63*V62/12</f>
        <v>1285403.0659180575</v>
      </c>
      <c r="V63" s="736"/>
    </row>
    <row r="64" spans="2:22">
      <c r="B64" s="737" t="s">
        <v>799</v>
      </c>
      <c r="C64" s="736"/>
      <c r="D64" s="736"/>
      <c r="E64" s="736"/>
      <c r="F64" s="736"/>
      <c r="G64" s="817">
        <f>G63</f>
        <v>3573.9218879999999</v>
      </c>
      <c r="I64" s="736"/>
      <c r="J64" s="736"/>
      <c r="K64" s="736"/>
      <c r="L64" s="736"/>
      <c r="N64" s="736"/>
      <c r="O64" s="736"/>
      <c r="P64" s="736"/>
      <c r="Q64" s="736"/>
      <c r="T64" s="737" t="str">
        <f t="shared" ref="T64:T66" si="10">B64</f>
        <v>Persistence in 2018</v>
      </c>
      <c r="U64" s="847">
        <f>G64*V62/12</f>
        <v>1285403.0659180575</v>
      </c>
      <c r="V64" s="736"/>
    </row>
    <row r="65" spans="2:22">
      <c r="B65" s="737" t="s">
        <v>800</v>
      </c>
      <c r="C65" s="736"/>
      <c r="D65" s="736"/>
      <c r="E65" s="736"/>
      <c r="F65" s="736"/>
      <c r="G65" s="817">
        <f>G64</f>
        <v>3573.9218879999999</v>
      </c>
      <c r="I65" s="736"/>
      <c r="J65" s="736"/>
      <c r="K65" s="736"/>
      <c r="L65" s="736"/>
      <c r="N65" s="736"/>
      <c r="O65" s="736"/>
      <c r="P65" s="736"/>
      <c r="Q65" s="736"/>
      <c r="T65" s="737" t="str">
        <f t="shared" si="10"/>
        <v>Persistence in 2019</v>
      </c>
      <c r="U65" s="847">
        <f>G65*V62/12</f>
        <v>1285403.0659180575</v>
      </c>
      <c r="V65" s="736"/>
    </row>
    <row r="66" spans="2:22">
      <c r="B66" s="737" t="s">
        <v>801</v>
      </c>
      <c r="C66" s="736"/>
      <c r="D66" s="736"/>
      <c r="E66" s="736"/>
      <c r="F66" s="736"/>
      <c r="G66" s="817">
        <f>G65</f>
        <v>3573.9218879999999</v>
      </c>
      <c r="I66" s="736"/>
      <c r="J66" s="736"/>
      <c r="K66" s="736"/>
      <c r="L66" s="736"/>
      <c r="N66" s="736"/>
      <c r="O66" s="736"/>
      <c r="P66" s="736"/>
      <c r="Q66" s="736"/>
      <c r="T66" s="737" t="str">
        <f t="shared" si="10"/>
        <v>Persistence in 2020</v>
      </c>
      <c r="U66" s="847">
        <f>G66*V62/12</f>
        <v>1285403.0659180575</v>
      </c>
      <c r="V66" s="736"/>
    </row>
    <row r="67" spans="2:22">
      <c r="I67" s="747" t="s">
        <v>26</v>
      </c>
      <c r="J67" s="748"/>
      <c r="K67" s="748"/>
      <c r="L67" s="744">
        <f>SUM(L50:L66)</f>
        <v>0</v>
      </c>
      <c r="N67" s="747" t="s">
        <v>26</v>
      </c>
      <c r="O67" s="748"/>
      <c r="P67" s="748"/>
      <c r="Q67" s="745">
        <f>SUM(Q50:Q66)</f>
        <v>0</v>
      </c>
    </row>
    <row r="70" spans="2:22" ht="21">
      <c r="B70" s="738" t="s">
        <v>702</v>
      </c>
      <c r="C70" s="739"/>
      <c r="E70" s="739"/>
      <c r="F70" s="739"/>
      <c r="G70" s="815"/>
      <c r="I70" s="738" t="s">
        <v>703</v>
      </c>
    </row>
    <row r="71" spans="2:22">
      <c r="B71" s="916" t="s">
        <v>680</v>
      </c>
      <c r="C71" s="916"/>
      <c r="D71" s="916"/>
      <c r="E71" s="916"/>
      <c r="F71" s="916"/>
      <c r="G71" s="916"/>
      <c r="I71" s="25" t="s">
        <v>688</v>
      </c>
      <c r="N71" s="25" t="s">
        <v>689</v>
      </c>
    </row>
    <row r="72" spans="2:22" ht="43.2">
      <c r="B72" s="749" t="s">
        <v>62</v>
      </c>
      <c r="C72" s="749" t="s">
        <v>681</v>
      </c>
      <c r="D72" s="749" t="s">
        <v>682</v>
      </c>
      <c r="E72" s="749" t="s">
        <v>684</v>
      </c>
      <c r="F72" s="749"/>
      <c r="G72" s="816" t="s">
        <v>683</v>
      </c>
      <c r="I72" s="749" t="s">
        <v>685</v>
      </c>
      <c r="J72" s="749" t="s">
        <v>686</v>
      </c>
      <c r="K72" s="749" t="s">
        <v>687</v>
      </c>
      <c r="L72" s="749" t="s">
        <v>681</v>
      </c>
      <c r="N72" s="749" t="s">
        <v>685</v>
      </c>
      <c r="O72" s="749" t="s">
        <v>686</v>
      </c>
      <c r="P72" s="749" t="s">
        <v>687</v>
      </c>
      <c r="Q72" s="749" t="s">
        <v>681</v>
      </c>
      <c r="T72" s="839"/>
      <c r="U72" s="839" t="s">
        <v>844</v>
      </c>
      <c r="V72" s="839" t="s">
        <v>839</v>
      </c>
    </row>
    <row r="73" spans="2:22" ht="15.6">
      <c r="B73" s="749"/>
      <c r="C73" s="749" t="s">
        <v>691</v>
      </c>
      <c r="D73" s="749" t="s">
        <v>692</v>
      </c>
      <c r="E73" s="749" t="s">
        <v>693</v>
      </c>
      <c r="F73" s="749"/>
      <c r="G73" s="816" t="s">
        <v>694</v>
      </c>
      <c r="I73" s="749"/>
      <c r="J73" s="749" t="s">
        <v>695</v>
      </c>
      <c r="K73" s="749" t="s">
        <v>696</v>
      </c>
      <c r="L73" s="749" t="s">
        <v>697</v>
      </c>
      <c r="N73" s="749"/>
      <c r="O73" s="749" t="s">
        <v>698</v>
      </c>
      <c r="P73" s="749" t="s">
        <v>699</v>
      </c>
      <c r="Q73" s="749" t="s">
        <v>700</v>
      </c>
      <c r="T73" s="839" t="s">
        <v>840</v>
      </c>
      <c r="U73" s="839" t="s">
        <v>843</v>
      </c>
      <c r="V73" s="839" t="s">
        <v>841</v>
      </c>
    </row>
    <row r="74" spans="2:22">
      <c r="B74" s="737">
        <v>42736</v>
      </c>
      <c r="C74" s="736">
        <f>'Streetlight Details'!C78</f>
        <v>265.28099999999995</v>
      </c>
      <c r="D74" s="809">
        <f>C74-C61</f>
        <v>-2.3900000000000432</v>
      </c>
      <c r="E74" s="810">
        <v>0.85199999999999998</v>
      </c>
      <c r="F74" s="736">
        <v>12</v>
      </c>
      <c r="G74" s="817">
        <f>D74*E74*F74</f>
        <v>-24.435360000000443</v>
      </c>
      <c r="I74" s="736"/>
      <c r="J74" s="736"/>
      <c r="K74" s="736"/>
      <c r="L74" s="736">
        <f>J74*K74</f>
        <v>0</v>
      </c>
      <c r="N74" s="736"/>
      <c r="O74" s="736"/>
      <c r="P74" s="736"/>
      <c r="Q74" s="736">
        <f>O74*P74</f>
        <v>0</v>
      </c>
      <c r="T74" s="737">
        <f>B74</f>
        <v>42736</v>
      </c>
      <c r="U74" s="847">
        <f>G74*V74-D74*V74*E74/2</f>
        <v>-10570.063567552988</v>
      </c>
      <c r="V74" s="846">
        <v>451.37994892445795</v>
      </c>
    </row>
    <row r="75" spans="2:22">
      <c r="B75" s="737">
        <v>42767</v>
      </c>
      <c r="C75" s="736">
        <f>'Streetlight Details'!C76</f>
        <v>265.28099999999995</v>
      </c>
      <c r="D75" s="746">
        <f>C75-C74</f>
        <v>0</v>
      </c>
      <c r="E75" s="810">
        <v>0.85199999999999998</v>
      </c>
      <c r="F75" s="736">
        <v>11</v>
      </c>
      <c r="G75" s="817">
        <f t="shared" ref="G75:G85" si="11">D75*E75*F75</f>
        <v>0</v>
      </c>
      <c r="I75" s="736"/>
      <c r="J75" s="736"/>
      <c r="K75" s="736"/>
      <c r="L75" s="736"/>
      <c r="N75" s="736"/>
      <c r="O75" s="736"/>
      <c r="P75" s="736"/>
      <c r="Q75" s="736"/>
      <c r="T75" s="737">
        <f t="shared" ref="T75:T85" si="12">B75</f>
        <v>42767</v>
      </c>
      <c r="U75" s="847">
        <f t="shared" ref="U75:U85" si="13">G75*V75-D75*V75*E75/2</f>
        <v>0</v>
      </c>
      <c r="V75" s="846">
        <v>389.01886907236951</v>
      </c>
    </row>
    <row r="76" spans="2:22">
      <c r="B76" s="737">
        <v>42795</v>
      </c>
      <c r="C76" s="736">
        <f>'Streetlight Details'!C74</f>
        <v>262.83399999999995</v>
      </c>
      <c r="D76" s="746">
        <f t="shared" ref="D76:D84" si="14">C76-C75</f>
        <v>-2.4470000000000027</v>
      </c>
      <c r="E76" s="810">
        <v>0.85199999999999998</v>
      </c>
      <c r="F76" s="736">
        <v>10</v>
      </c>
      <c r="G76" s="817">
        <f t="shared" si="11"/>
        <v>-20.848440000000021</v>
      </c>
      <c r="I76" s="736"/>
      <c r="J76" s="736"/>
      <c r="K76" s="736"/>
      <c r="L76" s="736"/>
      <c r="N76" s="736"/>
      <c r="O76" s="736"/>
      <c r="P76" s="736"/>
      <c r="Q76" s="736"/>
      <c r="T76" s="737">
        <f t="shared" si="12"/>
        <v>42795</v>
      </c>
      <c r="U76" s="847">
        <f t="shared" si="13"/>
        <v>-7373.5358461668811</v>
      </c>
      <c r="V76" s="846">
        <v>372.2876474295274</v>
      </c>
    </row>
    <row r="77" spans="2:22">
      <c r="B77" s="737">
        <v>42826</v>
      </c>
      <c r="C77" s="736">
        <f>'Streetlight Details'!C72</f>
        <v>262.83399999999995</v>
      </c>
      <c r="D77" s="746">
        <f t="shared" si="14"/>
        <v>0</v>
      </c>
      <c r="E77" s="810">
        <v>0.85199999999999998</v>
      </c>
      <c r="F77" s="736">
        <v>9</v>
      </c>
      <c r="G77" s="817">
        <f t="shared" si="11"/>
        <v>0</v>
      </c>
      <c r="I77" s="736"/>
      <c r="J77" s="736"/>
      <c r="K77" s="736"/>
      <c r="L77" s="736"/>
      <c r="N77" s="736"/>
      <c r="O77" s="736"/>
      <c r="P77" s="736"/>
      <c r="Q77" s="736"/>
      <c r="T77" s="737">
        <f t="shared" si="12"/>
        <v>42826</v>
      </c>
      <c r="U77" s="847">
        <f t="shared" si="13"/>
        <v>0</v>
      </c>
      <c r="V77" s="846">
        <v>316.61877213705907</v>
      </c>
    </row>
    <row r="78" spans="2:22">
      <c r="B78" s="737">
        <v>42856</v>
      </c>
      <c r="C78" s="736">
        <f>'Streetlight Details'!C70</f>
        <v>259.95099999999996</v>
      </c>
      <c r="D78" s="746">
        <f t="shared" si="14"/>
        <v>-2.8829999999999814</v>
      </c>
      <c r="E78" s="810">
        <v>0.85199999999999998</v>
      </c>
      <c r="F78" s="736">
        <v>8</v>
      </c>
      <c r="G78" s="817">
        <f t="shared" si="11"/>
        <v>-19.650527999999873</v>
      </c>
      <c r="I78" s="736"/>
      <c r="J78" s="736"/>
      <c r="K78" s="736"/>
      <c r="L78" s="736"/>
      <c r="N78" s="736"/>
      <c r="O78" s="736"/>
      <c r="P78" s="736"/>
      <c r="Q78" s="736"/>
      <c r="T78" s="737">
        <f t="shared" si="12"/>
        <v>42856</v>
      </c>
      <c r="U78" s="847">
        <f>G78*V78-D78*V78*E78/2</f>
        <v>-5298.5932498194752</v>
      </c>
      <c r="V78" s="846">
        <v>287.61735052653427</v>
      </c>
    </row>
    <row r="79" spans="2:22">
      <c r="B79" s="737">
        <v>42887</v>
      </c>
      <c r="C79" s="736">
        <f>'Streetlight Details'!C68</f>
        <v>254.14599999999999</v>
      </c>
      <c r="D79" s="746">
        <f t="shared" si="14"/>
        <v>-5.8049999999999784</v>
      </c>
      <c r="E79" s="810">
        <v>0.85199999999999998</v>
      </c>
      <c r="F79" s="736">
        <v>7</v>
      </c>
      <c r="G79" s="817">
        <f t="shared" si="11"/>
        <v>-34.621019999999866</v>
      </c>
      <c r="I79" s="736"/>
      <c r="J79" s="736"/>
      <c r="K79" s="736"/>
      <c r="L79" s="736"/>
      <c r="N79" s="736"/>
      <c r="O79" s="736"/>
      <c r="P79" s="736"/>
      <c r="Q79" s="736"/>
      <c r="T79" s="737">
        <f t="shared" si="12"/>
        <v>42887</v>
      </c>
      <c r="U79" s="847">
        <f t="shared" si="13"/>
        <v>-8354.2431287986328</v>
      </c>
      <c r="V79" s="846">
        <v>259.86747980357978</v>
      </c>
    </row>
    <row r="80" spans="2:22">
      <c r="B80" s="737">
        <v>42917</v>
      </c>
      <c r="C80" s="736">
        <f>'Streetlight Details'!C66</f>
        <v>252.30600000000001</v>
      </c>
      <c r="D80" s="746">
        <f t="shared" si="14"/>
        <v>-1.839999999999975</v>
      </c>
      <c r="E80" s="810">
        <v>0.85199999999999998</v>
      </c>
      <c r="F80" s="736">
        <v>6</v>
      </c>
      <c r="G80" s="817">
        <f t="shared" si="11"/>
        <v>-9.4060799999998714</v>
      </c>
      <c r="I80" s="736"/>
      <c r="J80" s="736"/>
      <c r="K80" s="736"/>
      <c r="L80" s="736"/>
      <c r="N80" s="736"/>
      <c r="O80" s="736"/>
      <c r="P80" s="736"/>
      <c r="Q80" s="736"/>
      <c r="T80" s="737">
        <f t="shared" si="12"/>
        <v>42917</v>
      </c>
      <c r="U80" s="847">
        <f t="shared" si="13"/>
        <v>-2403.2747844030691</v>
      </c>
      <c r="V80" s="846">
        <v>278.72974823283761</v>
      </c>
    </row>
    <row r="81" spans="2:22">
      <c r="B81" s="737">
        <v>42948</v>
      </c>
      <c r="C81" s="736">
        <f>'Streetlight Details'!C64</f>
        <v>247.01499999999999</v>
      </c>
      <c r="D81" s="746">
        <f t="shared" si="14"/>
        <v>-5.2910000000000252</v>
      </c>
      <c r="E81" s="810">
        <v>0.85199999999999998</v>
      </c>
      <c r="F81" s="736">
        <v>5</v>
      </c>
      <c r="G81" s="817">
        <f t="shared" si="11"/>
        <v>-22.539660000000108</v>
      </c>
      <c r="I81" s="736"/>
      <c r="J81" s="736"/>
      <c r="K81" s="736"/>
      <c r="L81" s="736"/>
      <c r="N81" s="736"/>
      <c r="O81" s="736"/>
      <c r="P81" s="736"/>
      <c r="Q81" s="736"/>
      <c r="T81" s="737">
        <f t="shared" si="12"/>
        <v>42948</v>
      </c>
      <c r="U81" s="847">
        <f t="shared" si="13"/>
        <v>-6387.0214414517432</v>
      </c>
      <c r="V81" s="846">
        <v>314.85348450251263</v>
      </c>
    </row>
    <row r="82" spans="2:22">
      <c r="B82" s="737">
        <v>42979</v>
      </c>
      <c r="C82" s="736">
        <f>'Streetlight Details'!C62</f>
        <v>247.00899999999999</v>
      </c>
      <c r="D82" s="746">
        <f t="shared" si="14"/>
        <v>-6.0000000000002274E-3</v>
      </c>
      <c r="E82" s="810">
        <v>0.85199999999999998</v>
      </c>
      <c r="F82" s="736">
        <v>4</v>
      </c>
      <c r="G82" s="817">
        <f t="shared" si="11"/>
        <v>-2.0448000000000775E-2</v>
      </c>
      <c r="I82" s="736"/>
      <c r="J82" s="736"/>
      <c r="K82" s="736"/>
      <c r="L82" s="736"/>
      <c r="N82" s="736"/>
      <c r="O82" s="736"/>
      <c r="P82" s="736"/>
      <c r="Q82" s="736"/>
      <c r="T82" s="737">
        <f t="shared" si="12"/>
        <v>42979</v>
      </c>
      <c r="U82" s="847">
        <f t="shared" si="13"/>
        <v>-6.1649671814465279</v>
      </c>
      <c r="V82" s="846">
        <v>344.56557016802452</v>
      </c>
    </row>
    <row r="83" spans="2:22">
      <c r="B83" s="737">
        <v>43009</v>
      </c>
      <c r="C83" s="736">
        <f>'Streetlight Details'!C60</f>
        <v>245.68599999999995</v>
      </c>
      <c r="D83" s="746">
        <f>C83-C82</f>
        <v>-1.3230000000000359</v>
      </c>
      <c r="E83" s="810">
        <v>0.85199999999999998</v>
      </c>
      <c r="F83" s="736">
        <v>3</v>
      </c>
      <c r="G83" s="817">
        <f t="shared" si="11"/>
        <v>-3.3815880000000913</v>
      </c>
      <c r="I83" s="736"/>
      <c r="J83" s="736"/>
      <c r="K83" s="736"/>
      <c r="L83" s="736"/>
      <c r="N83" s="736"/>
      <c r="O83" s="736"/>
      <c r="P83" s="736"/>
      <c r="Q83" s="736"/>
      <c r="T83" s="737">
        <f t="shared" si="12"/>
        <v>43009</v>
      </c>
      <c r="U83" s="847">
        <f t="shared" si="13"/>
        <v>-1143.7954082506478</v>
      </c>
      <c r="V83" s="846">
        <v>405.89051354001145</v>
      </c>
    </row>
    <row r="84" spans="2:22">
      <c r="B84" s="737">
        <v>43040</v>
      </c>
      <c r="C84" s="736">
        <f>'Streetlight Details'!C58</f>
        <v>245.34399999999997</v>
      </c>
      <c r="D84" s="746">
        <f t="shared" si="14"/>
        <v>-0.34199999999998454</v>
      </c>
      <c r="E84" s="810">
        <v>0.85199999999999998</v>
      </c>
      <c r="F84" s="736">
        <v>2</v>
      </c>
      <c r="G84" s="817">
        <f t="shared" si="11"/>
        <v>-0.58276799999997364</v>
      </c>
      <c r="I84" s="736"/>
      <c r="J84" s="736"/>
      <c r="K84" s="736"/>
      <c r="L84" s="736"/>
      <c r="N84" s="736"/>
      <c r="O84" s="736"/>
      <c r="P84" s="736"/>
      <c r="Q84" s="736"/>
      <c r="T84" s="737">
        <f t="shared" si="12"/>
        <v>43040</v>
      </c>
      <c r="U84" s="847">
        <f t="shared" si="13"/>
        <v>-187.1450114976081</v>
      </c>
      <c r="V84" s="846">
        <v>428.17498901247507</v>
      </c>
    </row>
    <row r="85" spans="2:22">
      <c r="B85" s="737">
        <v>43070</v>
      </c>
      <c r="C85" s="736">
        <f>'Streetlight Details'!C56</f>
        <v>245.34399999999997</v>
      </c>
      <c r="D85" s="746">
        <f>C85-C84</f>
        <v>0</v>
      </c>
      <c r="E85" s="810">
        <v>0.85199999999999998</v>
      </c>
      <c r="F85" s="736">
        <v>1</v>
      </c>
      <c r="G85" s="817">
        <f t="shared" si="11"/>
        <v>0</v>
      </c>
      <c r="I85" s="736"/>
      <c r="J85" s="736"/>
      <c r="K85" s="736"/>
      <c r="L85" s="736"/>
      <c r="N85" s="736"/>
      <c r="O85" s="736"/>
      <c r="P85" s="736"/>
      <c r="Q85" s="736"/>
      <c r="T85" s="737">
        <f t="shared" si="12"/>
        <v>43070</v>
      </c>
      <c r="U85" s="847">
        <f t="shared" si="13"/>
        <v>0</v>
      </c>
      <c r="V85" s="846">
        <v>466.93684596152588</v>
      </c>
    </row>
    <row r="86" spans="2:22">
      <c r="B86" s="747" t="s">
        <v>26</v>
      </c>
      <c r="C86" s="748"/>
      <c r="D86" s="748"/>
      <c r="E86" s="748"/>
      <c r="F86" s="748"/>
      <c r="G86" s="818">
        <f>SUM(G74:G85)</f>
        <v>-135.48589200000023</v>
      </c>
      <c r="I86" s="736"/>
      <c r="J86" s="736"/>
      <c r="K86" s="736"/>
      <c r="L86" s="736"/>
      <c r="N86" s="736"/>
      <c r="O86" s="736"/>
      <c r="P86" s="736"/>
      <c r="Q86" s="736"/>
      <c r="T86" s="747" t="s">
        <v>26</v>
      </c>
      <c r="U86" s="848">
        <f>SUM(U74:U85)</f>
        <v>-41723.837405122496</v>
      </c>
      <c r="V86" s="849">
        <f>SUM(V74:V85)</f>
        <v>4315.9412193109156</v>
      </c>
    </row>
    <row r="87" spans="2:22">
      <c r="B87" s="737" t="s">
        <v>799</v>
      </c>
      <c r="C87" s="736"/>
      <c r="D87" s="736"/>
      <c r="E87" s="736"/>
      <c r="F87" s="736"/>
      <c r="G87" s="817">
        <f>SUM(D74:D85)*-12*E85</f>
        <v>228.27124800000027</v>
      </c>
      <c r="I87" s="736"/>
      <c r="J87" s="736"/>
      <c r="K87" s="736"/>
      <c r="L87" s="736"/>
      <c r="N87" s="736"/>
      <c r="O87" s="736"/>
      <c r="P87" s="736"/>
      <c r="Q87" s="736"/>
      <c r="T87" s="737" t="str">
        <f>B87</f>
        <v>Persistence in 2018</v>
      </c>
      <c r="U87" s="847">
        <f>G87*V86/12</f>
        <v>82100.440702228792</v>
      </c>
      <c r="V87" s="736"/>
    </row>
    <row r="88" spans="2:22">
      <c r="B88" s="737" t="s">
        <v>800</v>
      </c>
      <c r="C88" s="736"/>
      <c r="D88" s="736"/>
      <c r="E88" s="736"/>
      <c r="F88" s="736"/>
      <c r="G88" s="817">
        <f>G87</f>
        <v>228.27124800000027</v>
      </c>
      <c r="I88" s="736"/>
      <c r="J88" s="736"/>
      <c r="K88" s="736"/>
      <c r="L88" s="736"/>
      <c r="N88" s="736"/>
      <c r="O88" s="736"/>
      <c r="P88" s="736"/>
      <c r="Q88" s="736"/>
      <c r="T88" s="737" t="str">
        <f t="shared" ref="T88:T89" si="15">B88</f>
        <v>Persistence in 2019</v>
      </c>
      <c r="U88" s="847">
        <f>G88*V86/12</f>
        <v>82100.440702228792</v>
      </c>
      <c r="V88" s="736"/>
    </row>
    <row r="89" spans="2:22">
      <c r="B89" s="737" t="s">
        <v>801</v>
      </c>
      <c r="C89" s="736"/>
      <c r="D89" s="736"/>
      <c r="E89" s="736"/>
      <c r="F89" s="736"/>
      <c r="G89" s="817">
        <f>G88</f>
        <v>228.27124800000027</v>
      </c>
      <c r="I89" s="736"/>
      <c r="J89" s="736"/>
      <c r="K89" s="736"/>
      <c r="L89" s="736"/>
      <c r="N89" s="736"/>
      <c r="O89" s="736"/>
      <c r="P89" s="736"/>
      <c r="Q89" s="736"/>
      <c r="T89" s="737" t="str">
        <f t="shared" si="15"/>
        <v>Persistence in 2020</v>
      </c>
      <c r="U89" s="847">
        <f>G89*V86/12</f>
        <v>82100.440702228792</v>
      </c>
      <c r="V89" s="736"/>
    </row>
    <row r="90" spans="2:22">
      <c r="I90" s="747" t="s">
        <v>26</v>
      </c>
      <c r="J90" s="748"/>
      <c r="K90" s="748"/>
      <c r="L90" s="744">
        <f>SUM(L74:L89)</f>
        <v>0</v>
      </c>
      <c r="N90" s="747" t="s">
        <v>26</v>
      </c>
      <c r="O90" s="748"/>
      <c r="P90" s="748"/>
      <c r="Q90" s="745">
        <f>SUM(Q74:Q89)</f>
        <v>0</v>
      </c>
    </row>
    <row r="92" spans="2:22" ht="21">
      <c r="B92" s="738" t="s">
        <v>702</v>
      </c>
      <c r="C92" s="739"/>
      <c r="E92" s="739"/>
      <c r="F92" s="739"/>
      <c r="G92" s="815"/>
      <c r="I92" s="738" t="s">
        <v>703</v>
      </c>
    </row>
    <row r="93" spans="2:22">
      <c r="B93" s="916" t="s">
        <v>680</v>
      </c>
      <c r="C93" s="916"/>
      <c r="D93" s="916"/>
      <c r="E93" s="916"/>
      <c r="F93" s="916"/>
      <c r="G93" s="916"/>
      <c r="I93" s="25" t="s">
        <v>688</v>
      </c>
      <c r="N93" s="25" t="s">
        <v>689</v>
      </c>
    </row>
    <row r="94" spans="2:22" ht="43.2">
      <c r="B94" s="749" t="s">
        <v>62</v>
      </c>
      <c r="C94" s="749" t="s">
        <v>681</v>
      </c>
      <c r="D94" s="749" t="s">
        <v>682</v>
      </c>
      <c r="E94" s="749" t="s">
        <v>684</v>
      </c>
      <c r="F94" s="749"/>
      <c r="G94" s="816" t="s">
        <v>683</v>
      </c>
      <c r="I94" s="749" t="s">
        <v>685</v>
      </c>
      <c r="J94" s="749" t="s">
        <v>686</v>
      </c>
      <c r="K94" s="749" t="s">
        <v>687</v>
      </c>
      <c r="L94" s="749" t="s">
        <v>681</v>
      </c>
      <c r="N94" s="749" t="s">
        <v>685</v>
      </c>
      <c r="O94" s="749" t="s">
        <v>686</v>
      </c>
      <c r="P94" s="749" t="s">
        <v>687</v>
      </c>
      <c r="Q94" s="749" t="s">
        <v>681</v>
      </c>
    </row>
    <row r="95" spans="2:22" ht="15.6">
      <c r="B95" s="749"/>
      <c r="C95" s="749" t="s">
        <v>691</v>
      </c>
      <c r="D95" s="749" t="s">
        <v>692</v>
      </c>
      <c r="E95" s="749" t="s">
        <v>693</v>
      </c>
      <c r="F95" s="749"/>
      <c r="G95" s="816" t="s">
        <v>694</v>
      </c>
      <c r="I95" s="749"/>
      <c r="J95" s="749" t="s">
        <v>695</v>
      </c>
      <c r="K95" s="749" t="s">
        <v>696</v>
      </c>
      <c r="L95" s="749" t="s">
        <v>697</v>
      </c>
      <c r="N95" s="749"/>
      <c r="O95" s="749" t="s">
        <v>698</v>
      </c>
      <c r="P95" s="749" t="s">
        <v>699</v>
      </c>
      <c r="Q95" s="749" t="s">
        <v>700</v>
      </c>
    </row>
    <row r="96" spans="2:22">
      <c r="B96" s="737">
        <v>43101</v>
      </c>
      <c r="C96" s="736">
        <f>'Streetlight Details'!C54</f>
        <v>244.62599999999995</v>
      </c>
      <c r="D96" s="824">
        <v>0</v>
      </c>
      <c r="E96" s="810">
        <v>0.85199999999999998</v>
      </c>
      <c r="F96" s="736">
        <v>12</v>
      </c>
      <c r="G96" s="818">
        <f>D96*E96*F96</f>
        <v>0</v>
      </c>
      <c r="I96" s="736"/>
      <c r="J96" s="736"/>
      <c r="K96" s="736"/>
      <c r="L96" s="736">
        <f>J96*K96</f>
        <v>0</v>
      </c>
      <c r="N96" s="736"/>
      <c r="O96" s="736"/>
      <c r="P96" s="736"/>
      <c r="Q96" s="736">
        <f>O96*P96</f>
        <v>0</v>
      </c>
      <c r="U96" s="844"/>
      <c r="V96" s="845"/>
    </row>
    <row r="97" spans="2:22">
      <c r="B97" s="737">
        <v>43132</v>
      </c>
      <c r="C97" s="736">
        <f>'Streetlight Details'!C52</f>
        <v>244.62599999999995</v>
      </c>
      <c r="D97" s="809">
        <f>C97-C96</f>
        <v>0</v>
      </c>
      <c r="E97" s="810">
        <v>0.85199999999999998</v>
      </c>
      <c r="F97" s="736">
        <v>11</v>
      </c>
      <c r="G97" s="818">
        <f t="shared" ref="G97:G107" si="16">D97*E97*F97</f>
        <v>0</v>
      </c>
      <c r="I97" s="736"/>
      <c r="J97" s="736"/>
      <c r="K97" s="736"/>
      <c r="L97" s="736"/>
      <c r="N97" s="736"/>
      <c r="O97" s="736"/>
      <c r="P97" s="736"/>
      <c r="Q97" s="736"/>
      <c r="U97" s="844"/>
      <c r="V97" s="845"/>
    </row>
    <row r="98" spans="2:22">
      <c r="B98" s="737">
        <v>43160</v>
      </c>
      <c r="C98" s="736">
        <f>'Streetlight Details'!C50</f>
        <v>244.62599999999995</v>
      </c>
      <c r="D98" s="809">
        <f t="shared" ref="D98:D107" si="17">C98-C97</f>
        <v>0</v>
      </c>
      <c r="E98" s="810">
        <v>0.85199999999999998</v>
      </c>
      <c r="F98" s="736">
        <v>10</v>
      </c>
      <c r="G98" s="818">
        <f t="shared" si="16"/>
        <v>0</v>
      </c>
      <c r="I98" s="736"/>
      <c r="J98" s="736"/>
      <c r="K98" s="736"/>
      <c r="L98" s="736"/>
      <c r="N98" s="736"/>
      <c r="O98" s="736"/>
      <c r="P98" s="736"/>
      <c r="Q98" s="736"/>
      <c r="U98" s="844"/>
      <c r="V98" s="845"/>
    </row>
    <row r="99" spans="2:22">
      <c r="B99" s="737">
        <v>43191</v>
      </c>
      <c r="C99" s="736">
        <f>'Streetlight Details'!C48</f>
        <v>244.62599999999995</v>
      </c>
      <c r="D99" s="809">
        <f t="shared" si="17"/>
        <v>0</v>
      </c>
      <c r="E99" s="810">
        <v>0.85199999999999998</v>
      </c>
      <c r="F99" s="736">
        <v>9</v>
      </c>
      <c r="G99" s="818">
        <f t="shared" si="16"/>
        <v>0</v>
      </c>
      <c r="I99" s="736"/>
      <c r="J99" s="736"/>
      <c r="K99" s="736"/>
      <c r="L99" s="736"/>
      <c r="N99" s="736"/>
      <c r="O99" s="736"/>
      <c r="P99" s="736"/>
      <c r="Q99" s="736"/>
      <c r="U99" s="844"/>
      <c r="V99" s="845"/>
    </row>
    <row r="100" spans="2:22">
      <c r="B100" s="737">
        <v>43221</v>
      </c>
      <c r="C100" s="736">
        <f>'Streetlight Details'!C46</f>
        <v>244.62599999999995</v>
      </c>
      <c r="D100" s="809">
        <f t="shared" si="17"/>
        <v>0</v>
      </c>
      <c r="E100" s="810">
        <v>0.85199999999999998</v>
      </c>
      <c r="F100" s="736">
        <v>8</v>
      </c>
      <c r="G100" s="818">
        <f t="shared" si="16"/>
        <v>0</v>
      </c>
      <c r="I100" s="736"/>
      <c r="J100" s="736"/>
      <c r="K100" s="736"/>
      <c r="L100" s="736"/>
      <c r="N100" s="736"/>
      <c r="O100" s="736"/>
      <c r="P100" s="736"/>
      <c r="Q100" s="736"/>
      <c r="U100" s="844"/>
      <c r="V100" s="845"/>
    </row>
    <row r="101" spans="2:22">
      <c r="B101" s="737">
        <v>43252</v>
      </c>
      <c r="C101" s="736">
        <f>'Streetlight Details'!C44</f>
        <v>244.05399999999997</v>
      </c>
      <c r="D101" s="824">
        <v>0</v>
      </c>
      <c r="E101" s="810">
        <v>0.85199999999999998</v>
      </c>
      <c r="F101" s="736">
        <v>7</v>
      </c>
      <c r="G101" s="818">
        <f t="shared" si="16"/>
        <v>0</v>
      </c>
      <c r="I101" s="736"/>
      <c r="J101" s="736"/>
      <c r="K101" s="736"/>
      <c r="L101" s="736"/>
      <c r="N101" s="736"/>
      <c r="O101" s="736"/>
      <c r="P101" s="736"/>
      <c r="Q101" s="736"/>
      <c r="U101" s="844"/>
      <c r="V101" s="845"/>
    </row>
    <row r="102" spans="2:22">
      <c r="B102" s="737">
        <v>43282</v>
      </c>
      <c r="C102" s="736">
        <f>'Streetlight Details'!C42</f>
        <v>244.05399999999997</v>
      </c>
      <c r="D102" s="809">
        <f t="shared" si="17"/>
        <v>0</v>
      </c>
      <c r="E102" s="810">
        <v>0.85199999999999998</v>
      </c>
      <c r="F102" s="736">
        <v>6</v>
      </c>
      <c r="G102" s="818">
        <f t="shared" si="16"/>
        <v>0</v>
      </c>
      <c r="I102" s="736"/>
      <c r="J102" s="736"/>
      <c r="K102" s="736"/>
      <c r="L102" s="736"/>
      <c r="N102" s="736"/>
      <c r="O102" s="736"/>
      <c r="P102" s="736"/>
      <c r="Q102" s="736"/>
      <c r="U102" s="844"/>
      <c r="V102" s="845"/>
    </row>
    <row r="103" spans="2:22">
      <c r="B103" s="737">
        <v>43313</v>
      </c>
      <c r="C103" s="736">
        <f>'Streetlight Details'!C40</f>
        <v>244.05399999999997</v>
      </c>
      <c r="D103" s="809">
        <f t="shared" si="17"/>
        <v>0</v>
      </c>
      <c r="E103" s="810">
        <v>0.85199999999999998</v>
      </c>
      <c r="F103" s="736">
        <v>5</v>
      </c>
      <c r="G103" s="818">
        <f t="shared" si="16"/>
        <v>0</v>
      </c>
      <c r="I103" s="736"/>
      <c r="J103" s="736"/>
      <c r="K103" s="736"/>
      <c r="L103" s="736"/>
      <c r="N103" s="736"/>
      <c r="O103" s="736"/>
      <c r="P103" s="736"/>
      <c r="Q103" s="736"/>
      <c r="U103" s="844"/>
      <c r="V103" s="845"/>
    </row>
    <row r="104" spans="2:22">
      <c r="B104" s="737">
        <v>43344</v>
      </c>
      <c r="C104" s="736">
        <f>'Streetlight Details'!C38</f>
        <v>244.05399999999997</v>
      </c>
      <c r="D104" s="809">
        <f t="shared" si="17"/>
        <v>0</v>
      </c>
      <c r="E104" s="810">
        <v>0.85199999999999998</v>
      </c>
      <c r="F104" s="736">
        <v>4</v>
      </c>
      <c r="G104" s="818">
        <f t="shared" si="16"/>
        <v>0</v>
      </c>
      <c r="I104" s="736"/>
      <c r="J104" s="736"/>
      <c r="K104" s="736"/>
      <c r="L104" s="736"/>
      <c r="N104" s="736"/>
      <c r="O104" s="736"/>
      <c r="P104" s="736"/>
      <c r="Q104" s="736"/>
      <c r="U104" s="844"/>
      <c r="V104" s="845"/>
    </row>
    <row r="105" spans="2:22">
      <c r="B105" s="737">
        <v>43374</v>
      </c>
      <c r="C105" s="736">
        <f>'Streetlight Details'!C36</f>
        <v>244.05399999999997</v>
      </c>
      <c r="D105" s="809">
        <f t="shared" si="17"/>
        <v>0</v>
      </c>
      <c r="E105" s="810">
        <v>0.85199999999999998</v>
      </c>
      <c r="F105" s="736">
        <v>3</v>
      </c>
      <c r="G105" s="818">
        <f t="shared" si="16"/>
        <v>0</v>
      </c>
      <c r="I105" s="736"/>
      <c r="J105" s="736"/>
      <c r="K105" s="736"/>
      <c r="L105" s="736"/>
      <c r="N105" s="736"/>
      <c r="O105" s="736"/>
      <c r="P105" s="736"/>
      <c r="Q105" s="736"/>
      <c r="U105" s="844"/>
      <c r="V105" s="845"/>
    </row>
    <row r="106" spans="2:22">
      <c r="B106" s="737">
        <v>43405</v>
      </c>
      <c r="C106" s="736">
        <f>'Streetlight Details'!C34</f>
        <v>244.05399999999997</v>
      </c>
      <c r="D106" s="809">
        <f t="shared" si="17"/>
        <v>0</v>
      </c>
      <c r="E106" s="810">
        <v>0.85199999999999998</v>
      </c>
      <c r="F106" s="736">
        <v>2</v>
      </c>
      <c r="G106" s="818">
        <f t="shared" si="16"/>
        <v>0</v>
      </c>
      <c r="I106" s="736"/>
      <c r="J106" s="736"/>
      <c r="K106" s="736"/>
      <c r="L106" s="736"/>
      <c r="N106" s="736"/>
      <c r="O106" s="736"/>
      <c r="P106" s="736"/>
      <c r="Q106" s="736"/>
      <c r="U106" s="844"/>
      <c r="V106" s="845"/>
    </row>
    <row r="107" spans="2:22">
      <c r="B107" s="737">
        <v>43435</v>
      </c>
      <c r="C107" s="736">
        <f>'Streetlight Details'!C32</f>
        <v>244.05399999999997</v>
      </c>
      <c r="D107" s="809">
        <f t="shared" si="17"/>
        <v>0</v>
      </c>
      <c r="E107" s="810">
        <v>0.85199999999999998</v>
      </c>
      <c r="F107" s="736">
        <v>1</v>
      </c>
      <c r="G107" s="818">
        <f t="shared" si="16"/>
        <v>0</v>
      </c>
      <c r="I107" s="736"/>
      <c r="J107" s="736"/>
      <c r="K107" s="736"/>
      <c r="L107" s="736"/>
      <c r="N107" s="736"/>
      <c r="O107" s="736"/>
      <c r="P107" s="736"/>
      <c r="Q107" s="736"/>
      <c r="U107" s="844"/>
      <c r="V107" s="845"/>
    </row>
    <row r="108" spans="2:22">
      <c r="B108" s="747" t="s">
        <v>26</v>
      </c>
      <c r="C108" s="748"/>
      <c r="D108" s="748"/>
      <c r="E108" s="748"/>
      <c r="F108" s="748"/>
      <c r="G108" s="818">
        <f>SUM(G96:G107)</f>
        <v>0</v>
      </c>
      <c r="I108" s="736"/>
      <c r="J108" s="736"/>
      <c r="K108" s="736"/>
      <c r="L108" s="736"/>
      <c r="N108" s="736"/>
      <c r="O108" s="736"/>
      <c r="P108" s="736"/>
      <c r="Q108" s="736"/>
    </row>
    <row r="109" spans="2:22">
      <c r="B109" s="737" t="s">
        <v>800</v>
      </c>
      <c r="C109" s="736"/>
      <c r="D109" s="736"/>
      <c r="E109" s="736"/>
      <c r="F109" s="736"/>
      <c r="G109" s="817">
        <f>SUM(D96:D107)*-12</f>
        <v>0</v>
      </c>
      <c r="I109" s="736"/>
      <c r="J109" s="736"/>
      <c r="K109" s="736"/>
      <c r="L109" s="736"/>
      <c r="N109" s="736"/>
      <c r="O109" s="736"/>
      <c r="P109" s="736"/>
      <c r="Q109" s="736"/>
    </row>
    <row r="110" spans="2:22">
      <c r="B110" s="737" t="s">
        <v>801</v>
      </c>
      <c r="C110" s="736"/>
      <c r="D110" s="736"/>
      <c r="E110" s="736"/>
      <c r="F110" s="736"/>
      <c r="G110" s="817">
        <f>G109</f>
        <v>0</v>
      </c>
      <c r="I110" s="736"/>
      <c r="J110" s="736"/>
      <c r="K110" s="736"/>
      <c r="L110" s="736"/>
      <c r="N110" s="736"/>
      <c r="O110" s="736"/>
      <c r="P110" s="736"/>
      <c r="Q110" s="736"/>
    </row>
    <row r="111" spans="2:22">
      <c r="I111" s="747" t="s">
        <v>26</v>
      </c>
      <c r="J111" s="748"/>
      <c r="K111" s="748"/>
      <c r="L111" s="744">
        <f>SUM(L96:L110)</f>
        <v>0</v>
      </c>
      <c r="N111" s="747" t="s">
        <v>26</v>
      </c>
      <c r="O111" s="748"/>
      <c r="P111" s="748"/>
      <c r="Q111" s="745">
        <f>SUM(Q96:Q110)</f>
        <v>0</v>
      </c>
    </row>
    <row r="114" spans="2:17" ht="21">
      <c r="B114" s="738" t="s">
        <v>702</v>
      </c>
      <c r="C114" s="739"/>
      <c r="E114" s="739"/>
      <c r="F114" s="739"/>
      <c r="G114" s="815"/>
      <c r="I114" s="738" t="s">
        <v>703</v>
      </c>
    </row>
    <row r="115" spans="2:17">
      <c r="B115" s="916" t="s">
        <v>680</v>
      </c>
      <c r="C115" s="916"/>
      <c r="D115" s="916"/>
      <c r="E115" s="916"/>
      <c r="F115" s="916"/>
      <c r="G115" s="916"/>
      <c r="I115" s="25" t="s">
        <v>688</v>
      </c>
      <c r="N115" s="25" t="s">
        <v>689</v>
      </c>
    </row>
    <row r="116" spans="2:17" ht="43.2">
      <c r="B116" s="749" t="s">
        <v>62</v>
      </c>
      <c r="C116" s="749" t="s">
        <v>681</v>
      </c>
      <c r="D116" s="749" t="s">
        <v>682</v>
      </c>
      <c r="E116" s="749" t="s">
        <v>684</v>
      </c>
      <c r="F116" s="749"/>
      <c r="G116" s="816" t="s">
        <v>683</v>
      </c>
      <c r="I116" s="749" t="s">
        <v>685</v>
      </c>
      <c r="J116" s="749" t="s">
        <v>686</v>
      </c>
      <c r="K116" s="749" t="s">
        <v>687</v>
      </c>
      <c r="L116" s="749" t="s">
        <v>681</v>
      </c>
      <c r="N116" s="749" t="s">
        <v>685</v>
      </c>
      <c r="O116" s="749" t="s">
        <v>686</v>
      </c>
      <c r="P116" s="749" t="s">
        <v>687</v>
      </c>
      <c r="Q116" s="749" t="s">
        <v>681</v>
      </c>
    </row>
    <row r="117" spans="2:17" ht="15.6">
      <c r="B117" s="749"/>
      <c r="C117" s="749" t="s">
        <v>691</v>
      </c>
      <c r="D117" s="749" t="s">
        <v>692</v>
      </c>
      <c r="E117" s="749" t="s">
        <v>693</v>
      </c>
      <c r="F117" s="749"/>
      <c r="G117" s="816" t="s">
        <v>694</v>
      </c>
      <c r="I117" s="749"/>
      <c r="J117" s="749" t="s">
        <v>695</v>
      </c>
      <c r="K117" s="749" t="s">
        <v>696</v>
      </c>
      <c r="L117" s="749" t="s">
        <v>697</v>
      </c>
      <c r="N117" s="749"/>
      <c r="O117" s="749" t="s">
        <v>698</v>
      </c>
      <c r="P117" s="749" t="s">
        <v>699</v>
      </c>
      <c r="Q117" s="749" t="s">
        <v>700</v>
      </c>
    </row>
    <row r="118" spans="2:17">
      <c r="B118" s="737">
        <v>43466</v>
      </c>
      <c r="C118" s="736">
        <f>'Streetlight Details'!C30</f>
        <v>244.05399999999997</v>
      </c>
      <c r="D118" s="809">
        <f>C118-C107</f>
        <v>0</v>
      </c>
      <c r="E118" s="810">
        <v>0.85199999999999998</v>
      </c>
      <c r="F118" s="736">
        <v>12</v>
      </c>
      <c r="G118" s="817">
        <f>D118*E118*F118</f>
        <v>0</v>
      </c>
      <c r="I118" s="736"/>
      <c r="J118" s="736"/>
      <c r="K118" s="736"/>
      <c r="L118" s="736">
        <f>J118*K118</f>
        <v>0</v>
      </c>
      <c r="N118" s="736"/>
      <c r="O118" s="736"/>
      <c r="P118" s="736"/>
      <c r="Q118" s="736">
        <f>O118*P118</f>
        <v>0</v>
      </c>
    </row>
    <row r="119" spans="2:17">
      <c r="B119" s="737">
        <v>43497</v>
      </c>
      <c r="C119" s="736">
        <f>'Streetlight Details'!C28</f>
        <v>244.05399999999997</v>
      </c>
      <c r="D119" s="746">
        <f>C119-C118</f>
        <v>0</v>
      </c>
      <c r="E119" s="810">
        <v>0.85199999999999998</v>
      </c>
      <c r="F119" s="736">
        <v>11</v>
      </c>
      <c r="G119" s="817">
        <f t="shared" ref="G119:G129" si="18">D119*E119*F119</f>
        <v>0</v>
      </c>
      <c r="I119" s="736"/>
      <c r="J119" s="736"/>
      <c r="K119" s="736"/>
      <c r="L119" s="736"/>
      <c r="N119" s="736"/>
      <c r="O119" s="736"/>
      <c r="P119" s="736"/>
      <c r="Q119" s="736"/>
    </row>
    <row r="120" spans="2:17">
      <c r="B120" s="737">
        <v>43525</v>
      </c>
      <c r="C120" s="736">
        <f>'Streetlight Details'!C26</f>
        <v>244.05399999999997</v>
      </c>
      <c r="D120" s="746">
        <f t="shared" ref="D120:D129" si="19">C120-C119</f>
        <v>0</v>
      </c>
      <c r="E120" s="810">
        <v>0.85199999999999998</v>
      </c>
      <c r="F120" s="736">
        <v>10</v>
      </c>
      <c r="G120" s="817">
        <f t="shared" si="18"/>
        <v>0</v>
      </c>
      <c r="I120" s="736"/>
      <c r="J120" s="736"/>
      <c r="K120" s="736"/>
      <c r="L120" s="736"/>
      <c r="N120" s="736"/>
      <c r="O120" s="736"/>
      <c r="P120" s="736"/>
      <c r="Q120" s="736"/>
    </row>
    <row r="121" spans="2:17">
      <c r="B121" s="737">
        <v>43556</v>
      </c>
      <c r="C121" s="736">
        <f>'Streetlight Details'!C24</f>
        <v>244.05399999999997</v>
      </c>
      <c r="D121" s="746">
        <f t="shared" si="19"/>
        <v>0</v>
      </c>
      <c r="E121" s="810">
        <v>0.85199999999999998</v>
      </c>
      <c r="F121" s="736">
        <v>9</v>
      </c>
      <c r="G121" s="817">
        <f t="shared" si="18"/>
        <v>0</v>
      </c>
      <c r="I121" s="736"/>
      <c r="J121" s="736"/>
      <c r="K121" s="736"/>
      <c r="L121" s="736"/>
      <c r="N121" s="736"/>
      <c r="O121" s="736"/>
      <c r="P121" s="736"/>
      <c r="Q121" s="736"/>
    </row>
    <row r="122" spans="2:17">
      <c r="B122" s="737">
        <v>43586</v>
      </c>
      <c r="C122" s="736">
        <f>'Streetlight Details'!C22</f>
        <v>244.05399999999997</v>
      </c>
      <c r="D122" s="746">
        <f t="shared" si="19"/>
        <v>0</v>
      </c>
      <c r="E122" s="810">
        <v>0.85199999999999998</v>
      </c>
      <c r="F122" s="736">
        <v>8</v>
      </c>
      <c r="G122" s="817">
        <f t="shared" si="18"/>
        <v>0</v>
      </c>
      <c r="I122" s="736"/>
      <c r="J122" s="736"/>
      <c r="K122" s="736"/>
      <c r="L122" s="736"/>
      <c r="N122" s="736"/>
      <c r="O122" s="736"/>
      <c r="P122" s="736"/>
      <c r="Q122" s="736"/>
    </row>
    <row r="123" spans="2:17">
      <c r="B123" s="737">
        <v>43617</v>
      </c>
      <c r="C123" s="736">
        <f>'Streetlight Details'!C20</f>
        <v>244.05399999999997</v>
      </c>
      <c r="D123" s="746">
        <f t="shared" si="19"/>
        <v>0</v>
      </c>
      <c r="E123" s="810">
        <v>0.85199999999999998</v>
      </c>
      <c r="F123" s="736">
        <v>7</v>
      </c>
      <c r="G123" s="817">
        <f t="shared" si="18"/>
        <v>0</v>
      </c>
      <c r="I123" s="736"/>
      <c r="J123" s="736"/>
      <c r="K123" s="736"/>
      <c r="L123" s="736"/>
      <c r="N123" s="736"/>
      <c r="O123" s="736"/>
      <c r="P123" s="736"/>
      <c r="Q123" s="736"/>
    </row>
    <row r="124" spans="2:17">
      <c r="B124" s="737">
        <v>43647</v>
      </c>
      <c r="C124" s="736">
        <f>'Streetlight Details'!C18</f>
        <v>244.05399999999997</v>
      </c>
      <c r="D124" s="746">
        <f t="shared" si="19"/>
        <v>0</v>
      </c>
      <c r="E124" s="810">
        <v>0.85199999999999998</v>
      </c>
      <c r="F124" s="736">
        <v>6</v>
      </c>
      <c r="G124" s="817">
        <f t="shared" si="18"/>
        <v>0</v>
      </c>
      <c r="I124" s="736"/>
      <c r="J124" s="736"/>
      <c r="K124" s="736"/>
      <c r="L124" s="736"/>
      <c r="N124" s="736"/>
      <c r="O124" s="736"/>
      <c r="P124" s="736"/>
      <c r="Q124" s="736"/>
    </row>
    <row r="125" spans="2:17">
      <c r="B125" s="737">
        <v>43678</v>
      </c>
      <c r="C125" s="736">
        <f>'Streetlight Details'!C16</f>
        <v>244.05399999999997</v>
      </c>
      <c r="D125" s="746">
        <f t="shared" si="19"/>
        <v>0</v>
      </c>
      <c r="E125" s="810">
        <v>0.85199999999999998</v>
      </c>
      <c r="F125" s="736">
        <v>5</v>
      </c>
      <c r="G125" s="817">
        <f t="shared" si="18"/>
        <v>0</v>
      </c>
      <c r="I125" s="736"/>
      <c r="J125" s="736"/>
      <c r="K125" s="736"/>
      <c r="L125" s="736"/>
      <c r="N125" s="736"/>
      <c r="O125" s="736"/>
      <c r="P125" s="736"/>
      <c r="Q125" s="736"/>
    </row>
    <row r="126" spans="2:17">
      <c r="B126" s="737">
        <v>43709</v>
      </c>
      <c r="C126" s="736">
        <f>'Streetlight Details'!C14</f>
        <v>244.05399999999997</v>
      </c>
      <c r="D126" s="746">
        <f t="shared" si="19"/>
        <v>0</v>
      </c>
      <c r="E126" s="810">
        <v>0.85199999999999998</v>
      </c>
      <c r="F126" s="736">
        <v>4</v>
      </c>
      <c r="G126" s="817">
        <f t="shared" si="18"/>
        <v>0</v>
      </c>
      <c r="I126" s="736"/>
      <c r="J126" s="736"/>
      <c r="K126" s="736"/>
      <c r="L126" s="736"/>
      <c r="N126" s="736"/>
      <c r="O126" s="736"/>
      <c r="P126" s="736"/>
      <c r="Q126" s="736"/>
    </row>
    <row r="127" spans="2:17">
      <c r="B127" s="737">
        <v>43739</v>
      </c>
      <c r="C127" s="736">
        <f>'Streetlight Details'!C12</f>
        <v>244.05399999999997</v>
      </c>
      <c r="D127" s="746">
        <f t="shared" si="19"/>
        <v>0</v>
      </c>
      <c r="E127" s="810">
        <v>0.85199999999999998</v>
      </c>
      <c r="F127" s="736">
        <v>3</v>
      </c>
      <c r="G127" s="817">
        <f t="shared" si="18"/>
        <v>0</v>
      </c>
      <c r="I127" s="736"/>
      <c r="J127" s="736"/>
      <c r="K127" s="736"/>
      <c r="L127" s="736"/>
      <c r="N127" s="736"/>
      <c r="O127" s="736"/>
      <c r="P127" s="736"/>
      <c r="Q127" s="736"/>
    </row>
    <row r="128" spans="2:17">
      <c r="B128" s="737">
        <v>43770</v>
      </c>
      <c r="C128" s="736">
        <f>'Streetlight Details'!C10</f>
        <v>244.05399999999997</v>
      </c>
      <c r="D128" s="746">
        <f t="shared" si="19"/>
        <v>0</v>
      </c>
      <c r="E128" s="810">
        <v>0.85199999999999998</v>
      </c>
      <c r="F128" s="736">
        <v>2</v>
      </c>
      <c r="G128" s="817">
        <f t="shared" si="18"/>
        <v>0</v>
      </c>
      <c r="I128" s="736"/>
      <c r="J128" s="736"/>
      <c r="K128" s="736"/>
      <c r="L128" s="736"/>
      <c r="N128" s="736"/>
      <c r="O128" s="736"/>
      <c r="P128" s="736"/>
      <c r="Q128" s="736"/>
    </row>
    <row r="129" spans="2:17">
      <c r="B129" s="737">
        <v>43800</v>
      </c>
      <c r="C129" s="736">
        <f>'Streetlight Details'!C8</f>
        <v>244.05399999999997</v>
      </c>
      <c r="D129" s="746">
        <f t="shared" si="19"/>
        <v>0</v>
      </c>
      <c r="E129" s="810">
        <v>0.85199999999999998</v>
      </c>
      <c r="F129" s="736">
        <v>1</v>
      </c>
      <c r="G129" s="817">
        <f t="shared" si="18"/>
        <v>0</v>
      </c>
      <c r="I129" s="736"/>
      <c r="J129" s="736"/>
      <c r="K129" s="736"/>
      <c r="L129" s="736"/>
      <c r="N129" s="736"/>
      <c r="O129" s="736"/>
      <c r="P129" s="736"/>
      <c r="Q129" s="736"/>
    </row>
    <row r="130" spans="2:17">
      <c r="B130" s="747" t="s">
        <v>26</v>
      </c>
      <c r="C130" s="748"/>
      <c r="D130" s="748"/>
      <c r="E130" s="748"/>
      <c r="F130" s="748"/>
      <c r="G130" s="818">
        <f>SUM(G118:G129)</f>
        <v>0</v>
      </c>
      <c r="I130" s="736"/>
      <c r="J130" s="736"/>
      <c r="K130" s="736"/>
      <c r="L130" s="736"/>
      <c r="N130" s="736"/>
      <c r="O130" s="736"/>
      <c r="P130" s="736"/>
      <c r="Q130" s="736"/>
    </row>
    <row r="131" spans="2:17">
      <c r="B131" s="737" t="s">
        <v>801</v>
      </c>
      <c r="C131" s="736"/>
      <c r="D131" s="736"/>
      <c r="E131" s="736"/>
      <c r="F131" s="736"/>
      <c r="G131" s="817">
        <f>SUM(D118:D129)*-12</f>
        <v>0</v>
      </c>
      <c r="I131" s="736"/>
      <c r="J131" s="736"/>
      <c r="K131" s="736"/>
      <c r="L131" s="736"/>
      <c r="N131" s="736"/>
      <c r="O131" s="736"/>
      <c r="P131" s="736"/>
      <c r="Q131" s="736"/>
    </row>
    <row r="132" spans="2:17">
      <c r="I132" s="747" t="s">
        <v>26</v>
      </c>
      <c r="J132" s="748"/>
      <c r="K132" s="748"/>
      <c r="L132" s="744">
        <f>SUM(L118:L131)</f>
        <v>0</v>
      </c>
      <c r="N132" s="747" t="s">
        <v>26</v>
      </c>
      <c r="O132" s="748"/>
      <c r="P132" s="748"/>
      <c r="Q132" s="745">
        <f>SUM(Q118:Q131)</f>
        <v>0</v>
      </c>
    </row>
    <row r="157" spans="4:4">
      <c r="D157" s="853"/>
    </row>
  </sheetData>
  <mergeCells count="6">
    <mergeCell ref="B47:G47"/>
    <mergeCell ref="B18:U18"/>
    <mergeCell ref="B71:G71"/>
    <mergeCell ref="B93:G93"/>
    <mergeCell ref="B115:G115"/>
    <mergeCell ref="B23:G2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20"/>
  <sheetViews>
    <sheetView workbookViewId="0">
      <pane xSplit="2" ySplit="4" topLeftCell="C155" activePane="bottomRight" state="frozen"/>
      <selection activeCell="D157" sqref="D157"/>
      <selection pane="topRight" activeCell="D157" sqref="D157"/>
      <selection pane="bottomLeft" activeCell="D157" sqref="D157"/>
      <selection pane="bottomRight" activeCell="D157" sqref="D157"/>
    </sheetView>
  </sheetViews>
  <sheetFormatPr defaultRowHeight="14.4"/>
  <cols>
    <col min="2" max="2" width="9.5546875" bestFit="1" customWidth="1"/>
    <col min="3" max="3" width="13.5546875" bestFit="1" customWidth="1"/>
    <col min="4" max="4" width="9.5546875" bestFit="1" customWidth="1"/>
    <col min="5" max="7" width="7" bestFit="1" customWidth="1"/>
    <col min="8" max="8" width="6" bestFit="1" customWidth="1"/>
    <col min="9" max="9" width="8.44140625" bestFit="1" customWidth="1"/>
    <col min="10" max="13" width="7" bestFit="1" customWidth="1"/>
    <col min="14" max="14" width="1.44140625" customWidth="1"/>
    <col min="15" max="15" width="5" bestFit="1" customWidth="1"/>
    <col min="16" max="18" width="6" bestFit="1" customWidth="1"/>
    <col min="19" max="20" width="5" bestFit="1" customWidth="1"/>
    <col min="21" max="23" width="6" bestFit="1" customWidth="1"/>
    <col min="24" max="24" width="5" bestFit="1" customWidth="1"/>
    <col min="25" max="27" width="6" bestFit="1" customWidth="1"/>
    <col min="28" max="29" width="5" bestFit="1" customWidth="1"/>
    <col min="30" max="31" width="6" bestFit="1" customWidth="1"/>
    <col min="32" max="32" width="0.88671875" customWidth="1"/>
    <col min="33" max="34" width="7.44140625" bestFit="1" customWidth="1"/>
    <col min="35" max="37" width="8.44140625" bestFit="1" customWidth="1"/>
    <col min="38" max="38" width="6.5546875" bestFit="1" customWidth="1"/>
    <col min="39" max="39" width="0" hidden="1" customWidth="1"/>
    <col min="41" max="41" width="10.44140625" bestFit="1" customWidth="1"/>
    <col min="42" max="42" width="13.109375" customWidth="1"/>
  </cols>
  <sheetData>
    <row r="1" spans="1:42" ht="15" thickBot="1">
      <c r="D1" s="919"/>
      <c r="E1" s="919"/>
      <c r="F1" s="919"/>
    </row>
    <row r="2" spans="1:42" ht="15" thickBot="1">
      <c r="C2" t="s">
        <v>811</v>
      </c>
      <c r="D2" t="s">
        <v>808</v>
      </c>
      <c r="E2" s="920" t="s">
        <v>802</v>
      </c>
      <c r="F2" s="921"/>
      <c r="G2" s="921"/>
      <c r="H2" s="921"/>
      <c r="I2" s="921"/>
      <c r="J2" s="921"/>
      <c r="K2" s="921"/>
      <c r="L2" s="921"/>
      <c r="M2" s="921"/>
      <c r="N2" s="921"/>
      <c r="O2" s="921"/>
      <c r="P2" s="921"/>
      <c r="Q2" s="921"/>
      <c r="R2" s="921"/>
      <c r="S2" s="921"/>
      <c r="T2" s="921"/>
      <c r="U2" s="921"/>
      <c r="V2" s="921"/>
      <c r="W2" s="921"/>
      <c r="X2" s="921"/>
      <c r="Y2" s="921"/>
      <c r="Z2" s="921"/>
      <c r="AA2" s="921"/>
      <c r="AB2" s="921"/>
      <c r="AC2" s="921"/>
      <c r="AD2" s="921"/>
      <c r="AE2" s="922"/>
      <c r="AG2" s="923" t="s">
        <v>803</v>
      </c>
      <c r="AH2" s="924"/>
      <c r="AI2" s="924"/>
      <c r="AJ2" s="924"/>
      <c r="AK2" s="924"/>
      <c r="AL2" s="925"/>
    </row>
    <row r="3" spans="1:42">
      <c r="A3" s="640"/>
      <c r="B3" s="640"/>
      <c r="C3" s="640"/>
      <c r="D3" s="797" t="s">
        <v>804</v>
      </c>
      <c r="E3" s="798">
        <v>25</v>
      </c>
      <c r="F3" s="798">
        <v>36</v>
      </c>
      <c r="G3" s="798">
        <v>51</v>
      </c>
      <c r="H3" s="798">
        <v>52</v>
      </c>
      <c r="I3" s="798">
        <v>72</v>
      </c>
      <c r="J3" s="798">
        <v>75</v>
      </c>
      <c r="K3" s="798">
        <v>92</v>
      </c>
      <c r="L3" s="798">
        <v>103</v>
      </c>
      <c r="M3" s="798">
        <v>143</v>
      </c>
      <c r="N3" s="798"/>
      <c r="O3" s="798">
        <v>30</v>
      </c>
      <c r="P3" s="798">
        <v>42</v>
      </c>
      <c r="Q3" s="798">
        <v>51</v>
      </c>
      <c r="R3" s="798">
        <v>53</v>
      </c>
      <c r="S3" s="798">
        <v>60</v>
      </c>
      <c r="T3" s="798">
        <v>70</v>
      </c>
      <c r="U3" s="798">
        <v>71</v>
      </c>
      <c r="V3" s="798">
        <v>72</v>
      </c>
      <c r="W3" s="798">
        <v>75</v>
      </c>
      <c r="X3" s="798">
        <v>80</v>
      </c>
      <c r="Y3" s="798">
        <v>93</v>
      </c>
      <c r="Z3" s="798">
        <v>94</v>
      </c>
      <c r="AA3" s="798">
        <v>102</v>
      </c>
      <c r="AB3" s="798">
        <v>110</v>
      </c>
      <c r="AC3" s="798">
        <v>150</v>
      </c>
      <c r="AD3" s="798">
        <v>152</v>
      </c>
      <c r="AE3" s="798">
        <v>164</v>
      </c>
      <c r="AF3" s="649"/>
      <c r="AG3" s="799">
        <v>70</v>
      </c>
      <c r="AH3" s="799">
        <v>100</v>
      </c>
      <c r="AI3" s="799">
        <v>150</v>
      </c>
      <c r="AJ3" s="799">
        <v>175</v>
      </c>
      <c r="AK3" s="799">
        <v>200</v>
      </c>
      <c r="AL3" s="799">
        <v>250</v>
      </c>
    </row>
    <row r="4" spans="1:42" ht="28.8">
      <c r="A4" s="640"/>
      <c r="B4" s="640"/>
      <c r="C4" s="640"/>
      <c r="D4" s="797" t="s">
        <v>805</v>
      </c>
      <c r="E4" s="649">
        <f>E3</f>
        <v>25</v>
      </c>
      <c r="F4" s="649">
        <f t="shared" ref="F4:AE4" si="0">F3</f>
        <v>36</v>
      </c>
      <c r="G4" s="649">
        <f t="shared" si="0"/>
        <v>51</v>
      </c>
      <c r="H4" s="649">
        <f t="shared" si="0"/>
        <v>52</v>
      </c>
      <c r="I4" s="649">
        <f t="shared" si="0"/>
        <v>72</v>
      </c>
      <c r="J4" s="649">
        <f t="shared" si="0"/>
        <v>75</v>
      </c>
      <c r="K4" s="649">
        <f t="shared" si="0"/>
        <v>92</v>
      </c>
      <c r="L4" s="649">
        <f t="shared" si="0"/>
        <v>103</v>
      </c>
      <c r="M4" s="649">
        <f t="shared" si="0"/>
        <v>143</v>
      </c>
      <c r="N4" s="649"/>
      <c r="O4" s="649">
        <f t="shared" si="0"/>
        <v>30</v>
      </c>
      <c r="P4" s="649">
        <f t="shared" si="0"/>
        <v>42</v>
      </c>
      <c r="Q4" s="649">
        <f t="shared" si="0"/>
        <v>51</v>
      </c>
      <c r="R4" s="649">
        <f t="shared" si="0"/>
        <v>53</v>
      </c>
      <c r="S4" s="649">
        <f t="shared" si="0"/>
        <v>60</v>
      </c>
      <c r="T4" s="649">
        <f t="shared" si="0"/>
        <v>70</v>
      </c>
      <c r="U4" s="649">
        <f t="shared" si="0"/>
        <v>71</v>
      </c>
      <c r="V4" s="649">
        <f t="shared" si="0"/>
        <v>72</v>
      </c>
      <c r="W4" s="649">
        <f t="shared" si="0"/>
        <v>75</v>
      </c>
      <c r="X4" s="649">
        <f t="shared" si="0"/>
        <v>80</v>
      </c>
      <c r="Y4" s="649">
        <f t="shared" si="0"/>
        <v>93</v>
      </c>
      <c r="Z4" s="649">
        <f t="shared" si="0"/>
        <v>94</v>
      </c>
      <c r="AA4" s="649">
        <f t="shared" si="0"/>
        <v>102</v>
      </c>
      <c r="AB4" s="649">
        <v>110</v>
      </c>
      <c r="AC4" s="649">
        <f t="shared" si="0"/>
        <v>150</v>
      </c>
      <c r="AD4" s="649">
        <v>152</v>
      </c>
      <c r="AE4" s="649">
        <f t="shared" si="0"/>
        <v>164</v>
      </c>
      <c r="AF4" s="649"/>
      <c r="AG4" s="800">
        <v>100</v>
      </c>
      <c r="AH4" s="800">
        <v>135</v>
      </c>
      <c r="AI4" s="800">
        <v>190</v>
      </c>
      <c r="AJ4" s="800">
        <v>215</v>
      </c>
      <c r="AK4" s="800">
        <v>250</v>
      </c>
      <c r="AL4" s="800">
        <v>310</v>
      </c>
      <c r="AO4" t="s">
        <v>812</v>
      </c>
      <c r="AP4" t="s">
        <v>813</v>
      </c>
    </row>
    <row r="5" spans="1:42">
      <c r="A5" s="918">
        <v>43831</v>
      </c>
      <c r="B5" s="801" t="s">
        <v>806</v>
      </c>
      <c r="C5" s="802">
        <f>SUM(E5:AL5)</f>
        <v>4595</v>
      </c>
      <c r="D5" s="802">
        <v>4846</v>
      </c>
      <c r="E5" s="802">
        <v>455</v>
      </c>
      <c r="F5" s="802">
        <f>2467-2</f>
        <v>2465</v>
      </c>
      <c r="G5" s="802">
        <v>268</v>
      </c>
      <c r="H5" s="802">
        <v>66</v>
      </c>
      <c r="I5" s="802">
        <f>410-67</f>
        <v>343</v>
      </c>
      <c r="J5" s="802">
        <f>179-8</f>
        <v>171</v>
      </c>
      <c r="K5" s="802">
        <v>125</v>
      </c>
      <c r="L5" s="802">
        <v>123</v>
      </c>
      <c r="M5" s="802">
        <v>290</v>
      </c>
      <c r="N5" s="803"/>
      <c r="O5" s="802">
        <v>29</v>
      </c>
      <c r="P5" s="802">
        <v>14</v>
      </c>
      <c r="Q5" s="802">
        <v>18</v>
      </c>
      <c r="R5" s="802">
        <v>3</v>
      </c>
      <c r="S5" s="802">
        <v>2</v>
      </c>
      <c r="T5" s="802">
        <v>47</v>
      </c>
      <c r="U5" s="802">
        <v>48</v>
      </c>
      <c r="V5" s="802">
        <v>13</v>
      </c>
      <c r="W5" s="802">
        <v>19</v>
      </c>
      <c r="X5" s="802">
        <v>34</v>
      </c>
      <c r="Y5" s="802">
        <v>23</v>
      </c>
      <c r="Z5" s="802">
        <v>2</v>
      </c>
      <c r="AA5" s="802">
        <v>7</v>
      </c>
      <c r="AB5" s="802"/>
      <c r="AC5" s="802">
        <v>3</v>
      </c>
      <c r="AD5" s="802"/>
      <c r="AE5" s="802">
        <v>1</v>
      </c>
      <c r="AF5" s="803"/>
      <c r="AG5" s="804">
        <v>0</v>
      </c>
      <c r="AH5" s="804">
        <v>0</v>
      </c>
      <c r="AI5" s="804">
        <v>0</v>
      </c>
      <c r="AJ5" s="804">
        <v>26</v>
      </c>
      <c r="AK5" s="804">
        <v>0</v>
      </c>
      <c r="AL5" s="804">
        <v>0</v>
      </c>
      <c r="AM5" s="805"/>
      <c r="AO5">
        <f t="shared" ref="AO5:AO67" si="1">SUM(AG5:AL5)</f>
        <v>26</v>
      </c>
      <c r="AP5">
        <f t="shared" ref="AP5:AP67" si="2">AO5-AO7</f>
        <v>0</v>
      </c>
    </row>
    <row r="6" spans="1:42">
      <c r="A6" s="918"/>
      <c r="B6" s="806" t="s">
        <v>28</v>
      </c>
      <c r="C6" s="807">
        <f t="shared" ref="C6:C69" si="3">SUM(E6:AL6)</f>
        <v>244.05399999999997</v>
      </c>
      <c r="D6" s="807">
        <v>263.72499999999997</v>
      </c>
      <c r="E6" s="807">
        <f>E5*E$4/1000</f>
        <v>11.375</v>
      </c>
      <c r="F6" s="807">
        <f t="shared" ref="F6:AE6" si="4">F5*F$4/1000</f>
        <v>88.74</v>
      </c>
      <c r="G6" s="807">
        <f t="shared" si="4"/>
        <v>13.667999999999999</v>
      </c>
      <c r="H6" s="807">
        <f t="shared" si="4"/>
        <v>3.4319999999999999</v>
      </c>
      <c r="I6" s="807">
        <f t="shared" si="4"/>
        <v>24.696000000000002</v>
      </c>
      <c r="J6" s="807">
        <f t="shared" si="4"/>
        <v>12.824999999999999</v>
      </c>
      <c r="K6" s="807">
        <f t="shared" si="4"/>
        <v>11.5</v>
      </c>
      <c r="L6" s="807">
        <f t="shared" si="4"/>
        <v>12.669</v>
      </c>
      <c r="M6" s="807">
        <f t="shared" si="4"/>
        <v>41.47</v>
      </c>
      <c r="N6" s="807">
        <f t="shared" si="4"/>
        <v>0</v>
      </c>
      <c r="O6" s="807">
        <f t="shared" si="4"/>
        <v>0.87</v>
      </c>
      <c r="P6" s="807">
        <f t="shared" si="4"/>
        <v>0.58799999999999997</v>
      </c>
      <c r="Q6" s="807">
        <f t="shared" si="4"/>
        <v>0.91800000000000004</v>
      </c>
      <c r="R6" s="807">
        <f t="shared" si="4"/>
        <v>0.159</v>
      </c>
      <c r="S6" s="807">
        <f t="shared" si="4"/>
        <v>0.12</v>
      </c>
      <c r="T6" s="807">
        <f t="shared" si="4"/>
        <v>3.29</v>
      </c>
      <c r="U6" s="807">
        <f t="shared" si="4"/>
        <v>3.4079999999999999</v>
      </c>
      <c r="V6" s="807">
        <f t="shared" si="4"/>
        <v>0.93600000000000005</v>
      </c>
      <c r="W6" s="807">
        <f t="shared" si="4"/>
        <v>1.425</v>
      </c>
      <c r="X6" s="807">
        <f t="shared" si="4"/>
        <v>2.72</v>
      </c>
      <c r="Y6" s="807">
        <f t="shared" si="4"/>
        <v>2.1389999999999998</v>
      </c>
      <c r="Z6" s="807">
        <f t="shared" si="4"/>
        <v>0.188</v>
      </c>
      <c r="AA6" s="807">
        <f t="shared" si="4"/>
        <v>0.71399999999999997</v>
      </c>
      <c r="AB6" s="807">
        <f t="shared" si="4"/>
        <v>0</v>
      </c>
      <c r="AC6" s="807">
        <f t="shared" si="4"/>
        <v>0.45</v>
      </c>
      <c r="AD6" s="807">
        <f t="shared" si="4"/>
        <v>0</v>
      </c>
      <c r="AE6" s="807">
        <f t="shared" si="4"/>
        <v>0.16400000000000001</v>
      </c>
      <c r="AF6" s="803"/>
      <c r="AG6" s="807">
        <f t="shared" ref="AG6" si="5">AG5*AG$4/1000</f>
        <v>0</v>
      </c>
      <c r="AH6" s="807">
        <f t="shared" ref="AH6" si="6">AH5*AH$4/1000</f>
        <v>0</v>
      </c>
      <c r="AI6" s="807">
        <f t="shared" ref="AI6" si="7">AI5*AI$4/1000</f>
        <v>0</v>
      </c>
      <c r="AJ6" s="807">
        <f t="shared" ref="AJ6" si="8">AJ5*AJ$4/1000</f>
        <v>5.59</v>
      </c>
      <c r="AK6" s="807">
        <f t="shared" ref="AK6" si="9">AK5*AK$4/1000</f>
        <v>0</v>
      </c>
      <c r="AL6" s="807">
        <f t="shared" ref="AL6" si="10">AL5*AL$4/1000</f>
        <v>0</v>
      </c>
      <c r="AM6" s="807">
        <f t="shared" ref="AM6" si="11">AM5*AM$4/1000</f>
        <v>0</v>
      </c>
    </row>
    <row r="7" spans="1:42">
      <c r="A7" s="918">
        <v>43800</v>
      </c>
      <c r="B7" s="801" t="s">
        <v>806</v>
      </c>
      <c r="C7" s="802">
        <f t="shared" si="3"/>
        <v>4595</v>
      </c>
      <c r="D7" s="802">
        <v>4833</v>
      </c>
      <c r="E7" s="802">
        <v>455</v>
      </c>
      <c r="F7" s="802">
        <f>2467-2</f>
        <v>2465</v>
      </c>
      <c r="G7" s="802">
        <v>268</v>
      </c>
      <c r="H7" s="802">
        <v>66</v>
      </c>
      <c r="I7" s="802">
        <f>410-67</f>
        <v>343</v>
      </c>
      <c r="J7" s="802">
        <f>179-8</f>
        <v>171</v>
      </c>
      <c r="K7" s="802">
        <v>125</v>
      </c>
      <c r="L7" s="802">
        <v>123</v>
      </c>
      <c r="M7" s="802">
        <v>290</v>
      </c>
      <c r="N7" s="803"/>
      <c r="O7" s="802">
        <v>29</v>
      </c>
      <c r="P7" s="802">
        <v>14</v>
      </c>
      <c r="Q7" s="802">
        <v>18</v>
      </c>
      <c r="R7" s="802">
        <v>3</v>
      </c>
      <c r="S7" s="802">
        <v>2</v>
      </c>
      <c r="T7" s="802">
        <v>47</v>
      </c>
      <c r="U7" s="802">
        <v>48</v>
      </c>
      <c r="V7" s="802">
        <v>13</v>
      </c>
      <c r="W7" s="802">
        <v>19</v>
      </c>
      <c r="X7" s="802">
        <v>34</v>
      </c>
      <c r="Y7" s="802">
        <v>23</v>
      </c>
      <c r="Z7" s="802">
        <v>2</v>
      </c>
      <c r="AA7" s="802">
        <v>7</v>
      </c>
      <c r="AB7" s="802"/>
      <c r="AC7" s="802">
        <v>3</v>
      </c>
      <c r="AD7" s="802"/>
      <c r="AE7" s="802">
        <v>1</v>
      </c>
      <c r="AF7" s="803"/>
      <c r="AG7" s="804">
        <v>0</v>
      </c>
      <c r="AH7" s="804">
        <v>0</v>
      </c>
      <c r="AI7" s="804">
        <v>0</v>
      </c>
      <c r="AJ7" s="804">
        <v>26</v>
      </c>
      <c r="AK7" s="804">
        <v>0</v>
      </c>
      <c r="AL7" s="804">
        <v>0</v>
      </c>
      <c r="AO7">
        <f t="shared" si="1"/>
        <v>26</v>
      </c>
      <c r="AP7">
        <f t="shared" si="2"/>
        <v>0</v>
      </c>
    </row>
    <row r="8" spans="1:42">
      <c r="A8" s="918"/>
      <c r="B8" s="806" t="s">
        <v>28</v>
      </c>
      <c r="C8" s="807">
        <f t="shared" si="3"/>
        <v>244.05399999999997</v>
      </c>
      <c r="D8" s="807">
        <v>262.15100000000001</v>
      </c>
      <c r="E8" s="807">
        <f>E7*E$4/1000</f>
        <v>11.375</v>
      </c>
      <c r="F8" s="807">
        <f t="shared" ref="F8" si="12">F7*F$4/1000</f>
        <v>88.74</v>
      </c>
      <c r="G8" s="807">
        <f t="shared" ref="G8" si="13">G7*G$4/1000</f>
        <v>13.667999999999999</v>
      </c>
      <c r="H8" s="807">
        <f t="shared" ref="H8" si="14">H7*H$4/1000</f>
        <v>3.4319999999999999</v>
      </c>
      <c r="I8" s="807">
        <f t="shared" ref="I8" si="15">I7*I$4/1000</f>
        <v>24.696000000000002</v>
      </c>
      <c r="J8" s="807">
        <f t="shared" ref="J8" si="16">J7*J$4/1000</f>
        <v>12.824999999999999</v>
      </c>
      <c r="K8" s="807">
        <f t="shared" ref="K8" si="17">K7*K$4/1000</f>
        <v>11.5</v>
      </c>
      <c r="L8" s="807">
        <f t="shared" ref="L8" si="18">L7*L$4/1000</f>
        <v>12.669</v>
      </c>
      <c r="M8" s="807">
        <f t="shared" ref="M8" si="19">M7*M$4/1000</f>
        <v>41.47</v>
      </c>
      <c r="N8" s="807">
        <f t="shared" ref="N8" si="20">N7*N$4/1000</f>
        <v>0</v>
      </c>
      <c r="O8" s="807">
        <f t="shared" ref="O8" si="21">O7*O$4/1000</f>
        <v>0.87</v>
      </c>
      <c r="P8" s="807">
        <f t="shared" ref="P8" si="22">P7*P$4/1000</f>
        <v>0.58799999999999997</v>
      </c>
      <c r="Q8" s="807">
        <f t="shared" ref="Q8" si="23">Q7*Q$4/1000</f>
        <v>0.91800000000000004</v>
      </c>
      <c r="R8" s="807">
        <f t="shared" ref="R8" si="24">R7*R$4/1000</f>
        <v>0.159</v>
      </c>
      <c r="S8" s="807">
        <f t="shared" ref="S8" si="25">S7*S$4/1000</f>
        <v>0.12</v>
      </c>
      <c r="T8" s="807">
        <f t="shared" ref="T8" si="26">T7*T$4/1000</f>
        <v>3.29</v>
      </c>
      <c r="U8" s="807">
        <f t="shared" ref="U8" si="27">U7*U$4/1000</f>
        <v>3.4079999999999999</v>
      </c>
      <c r="V8" s="807">
        <f t="shared" ref="V8" si="28">V7*V$4/1000</f>
        <v>0.93600000000000005</v>
      </c>
      <c r="W8" s="807">
        <f t="shared" ref="W8" si="29">W7*W$4/1000</f>
        <v>1.425</v>
      </c>
      <c r="X8" s="807">
        <f t="shared" ref="X8" si="30">X7*X$4/1000</f>
        <v>2.72</v>
      </c>
      <c r="Y8" s="807">
        <f t="shared" ref="Y8" si="31">Y7*Y$4/1000</f>
        <v>2.1389999999999998</v>
      </c>
      <c r="Z8" s="807">
        <f t="shared" ref="Z8" si="32">Z7*Z$4/1000</f>
        <v>0.188</v>
      </c>
      <c r="AA8" s="807">
        <f t="shared" ref="AA8" si="33">AA7*AA$4/1000</f>
        <v>0.71399999999999997</v>
      </c>
      <c r="AB8" s="807">
        <f t="shared" ref="AB8" si="34">AB7*AB$4/1000</f>
        <v>0</v>
      </c>
      <c r="AC8" s="807">
        <f t="shared" ref="AC8" si="35">AC7*AC$4/1000</f>
        <v>0.45</v>
      </c>
      <c r="AD8" s="807">
        <f t="shared" ref="AD8" si="36">AD7*AD$4/1000</f>
        <v>0</v>
      </c>
      <c r="AE8" s="807">
        <f t="shared" ref="AE8" si="37">AE7*AE$4/1000</f>
        <v>0.16400000000000001</v>
      </c>
      <c r="AF8" s="803"/>
      <c r="AG8" s="807">
        <f t="shared" ref="AG8" si="38">AG7*AG$4/1000</f>
        <v>0</v>
      </c>
      <c r="AH8" s="807">
        <f t="shared" ref="AH8" si="39">AH7*AH$4/1000</f>
        <v>0</v>
      </c>
      <c r="AI8" s="807">
        <f t="shared" ref="AI8" si="40">AI7*AI$4/1000</f>
        <v>0</v>
      </c>
      <c r="AJ8" s="807">
        <f t="shared" ref="AJ8" si="41">AJ7*AJ$4/1000</f>
        <v>5.59</v>
      </c>
      <c r="AK8" s="807">
        <f t="shared" ref="AK8" si="42">AK7*AK$4/1000</f>
        <v>0</v>
      </c>
      <c r="AL8" s="807">
        <f t="shared" ref="AL8" si="43">AL7*AL$4/1000</f>
        <v>0</v>
      </c>
      <c r="AM8" s="807">
        <f t="shared" ref="AM8" si="44">AM7*AM$4/1000</f>
        <v>0</v>
      </c>
    </row>
    <row r="9" spans="1:42">
      <c r="A9" s="918">
        <v>43770</v>
      </c>
      <c r="B9" s="801" t="s">
        <v>806</v>
      </c>
      <c r="C9" s="802">
        <f t="shared" si="3"/>
        <v>4595</v>
      </c>
      <c r="D9" s="802">
        <v>4830</v>
      </c>
      <c r="E9" s="802">
        <v>455</v>
      </c>
      <c r="F9" s="802">
        <f>2467-2</f>
        <v>2465</v>
      </c>
      <c r="G9" s="802">
        <v>268</v>
      </c>
      <c r="H9" s="802">
        <v>66</v>
      </c>
      <c r="I9" s="802">
        <f>410-67</f>
        <v>343</v>
      </c>
      <c r="J9" s="802">
        <f>179-8</f>
        <v>171</v>
      </c>
      <c r="K9" s="802">
        <v>125</v>
      </c>
      <c r="L9" s="802">
        <v>123</v>
      </c>
      <c r="M9" s="802">
        <v>290</v>
      </c>
      <c r="N9" s="803"/>
      <c r="O9" s="802">
        <v>29</v>
      </c>
      <c r="P9" s="802">
        <v>14</v>
      </c>
      <c r="Q9" s="802">
        <v>18</v>
      </c>
      <c r="R9" s="802">
        <v>3</v>
      </c>
      <c r="S9" s="802">
        <v>2</v>
      </c>
      <c r="T9" s="802">
        <v>47</v>
      </c>
      <c r="U9" s="802">
        <v>48</v>
      </c>
      <c r="V9" s="802">
        <v>13</v>
      </c>
      <c r="W9" s="802">
        <v>19</v>
      </c>
      <c r="X9" s="802">
        <v>34</v>
      </c>
      <c r="Y9" s="802">
        <v>23</v>
      </c>
      <c r="Z9" s="802">
        <v>2</v>
      </c>
      <c r="AA9" s="802">
        <v>7</v>
      </c>
      <c r="AB9" s="802"/>
      <c r="AC9" s="802">
        <v>3</v>
      </c>
      <c r="AD9" s="802"/>
      <c r="AE9" s="802">
        <v>1</v>
      </c>
      <c r="AF9" s="803"/>
      <c r="AG9" s="804">
        <v>0</v>
      </c>
      <c r="AH9" s="804">
        <v>0</v>
      </c>
      <c r="AI9" s="804">
        <v>0</v>
      </c>
      <c r="AJ9" s="804">
        <v>26</v>
      </c>
      <c r="AK9" s="804">
        <v>0</v>
      </c>
      <c r="AL9" s="804">
        <v>0</v>
      </c>
      <c r="AO9">
        <f t="shared" si="1"/>
        <v>26</v>
      </c>
      <c r="AP9">
        <f t="shared" si="2"/>
        <v>0</v>
      </c>
    </row>
    <row r="10" spans="1:42">
      <c r="A10" s="918"/>
      <c r="B10" s="806" t="s">
        <v>28</v>
      </c>
      <c r="C10" s="807">
        <f t="shared" si="3"/>
        <v>244.05399999999997</v>
      </c>
      <c r="D10" s="807">
        <v>261.86599999999999</v>
      </c>
      <c r="E10" s="807">
        <f>E9*E$4/1000</f>
        <v>11.375</v>
      </c>
      <c r="F10" s="807">
        <f t="shared" ref="F10" si="45">F9*F$4/1000</f>
        <v>88.74</v>
      </c>
      <c r="G10" s="807">
        <f t="shared" ref="G10" si="46">G9*G$4/1000</f>
        <v>13.667999999999999</v>
      </c>
      <c r="H10" s="807">
        <f t="shared" ref="H10" si="47">H9*H$4/1000</f>
        <v>3.4319999999999999</v>
      </c>
      <c r="I10" s="807">
        <f t="shared" ref="I10" si="48">I9*I$4/1000</f>
        <v>24.696000000000002</v>
      </c>
      <c r="J10" s="807">
        <f t="shared" ref="J10" si="49">J9*J$4/1000</f>
        <v>12.824999999999999</v>
      </c>
      <c r="K10" s="807">
        <f t="shared" ref="K10" si="50">K9*K$4/1000</f>
        <v>11.5</v>
      </c>
      <c r="L10" s="807">
        <f t="shared" ref="L10" si="51">L9*L$4/1000</f>
        <v>12.669</v>
      </c>
      <c r="M10" s="807">
        <f t="shared" ref="M10" si="52">M9*M$4/1000</f>
        <v>41.47</v>
      </c>
      <c r="N10" s="807">
        <f t="shared" ref="N10" si="53">N9*N$4/1000</f>
        <v>0</v>
      </c>
      <c r="O10" s="807">
        <f t="shared" ref="O10" si="54">O9*O$4/1000</f>
        <v>0.87</v>
      </c>
      <c r="P10" s="807">
        <f t="shared" ref="P10" si="55">P9*P$4/1000</f>
        <v>0.58799999999999997</v>
      </c>
      <c r="Q10" s="807">
        <f t="shared" ref="Q10" si="56">Q9*Q$4/1000</f>
        <v>0.91800000000000004</v>
      </c>
      <c r="R10" s="807">
        <f t="shared" ref="R10" si="57">R9*R$4/1000</f>
        <v>0.159</v>
      </c>
      <c r="S10" s="807">
        <f t="shared" ref="S10" si="58">S9*S$4/1000</f>
        <v>0.12</v>
      </c>
      <c r="T10" s="807">
        <f t="shared" ref="T10" si="59">T9*T$4/1000</f>
        <v>3.29</v>
      </c>
      <c r="U10" s="807">
        <f t="shared" ref="U10" si="60">U9*U$4/1000</f>
        <v>3.4079999999999999</v>
      </c>
      <c r="V10" s="807">
        <f t="shared" ref="V10" si="61">V9*V$4/1000</f>
        <v>0.93600000000000005</v>
      </c>
      <c r="W10" s="807">
        <f t="shared" ref="W10" si="62">W9*W$4/1000</f>
        <v>1.425</v>
      </c>
      <c r="X10" s="807">
        <f t="shared" ref="X10" si="63">X9*X$4/1000</f>
        <v>2.72</v>
      </c>
      <c r="Y10" s="807">
        <f t="shared" ref="Y10" si="64">Y9*Y$4/1000</f>
        <v>2.1389999999999998</v>
      </c>
      <c r="Z10" s="807">
        <f t="shared" ref="Z10" si="65">Z9*Z$4/1000</f>
        <v>0.188</v>
      </c>
      <c r="AA10" s="807">
        <f t="shared" ref="AA10" si="66">AA9*AA$4/1000</f>
        <v>0.71399999999999997</v>
      </c>
      <c r="AB10" s="807">
        <f t="shared" ref="AB10" si="67">AB9*AB$4/1000</f>
        <v>0</v>
      </c>
      <c r="AC10" s="807">
        <f t="shared" ref="AC10" si="68">AC9*AC$4/1000</f>
        <v>0.45</v>
      </c>
      <c r="AD10" s="807">
        <f t="shared" ref="AD10" si="69">AD9*AD$4/1000</f>
        <v>0</v>
      </c>
      <c r="AE10" s="807">
        <f t="shared" ref="AE10" si="70">AE9*AE$4/1000</f>
        <v>0.16400000000000001</v>
      </c>
      <c r="AF10" s="803"/>
      <c r="AG10" s="807">
        <f t="shared" ref="AG10" si="71">AG9*AG$4/1000</f>
        <v>0</v>
      </c>
      <c r="AH10" s="807">
        <f t="shared" ref="AH10" si="72">AH9*AH$4/1000</f>
        <v>0</v>
      </c>
      <c r="AI10" s="807">
        <f t="shared" ref="AI10" si="73">AI9*AI$4/1000</f>
        <v>0</v>
      </c>
      <c r="AJ10" s="807">
        <f t="shared" ref="AJ10" si="74">AJ9*AJ$4/1000</f>
        <v>5.59</v>
      </c>
      <c r="AK10" s="807">
        <f t="shared" ref="AK10" si="75">AK9*AK$4/1000</f>
        <v>0</v>
      </c>
      <c r="AL10" s="807">
        <f t="shared" ref="AL10" si="76">AL9*AL$4/1000</f>
        <v>0</v>
      </c>
      <c r="AM10" s="807">
        <f t="shared" ref="AM10" si="77">AM9*AM$4/1000</f>
        <v>0</v>
      </c>
    </row>
    <row r="11" spans="1:42">
      <c r="A11" s="926">
        <v>43739</v>
      </c>
      <c r="B11" s="801" t="s">
        <v>806</v>
      </c>
      <c r="C11" s="802">
        <f t="shared" si="3"/>
        <v>4595</v>
      </c>
      <c r="D11" s="802">
        <v>4830</v>
      </c>
      <c r="E11" s="802">
        <v>455</v>
      </c>
      <c r="F11" s="802">
        <f>2467-2</f>
        <v>2465</v>
      </c>
      <c r="G11" s="802">
        <v>268</v>
      </c>
      <c r="H11" s="802">
        <v>66</v>
      </c>
      <c r="I11" s="802">
        <f>410-67</f>
        <v>343</v>
      </c>
      <c r="J11" s="802">
        <f>179-8</f>
        <v>171</v>
      </c>
      <c r="K11" s="802">
        <v>125</v>
      </c>
      <c r="L11" s="802">
        <v>123</v>
      </c>
      <c r="M11" s="802">
        <v>290</v>
      </c>
      <c r="N11" s="803"/>
      <c r="O11" s="802">
        <v>29</v>
      </c>
      <c r="P11" s="802">
        <v>14</v>
      </c>
      <c r="Q11" s="802">
        <v>18</v>
      </c>
      <c r="R11" s="802">
        <v>3</v>
      </c>
      <c r="S11" s="802">
        <v>2</v>
      </c>
      <c r="T11" s="802">
        <v>47</v>
      </c>
      <c r="U11" s="802">
        <v>48</v>
      </c>
      <c r="V11" s="802">
        <v>13</v>
      </c>
      <c r="W11" s="802">
        <v>19</v>
      </c>
      <c r="X11" s="802">
        <v>34</v>
      </c>
      <c r="Y11" s="802">
        <v>23</v>
      </c>
      <c r="Z11" s="802">
        <v>2</v>
      </c>
      <c r="AA11" s="802">
        <v>7</v>
      </c>
      <c r="AB11" s="802"/>
      <c r="AC11" s="802">
        <v>3</v>
      </c>
      <c r="AD11" s="802"/>
      <c r="AE11" s="802">
        <v>1</v>
      </c>
      <c r="AF11" s="803"/>
      <c r="AG11" s="804">
        <v>0</v>
      </c>
      <c r="AH11" s="804">
        <v>0</v>
      </c>
      <c r="AI11" s="804">
        <v>0</v>
      </c>
      <c r="AJ11" s="804">
        <v>26</v>
      </c>
      <c r="AK11" s="804">
        <v>0</v>
      </c>
      <c r="AL11" s="804">
        <v>0</v>
      </c>
      <c r="AO11">
        <f t="shared" si="1"/>
        <v>26</v>
      </c>
      <c r="AP11">
        <f t="shared" si="2"/>
        <v>0</v>
      </c>
    </row>
    <row r="12" spans="1:42">
      <c r="A12" s="927"/>
      <c r="B12" s="806" t="s">
        <v>28</v>
      </c>
      <c r="C12" s="807">
        <f t="shared" si="3"/>
        <v>244.05399999999997</v>
      </c>
      <c r="D12" s="807">
        <v>261.86599999999999</v>
      </c>
      <c r="E12" s="807">
        <f>E11*E$4/1000</f>
        <v>11.375</v>
      </c>
      <c r="F12" s="807">
        <f t="shared" ref="F12" si="78">F11*F$4/1000</f>
        <v>88.74</v>
      </c>
      <c r="G12" s="807">
        <f t="shared" ref="G12" si="79">G11*G$4/1000</f>
        <v>13.667999999999999</v>
      </c>
      <c r="H12" s="807">
        <f t="shared" ref="H12" si="80">H11*H$4/1000</f>
        <v>3.4319999999999999</v>
      </c>
      <c r="I12" s="807">
        <f t="shared" ref="I12" si="81">I11*I$4/1000</f>
        <v>24.696000000000002</v>
      </c>
      <c r="J12" s="807">
        <f t="shared" ref="J12" si="82">J11*J$4/1000</f>
        <v>12.824999999999999</v>
      </c>
      <c r="K12" s="807">
        <f t="shared" ref="K12" si="83">K11*K$4/1000</f>
        <v>11.5</v>
      </c>
      <c r="L12" s="807">
        <f t="shared" ref="L12" si="84">L11*L$4/1000</f>
        <v>12.669</v>
      </c>
      <c r="M12" s="807">
        <f t="shared" ref="M12" si="85">M11*M$4/1000</f>
        <v>41.47</v>
      </c>
      <c r="N12" s="807">
        <f t="shared" ref="N12" si="86">N11*N$4/1000</f>
        <v>0</v>
      </c>
      <c r="O12" s="807">
        <f t="shared" ref="O12" si="87">O11*O$4/1000</f>
        <v>0.87</v>
      </c>
      <c r="P12" s="807">
        <f t="shared" ref="P12" si="88">P11*P$4/1000</f>
        <v>0.58799999999999997</v>
      </c>
      <c r="Q12" s="807">
        <f t="shared" ref="Q12" si="89">Q11*Q$4/1000</f>
        <v>0.91800000000000004</v>
      </c>
      <c r="R12" s="807">
        <f t="shared" ref="R12" si="90">R11*R$4/1000</f>
        <v>0.159</v>
      </c>
      <c r="S12" s="807">
        <f t="shared" ref="S12" si="91">S11*S$4/1000</f>
        <v>0.12</v>
      </c>
      <c r="T12" s="807">
        <f t="shared" ref="T12" si="92">T11*T$4/1000</f>
        <v>3.29</v>
      </c>
      <c r="U12" s="807">
        <f t="shared" ref="U12" si="93">U11*U$4/1000</f>
        <v>3.4079999999999999</v>
      </c>
      <c r="V12" s="807">
        <f t="shared" ref="V12" si="94">V11*V$4/1000</f>
        <v>0.93600000000000005</v>
      </c>
      <c r="W12" s="807">
        <f t="shared" ref="W12" si="95">W11*W$4/1000</f>
        <v>1.425</v>
      </c>
      <c r="X12" s="807">
        <f t="shared" ref="X12" si="96">X11*X$4/1000</f>
        <v>2.72</v>
      </c>
      <c r="Y12" s="807">
        <f t="shared" ref="Y12" si="97">Y11*Y$4/1000</f>
        <v>2.1389999999999998</v>
      </c>
      <c r="Z12" s="807">
        <f t="shared" ref="Z12" si="98">Z11*Z$4/1000</f>
        <v>0.188</v>
      </c>
      <c r="AA12" s="807">
        <f t="shared" ref="AA12" si="99">AA11*AA$4/1000</f>
        <v>0.71399999999999997</v>
      </c>
      <c r="AB12" s="807">
        <f t="shared" ref="AB12" si="100">AB11*AB$4/1000</f>
        <v>0</v>
      </c>
      <c r="AC12" s="807">
        <f t="shared" ref="AC12" si="101">AC11*AC$4/1000</f>
        <v>0.45</v>
      </c>
      <c r="AD12" s="807">
        <f t="shared" ref="AD12" si="102">AD11*AD$4/1000</f>
        <v>0</v>
      </c>
      <c r="AE12" s="807">
        <f t="shared" ref="AE12" si="103">AE11*AE$4/1000</f>
        <v>0.16400000000000001</v>
      </c>
      <c r="AF12" s="803"/>
      <c r="AG12" s="807">
        <f t="shared" ref="AG12" si="104">AG11*AG$4/1000</f>
        <v>0</v>
      </c>
      <c r="AH12" s="807">
        <f t="shared" ref="AH12" si="105">AH11*AH$4/1000</f>
        <v>0</v>
      </c>
      <c r="AI12" s="807">
        <f t="shared" ref="AI12" si="106">AI11*AI$4/1000</f>
        <v>0</v>
      </c>
      <c r="AJ12" s="807">
        <f t="shared" ref="AJ12" si="107">AJ11*AJ$4/1000</f>
        <v>5.59</v>
      </c>
      <c r="AK12" s="807">
        <f t="shared" ref="AK12" si="108">AK11*AK$4/1000</f>
        <v>0</v>
      </c>
      <c r="AL12" s="807">
        <f t="shared" ref="AL12" si="109">AL11*AL$4/1000</f>
        <v>0</v>
      </c>
      <c r="AM12" s="807">
        <f t="shared" ref="AM12" si="110">AM11*AM$4/1000</f>
        <v>0</v>
      </c>
    </row>
    <row r="13" spans="1:42">
      <c r="A13" s="926">
        <v>43709</v>
      </c>
      <c r="B13" s="801" t="s">
        <v>806</v>
      </c>
      <c r="C13" s="802">
        <f t="shared" si="3"/>
        <v>4595</v>
      </c>
      <c r="D13" s="802">
        <v>4806</v>
      </c>
      <c r="E13" s="802">
        <v>455</v>
      </c>
      <c r="F13" s="802">
        <f>2467-2</f>
        <v>2465</v>
      </c>
      <c r="G13" s="802">
        <v>268</v>
      </c>
      <c r="H13" s="802">
        <v>66</v>
      </c>
      <c r="I13" s="802">
        <f>410-67</f>
        <v>343</v>
      </c>
      <c r="J13" s="802">
        <f>179-8</f>
        <v>171</v>
      </c>
      <c r="K13" s="802">
        <v>125</v>
      </c>
      <c r="L13" s="802">
        <v>123</v>
      </c>
      <c r="M13" s="802">
        <v>290</v>
      </c>
      <c r="N13" s="803"/>
      <c r="O13" s="802">
        <v>29</v>
      </c>
      <c r="P13" s="802">
        <v>14</v>
      </c>
      <c r="Q13" s="802">
        <v>18</v>
      </c>
      <c r="R13" s="802">
        <v>3</v>
      </c>
      <c r="S13" s="802">
        <v>2</v>
      </c>
      <c r="T13" s="802">
        <v>47</v>
      </c>
      <c r="U13" s="802">
        <v>48</v>
      </c>
      <c r="V13" s="802">
        <v>13</v>
      </c>
      <c r="W13" s="802">
        <v>19</v>
      </c>
      <c r="X13" s="802">
        <v>34</v>
      </c>
      <c r="Y13" s="802">
        <v>23</v>
      </c>
      <c r="Z13" s="802">
        <v>2</v>
      </c>
      <c r="AA13" s="802">
        <v>7</v>
      </c>
      <c r="AB13" s="802"/>
      <c r="AC13" s="802">
        <v>3</v>
      </c>
      <c r="AD13" s="802"/>
      <c r="AE13" s="802">
        <v>1</v>
      </c>
      <c r="AF13" s="803"/>
      <c r="AG13" s="804">
        <v>0</v>
      </c>
      <c r="AH13" s="804">
        <v>0</v>
      </c>
      <c r="AI13" s="804">
        <v>0</v>
      </c>
      <c r="AJ13" s="804">
        <v>26</v>
      </c>
      <c r="AK13" s="804">
        <v>0</v>
      </c>
      <c r="AL13" s="804">
        <v>0</v>
      </c>
      <c r="AO13">
        <f t="shared" si="1"/>
        <v>26</v>
      </c>
      <c r="AP13">
        <f t="shared" si="2"/>
        <v>0</v>
      </c>
    </row>
    <row r="14" spans="1:42">
      <c r="A14" s="927"/>
      <c r="B14" s="806" t="s">
        <v>28</v>
      </c>
      <c r="C14" s="807">
        <f t="shared" si="3"/>
        <v>244.05399999999997</v>
      </c>
      <c r="D14" s="807">
        <v>259.69</v>
      </c>
      <c r="E14" s="807">
        <f>E13*E$4/1000</f>
        <v>11.375</v>
      </c>
      <c r="F14" s="807">
        <f t="shared" ref="F14" si="111">F13*F$4/1000</f>
        <v>88.74</v>
      </c>
      <c r="G14" s="807">
        <f t="shared" ref="G14" si="112">G13*G$4/1000</f>
        <v>13.667999999999999</v>
      </c>
      <c r="H14" s="807">
        <f t="shared" ref="H14" si="113">H13*H$4/1000</f>
        <v>3.4319999999999999</v>
      </c>
      <c r="I14" s="807">
        <f t="shared" ref="I14" si="114">I13*I$4/1000</f>
        <v>24.696000000000002</v>
      </c>
      <c r="J14" s="807">
        <f t="shared" ref="J14" si="115">J13*J$4/1000</f>
        <v>12.824999999999999</v>
      </c>
      <c r="K14" s="807">
        <f t="shared" ref="K14" si="116">K13*K$4/1000</f>
        <v>11.5</v>
      </c>
      <c r="L14" s="807">
        <f t="shared" ref="L14" si="117">L13*L$4/1000</f>
        <v>12.669</v>
      </c>
      <c r="M14" s="807">
        <f t="shared" ref="M14" si="118">M13*M$4/1000</f>
        <v>41.47</v>
      </c>
      <c r="N14" s="807">
        <f t="shared" ref="N14" si="119">N13*N$4/1000</f>
        <v>0</v>
      </c>
      <c r="O14" s="807">
        <f t="shared" ref="O14" si="120">O13*O$4/1000</f>
        <v>0.87</v>
      </c>
      <c r="P14" s="807">
        <f t="shared" ref="P14" si="121">P13*P$4/1000</f>
        <v>0.58799999999999997</v>
      </c>
      <c r="Q14" s="807">
        <f t="shared" ref="Q14" si="122">Q13*Q$4/1000</f>
        <v>0.91800000000000004</v>
      </c>
      <c r="R14" s="807">
        <f t="shared" ref="R14" si="123">R13*R$4/1000</f>
        <v>0.159</v>
      </c>
      <c r="S14" s="807">
        <f t="shared" ref="S14" si="124">S13*S$4/1000</f>
        <v>0.12</v>
      </c>
      <c r="T14" s="807">
        <f t="shared" ref="T14" si="125">T13*T$4/1000</f>
        <v>3.29</v>
      </c>
      <c r="U14" s="807">
        <f t="shared" ref="U14" si="126">U13*U$4/1000</f>
        <v>3.4079999999999999</v>
      </c>
      <c r="V14" s="807">
        <f t="shared" ref="V14" si="127">V13*V$4/1000</f>
        <v>0.93600000000000005</v>
      </c>
      <c r="W14" s="807">
        <f t="shared" ref="W14" si="128">W13*W$4/1000</f>
        <v>1.425</v>
      </c>
      <c r="X14" s="807">
        <f t="shared" ref="X14" si="129">X13*X$4/1000</f>
        <v>2.72</v>
      </c>
      <c r="Y14" s="807">
        <f t="shared" ref="Y14" si="130">Y13*Y$4/1000</f>
        <v>2.1389999999999998</v>
      </c>
      <c r="Z14" s="807">
        <f t="shared" ref="Z14" si="131">Z13*Z$4/1000</f>
        <v>0.188</v>
      </c>
      <c r="AA14" s="807">
        <f t="shared" ref="AA14" si="132">AA13*AA$4/1000</f>
        <v>0.71399999999999997</v>
      </c>
      <c r="AB14" s="807">
        <f t="shared" ref="AB14" si="133">AB13*AB$4/1000</f>
        <v>0</v>
      </c>
      <c r="AC14" s="807">
        <f t="shared" ref="AC14" si="134">AC13*AC$4/1000</f>
        <v>0.45</v>
      </c>
      <c r="AD14" s="807">
        <f t="shared" ref="AD14" si="135">AD13*AD$4/1000</f>
        <v>0</v>
      </c>
      <c r="AE14" s="807">
        <f t="shared" ref="AE14" si="136">AE13*AE$4/1000</f>
        <v>0.16400000000000001</v>
      </c>
      <c r="AF14" s="803"/>
      <c r="AG14" s="807">
        <f t="shared" ref="AG14" si="137">AG13*AG$4/1000</f>
        <v>0</v>
      </c>
      <c r="AH14" s="807">
        <f t="shared" ref="AH14" si="138">AH13*AH$4/1000</f>
        <v>0</v>
      </c>
      <c r="AI14" s="807">
        <f t="shared" ref="AI14" si="139">AI13*AI$4/1000</f>
        <v>0</v>
      </c>
      <c r="AJ14" s="807">
        <f t="shared" ref="AJ14" si="140">AJ13*AJ$4/1000</f>
        <v>5.59</v>
      </c>
      <c r="AK14" s="807">
        <f t="shared" ref="AK14" si="141">AK13*AK$4/1000</f>
        <v>0</v>
      </c>
      <c r="AL14" s="807">
        <f t="shared" ref="AL14" si="142">AL13*AL$4/1000</f>
        <v>0</v>
      </c>
      <c r="AM14" s="807">
        <f t="shared" ref="AM14" si="143">AM13*AM$4/1000</f>
        <v>0</v>
      </c>
    </row>
    <row r="15" spans="1:42">
      <c r="A15" s="926">
        <v>43678</v>
      </c>
      <c r="B15" s="801" t="s">
        <v>806</v>
      </c>
      <c r="C15" s="802">
        <f t="shared" si="3"/>
        <v>4595</v>
      </c>
      <c r="D15" s="802">
        <v>4789</v>
      </c>
      <c r="E15" s="802">
        <v>455</v>
      </c>
      <c r="F15" s="802">
        <f>2467-2</f>
        <v>2465</v>
      </c>
      <c r="G15" s="802">
        <v>268</v>
      </c>
      <c r="H15" s="802">
        <v>66</v>
      </c>
      <c r="I15" s="802">
        <f>410-67</f>
        <v>343</v>
      </c>
      <c r="J15" s="802">
        <f>179-8</f>
        <v>171</v>
      </c>
      <c r="K15" s="802">
        <v>125</v>
      </c>
      <c r="L15" s="802">
        <v>123</v>
      </c>
      <c r="M15" s="802">
        <v>290</v>
      </c>
      <c r="N15" s="803"/>
      <c r="O15" s="802">
        <v>29</v>
      </c>
      <c r="P15" s="802">
        <v>14</v>
      </c>
      <c r="Q15" s="802">
        <v>18</v>
      </c>
      <c r="R15" s="802">
        <v>3</v>
      </c>
      <c r="S15" s="802">
        <v>2</v>
      </c>
      <c r="T15" s="802">
        <v>47</v>
      </c>
      <c r="U15" s="802">
        <v>48</v>
      </c>
      <c r="V15" s="802">
        <v>13</v>
      </c>
      <c r="W15" s="802">
        <v>19</v>
      </c>
      <c r="X15" s="802">
        <v>34</v>
      </c>
      <c r="Y15" s="802">
        <v>23</v>
      </c>
      <c r="Z15" s="802">
        <v>2</v>
      </c>
      <c r="AA15" s="802">
        <v>7</v>
      </c>
      <c r="AB15" s="802"/>
      <c r="AC15" s="802">
        <v>3</v>
      </c>
      <c r="AD15" s="802"/>
      <c r="AE15" s="802">
        <v>1</v>
      </c>
      <c r="AF15" s="803"/>
      <c r="AG15" s="804">
        <v>0</v>
      </c>
      <c r="AH15" s="804">
        <v>0</v>
      </c>
      <c r="AI15" s="804">
        <v>0</v>
      </c>
      <c r="AJ15" s="804">
        <v>26</v>
      </c>
      <c r="AK15" s="804">
        <v>0</v>
      </c>
      <c r="AL15" s="804">
        <v>0</v>
      </c>
      <c r="AO15">
        <f t="shared" si="1"/>
        <v>26</v>
      </c>
      <c r="AP15">
        <f t="shared" si="2"/>
        <v>0</v>
      </c>
    </row>
    <row r="16" spans="1:42">
      <c r="A16" s="927"/>
      <c r="B16" s="806" t="s">
        <v>28</v>
      </c>
      <c r="C16" s="807">
        <f t="shared" si="3"/>
        <v>244.05399999999997</v>
      </c>
      <c r="D16" s="807">
        <v>257.95</v>
      </c>
      <c r="E16" s="807">
        <f>E15*E$4/1000</f>
        <v>11.375</v>
      </c>
      <c r="F16" s="807">
        <f t="shared" ref="F16" si="144">F15*F$4/1000</f>
        <v>88.74</v>
      </c>
      <c r="G16" s="807">
        <f t="shared" ref="G16" si="145">G15*G$4/1000</f>
        <v>13.667999999999999</v>
      </c>
      <c r="H16" s="807">
        <f t="shared" ref="H16" si="146">H15*H$4/1000</f>
        <v>3.4319999999999999</v>
      </c>
      <c r="I16" s="807">
        <f t="shared" ref="I16" si="147">I15*I$4/1000</f>
        <v>24.696000000000002</v>
      </c>
      <c r="J16" s="807">
        <f t="shared" ref="J16" si="148">J15*J$4/1000</f>
        <v>12.824999999999999</v>
      </c>
      <c r="K16" s="807">
        <f t="shared" ref="K16" si="149">K15*K$4/1000</f>
        <v>11.5</v>
      </c>
      <c r="L16" s="807">
        <f t="shared" ref="L16" si="150">L15*L$4/1000</f>
        <v>12.669</v>
      </c>
      <c r="M16" s="807">
        <f t="shared" ref="M16" si="151">M15*M$4/1000</f>
        <v>41.47</v>
      </c>
      <c r="N16" s="807">
        <f t="shared" ref="N16" si="152">N15*N$4/1000</f>
        <v>0</v>
      </c>
      <c r="O16" s="807">
        <f t="shared" ref="O16" si="153">O15*O$4/1000</f>
        <v>0.87</v>
      </c>
      <c r="P16" s="807">
        <f t="shared" ref="P16" si="154">P15*P$4/1000</f>
        <v>0.58799999999999997</v>
      </c>
      <c r="Q16" s="807">
        <f t="shared" ref="Q16" si="155">Q15*Q$4/1000</f>
        <v>0.91800000000000004</v>
      </c>
      <c r="R16" s="807">
        <f t="shared" ref="R16" si="156">R15*R$4/1000</f>
        <v>0.159</v>
      </c>
      <c r="S16" s="807">
        <f t="shared" ref="S16" si="157">S15*S$4/1000</f>
        <v>0.12</v>
      </c>
      <c r="T16" s="807">
        <f t="shared" ref="T16" si="158">T15*T$4/1000</f>
        <v>3.29</v>
      </c>
      <c r="U16" s="807">
        <f t="shared" ref="U16" si="159">U15*U$4/1000</f>
        <v>3.4079999999999999</v>
      </c>
      <c r="V16" s="807">
        <f t="shared" ref="V16" si="160">V15*V$4/1000</f>
        <v>0.93600000000000005</v>
      </c>
      <c r="W16" s="807">
        <f t="shared" ref="W16" si="161">W15*W$4/1000</f>
        <v>1.425</v>
      </c>
      <c r="X16" s="807">
        <f t="shared" ref="X16" si="162">X15*X$4/1000</f>
        <v>2.72</v>
      </c>
      <c r="Y16" s="807">
        <f t="shared" ref="Y16" si="163">Y15*Y$4/1000</f>
        <v>2.1389999999999998</v>
      </c>
      <c r="Z16" s="807">
        <f t="shared" ref="Z16" si="164">Z15*Z$4/1000</f>
        <v>0.188</v>
      </c>
      <c r="AA16" s="807">
        <f t="shared" ref="AA16" si="165">AA15*AA$4/1000</f>
        <v>0.71399999999999997</v>
      </c>
      <c r="AB16" s="807">
        <f t="shared" ref="AB16" si="166">AB15*AB$4/1000</f>
        <v>0</v>
      </c>
      <c r="AC16" s="807">
        <f t="shared" ref="AC16" si="167">AC15*AC$4/1000</f>
        <v>0.45</v>
      </c>
      <c r="AD16" s="807">
        <f t="shared" ref="AD16" si="168">AD15*AD$4/1000</f>
        <v>0</v>
      </c>
      <c r="AE16" s="807">
        <f t="shared" ref="AE16" si="169">AE15*AE$4/1000</f>
        <v>0.16400000000000001</v>
      </c>
      <c r="AF16" s="803"/>
      <c r="AG16" s="807">
        <f t="shared" ref="AG16" si="170">AG15*AG$4/1000</f>
        <v>0</v>
      </c>
      <c r="AH16" s="807">
        <f t="shared" ref="AH16" si="171">AH15*AH$4/1000</f>
        <v>0</v>
      </c>
      <c r="AI16" s="807">
        <f t="shared" ref="AI16" si="172">AI15*AI$4/1000</f>
        <v>0</v>
      </c>
      <c r="AJ16" s="807">
        <f t="shared" ref="AJ16" si="173">AJ15*AJ$4/1000</f>
        <v>5.59</v>
      </c>
      <c r="AK16" s="807">
        <f t="shared" ref="AK16" si="174">AK15*AK$4/1000</f>
        <v>0</v>
      </c>
      <c r="AL16" s="807">
        <f t="shared" ref="AL16" si="175">AL15*AL$4/1000</f>
        <v>0</v>
      </c>
      <c r="AM16" s="807">
        <f t="shared" ref="AM16" si="176">AM15*AM$4/1000</f>
        <v>0</v>
      </c>
    </row>
    <row r="17" spans="1:42">
      <c r="A17" s="926">
        <v>43647</v>
      </c>
      <c r="B17" s="801" t="s">
        <v>806</v>
      </c>
      <c r="C17" s="802">
        <f t="shared" si="3"/>
        <v>4595</v>
      </c>
      <c r="D17" s="802">
        <v>4789</v>
      </c>
      <c r="E17" s="802">
        <v>455</v>
      </c>
      <c r="F17" s="802">
        <f>2467-2</f>
        <v>2465</v>
      </c>
      <c r="G17" s="802">
        <v>268</v>
      </c>
      <c r="H17" s="802">
        <v>66</v>
      </c>
      <c r="I17" s="802">
        <f>410-67</f>
        <v>343</v>
      </c>
      <c r="J17" s="802">
        <f>179-8</f>
        <v>171</v>
      </c>
      <c r="K17" s="802">
        <v>125</v>
      </c>
      <c r="L17" s="802">
        <v>123</v>
      </c>
      <c r="M17" s="802">
        <v>290</v>
      </c>
      <c r="N17" s="803"/>
      <c r="O17" s="802">
        <v>29</v>
      </c>
      <c r="P17" s="802">
        <v>14</v>
      </c>
      <c r="Q17" s="802">
        <v>18</v>
      </c>
      <c r="R17" s="802">
        <v>3</v>
      </c>
      <c r="S17" s="802">
        <v>2</v>
      </c>
      <c r="T17" s="802">
        <v>47</v>
      </c>
      <c r="U17" s="802">
        <v>48</v>
      </c>
      <c r="V17" s="802">
        <v>13</v>
      </c>
      <c r="W17" s="802">
        <v>19</v>
      </c>
      <c r="X17" s="802">
        <v>34</v>
      </c>
      <c r="Y17" s="802">
        <v>23</v>
      </c>
      <c r="Z17" s="802">
        <v>2</v>
      </c>
      <c r="AA17" s="802">
        <v>7</v>
      </c>
      <c r="AB17" s="802"/>
      <c r="AC17" s="802">
        <v>3</v>
      </c>
      <c r="AD17" s="802"/>
      <c r="AE17" s="802">
        <v>1</v>
      </c>
      <c r="AF17" s="803"/>
      <c r="AG17" s="804">
        <v>0</v>
      </c>
      <c r="AH17" s="804">
        <v>0</v>
      </c>
      <c r="AI17" s="804">
        <v>0</v>
      </c>
      <c r="AJ17" s="804">
        <v>26</v>
      </c>
      <c r="AK17" s="804">
        <v>0</v>
      </c>
      <c r="AL17" s="804">
        <v>0</v>
      </c>
      <c r="AO17">
        <f t="shared" si="1"/>
        <v>26</v>
      </c>
      <c r="AP17">
        <f t="shared" si="2"/>
        <v>0</v>
      </c>
    </row>
    <row r="18" spans="1:42">
      <c r="A18" s="927"/>
      <c r="B18" s="806" t="s">
        <v>28</v>
      </c>
      <c r="C18" s="807">
        <f t="shared" si="3"/>
        <v>244.05399999999997</v>
      </c>
      <c r="D18" s="807">
        <v>257.95</v>
      </c>
      <c r="E18" s="807">
        <f>E17*E$4/1000</f>
        <v>11.375</v>
      </c>
      <c r="F18" s="807">
        <f t="shared" ref="F18" si="177">F17*F$4/1000</f>
        <v>88.74</v>
      </c>
      <c r="G18" s="807">
        <f t="shared" ref="G18" si="178">G17*G$4/1000</f>
        <v>13.667999999999999</v>
      </c>
      <c r="H18" s="807">
        <f t="shared" ref="H18" si="179">H17*H$4/1000</f>
        <v>3.4319999999999999</v>
      </c>
      <c r="I18" s="807">
        <f t="shared" ref="I18" si="180">I17*I$4/1000</f>
        <v>24.696000000000002</v>
      </c>
      <c r="J18" s="807">
        <f t="shared" ref="J18" si="181">J17*J$4/1000</f>
        <v>12.824999999999999</v>
      </c>
      <c r="K18" s="807">
        <f t="shared" ref="K18" si="182">K17*K$4/1000</f>
        <v>11.5</v>
      </c>
      <c r="L18" s="807">
        <f t="shared" ref="L18" si="183">L17*L$4/1000</f>
        <v>12.669</v>
      </c>
      <c r="M18" s="807">
        <f t="shared" ref="M18" si="184">M17*M$4/1000</f>
        <v>41.47</v>
      </c>
      <c r="N18" s="807">
        <f t="shared" ref="N18" si="185">N17*N$4/1000</f>
        <v>0</v>
      </c>
      <c r="O18" s="807">
        <f t="shared" ref="O18" si="186">O17*O$4/1000</f>
        <v>0.87</v>
      </c>
      <c r="P18" s="807">
        <f t="shared" ref="P18" si="187">P17*P$4/1000</f>
        <v>0.58799999999999997</v>
      </c>
      <c r="Q18" s="807">
        <f t="shared" ref="Q18" si="188">Q17*Q$4/1000</f>
        <v>0.91800000000000004</v>
      </c>
      <c r="R18" s="807">
        <f t="shared" ref="R18" si="189">R17*R$4/1000</f>
        <v>0.159</v>
      </c>
      <c r="S18" s="807">
        <f t="shared" ref="S18" si="190">S17*S$4/1000</f>
        <v>0.12</v>
      </c>
      <c r="T18" s="807">
        <f t="shared" ref="T18" si="191">T17*T$4/1000</f>
        <v>3.29</v>
      </c>
      <c r="U18" s="807">
        <f t="shared" ref="U18" si="192">U17*U$4/1000</f>
        <v>3.4079999999999999</v>
      </c>
      <c r="V18" s="807">
        <f t="shared" ref="V18" si="193">V17*V$4/1000</f>
        <v>0.93600000000000005</v>
      </c>
      <c r="W18" s="807">
        <f t="shared" ref="W18" si="194">W17*W$4/1000</f>
        <v>1.425</v>
      </c>
      <c r="X18" s="807">
        <f t="shared" ref="X18" si="195">X17*X$4/1000</f>
        <v>2.72</v>
      </c>
      <c r="Y18" s="807">
        <f t="shared" ref="Y18" si="196">Y17*Y$4/1000</f>
        <v>2.1389999999999998</v>
      </c>
      <c r="Z18" s="807">
        <f t="shared" ref="Z18" si="197">Z17*Z$4/1000</f>
        <v>0.188</v>
      </c>
      <c r="AA18" s="807">
        <f t="shared" ref="AA18" si="198">AA17*AA$4/1000</f>
        <v>0.71399999999999997</v>
      </c>
      <c r="AB18" s="807">
        <f t="shared" ref="AB18" si="199">AB17*AB$4/1000</f>
        <v>0</v>
      </c>
      <c r="AC18" s="807">
        <f t="shared" ref="AC18" si="200">AC17*AC$4/1000</f>
        <v>0.45</v>
      </c>
      <c r="AD18" s="807">
        <f t="shared" ref="AD18" si="201">AD17*AD$4/1000</f>
        <v>0</v>
      </c>
      <c r="AE18" s="807">
        <f t="shared" ref="AE18" si="202">AE17*AE$4/1000</f>
        <v>0.16400000000000001</v>
      </c>
      <c r="AF18" s="803"/>
      <c r="AG18" s="807">
        <f t="shared" ref="AG18" si="203">AG17*AG$4/1000</f>
        <v>0</v>
      </c>
      <c r="AH18" s="807">
        <f t="shared" ref="AH18" si="204">AH17*AH$4/1000</f>
        <v>0</v>
      </c>
      <c r="AI18" s="807">
        <f t="shared" ref="AI18" si="205">AI17*AI$4/1000</f>
        <v>0</v>
      </c>
      <c r="AJ18" s="807">
        <f t="shared" ref="AJ18" si="206">AJ17*AJ$4/1000</f>
        <v>5.59</v>
      </c>
      <c r="AK18" s="807">
        <f t="shared" ref="AK18" si="207">AK17*AK$4/1000</f>
        <v>0</v>
      </c>
      <c r="AL18" s="807">
        <f t="shared" ref="AL18" si="208">AL17*AL$4/1000</f>
        <v>0</v>
      </c>
      <c r="AM18" s="807">
        <f t="shared" ref="AM18" si="209">AM17*AM$4/1000</f>
        <v>0</v>
      </c>
    </row>
    <row r="19" spans="1:42">
      <c r="A19" s="926">
        <v>43617</v>
      </c>
      <c r="B19" s="801" t="s">
        <v>806</v>
      </c>
      <c r="C19" s="802">
        <f t="shared" si="3"/>
        <v>4595</v>
      </c>
      <c r="D19" s="802">
        <v>4789</v>
      </c>
      <c r="E19" s="802">
        <v>455</v>
      </c>
      <c r="F19" s="802">
        <f>2467-2</f>
        <v>2465</v>
      </c>
      <c r="G19" s="802">
        <v>268</v>
      </c>
      <c r="H19" s="802">
        <v>66</v>
      </c>
      <c r="I19" s="802">
        <f>410-67</f>
        <v>343</v>
      </c>
      <c r="J19" s="802">
        <f>179-8</f>
        <v>171</v>
      </c>
      <c r="K19" s="802">
        <v>125</v>
      </c>
      <c r="L19" s="802">
        <v>123</v>
      </c>
      <c r="M19" s="802">
        <v>290</v>
      </c>
      <c r="N19" s="803"/>
      <c r="O19" s="802">
        <v>29</v>
      </c>
      <c r="P19" s="802">
        <v>14</v>
      </c>
      <c r="Q19" s="802">
        <v>18</v>
      </c>
      <c r="R19" s="802">
        <v>3</v>
      </c>
      <c r="S19" s="802">
        <v>2</v>
      </c>
      <c r="T19" s="802">
        <v>47</v>
      </c>
      <c r="U19" s="802">
        <v>48</v>
      </c>
      <c r="V19" s="802">
        <v>13</v>
      </c>
      <c r="W19" s="802">
        <v>19</v>
      </c>
      <c r="X19" s="802">
        <v>34</v>
      </c>
      <c r="Y19" s="802">
        <v>23</v>
      </c>
      <c r="Z19" s="802">
        <v>2</v>
      </c>
      <c r="AA19" s="802">
        <v>7</v>
      </c>
      <c r="AB19" s="802"/>
      <c r="AC19" s="802">
        <v>3</v>
      </c>
      <c r="AD19" s="802"/>
      <c r="AE19" s="802">
        <v>1</v>
      </c>
      <c r="AF19" s="803"/>
      <c r="AG19" s="804">
        <v>0</v>
      </c>
      <c r="AH19" s="804">
        <v>0</v>
      </c>
      <c r="AI19" s="804">
        <v>0</v>
      </c>
      <c r="AJ19" s="804">
        <v>26</v>
      </c>
      <c r="AK19" s="804">
        <v>0</v>
      </c>
      <c r="AL19" s="804">
        <v>0</v>
      </c>
      <c r="AO19">
        <f t="shared" si="1"/>
        <v>26</v>
      </c>
      <c r="AP19">
        <f t="shared" si="2"/>
        <v>0</v>
      </c>
    </row>
    <row r="20" spans="1:42">
      <c r="A20" s="927"/>
      <c r="B20" s="806" t="s">
        <v>28</v>
      </c>
      <c r="C20" s="807">
        <f t="shared" si="3"/>
        <v>244.05399999999997</v>
      </c>
      <c r="D20" s="807">
        <v>257.95</v>
      </c>
      <c r="E20" s="807">
        <f>E19*E$4/1000</f>
        <v>11.375</v>
      </c>
      <c r="F20" s="807">
        <f t="shared" ref="F20" si="210">F19*F$4/1000</f>
        <v>88.74</v>
      </c>
      <c r="G20" s="807">
        <f t="shared" ref="G20" si="211">G19*G$4/1000</f>
        <v>13.667999999999999</v>
      </c>
      <c r="H20" s="807">
        <f t="shared" ref="H20" si="212">H19*H$4/1000</f>
        <v>3.4319999999999999</v>
      </c>
      <c r="I20" s="807">
        <f t="shared" ref="I20" si="213">I19*I$4/1000</f>
        <v>24.696000000000002</v>
      </c>
      <c r="J20" s="807">
        <f t="shared" ref="J20" si="214">J19*J$4/1000</f>
        <v>12.824999999999999</v>
      </c>
      <c r="K20" s="807">
        <f t="shared" ref="K20" si="215">K19*K$4/1000</f>
        <v>11.5</v>
      </c>
      <c r="L20" s="807">
        <f t="shared" ref="L20" si="216">L19*L$4/1000</f>
        <v>12.669</v>
      </c>
      <c r="M20" s="807">
        <f t="shared" ref="M20" si="217">M19*M$4/1000</f>
        <v>41.47</v>
      </c>
      <c r="N20" s="807">
        <f t="shared" ref="N20" si="218">N19*N$4/1000</f>
        <v>0</v>
      </c>
      <c r="O20" s="807">
        <f t="shared" ref="O20" si="219">O19*O$4/1000</f>
        <v>0.87</v>
      </c>
      <c r="P20" s="807">
        <f t="shared" ref="P20" si="220">P19*P$4/1000</f>
        <v>0.58799999999999997</v>
      </c>
      <c r="Q20" s="807">
        <f t="shared" ref="Q20" si="221">Q19*Q$4/1000</f>
        <v>0.91800000000000004</v>
      </c>
      <c r="R20" s="807">
        <f t="shared" ref="R20" si="222">R19*R$4/1000</f>
        <v>0.159</v>
      </c>
      <c r="S20" s="807">
        <f t="shared" ref="S20" si="223">S19*S$4/1000</f>
        <v>0.12</v>
      </c>
      <c r="T20" s="807">
        <f t="shared" ref="T20" si="224">T19*T$4/1000</f>
        <v>3.29</v>
      </c>
      <c r="U20" s="807">
        <f t="shared" ref="U20" si="225">U19*U$4/1000</f>
        <v>3.4079999999999999</v>
      </c>
      <c r="V20" s="807">
        <f t="shared" ref="V20" si="226">V19*V$4/1000</f>
        <v>0.93600000000000005</v>
      </c>
      <c r="W20" s="807">
        <f t="shared" ref="W20" si="227">W19*W$4/1000</f>
        <v>1.425</v>
      </c>
      <c r="X20" s="807">
        <f t="shared" ref="X20" si="228">X19*X$4/1000</f>
        <v>2.72</v>
      </c>
      <c r="Y20" s="807">
        <f t="shared" ref="Y20" si="229">Y19*Y$4/1000</f>
        <v>2.1389999999999998</v>
      </c>
      <c r="Z20" s="807">
        <f t="shared" ref="Z20" si="230">Z19*Z$4/1000</f>
        <v>0.188</v>
      </c>
      <c r="AA20" s="807">
        <f t="shared" ref="AA20" si="231">AA19*AA$4/1000</f>
        <v>0.71399999999999997</v>
      </c>
      <c r="AB20" s="807">
        <f t="shared" ref="AB20" si="232">AB19*AB$4/1000</f>
        <v>0</v>
      </c>
      <c r="AC20" s="807">
        <f t="shared" ref="AC20" si="233">AC19*AC$4/1000</f>
        <v>0.45</v>
      </c>
      <c r="AD20" s="807">
        <f t="shared" ref="AD20" si="234">AD19*AD$4/1000</f>
        <v>0</v>
      </c>
      <c r="AE20" s="807">
        <f t="shared" ref="AE20" si="235">AE19*AE$4/1000</f>
        <v>0.16400000000000001</v>
      </c>
      <c r="AF20" s="803"/>
      <c r="AG20" s="807">
        <f t="shared" ref="AG20" si="236">AG19*AG$4/1000</f>
        <v>0</v>
      </c>
      <c r="AH20" s="807">
        <f t="shared" ref="AH20" si="237">AH19*AH$4/1000</f>
        <v>0</v>
      </c>
      <c r="AI20" s="807">
        <f t="shared" ref="AI20" si="238">AI19*AI$4/1000</f>
        <v>0</v>
      </c>
      <c r="AJ20" s="807">
        <f t="shared" ref="AJ20" si="239">AJ19*AJ$4/1000</f>
        <v>5.59</v>
      </c>
      <c r="AK20" s="807">
        <f t="shared" ref="AK20" si="240">AK19*AK$4/1000</f>
        <v>0</v>
      </c>
      <c r="AL20" s="807">
        <f t="shared" ref="AL20" si="241">AL19*AL$4/1000</f>
        <v>0</v>
      </c>
      <c r="AM20" s="807">
        <f t="shared" ref="AM20" si="242">AM19*AM$4/1000</f>
        <v>0</v>
      </c>
    </row>
    <row r="21" spans="1:42">
      <c r="A21" s="926">
        <v>43586</v>
      </c>
      <c r="B21" s="801" t="s">
        <v>806</v>
      </c>
      <c r="C21" s="802">
        <f t="shared" si="3"/>
        <v>4595</v>
      </c>
      <c r="D21" s="802">
        <v>4789</v>
      </c>
      <c r="E21" s="802">
        <v>455</v>
      </c>
      <c r="F21" s="802">
        <f>2467-2</f>
        <v>2465</v>
      </c>
      <c r="G21" s="802">
        <v>268</v>
      </c>
      <c r="H21" s="802">
        <v>66</v>
      </c>
      <c r="I21" s="802">
        <f>410-67</f>
        <v>343</v>
      </c>
      <c r="J21" s="802">
        <f>179-8</f>
        <v>171</v>
      </c>
      <c r="K21" s="802">
        <v>125</v>
      </c>
      <c r="L21" s="802">
        <v>123</v>
      </c>
      <c r="M21" s="802">
        <v>290</v>
      </c>
      <c r="N21" s="803"/>
      <c r="O21" s="802">
        <v>29</v>
      </c>
      <c r="P21" s="802">
        <v>14</v>
      </c>
      <c r="Q21" s="802">
        <v>18</v>
      </c>
      <c r="R21" s="802">
        <v>3</v>
      </c>
      <c r="S21" s="802">
        <v>2</v>
      </c>
      <c r="T21" s="802">
        <v>47</v>
      </c>
      <c r="U21" s="802">
        <v>48</v>
      </c>
      <c r="V21" s="802">
        <v>13</v>
      </c>
      <c r="W21" s="802">
        <v>19</v>
      </c>
      <c r="X21" s="802">
        <v>34</v>
      </c>
      <c r="Y21" s="802">
        <v>23</v>
      </c>
      <c r="Z21" s="802">
        <v>2</v>
      </c>
      <c r="AA21" s="802">
        <v>7</v>
      </c>
      <c r="AB21" s="802"/>
      <c r="AC21" s="802">
        <v>3</v>
      </c>
      <c r="AD21" s="802"/>
      <c r="AE21" s="802">
        <v>1</v>
      </c>
      <c r="AF21" s="803"/>
      <c r="AG21" s="804">
        <v>0</v>
      </c>
      <c r="AH21" s="804">
        <v>0</v>
      </c>
      <c r="AI21" s="804">
        <v>0</v>
      </c>
      <c r="AJ21" s="804">
        <v>26</v>
      </c>
      <c r="AK21" s="804">
        <v>0</v>
      </c>
      <c r="AL21" s="804">
        <v>0</v>
      </c>
      <c r="AO21">
        <f t="shared" si="1"/>
        <v>26</v>
      </c>
      <c r="AP21">
        <f t="shared" si="2"/>
        <v>0</v>
      </c>
    </row>
    <row r="22" spans="1:42">
      <c r="A22" s="927"/>
      <c r="B22" s="806" t="s">
        <v>28</v>
      </c>
      <c r="C22" s="807">
        <f t="shared" si="3"/>
        <v>244.05399999999997</v>
      </c>
      <c r="D22" s="807">
        <v>257.95</v>
      </c>
      <c r="E22" s="807">
        <f>E21*E$4/1000</f>
        <v>11.375</v>
      </c>
      <c r="F22" s="807">
        <f t="shared" ref="F22" si="243">F21*F$4/1000</f>
        <v>88.74</v>
      </c>
      <c r="G22" s="807">
        <f t="shared" ref="G22" si="244">G21*G$4/1000</f>
        <v>13.667999999999999</v>
      </c>
      <c r="H22" s="807">
        <f t="shared" ref="H22" si="245">H21*H$4/1000</f>
        <v>3.4319999999999999</v>
      </c>
      <c r="I22" s="807">
        <f t="shared" ref="I22" si="246">I21*I$4/1000</f>
        <v>24.696000000000002</v>
      </c>
      <c r="J22" s="807">
        <f t="shared" ref="J22" si="247">J21*J$4/1000</f>
        <v>12.824999999999999</v>
      </c>
      <c r="K22" s="807">
        <f t="shared" ref="K22" si="248">K21*K$4/1000</f>
        <v>11.5</v>
      </c>
      <c r="L22" s="807">
        <f t="shared" ref="L22" si="249">L21*L$4/1000</f>
        <v>12.669</v>
      </c>
      <c r="M22" s="807">
        <f t="shared" ref="M22" si="250">M21*M$4/1000</f>
        <v>41.47</v>
      </c>
      <c r="N22" s="807">
        <f t="shared" ref="N22" si="251">N21*N$4/1000</f>
        <v>0</v>
      </c>
      <c r="O22" s="807">
        <f t="shared" ref="O22" si="252">O21*O$4/1000</f>
        <v>0.87</v>
      </c>
      <c r="P22" s="807">
        <f t="shared" ref="P22" si="253">P21*P$4/1000</f>
        <v>0.58799999999999997</v>
      </c>
      <c r="Q22" s="807">
        <f t="shared" ref="Q22" si="254">Q21*Q$4/1000</f>
        <v>0.91800000000000004</v>
      </c>
      <c r="R22" s="807">
        <f t="shared" ref="R22" si="255">R21*R$4/1000</f>
        <v>0.159</v>
      </c>
      <c r="S22" s="807">
        <f t="shared" ref="S22" si="256">S21*S$4/1000</f>
        <v>0.12</v>
      </c>
      <c r="T22" s="807">
        <f t="shared" ref="T22" si="257">T21*T$4/1000</f>
        <v>3.29</v>
      </c>
      <c r="U22" s="807">
        <f t="shared" ref="U22" si="258">U21*U$4/1000</f>
        <v>3.4079999999999999</v>
      </c>
      <c r="V22" s="807">
        <f t="shared" ref="V22" si="259">V21*V$4/1000</f>
        <v>0.93600000000000005</v>
      </c>
      <c r="W22" s="807">
        <f t="shared" ref="W22" si="260">W21*W$4/1000</f>
        <v>1.425</v>
      </c>
      <c r="X22" s="807">
        <f t="shared" ref="X22" si="261">X21*X$4/1000</f>
        <v>2.72</v>
      </c>
      <c r="Y22" s="807">
        <f t="shared" ref="Y22" si="262">Y21*Y$4/1000</f>
        <v>2.1389999999999998</v>
      </c>
      <c r="Z22" s="807">
        <f t="shared" ref="Z22" si="263">Z21*Z$4/1000</f>
        <v>0.188</v>
      </c>
      <c r="AA22" s="807">
        <f t="shared" ref="AA22" si="264">AA21*AA$4/1000</f>
        <v>0.71399999999999997</v>
      </c>
      <c r="AB22" s="807">
        <f t="shared" ref="AB22" si="265">AB21*AB$4/1000</f>
        <v>0</v>
      </c>
      <c r="AC22" s="807">
        <f t="shared" ref="AC22" si="266">AC21*AC$4/1000</f>
        <v>0.45</v>
      </c>
      <c r="AD22" s="807">
        <f t="shared" ref="AD22" si="267">AD21*AD$4/1000</f>
        <v>0</v>
      </c>
      <c r="AE22" s="807">
        <f t="shared" ref="AE22" si="268">AE21*AE$4/1000</f>
        <v>0.16400000000000001</v>
      </c>
      <c r="AF22" s="803"/>
      <c r="AG22" s="807">
        <f t="shared" ref="AG22" si="269">AG21*AG$4/1000</f>
        <v>0</v>
      </c>
      <c r="AH22" s="807">
        <f t="shared" ref="AH22" si="270">AH21*AH$4/1000</f>
        <v>0</v>
      </c>
      <c r="AI22" s="807">
        <f t="shared" ref="AI22" si="271">AI21*AI$4/1000</f>
        <v>0</v>
      </c>
      <c r="AJ22" s="807">
        <f t="shared" ref="AJ22" si="272">AJ21*AJ$4/1000</f>
        <v>5.59</v>
      </c>
      <c r="AK22" s="807">
        <f t="shared" ref="AK22" si="273">AK21*AK$4/1000</f>
        <v>0</v>
      </c>
      <c r="AL22" s="807">
        <f t="shared" ref="AL22" si="274">AL21*AL$4/1000</f>
        <v>0</v>
      </c>
      <c r="AM22" s="807">
        <f t="shared" ref="AM22" si="275">AM21*AM$4/1000</f>
        <v>0</v>
      </c>
    </row>
    <row r="23" spans="1:42">
      <c r="A23" s="918">
        <v>43556</v>
      </c>
      <c r="B23" s="801" t="s">
        <v>806</v>
      </c>
      <c r="C23" s="802">
        <f t="shared" si="3"/>
        <v>4595</v>
      </c>
      <c r="D23" s="802">
        <v>4778</v>
      </c>
      <c r="E23" s="802">
        <v>455</v>
      </c>
      <c r="F23" s="802">
        <f>2467-2</f>
        <v>2465</v>
      </c>
      <c r="G23" s="802">
        <v>268</v>
      </c>
      <c r="H23" s="802">
        <v>66</v>
      </c>
      <c r="I23" s="802">
        <f>410-67</f>
        <v>343</v>
      </c>
      <c r="J23" s="802">
        <f>179-8</f>
        <v>171</v>
      </c>
      <c r="K23" s="802">
        <v>125</v>
      </c>
      <c r="L23" s="802">
        <v>123</v>
      </c>
      <c r="M23" s="802">
        <v>290</v>
      </c>
      <c r="N23" s="803"/>
      <c r="O23" s="802">
        <v>29</v>
      </c>
      <c r="P23" s="802">
        <v>14</v>
      </c>
      <c r="Q23" s="802">
        <v>18</v>
      </c>
      <c r="R23" s="802">
        <v>3</v>
      </c>
      <c r="S23" s="802">
        <v>2</v>
      </c>
      <c r="T23" s="802">
        <v>47</v>
      </c>
      <c r="U23" s="802">
        <v>48</v>
      </c>
      <c r="V23" s="802">
        <v>13</v>
      </c>
      <c r="W23" s="802">
        <v>19</v>
      </c>
      <c r="X23" s="802">
        <v>34</v>
      </c>
      <c r="Y23" s="802">
        <v>23</v>
      </c>
      <c r="Z23" s="802">
        <v>2</v>
      </c>
      <c r="AA23" s="802">
        <v>7</v>
      </c>
      <c r="AB23" s="802"/>
      <c r="AC23" s="802">
        <v>3</v>
      </c>
      <c r="AD23" s="802"/>
      <c r="AE23" s="802">
        <v>1</v>
      </c>
      <c r="AF23" s="803"/>
      <c r="AG23" s="804">
        <v>0</v>
      </c>
      <c r="AH23" s="804">
        <v>0</v>
      </c>
      <c r="AI23" s="804">
        <v>0</v>
      </c>
      <c r="AJ23" s="804">
        <v>26</v>
      </c>
      <c r="AK23" s="804">
        <v>0</v>
      </c>
      <c r="AL23" s="804">
        <v>0</v>
      </c>
      <c r="AO23">
        <f t="shared" si="1"/>
        <v>26</v>
      </c>
      <c r="AP23">
        <f t="shared" si="2"/>
        <v>0</v>
      </c>
    </row>
    <row r="24" spans="1:42">
      <c r="A24" s="918"/>
      <c r="B24" s="806" t="s">
        <v>28</v>
      </c>
      <c r="C24" s="807">
        <f t="shared" si="3"/>
        <v>244.05399999999997</v>
      </c>
      <c r="D24" s="807">
        <v>257.37799999999999</v>
      </c>
      <c r="E24" s="807">
        <f>E23*E$4/1000</f>
        <v>11.375</v>
      </c>
      <c r="F24" s="807">
        <f t="shared" ref="F24" si="276">F23*F$4/1000</f>
        <v>88.74</v>
      </c>
      <c r="G24" s="807">
        <f t="shared" ref="G24" si="277">G23*G$4/1000</f>
        <v>13.667999999999999</v>
      </c>
      <c r="H24" s="807">
        <f t="shared" ref="H24" si="278">H23*H$4/1000</f>
        <v>3.4319999999999999</v>
      </c>
      <c r="I24" s="807">
        <f t="shared" ref="I24" si="279">I23*I$4/1000</f>
        <v>24.696000000000002</v>
      </c>
      <c r="J24" s="807">
        <f t="shared" ref="J24" si="280">J23*J$4/1000</f>
        <v>12.824999999999999</v>
      </c>
      <c r="K24" s="807">
        <f t="shared" ref="K24" si="281">K23*K$4/1000</f>
        <v>11.5</v>
      </c>
      <c r="L24" s="807">
        <f t="shared" ref="L24" si="282">L23*L$4/1000</f>
        <v>12.669</v>
      </c>
      <c r="M24" s="807">
        <f t="shared" ref="M24" si="283">M23*M$4/1000</f>
        <v>41.47</v>
      </c>
      <c r="N24" s="807">
        <f t="shared" ref="N24" si="284">N23*N$4/1000</f>
        <v>0</v>
      </c>
      <c r="O24" s="807">
        <f t="shared" ref="O24" si="285">O23*O$4/1000</f>
        <v>0.87</v>
      </c>
      <c r="P24" s="807">
        <f t="shared" ref="P24" si="286">P23*P$4/1000</f>
        <v>0.58799999999999997</v>
      </c>
      <c r="Q24" s="807">
        <f t="shared" ref="Q24" si="287">Q23*Q$4/1000</f>
        <v>0.91800000000000004</v>
      </c>
      <c r="R24" s="807">
        <f t="shared" ref="R24" si="288">R23*R$4/1000</f>
        <v>0.159</v>
      </c>
      <c r="S24" s="807">
        <f t="shared" ref="S24" si="289">S23*S$4/1000</f>
        <v>0.12</v>
      </c>
      <c r="T24" s="807">
        <f t="shared" ref="T24" si="290">T23*T$4/1000</f>
        <v>3.29</v>
      </c>
      <c r="U24" s="807">
        <f t="shared" ref="U24" si="291">U23*U$4/1000</f>
        <v>3.4079999999999999</v>
      </c>
      <c r="V24" s="807">
        <f t="shared" ref="V24" si="292">V23*V$4/1000</f>
        <v>0.93600000000000005</v>
      </c>
      <c r="W24" s="807">
        <f t="shared" ref="W24" si="293">W23*W$4/1000</f>
        <v>1.425</v>
      </c>
      <c r="X24" s="807">
        <f t="shared" ref="X24" si="294">X23*X$4/1000</f>
        <v>2.72</v>
      </c>
      <c r="Y24" s="807">
        <f t="shared" ref="Y24" si="295">Y23*Y$4/1000</f>
        <v>2.1389999999999998</v>
      </c>
      <c r="Z24" s="807">
        <f t="shared" ref="Z24" si="296">Z23*Z$4/1000</f>
        <v>0.188</v>
      </c>
      <c r="AA24" s="807">
        <f t="shared" ref="AA24" si="297">AA23*AA$4/1000</f>
        <v>0.71399999999999997</v>
      </c>
      <c r="AB24" s="807">
        <f t="shared" ref="AB24" si="298">AB23*AB$4/1000</f>
        <v>0</v>
      </c>
      <c r="AC24" s="807">
        <f t="shared" ref="AC24" si="299">AC23*AC$4/1000</f>
        <v>0.45</v>
      </c>
      <c r="AD24" s="807">
        <f t="shared" ref="AD24" si="300">AD23*AD$4/1000</f>
        <v>0</v>
      </c>
      <c r="AE24" s="807">
        <f t="shared" ref="AE24" si="301">AE23*AE$4/1000</f>
        <v>0.16400000000000001</v>
      </c>
      <c r="AF24" s="803"/>
      <c r="AG24" s="807">
        <f t="shared" ref="AG24" si="302">AG23*AG$4/1000</f>
        <v>0</v>
      </c>
      <c r="AH24" s="807">
        <f t="shared" ref="AH24" si="303">AH23*AH$4/1000</f>
        <v>0</v>
      </c>
      <c r="AI24" s="807">
        <f t="shared" ref="AI24" si="304">AI23*AI$4/1000</f>
        <v>0</v>
      </c>
      <c r="AJ24" s="807">
        <f t="shared" ref="AJ24" si="305">AJ23*AJ$4/1000</f>
        <v>5.59</v>
      </c>
      <c r="AK24" s="807">
        <f t="shared" ref="AK24" si="306">AK23*AK$4/1000</f>
        <v>0</v>
      </c>
      <c r="AL24" s="807">
        <f t="shared" ref="AL24" si="307">AL23*AL$4/1000</f>
        <v>0</v>
      </c>
      <c r="AM24" s="807">
        <f t="shared" ref="AM24" si="308">AM23*AM$4/1000</f>
        <v>0</v>
      </c>
    </row>
    <row r="25" spans="1:42">
      <c r="A25" s="918">
        <v>43525</v>
      </c>
      <c r="B25" s="801" t="s">
        <v>806</v>
      </c>
      <c r="C25" s="802">
        <f t="shared" si="3"/>
        <v>4595</v>
      </c>
      <c r="D25" s="802">
        <v>4778</v>
      </c>
      <c r="E25" s="802">
        <v>455</v>
      </c>
      <c r="F25" s="802">
        <f>2467-2</f>
        <v>2465</v>
      </c>
      <c r="G25" s="802">
        <v>268</v>
      </c>
      <c r="H25" s="802">
        <v>66</v>
      </c>
      <c r="I25" s="802">
        <f>410-67</f>
        <v>343</v>
      </c>
      <c r="J25" s="802">
        <f>179-8</f>
        <v>171</v>
      </c>
      <c r="K25" s="802">
        <v>125</v>
      </c>
      <c r="L25" s="802">
        <v>123</v>
      </c>
      <c r="M25" s="802">
        <v>290</v>
      </c>
      <c r="N25" s="803"/>
      <c r="O25" s="802">
        <v>29</v>
      </c>
      <c r="P25" s="802">
        <v>14</v>
      </c>
      <c r="Q25" s="802">
        <v>18</v>
      </c>
      <c r="R25" s="802">
        <v>3</v>
      </c>
      <c r="S25" s="802">
        <v>2</v>
      </c>
      <c r="T25" s="802">
        <v>47</v>
      </c>
      <c r="U25" s="802">
        <v>48</v>
      </c>
      <c r="V25" s="802">
        <v>13</v>
      </c>
      <c r="W25" s="802">
        <v>19</v>
      </c>
      <c r="X25" s="802">
        <v>34</v>
      </c>
      <c r="Y25" s="802">
        <v>23</v>
      </c>
      <c r="Z25" s="802">
        <v>2</v>
      </c>
      <c r="AA25" s="802">
        <v>7</v>
      </c>
      <c r="AB25" s="802"/>
      <c r="AC25" s="802">
        <v>3</v>
      </c>
      <c r="AD25" s="802"/>
      <c r="AE25" s="802">
        <v>1</v>
      </c>
      <c r="AF25" s="803"/>
      <c r="AG25" s="804">
        <v>0</v>
      </c>
      <c r="AH25" s="804">
        <v>0</v>
      </c>
      <c r="AI25" s="804">
        <v>0</v>
      </c>
      <c r="AJ25" s="804">
        <v>26</v>
      </c>
      <c r="AK25" s="804">
        <v>0</v>
      </c>
      <c r="AL25" s="804">
        <v>0</v>
      </c>
      <c r="AO25">
        <f t="shared" si="1"/>
        <v>26</v>
      </c>
      <c r="AP25">
        <f t="shared" si="2"/>
        <v>0</v>
      </c>
    </row>
    <row r="26" spans="1:42">
      <c r="A26" s="918"/>
      <c r="B26" s="806" t="s">
        <v>28</v>
      </c>
      <c r="C26" s="807">
        <f t="shared" si="3"/>
        <v>244.05399999999997</v>
      </c>
      <c r="D26" s="807">
        <v>257.37799999999999</v>
      </c>
      <c r="E26" s="807">
        <f>E25*E$4/1000</f>
        <v>11.375</v>
      </c>
      <c r="F26" s="807">
        <f t="shared" ref="F26" si="309">F25*F$4/1000</f>
        <v>88.74</v>
      </c>
      <c r="G26" s="807">
        <f t="shared" ref="G26" si="310">G25*G$4/1000</f>
        <v>13.667999999999999</v>
      </c>
      <c r="H26" s="807">
        <f t="shared" ref="H26" si="311">H25*H$4/1000</f>
        <v>3.4319999999999999</v>
      </c>
      <c r="I26" s="807">
        <f t="shared" ref="I26" si="312">I25*I$4/1000</f>
        <v>24.696000000000002</v>
      </c>
      <c r="J26" s="807">
        <f t="shared" ref="J26" si="313">J25*J$4/1000</f>
        <v>12.824999999999999</v>
      </c>
      <c r="K26" s="807">
        <f t="shared" ref="K26" si="314">K25*K$4/1000</f>
        <v>11.5</v>
      </c>
      <c r="L26" s="807">
        <f t="shared" ref="L26" si="315">L25*L$4/1000</f>
        <v>12.669</v>
      </c>
      <c r="M26" s="807">
        <f t="shared" ref="M26" si="316">M25*M$4/1000</f>
        <v>41.47</v>
      </c>
      <c r="N26" s="807">
        <f t="shared" ref="N26" si="317">N25*N$4/1000</f>
        <v>0</v>
      </c>
      <c r="O26" s="807">
        <f t="shared" ref="O26" si="318">O25*O$4/1000</f>
        <v>0.87</v>
      </c>
      <c r="P26" s="807">
        <f t="shared" ref="P26" si="319">P25*P$4/1000</f>
        <v>0.58799999999999997</v>
      </c>
      <c r="Q26" s="807">
        <f t="shared" ref="Q26" si="320">Q25*Q$4/1000</f>
        <v>0.91800000000000004</v>
      </c>
      <c r="R26" s="807">
        <f t="shared" ref="R26" si="321">R25*R$4/1000</f>
        <v>0.159</v>
      </c>
      <c r="S26" s="807">
        <f t="shared" ref="S26" si="322">S25*S$4/1000</f>
        <v>0.12</v>
      </c>
      <c r="T26" s="807">
        <f t="shared" ref="T26" si="323">T25*T$4/1000</f>
        <v>3.29</v>
      </c>
      <c r="U26" s="807">
        <f t="shared" ref="U26" si="324">U25*U$4/1000</f>
        <v>3.4079999999999999</v>
      </c>
      <c r="V26" s="807">
        <f t="shared" ref="V26" si="325">V25*V$4/1000</f>
        <v>0.93600000000000005</v>
      </c>
      <c r="W26" s="807">
        <f t="shared" ref="W26" si="326">W25*W$4/1000</f>
        <v>1.425</v>
      </c>
      <c r="X26" s="807">
        <f t="shared" ref="X26" si="327">X25*X$4/1000</f>
        <v>2.72</v>
      </c>
      <c r="Y26" s="807">
        <f t="shared" ref="Y26" si="328">Y25*Y$4/1000</f>
        <v>2.1389999999999998</v>
      </c>
      <c r="Z26" s="807">
        <f t="shared" ref="Z26" si="329">Z25*Z$4/1000</f>
        <v>0.188</v>
      </c>
      <c r="AA26" s="807">
        <f t="shared" ref="AA26" si="330">AA25*AA$4/1000</f>
        <v>0.71399999999999997</v>
      </c>
      <c r="AB26" s="807">
        <f t="shared" ref="AB26" si="331">AB25*AB$4/1000</f>
        <v>0</v>
      </c>
      <c r="AC26" s="807">
        <f t="shared" ref="AC26" si="332">AC25*AC$4/1000</f>
        <v>0.45</v>
      </c>
      <c r="AD26" s="807">
        <f t="shared" ref="AD26" si="333">AD25*AD$4/1000</f>
        <v>0</v>
      </c>
      <c r="AE26" s="807">
        <f t="shared" ref="AE26" si="334">AE25*AE$4/1000</f>
        <v>0.16400000000000001</v>
      </c>
      <c r="AF26" s="803"/>
      <c r="AG26" s="807">
        <f t="shared" ref="AG26" si="335">AG25*AG$4/1000</f>
        <v>0</v>
      </c>
      <c r="AH26" s="807">
        <f t="shared" ref="AH26" si="336">AH25*AH$4/1000</f>
        <v>0</v>
      </c>
      <c r="AI26" s="807">
        <f t="shared" ref="AI26" si="337">AI25*AI$4/1000</f>
        <v>0</v>
      </c>
      <c r="AJ26" s="807">
        <f t="shared" ref="AJ26" si="338">AJ25*AJ$4/1000</f>
        <v>5.59</v>
      </c>
      <c r="AK26" s="807">
        <f t="shared" ref="AK26" si="339">AK25*AK$4/1000</f>
        <v>0</v>
      </c>
      <c r="AL26" s="807">
        <f t="shared" ref="AL26" si="340">AL25*AL$4/1000</f>
        <v>0</v>
      </c>
      <c r="AM26" s="807">
        <f t="shared" ref="AM26" si="341">AM25*AM$4/1000</f>
        <v>0</v>
      </c>
    </row>
    <row r="27" spans="1:42">
      <c r="A27" s="918">
        <v>43497</v>
      </c>
      <c r="B27" s="801" t="s">
        <v>806</v>
      </c>
      <c r="C27" s="802">
        <f t="shared" si="3"/>
        <v>4595</v>
      </c>
      <c r="D27" s="802">
        <v>4778</v>
      </c>
      <c r="E27" s="802">
        <v>455</v>
      </c>
      <c r="F27" s="802">
        <f>2467-2</f>
        <v>2465</v>
      </c>
      <c r="G27" s="802">
        <v>268</v>
      </c>
      <c r="H27" s="802">
        <v>66</v>
      </c>
      <c r="I27" s="802">
        <f>410-67</f>
        <v>343</v>
      </c>
      <c r="J27" s="802">
        <f>179-8</f>
        <v>171</v>
      </c>
      <c r="K27" s="802">
        <v>125</v>
      </c>
      <c r="L27" s="802">
        <v>123</v>
      </c>
      <c r="M27" s="802">
        <v>290</v>
      </c>
      <c r="N27" s="803"/>
      <c r="O27" s="802">
        <v>29</v>
      </c>
      <c r="P27" s="802">
        <v>14</v>
      </c>
      <c r="Q27" s="802">
        <v>18</v>
      </c>
      <c r="R27" s="802">
        <v>3</v>
      </c>
      <c r="S27" s="802">
        <v>2</v>
      </c>
      <c r="T27" s="802">
        <v>47</v>
      </c>
      <c r="U27" s="802">
        <v>48</v>
      </c>
      <c r="V27" s="802">
        <v>13</v>
      </c>
      <c r="W27" s="802">
        <v>19</v>
      </c>
      <c r="X27" s="802">
        <v>34</v>
      </c>
      <c r="Y27" s="802">
        <v>23</v>
      </c>
      <c r="Z27" s="802">
        <v>2</v>
      </c>
      <c r="AA27" s="802">
        <v>7</v>
      </c>
      <c r="AB27" s="802"/>
      <c r="AC27" s="802">
        <v>3</v>
      </c>
      <c r="AD27" s="802"/>
      <c r="AE27" s="802">
        <v>1</v>
      </c>
      <c r="AF27" s="803"/>
      <c r="AG27" s="804">
        <v>0</v>
      </c>
      <c r="AH27" s="804">
        <v>0</v>
      </c>
      <c r="AI27" s="804">
        <v>0</v>
      </c>
      <c r="AJ27" s="804">
        <v>26</v>
      </c>
      <c r="AK27" s="804">
        <v>0</v>
      </c>
      <c r="AL27" s="804">
        <v>0</v>
      </c>
      <c r="AO27">
        <f t="shared" si="1"/>
        <v>26</v>
      </c>
      <c r="AP27">
        <f t="shared" si="2"/>
        <v>0</v>
      </c>
    </row>
    <row r="28" spans="1:42">
      <c r="A28" s="918"/>
      <c r="B28" s="806" t="s">
        <v>28</v>
      </c>
      <c r="C28" s="807">
        <f t="shared" si="3"/>
        <v>244.05399999999997</v>
      </c>
      <c r="D28" s="807">
        <v>257.37799999999999</v>
      </c>
      <c r="E28" s="807">
        <f>E27*E$4/1000</f>
        <v>11.375</v>
      </c>
      <c r="F28" s="807">
        <f t="shared" ref="F28" si="342">F27*F$4/1000</f>
        <v>88.74</v>
      </c>
      <c r="G28" s="807">
        <f t="shared" ref="G28" si="343">G27*G$4/1000</f>
        <v>13.667999999999999</v>
      </c>
      <c r="H28" s="807">
        <f t="shared" ref="H28" si="344">H27*H$4/1000</f>
        <v>3.4319999999999999</v>
      </c>
      <c r="I28" s="807">
        <f t="shared" ref="I28" si="345">I27*I$4/1000</f>
        <v>24.696000000000002</v>
      </c>
      <c r="J28" s="807">
        <f t="shared" ref="J28" si="346">J27*J$4/1000</f>
        <v>12.824999999999999</v>
      </c>
      <c r="K28" s="807">
        <f t="shared" ref="K28" si="347">K27*K$4/1000</f>
        <v>11.5</v>
      </c>
      <c r="L28" s="807">
        <f t="shared" ref="L28" si="348">L27*L$4/1000</f>
        <v>12.669</v>
      </c>
      <c r="M28" s="807">
        <f t="shared" ref="M28" si="349">M27*M$4/1000</f>
        <v>41.47</v>
      </c>
      <c r="N28" s="807">
        <f t="shared" ref="N28" si="350">N27*N$4/1000</f>
        <v>0</v>
      </c>
      <c r="O28" s="807">
        <f t="shared" ref="O28" si="351">O27*O$4/1000</f>
        <v>0.87</v>
      </c>
      <c r="P28" s="807">
        <f t="shared" ref="P28" si="352">P27*P$4/1000</f>
        <v>0.58799999999999997</v>
      </c>
      <c r="Q28" s="807">
        <f t="shared" ref="Q28" si="353">Q27*Q$4/1000</f>
        <v>0.91800000000000004</v>
      </c>
      <c r="R28" s="807">
        <f t="shared" ref="R28" si="354">R27*R$4/1000</f>
        <v>0.159</v>
      </c>
      <c r="S28" s="807">
        <f t="shared" ref="S28" si="355">S27*S$4/1000</f>
        <v>0.12</v>
      </c>
      <c r="T28" s="807">
        <f t="shared" ref="T28" si="356">T27*T$4/1000</f>
        <v>3.29</v>
      </c>
      <c r="U28" s="807">
        <f t="shared" ref="U28" si="357">U27*U$4/1000</f>
        <v>3.4079999999999999</v>
      </c>
      <c r="V28" s="807">
        <f t="shared" ref="V28" si="358">V27*V$4/1000</f>
        <v>0.93600000000000005</v>
      </c>
      <c r="W28" s="807">
        <f t="shared" ref="W28" si="359">W27*W$4/1000</f>
        <v>1.425</v>
      </c>
      <c r="X28" s="807">
        <f t="shared" ref="X28" si="360">X27*X$4/1000</f>
        <v>2.72</v>
      </c>
      <c r="Y28" s="807">
        <f t="shared" ref="Y28" si="361">Y27*Y$4/1000</f>
        <v>2.1389999999999998</v>
      </c>
      <c r="Z28" s="807">
        <f t="shared" ref="Z28" si="362">Z27*Z$4/1000</f>
        <v>0.188</v>
      </c>
      <c r="AA28" s="807">
        <f t="shared" ref="AA28" si="363">AA27*AA$4/1000</f>
        <v>0.71399999999999997</v>
      </c>
      <c r="AB28" s="807">
        <f t="shared" ref="AB28" si="364">AB27*AB$4/1000</f>
        <v>0</v>
      </c>
      <c r="AC28" s="807">
        <f t="shared" ref="AC28" si="365">AC27*AC$4/1000</f>
        <v>0.45</v>
      </c>
      <c r="AD28" s="807">
        <f t="shared" ref="AD28" si="366">AD27*AD$4/1000</f>
        <v>0</v>
      </c>
      <c r="AE28" s="807">
        <f t="shared" ref="AE28" si="367">AE27*AE$4/1000</f>
        <v>0.16400000000000001</v>
      </c>
      <c r="AF28" s="803"/>
      <c r="AG28" s="807">
        <f t="shared" ref="AG28" si="368">AG27*AG$4/1000</f>
        <v>0</v>
      </c>
      <c r="AH28" s="807">
        <f t="shared" ref="AH28" si="369">AH27*AH$4/1000</f>
        <v>0</v>
      </c>
      <c r="AI28" s="807">
        <f t="shared" ref="AI28" si="370">AI27*AI$4/1000</f>
        <v>0</v>
      </c>
      <c r="AJ28" s="807">
        <f t="shared" ref="AJ28" si="371">AJ27*AJ$4/1000</f>
        <v>5.59</v>
      </c>
      <c r="AK28" s="807">
        <f t="shared" ref="AK28" si="372">AK27*AK$4/1000</f>
        <v>0</v>
      </c>
      <c r="AL28" s="807">
        <f t="shared" ref="AL28" si="373">AL27*AL$4/1000</f>
        <v>0</v>
      </c>
      <c r="AM28" s="807">
        <f t="shared" ref="AM28" si="374">AM27*AM$4/1000</f>
        <v>0</v>
      </c>
    </row>
    <row r="29" spans="1:42">
      <c r="A29" s="918">
        <v>43466</v>
      </c>
      <c r="B29" s="801" t="s">
        <v>806</v>
      </c>
      <c r="C29" s="802">
        <f t="shared" si="3"/>
        <v>4595</v>
      </c>
      <c r="D29" s="802">
        <v>4778</v>
      </c>
      <c r="E29" s="802">
        <v>455</v>
      </c>
      <c r="F29" s="802">
        <f>2467-2</f>
        <v>2465</v>
      </c>
      <c r="G29" s="802">
        <v>268</v>
      </c>
      <c r="H29" s="802">
        <v>66</v>
      </c>
      <c r="I29" s="802">
        <f>410-67</f>
        <v>343</v>
      </c>
      <c r="J29" s="802">
        <f>179-8</f>
        <v>171</v>
      </c>
      <c r="K29" s="802">
        <v>125</v>
      </c>
      <c r="L29" s="802">
        <v>123</v>
      </c>
      <c r="M29" s="802">
        <v>290</v>
      </c>
      <c r="N29" s="803"/>
      <c r="O29" s="802">
        <v>29</v>
      </c>
      <c r="P29" s="802">
        <v>14</v>
      </c>
      <c r="Q29" s="802">
        <v>18</v>
      </c>
      <c r="R29" s="802">
        <v>3</v>
      </c>
      <c r="S29" s="802">
        <v>2</v>
      </c>
      <c r="T29" s="802">
        <v>47</v>
      </c>
      <c r="U29" s="802">
        <v>48</v>
      </c>
      <c r="V29" s="802">
        <v>13</v>
      </c>
      <c r="W29" s="802">
        <v>19</v>
      </c>
      <c r="X29" s="802">
        <v>34</v>
      </c>
      <c r="Y29" s="802">
        <v>23</v>
      </c>
      <c r="Z29" s="802">
        <v>2</v>
      </c>
      <c r="AA29" s="802">
        <v>7</v>
      </c>
      <c r="AB29" s="802"/>
      <c r="AC29" s="802">
        <v>3</v>
      </c>
      <c r="AD29" s="802"/>
      <c r="AE29" s="802">
        <v>1</v>
      </c>
      <c r="AF29" s="803"/>
      <c r="AG29" s="804">
        <v>0</v>
      </c>
      <c r="AH29" s="804">
        <v>0</v>
      </c>
      <c r="AI29" s="804">
        <v>0</v>
      </c>
      <c r="AJ29" s="804">
        <v>26</v>
      </c>
      <c r="AK29" s="804">
        <v>0</v>
      </c>
      <c r="AL29" s="804">
        <v>0</v>
      </c>
      <c r="AO29">
        <f t="shared" si="1"/>
        <v>26</v>
      </c>
      <c r="AP29">
        <f t="shared" si="2"/>
        <v>0</v>
      </c>
    </row>
    <row r="30" spans="1:42">
      <c r="A30" s="918"/>
      <c r="B30" s="806" t="s">
        <v>28</v>
      </c>
      <c r="C30" s="807">
        <f t="shared" si="3"/>
        <v>244.05399999999997</v>
      </c>
      <c r="D30" s="807">
        <v>257.37799999999999</v>
      </c>
      <c r="E30" s="807">
        <f>E29*E$4/1000</f>
        <v>11.375</v>
      </c>
      <c r="F30" s="807">
        <f t="shared" ref="F30" si="375">F29*F$4/1000</f>
        <v>88.74</v>
      </c>
      <c r="G30" s="807">
        <f t="shared" ref="G30" si="376">G29*G$4/1000</f>
        <v>13.667999999999999</v>
      </c>
      <c r="H30" s="807">
        <f t="shared" ref="H30" si="377">H29*H$4/1000</f>
        <v>3.4319999999999999</v>
      </c>
      <c r="I30" s="807">
        <f t="shared" ref="I30" si="378">I29*I$4/1000</f>
        <v>24.696000000000002</v>
      </c>
      <c r="J30" s="807">
        <f t="shared" ref="J30" si="379">J29*J$4/1000</f>
        <v>12.824999999999999</v>
      </c>
      <c r="K30" s="807">
        <f t="shared" ref="K30" si="380">K29*K$4/1000</f>
        <v>11.5</v>
      </c>
      <c r="L30" s="807">
        <f t="shared" ref="L30" si="381">L29*L$4/1000</f>
        <v>12.669</v>
      </c>
      <c r="M30" s="807">
        <f t="shared" ref="M30" si="382">M29*M$4/1000</f>
        <v>41.47</v>
      </c>
      <c r="N30" s="807">
        <f t="shared" ref="N30" si="383">N29*N$4/1000</f>
        <v>0</v>
      </c>
      <c r="O30" s="807">
        <f t="shared" ref="O30" si="384">O29*O$4/1000</f>
        <v>0.87</v>
      </c>
      <c r="P30" s="807">
        <f t="shared" ref="P30" si="385">P29*P$4/1000</f>
        <v>0.58799999999999997</v>
      </c>
      <c r="Q30" s="807">
        <f t="shared" ref="Q30" si="386">Q29*Q$4/1000</f>
        <v>0.91800000000000004</v>
      </c>
      <c r="R30" s="807">
        <f t="shared" ref="R30" si="387">R29*R$4/1000</f>
        <v>0.159</v>
      </c>
      <c r="S30" s="807">
        <f t="shared" ref="S30" si="388">S29*S$4/1000</f>
        <v>0.12</v>
      </c>
      <c r="T30" s="807">
        <f t="shared" ref="T30" si="389">T29*T$4/1000</f>
        <v>3.29</v>
      </c>
      <c r="U30" s="807">
        <f t="shared" ref="U30" si="390">U29*U$4/1000</f>
        <v>3.4079999999999999</v>
      </c>
      <c r="V30" s="807">
        <f t="shared" ref="V30" si="391">V29*V$4/1000</f>
        <v>0.93600000000000005</v>
      </c>
      <c r="W30" s="807">
        <f t="shared" ref="W30" si="392">W29*W$4/1000</f>
        <v>1.425</v>
      </c>
      <c r="X30" s="807">
        <f t="shared" ref="X30" si="393">X29*X$4/1000</f>
        <v>2.72</v>
      </c>
      <c r="Y30" s="807">
        <f t="shared" ref="Y30" si="394">Y29*Y$4/1000</f>
        <v>2.1389999999999998</v>
      </c>
      <c r="Z30" s="807">
        <f t="shared" ref="Z30" si="395">Z29*Z$4/1000</f>
        <v>0.188</v>
      </c>
      <c r="AA30" s="807">
        <f t="shared" ref="AA30" si="396">AA29*AA$4/1000</f>
        <v>0.71399999999999997</v>
      </c>
      <c r="AB30" s="807">
        <f t="shared" ref="AB30" si="397">AB29*AB$4/1000</f>
        <v>0</v>
      </c>
      <c r="AC30" s="807">
        <f t="shared" ref="AC30" si="398">AC29*AC$4/1000</f>
        <v>0.45</v>
      </c>
      <c r="AD30" s="807">
        <f t="shared" ref="AD30" si="399">AD29*AD$4/1000</f>
        <v>0</v>
      </c>
      <c r="AE30" s="807">
        <f t="shared" ref="AE30" si="400">AE29*AE$4/1000</f>
        <v>0.16400000000000001</v>
      </c>
      <c r="AF30" s="803"/>
      <c r="AG30" s="807">
        <f t="shared" ref="AG30" si="401">AG29*AG$4/1000</f>
        <v>0</v>
      </c>
      <c r="AH30" s="807">
        <f t="shared" ref="AH30" si="402">AH29*AH$4/1000</f>
        <v>0</v>
      </c>
      <c r="AI30" s="807">
        <f t="shared" ref="AI30" si="403">AI29*AI$4/1000</f>
        <v>0</v>
      </c>
      <c r="AJ30" s="807">
        <f t="shared" ref="AJ30" si="404">AJ29*AJ$4/1000</f>
        <v>5.59</v>
      </c>
      <c r="AK30" s="807">
        <f t="shared" ref="AK30" si="405">AK29*AK$4/1000</f>
        <v>0</v>
      </c>
      <c r="AL30" s="807">
        <f t="shared" ref="AL30" si="406">AL29*AL$4/1000</f>
        <v>0</v>
      </c>
      <c r="AM30" s="807">
        <f t="shared" ref="AM30" si="407">AM29*AM$4/1000</f>
        <v>0</v>
      </c>
    </row>
    <row r="31" spans="1:42">
      <c r="A31" s="918">
        <v>43435</v>
      </c>
      <c r="B31" s="801" t="s">
        <v>806</v>
      </c>
      <c r="C31" s="802">
        <f t="shared" si="3"/>
        <v>4595</v>
      </c>
      <c r="D31" s="802">
        <v>4778</v>
      </c>
      <c r="E31" s="802">
        <v>455</v>
      </c>
      <c r="F31" s="802">
        <f>2467-2</f>
        <v>2465</v>
      </c>
      <c r="G31" s="802">
        <v>268</v>
      </c>
      <c r="H31" s="802">
        <v>66</v>
      </c>
      <c r="I31" s="802">
        <f>410-67</f>
        <v>343</v>
      </c>
      <c r="J31" s="802">
        <f>179-8</f>
        <v>171</v>
      </c>
      <c r="K31" s="802">
        <v>125</v>
      </c>
      <c r="L31" s="802">
        <v>123</v>
      </c>
      <c r="M31" s="802">
        <v>290</v>
      </c>
      <c r="N31" s="803"/>
      <c r="O31" s="802">
        <v>29</v>
      </c>
      <c r="P31" s="802">
        <v>14</v>
      </c>
      <c r="Q31" s="802">
        <v>18</v>
      </c>
      <c r="R31" s="802">
        <v>3</v>
      </c>
      <c r="S31" s="802">
        <v>2</v>
      </c>
      <c r="T31" s="802">
        <v>47</v>
      </c>
      <c r="U31" s="802">
        <v>48</v>
      </c>
      <c r="V31" s="802">
        <v>13</v>
      </c>
      <c r="W31" s="802">
        <v>19</v>
      </c>
      <c r="X31" s="802">
        <v>34</v>
      </c>
      <c r="Y31" s="802">
        <v>23</v>
      </c>
      <c r="Z31" s="802">
        <v>2</v>
      </c>
      <c r="AA31" s="802">
        <v>7</v>
      </c>
      <c r="AB31" s="802"/>
      <c r="AC31" s="802">
        <v>3</v>
      </c>
      <c r="AD31" s="802"/>
      <c r="AE31" s="802">
        <v>1</v>
      </c>
      <c r="AF31" s="803"/>
      <c r="AG31" s="804">
        <v>0</v>
      </c>
      <c r="AH31" s="804">
        <v>0</v>
      </c>
      <c r="AI31" s="804">
        <v>0</v>
      </c>
      <c r="AJ31" s="804">
        <v>26</v>
      </c>
      <c r="AK31" s="804">
        <v>0</v>
      </c>
      <c r="AL31" s="804">
        <v>0</v>
      </c>
      <c r="AO31">
        <f t="shared" si="1"/>
        <v>26</v>
      </c>
      <c r="AP31">
        <f t="shared" si="2"/>
        <v>0</v>
      </c>
    </row>
    <row r="32" spans="1:42">
      <c r="A32" s="918"/>
      <c r="B32" s="806" t="s">
        <v>28</v>
      </c>
      <c r="C32" s="807">
        <f t="shared" si="3"/>
        <v>244.05399999999997</v>
      </c>
      <c r="D32" s="807">
        <v>257.37799999999999</v>
      </c>
      <c r="E32" s="807">
        <f>E31*E$4/1000</f>
        <v>11.375</v>
      </c>
      <c r="F32" s="807">
        <f t="shared" ref="F32" si="408">F31*F$4/1000</f>
        <v>88.74</v>
      </c>
      <c r="G32" s="807">
        <f t="shared" ref="G32" si="409">G31*G$4/1000</f>
        <v>13.667999999999999</v>
      </c>
      <c r="H32" s="807">
        <f t="shared" ref="H32" si="410">H31*H$4/1000</f>
        <v>3.4319999999999999</v>
      </c>
      <c r="I32" s="807">
        <f t="shared" ref="I32" si="411">I31*I$4/1000</f>
        <v>24.696000000000002</v>
      </c>
      <c r="J32" s="807">
        <f t="shared" ref="J32" si="412">J31*J$4/1000</f>
        <v>12.824999999999999</v>
      </c>
      <c r="K32" s="807">
        <f t="shared" ref="K32" si="413">K31*K$4/1000</f>
        <v>11.5</v>
      </c>
      <c r="L32" s="807">
        <f t="shared" ref="L32" si="414">L31*L$4/1000</f>
        <v>12.669</v>
      </c>
      <c r="M32" s="807">
        <f t="shared" ref="M32" si="415">M31*M$4/1000</f>
        <v>41.47</v>
      </c>
      <c r="N32" s="807">
        <f t="shared" ref="N32" si="416">N31*N$4/1000</f>
        <v>0</v>
      </c>
      <c r="O32" s="807">
        <f t="shared" ref="O32" si="417">O31*O$4/1000</f>
        <v>0.87</v>
      </c>
      <c r="P32" s="807">
        <f t="shared" ref="P32" si="418">P31*P$4/1000</f>
        <v>0.58799999999999997</v>
      </c>
      <c r="Q32" s="807">
        <f t="shared" ref="Q32" si="419">Q31*Q$4/1000</f>
        <v>0.91800000000000004</v>
      </c>
      <c r="R32" s="807">
        <f t="shared" ref="R32" si="420">R31*R$4/1000</f>
        <v>0.159</v>
      </c>
      <c r="S32" s="807">
        <f t="shared" ref="S32" si="421">S31*S$4/1000</f>
        <v>0.12</v>
      </c>
      <c r="T32" s="807">
        <f t="shared" ref="T32" si="422">T31*T$4/1000</f>
        <v>3.29</v>
      </c>
      <c r="U32" s="807">
        <f t="shared" ref="U32" si="423">U31*U$4/1000</f>
        <v>3.4079999999999999</v>
      </c>
      <c r="V32" s="807">
        <f t="shared" ref="V32" si="424">V31*V$4/1000</f>
        <v>0.93600000000000005</v>
      </c>
      <c r="W32" s="807">
        <f t="shared" ref="W32" si="425">W31*W$4/1000</f>
        <v>1.425</v>
      </c>
      <c r="X32" s="807">
        <f t="shared" ref="X32" si="426">X31*X$4/1000</f>
        <v>2.72</v>
      </c>
      <c r="Y32" s="807">
        <f t="shared" ref="Y32" si="427">Y31*Y$4/1000</f>
        <v>2.1389999999999998</v>
      </c>
      <c r="Z32" s="807">
        <f t="shared" ref="Z32" si="428">Z31*Z$4/1000</f>
        <v>0.188</v>
      </c>
      <c r="AA32" s="807">
        <f t="shared" ref="AA32" si="429">AA31*AA$4/1000</f>
        <v>0.71399999999999997</v>
      </c>
      <c r="AB32" s="807">
        <f t="shared" ref="AB32" si="430">AB31*AB$4/1000</f>
        <v>0</v>
      </c>
      <c r="AC32" s="807">
        <f t="shared" ref="AC32" si="431">AC31*AC$4/1000</f>
        <v>0.45</v>
      </c>
      <c r="AD32" s="807">
        <f t="shared" ref="AD32" si="432">AD31*AD$4/1000</f>
        <v>0</v>
      </c>
      <c r="AE32" s="807">
        <f t="shared" ref="AE32" si="433">AE31*AE$4/1000</f>
        <v>0.16400000000000001</v>
      </c>
      <c r="AF32" s="803"/>
      <c r="AG32" s="807">
        <f t="shared" ref="AG32" si="434">AG31*AG$4/1000</f>
        <v>0</v>
      </c>
      <c r="AH32" s="807">
        <f t="shared" ref="AH32" si="435">AH31*AH$4/1000</f>
        <v>0</v>
      </c>
      <c r="AI32" s="807">
        <f t="shared" ref="AI32" si="436">AI31*AI$4/1000</f>
        <v>0</v>
      </c>
      <c r="AJ32" s="807">
        <f t="shared" ref="AJ32" si="437">AJ31*AJ$4/1000</f>
        <v>5.59</v>
      </c>
      <c r="AK32" s="807">
        <f t="shared" ref="AK32" si="438">AK31*AK$4/1000</f>
        <v>0</v>
      </c>
      <c r="AL32" s="807">
        <f t="shared" ref="AL32" si="439">AL31*AL$4/1000</f>
        <v>0</v>
      </c>
      <c r="AM32" s="807">
        <f t="shared" ref="AM32" si="440">AM31*AM$4/1000</f>
        <v>0</v>
      </c>
    </row>
    <row r="33" spans="1:42">
      <c r="A33" s="918">
        <v>43405</v>
      </c>
      <c r="B33" s="801" t="s">
        <v>806</v>
      </c>
      <c r="C33" s="802">
        <f t="shared" si="3"/>
        <v>4595</v>
      </c>
      <c r="D33" s="802">
        <v>4778</v>
      </c>
      <c r="E33" s="802">
        <v>455</v>
      </c>
      <c r="F33" s="802">
        <f>2467-2</f>
        <v>2465</v>
      </c>
      <c r="G33" s="802">
        <v>268</v>
      </c>
      <c r="H33" s="802">
        <v>66</v>
      </c>
      <c r="I33" s="802">
        <f>410-67</f>
        <v>343</v>
      </c>
      <c r="J33" s="802">
        <f>179-8</f>
        <v>171</v>
      </c>
      <c r="K33" s="802">
        <v>125</v>
      </c>
      <c r="L33" s="802">
        <v>123</v>
      </c>
      <c r="M33" s="802">
        <v>290</v>
      </c>
      <c r="N33" s="803"/>
      <c r="O33" s="802">
        <v>29</v>
      </c>
      <c r="P33" s="802">
        <v>14</v>
      </c>
      <c r="Q33" s="802">
        <v>18</v>
      </c>
      <c r="R33" s="802">
        <v>3</v>
      </c>
      <c r="S33" s="802">
        <v>2</v>
      </c>
      <c r="T33" s="802">
        <v>47</v>
      </c>
      <c r="U33" s="802">
        <v>48</v>
      </c>
      <c r="V33" s="802">
        <v>13</v>
      </c>
      <c r="W33" s="802">
        <v>19</v>
      </c>
      <c r="X33" s="802">
        <v>34</v>
      </c>
      <c r="Y33" s="802">
        <v>23</v>
      </c>
      <c r="Z33" s="802">
        <v>2</v>
      </c>
      <c r="AA33" s="802">
        <v>7</v>
      </c>
      <c r="AB33" s="802"/>
      <c r="AC33" s="802">
        <v>3</v>
      </c>
      <c r="AD33" s="802"/>
      <c r="AE33" s="802">
        <v>1</v>
      </c>
      <c r="AF33" s="803"/>
      <c r="AG33" s="804">
        <v>0</v>
      </c>
      <c r="AH33" s="804">
        <v>0</v>
      </c>
      <c r="AI33" s="804">
        <v>0</v>
      </c>
      <c r="AJ33" s="804">
        <v>26</v>
      </c>
      <c r="AK33" s="804">
        <v>0</v>
      </c>
      <c r="AL33" s="804">
        <v>0</v>
      </c>
      <c r="AO33">
        <f t="shared" si="1"/>
        <v>26</v>
      </c>
      <c r="AP33">
        <f t="shared" si="2"/>
        <v>0</v>
      </c>
    </row>
    <row r="34" spans="1:42">
      <c r="A34" s="918"/>
      <c r="B34" s="806" t="s">
        <v>28</v>
      </c>
      <c r="C34" s="807">
        <f t="shared" si="3"/>
        <v>244.05399999999997</v>
      </c>
      <c r="D34" s="807">
        <v>257.37799999999999</v>
      </c>
      <c r="E34" s="807">
        <f>E33*E$4/1000</f>
        <v>11.375</v>
      </c>
      <c r="F34" s="807">
        <f t="shared" ref="F34" si="441">F33*F$4/1000</f>
        <v>88.74</v>
      </c>
      <c r="G34" s="807">
        <f t="shared" ref="G34" si="442">G33*G$4/1000</f>
        <v>13.667999999999999</v>
      </c>
      <c r="H34" s="807">
        <f t="shared" ref="H34" si="443">H33*H$4/1000</f>
        <v>3.4319999999999999</v>
      </c>
      <c r="I34" s="807">
        <f t="shared" ref="I34" si="444">I33*I$4/1000</f>
        <v>24.696000000000002</v>
      </c>
      <c r="J34" s="807">
        <f t="shared" ref="J34" si="445">J33*J$4/1000</f>
        <v>12.824999999999999</v>
      </c>
      <c r="K34" s="807">
        <f t="shared" ref="K34" si="446">K33*K$4/1000</f>
        <v>11.5</v>
      </c>
      <c r="L34" s="807">
        <f t="shared" ref="L34" si="447">L33*L$4/1000</f>
        <v>12.669</v>
      </c>
      <c r="M34" s="807">
        <f t="shared" ref="M34" si="448">M33*M$4/1000</f>
        <v>41.47</v>
      </c>
      <c r="N34" s="807">
        <f t="shared" ref="N34" si="449">N33*N$4/1000</f>
        <v>0</v>
      </c>
      <c r="O34" s="807">
        <f t="shared" ref="O34" si="450">O33*O$4/1000</f>
        <v>0.87</v>
      </c>
      <c r="P34" s="807">
        <f t="shared" ref="P34" si="451">P33*P$4/1000</f>
        <v>0.58799999999999997</v>
      </c>
      <c r="Q34" s="807">
        <f t="shared" ref="Q34" si="452">Q33*Q$4/1000</f>
        <v>0.91800000000000004</v>
      </c>
      <c r="R34" s="807">
        <f t="shared" ref="R34" si="453">R33*R$4/1000</f>
        <v>0.159</v>
      </c>
      <c r="S34" s="807">
        <f t="shared" ref="S34" si="454">S33*S$4/1000</f>
        <v>0.12</v>
      </c>
      <c r="T34" s="807">
        <f t="shared" ref="T34" si="455">T33*T$4/1000</f>
        <v>3.29</v>
      </c>
      <c r="U34" s="807">
        <f t="shared" ref="U34" si="456">U33*U$4/1000</f>
        <v>3.4079999999999999</v>
      </c>
      <c r="V34" s="807">
        <f t="shared" ref="V34" si="457">V33*V$4/1000</f>
        <v>0.93600000000000005</v>
      </c>
      <c r="W34" s="807">
        <f t="shared" ref="W34" si="458">W33*W$4/1000</f>
        <v>1.425</v>
      </c>
      <c r="X34" s="807">
        <f t="shared" ref="X34" si="459">X33*X$4/1000</f>
        <v>2.72</v>
      </c>
      <c r="Y34" s="807">
        <f t="shared" ref="Y34" si="460">Y33*Y$4/1000</f>
        <v>2.1389999999999998</v>
      </c>
      <c r="Z34" s="807">
        <f t="shared" ref="Z34" si="461">Z33*Z$4/1000</f>
        <v>0.188</v>
      </c>
      <c r="AA34" s="807">
        <f t="shared" ref="AA34" si="462">AA33*AA$4/1000</f>
        <v>0.71399999999999997</v>
      </c>
      <c r="AB34" s="807">
        <f t="shared" ref="AB34" si="463">AB33*AB$4/1000</f>
        <v>0</v>
      </c>
      <c r="AC34" s="807">
        <f t="shared" ref="AC34" si="464">AC33*AC$4/1000</f>
        <v>0.45</v>
      </c>
      <c r="AD34" s="807">
        <f t="shared" ref="AD34" si="465">AD33*AD$4/1000</f>
        <v>0</v>
      </c>
      <c r="AE34" s="807">
        <f t="shared" ref="AE34" si="466">AE33*AE$4/1000</f>
        <v>0.16400000000000001</v>
      </c>
      <c r="AF34" s="803"/>
      <c r="AG34" s="807">
        <f t="shared" ref="AG34" si="467">AG33*AG$4/1000</f>
        <v>0</v>
      </c>
      <c r="AH34" s="807">
        <f t="shared" ref="AH34" si="468">AH33*AH$4/1000</f>
        <v>0</v>
      </c>
      <c r="AI34" s="807">
        <f t="shared" ref="AI34" si="469">AI33*AI$4/1000</f>
        <v>0</v>
      </c>
      <c r="AJ34" s="807">
        <f t="shared" ref="AJ34" si="470">AJ33*AJ$4/1000</f>
        <v>5.59</v>
      </c>
      <c r="AK34" s="807">
        <f t="shared" ref="AK34" si="471">AK33*AK$4/1000</f>
        <v>0</v>
      </c>
      <c r="AL34" s="807">
        <f t="shared" ref="AL34" si="472">AL33*AL$4/1000</f>
        <v>0</v>
      </c>
      <c r="AM34" s="807">
        <f t="shared" ref="AM34" si="473">AM33*AM$4/1000</f>
        <v>0</v>
      </c>
    </row>
    <row r="35" spans="1:42">
      <c r="A35" s="926">
        <v>43374</v>
      </c>
      <c r="B35" s="801" t="s">
        <v>806</v>
      </c>
      <c r="C35" s="802">
        <f t="shared" si="3"/>
        <v>4595</v>
      </c>
      <c r="D35" s="802">
        <v>4778</v>
      </c>
      <c r="E35" s="802">
        <v>455</v>
      </c>
      <c r="F35" s="802">
        <f>2467-2</f>
        <v>2465</v>
      </c>
      <c r="G35" s="802">
        <v>268</v>
      </c>
      <c r="H35" s="802">
        <v>66</v>
      </c>
      <c r="I35" s="802">
        <f>410-67</f>
        <v>343</v>
      </c>
      <c r="J35" s="802">
        <f>179-8</f>
        <v>171</v>
      </c>
      <c r="K35" s="802">
        <v>125</v>
      </c>
      <c r="L35" s="802">
        <v>123</v>
      </c>
      <c r="M35" s="802">
        <v>290</v>
      </c>
      <c r="N35" s="803"/>
      <c r="O35" s="802">
        <v>29</v>
      </c>
      <c r="P35" s="802">
        <v>14</v>
      </c>
      <c r="Q35" s="802">
        <v>18</v>
      </c>
      <c r="R35" s="802">
        <v>3</v>
      </c>
      <c r="S35" s="802">
        <v>2</v>
      </c>
      <c r="T35" s="802">
        <v>47</v>
      </c>
      <c r="U35" s="802">
        <v>48</v>
      </c>
      <c r="V35" s="802">
        <v>13</v>
      </c>
      <c r="W35" s="802">
        <v>19</v>
      </c>
      <c r="X35" s="802">
        <v>34</v>
      </c>
      <c r="Y35" s="802">
        <v>23</v>
      </c>
      <c r="Z35" s="802">
        <v>2</v>
      </c>
      <c r="AA35" s="802">
        <v>7</v>
      </c>
      <c r="AB35" s="802"/>
      <c r="AC35" s="802">
        <v>3</v>
      </c>
      <c r="AD35" s="802"/>
      <c r="AE35" s="802">
        <v>1</v>
      </c>
      <c r="AF35" s="803"/>
      <c r="AG35" s="804">
        <v>0</v>
      </c>
      <c r="AH35" s="804">
        <v>0</v>
      </c>
      <c r="AI35" s="804">
        <v>0</v>
      </c>
      <c r="AJ35" s="804">
        <v>26</v>
      </c>
      <c r="AK35" s="804">
        <v>0</v>
      </c>
      <c r="AL35" s="804">
        <v>0</v>
      </c>
      <c r="AO35">
        <f t="shared" si="1"/>
        <v>26</v>
      </c>
      <c r="AP35">
        <f t="shared" si="2"/>
        <v>0</v>
      </c>
    </row>
    <row r="36" spans="1:42">
      <c r="A36" s="927"/>
      <c r="B36" s="806" t="s">
        <v>28</v>
      </c>
      <c r="C36" s="807">
        <f t="shared" si="3"/>
        <v>244.05399999999997</v>
      </c>
      <c r="D36" s="807">
        <v>257.37799999999999</v>
      </c>
      <c r="E36" s="807">
        <f>E35*E$4/1000</f>
        <v>11.375</v>
      </c>
      <c r="F36" s="807">
        <f t="shared" ref="F36" si="474">F35*F$4/1000</f>
        <v>88.74</v>
      </c>
      <c r="G36" s="807">
        <f t="shared" ref="G36" si="475">G35*G$4/1000</f>
        <v>13.667999999999999</v>
      </c>
      <c r="H36" s="807">
        <f t="shared" ref="H36" si="476">H35*H$4/1000</f>
        <v>3.4319999999999999</v>
      </c>
      <c r="I36" s="807">
        <f t="shared" ref="I36" si="477">I35*I$4/1000</f>
        <v>24.696000000000002</v>
      </c>
      <c r="J36" s="807">
        <f t="shared" ref="J36" si="478">J35*J$4/1000</f>
        <v>12.824999999999999</v>
      </c>
      <c r="K36" s="807">
        <f t="shared" ref="K36" si="479">K35*K$4/1000</f>
        <v>11.5</v>
      </c>
      <c r="L36" s="807">
        <f t="shared" ref="L36" si="480">L35*L$4/1000</f>
        <v>12.669</v>
      </c>
      <c r="M36" s="807">
        <f t="shared" ref="M36" si="481">M35*M$4/1000</f>
        <v>41.47</v>
      </c>
      <c r="N36" s="807">
        <f t="shared" ref="N36" si="482">N35*N$4/1000</f>
        <v>0</v>
      </c>
      <c r="O36" s="807">
        <f t="shared" ref="O36" si="483">O35*O$4/1000</f>
        <v>0.87</v>
      </c>
      <c r="P36" s="807">
        <f t="shared" ref="P36" si="484">P35*P$4/1000</f>
        <v>0.58799999999999997</v>
      </c>
      <c r="Q36" s="807">
        <f t="shared" ref="Q36" si="485">Q35*Q$4/1000</f>
        <v>0.91800000000000004</v>
      </c>
      <c r="R36" s="807">
        <f t="shared" ref="R36" si="486">R35*R$4/1000</f>
        <v>0.159</v>
      </c>
      <c r="S36" s="807">
        <f t="shared" ref="S36" si="487">S35*S$4/1000</f>
        <v>0.12</v>
      </c>
      <c r="T36" s="807">
        <f t="shared" ref="T36" si="488">T35*T$4/1000</f>
        <v>3.29</v>
      </c>
      <c r="U36" s="807">
        <f t="shared" ref="U36" si="489">U35*U$4/1000</f>
        <v>3.4079999999999999</v>
      </c>
      <c r="V36" s="807">
        <f t="shared" ref="V36" si="490">V35*V$4/1000</f>
        <v>0.93600000000000005</v>
      </c>
      <c r="W36" s="807">
        <f t="shared" ref="W36" si="491">W35*W$4/1000</f>
        <v>1.425</v>
      </c>
      <c r="X36" s="807">
        <f t="shared" ref="X36" si="492">X35*X$4/1000</f>
        <v>2.72</v>
      </c>
      <c r="Y36" s="807">
        <f t="shared" ref="Y36" si="493">Y35*Y$4/1000</f>
        <v>2.1389999999999998</v>
      </c>
      <c r="Z36" s="807">
        <f t="shared" ref="Z36" si="494">Z35*Z$4/1000</f>
        <v>0.188</v>
      </c>
      <c r="AA36" s="807">
        <f t="shared" ref="AA36" si="495">AA35*AA$4/1000</f>
        <v>0.71399999999999997</v>
      </c>
      <c r="AB36" s="807">
        <f t="shared" ref="AB36" si="496">AB35*AB$4/1000</f>
        <v>0</v>
      </c>
      <c r="AC36" s="807">
        <f t="shared" ref="AC36" si="497">AC35*AC$4/1000</f>
        <v>0.45</v>
      </c>
      <c r="AD36" s="807">
        <f t="shared" ref="AD36" si="498">AD35*AD$4/1000</f>
        <v>0</v>
      </c>
      <c r="AE36" s="807">
        <f t="shared" ref="AE36" si="499">AE35*AE$4/1000</f>
        <v>0.16400000000000001</v>
      </c>
      <c r="AF36" s="803"/>
      <c r="AG36" s="807">
        <f t="shared" ref="AG36" si="500">AG35*AG$4/1000</f>
        <v>0</v>
      </c>
      <c r="AH36" s="807">
        <f t="shared" ref="AH36" si="501">AH35*AH$4/1000</f>
        <v>0</v>
      </c>
      <c r="AI36" s="807">
        <f t="shared" ref="AI36" si="502">AI35*AI$4/1000</f>
        <v>0</v>
      </c>
      <c r="AJ36" s="807">
        <f t="shared" ref="AJ36" si="503">AJ35*AJ$4/1000</f>
        <v>5.59</v>
      </c>
      <c r="AK36" s="807">
        <f t="shared" ref="AK36" si="504">AK35*AK$4/1000</f>
        <v>0</v>
      </c>
      <c r="AL36" s="807">
        <f t="shared" ref="AL36" si="505">AL35*AL$4/1000</f>
        <v>0</v>
      </c>
      <c r="AM36" s="807">
        <f t="shared" ref="AM36" si="506">AM35*AM$4/1000</f>
        <v>0</v>
      </c>
    </row>
    <row r="37" spans="1:42">
      <c r="A37" s="926">
        <v>43344</v>
      </c>
      <c r="B37" s="801" t="s">
        <v>806</v>
      </c>
      <c r="C37" s="802">
        <f t="shared" si="3"/>
        <v>4595</v>
      </c>
      <c r="D37" s="802">
        <v>4778</v>
      </c>
      <c r="E37" s="802">
        <v>455</v>
      </c>
      <c r="F37" s="802">
        <f>2467-2</f>
        <v>2465</v>
      </c>
      <c r="G37" s="802">
        <v>268</v>
      </c>
      <c r="H37" s="802">
        <v>66</v>
      </c>
      <c r="I37" s="802">
        <f>410-67</f>
        <v>343</v>
      </c>
      <c r="J37" s="802">
        <f>179-8</f>
        <v>171</v>
      </c>
      <c r="K37" s="802">
        <v>125</v>
      </c>
      <c r="L37" s="802">
        <v>123</v>
      </c>
      <c r="M37" s="802">
        <v>290</v>
      </c>
      <c r="N37" s="803"/>
      <c r="O37" s="802">
        <v>29</v>
      </c>
      <c r="P37" s="802">
        <v>14</v>
      </c>
      <c r="Q37" s="802">
        <v>18</v>
      </c>
      <c r="R37" s="802">
        <v>3</v>
      </c>
      <c r="S37" s="802">
        <v>2</v>
      </c>
      <c r="T37" s="802">
        <v>47</v>
      </c>
      <c r="U37" s="802">
        <v>48</v>
      </c>
      <c r="V37" s="802">
        <v>13</v>
      </c>
      <c r="W37" s="802">
        <v>19</v>
      </c>
      <c r="X37" s="802">
        <v>34</v>
      </c>
      <c r="Y37" s="802">
        <v>23</v>
      </c>
      <c r="Z37" s="802">
        <v>2</v>
      </c>
      <c r="AA37" s="802">
        <v>7</v>
      </c>
      <c r="AB37" s="802"/>
      <c r="AC37" s="802">
        <v>3</v>
      </c>
      <c r="AD37" s="802"/>
      <c r="AE37" s="802">
        <v>1</v>
      </c>
      <c r="AF37" s="803"/>
      <c r="AG37" s="804">
        <v>0</v>
      </c>
      <c r="AH37" s="804">
        <v>0</v>
      </c>
      <c r="AI37" s="804">
        <v>0</v>
      </c>
      <c r="AJ37" s="804">
        <v>26</v>
      </c>
      <c r="AK37" s="804">
        <v>0</v>
      </c>
      <c r="AL37" s="804">
        <v>0</v>
      </c>
      <c r="AO37">
        <f t="shared" si="1"/>
        <v>26</v>
      </c>
      <c r="AP37">
        <f t="shared" si="2"/>
        <v>0</v>
      </c>
    </row>
    <row r="38" spans="1:42">
      <c r="A38" s="927"/>
      <c r="B38" s="806" t="s">
        <v>28</v>
      </c>
      <c r="C38" s="807">
        <f t="shared" si="3"/>
        <v>244.05399999999997</v>
      </c>
      <c r="D38" s="807">
        <v>257.37799999999999</v>
      </c>
      <c r="E38" s="807">
        <f>E37*E$4/1000</f>
        <v>11.375</v>
      </c>
      <c r="F38" s="807">
        <f t="shared" ref="F38" si="507">F37*F$4/1000</f>
        <v>88.74</v>
      </c>
      <c r="G38" s="807">
        <f t="shared" ref="G38" si="508">G37*G$4/1000</f>
        <v>13.667999999999999</v>
      </c>
      <c r="H38" s="807">
        <f t="shared" ref="H38" si="509">H37*H$4/1000</f>
        <v>3.4319999999999999</v>
      </c>
      <c r="I38" s="807">
        <f t="shared" ref="I38" si="510">I37*I$4/1000</f>
        <v>24.696000000000002</v>
      </c>
      <c r="J38" s="807">
        <f t="shared" ref="J38" si="511">J37*J$4/1000</f>
        <v>12.824999999999999</v>
      </c>
      <c r="K38" s="807">
        <f t="shared" ref="K38" si="512">K37*K$4/1000</f>
        <v>11.5</v>
      </c>
      <c r="L38" s="807">
        <f t="shared" ref="L38" si="513">L37*L$4/1000</f>
        <v>12.669</v>
      </c>
      <c r="M38" s="807">
        <f t="shared" ref="M38" si="514">M37*M$4/1000</f>
        <v>41.47</v>
      </c>
      <c r="N38" s="807">
        <f t="shared" ref="N38" si="515">N37*N$4/1000</f>
        <v>0</v>
      </c>
      <c r="O38" s="807">
        <f t="shared" ref="O38" si="516">O37*O$4/1000</f>
        <v>0.87</v>
      </c>
      <c r="P38" s="807">
        <f t="shared" ref="P38" si="517">P37*P$4/1000</f>
        <v>0.58799999999999997</v>
      </c>
      <c r="Q38" s="807">
        <f t="shared" ref="Q38" si="518">Q37*Q$4/1000</f>
        <v>0.91800000000000004</v>
      </c>
      <c r="R38" s="807">
        <f t="shared" ref="R38" si="519">R37*R$4/1000</f>
        <v>0.159</v>
      </c>
      <c r="S38" s="807">
        <f t="shared" ref="S38" si="520">S37*S$4/1000</f>
        <v>0.12</v>
      </c>
      <c r="T38" s="807">
        <f t="shared" ref="T38" si="521">T37*T$4/1000</f>
        <v>3.29</v>
      </c>
      <c r="U38" s="807">
        <f t="shared" ref="U38" si="522">U37*U$4/1000</f>
        <v>3.4079999999999999</v>
      </c>
      <c r="V38" s="807">
        <f t="shared" ref="V38" si="523">V37*V$4/1000</f>
        <v>0.93600000000000005</v>
      </c>
      <c r="W38" s="807">
        <f t="shared" ref="W38" si="524">W37*W$4/1000</f>
        <v>1.425</v>
      </c>
      <c r="X38" s="807">
        <f t="shared" ref="X38" si="525">X37*X$4/1000</f>
        <v>2.72</v>
      </c>
      <c r="Y38" s="807">
        <f t="shared" ref="Y38" si="526">Y37*Y$4/1000</f>
        <v>2.1389999999999998</v>
      </c>
      <c r="Z38" s="807">
        <f t="shared" ref="Z38" si="527">Z37*Z$4/1000</f>
        <v>0.188</v>
      </c>
      <c r="AA38" s="807">
        <f t="shared" ref="AA38" si="528">AA37*AA$4/1000</f>
        <v>0.71399999999999997</v>
      </c>
      <c r="AB38" s="807">
        <f t="shared" ref="AB38" si="529">AB37*AB$4/1000</f>
        <v>0</v>
      </c>
      <c r="AC38" s="807">
        <f t="shared" ref="AC38" si="530">AC37*AC$4/1000</f>
        <v>0.45</v>
      </c>
      <c r="AD38" s="807">
        <f t="shared" ref="AD38" si="531">AD37*AD$4/1000</f>
        <v>0</v>
      </c>
      <c r="AE38" s="807">
        <f t="shared" ref="AE38" si="532">AE37*AE$4/1000</f>
        <v>0.16400000000000001</v>
      </c>
      <c r="AF38" s="803"/>
      <c r="AG38" s="807">
        <f t="shared" ref="AG38" si="533">AG37*AG$4/1000</f>
        <v>0</v>
      </c>
      <c r="AH38" s="807">
        <f t="shared" ref="AH38" si="534">AH37*AH$4/1000</f>
        <v>0</v>
      </c>
      <c r="AI38" s="807">
        <f t="shared" ref="AI38" si="535">AI37*AI$4/1000</f>
        <v>0</v>
      </c>
      <c r="AJ38" s="807">
        <f t="shared" ref="AJ38" si="536">AJ37*AJ$4/1000</f>
        <v>5.59</v>
      </c>
      <c r="AK38" s="807">
        <f t="shared" ref="AK38" si="537">AK37*AK$4/1000</f>
        <v>0</v>
      </c>
      <c r="AL38" s="807">
        <f t="shared" ref="AL38" si="538">AL37*AL$4/1000</f>
        <v>0</v>
      </c>
      <c r="AM38" s="807">
        <f t="shared" ref="AM38" si="539">AM37*AM$4/1000</f>
        <v>0</v>
      </c>
    </row>
    <row r="39" spans="1:42">
      <c r="A39" s="926">
        <v>43313</v>
      </c>
      <c r="B39" s="801" t="s">
        <v>806</v>
      </c>
      <c r="C39" s="802">
        <f t="shared" si="3"/>
        <v>4595</v>
      </c>
      <c r="D39" s="802">
        <v>4778</v>
      </c>
      <c r="E39" s="802">
        <v>455</v>
      </c>
      <c r="F39" s="802">
        <f>2467-2</f>
        <v>2465</v>
      </c>
      <c r="G39" s="802">
        <v>268</v>
      </c>
      <c r="H39" s="802">
        <v>66</v>
      </c>
      <c r="I39" s="802">
        <f>410-67</f>
        <v>343</v>
      </c>
      <c r="J39" s="802">
        <f>179-8</f>
        <v>171</v>
      </c>
      <c r="K39" s="802">
        <v>125</v>
      </c>
      <c r="L39" s="802">
        <v>123</v>
      </c>
      <c r="M39" s="802">
        <v>290</v>
      </c>
      <c r="N39" s="803"/>
      <c r="O39" s="802">
        <v>29</v>
      </c>
      <c r="P39" s="802">
        <v>14</v>
      </c>
      <c r="Q39" s="802">
        <v>18</v>
      </c>
      <c r="R39" s="802">
        <v>3</v>
      </c>
      <c r="S39" s="802">
        <v>2</v>
      </c>
      <c r="T39" s="802">
        <v>47</v>
      </c>
      <c r="U39" s="802">
        <v>48</v>
      </c>
      <c r="V39" s="802">
        <v>13</v>
      </c>
      <c r="W39" s="802">
        <v>19</v>
      </c>
      <c r="X39" s="802">
        <v>34</v>
      </c>
      <c r="Y39" s="802">
        <v>23</v>
      </c>
      <c r="Z39" s="802">
        <v>2</v>
      </c>
      <c r="AA39" s="802">
        <v>7</v>
      </c>
      <c r="AB39" s="802"/>
      <c r="AC39" s="802">
        <v>3</v>
      </c>
      <c r="AD39" s="802"/>
      <c r="AE39" s="802">
        <v>1</v>
      </c>
      <c r="AF39" s="803"/>
      <c r="AG39" s="804">
        <v>0</v>
      </c>
      <c r="AH39" s="804">
        <v>0</v>
      </c>
      <c r="AI39" s="804">
        <v>0</v>
      </c>
      <c r="AJ39" s="804">
        <v>26</v>
      </c>
      <c r="AK39" s="804">
        <v>0</v>
      </c>
      <c r="AL39" s="804">
        <v>0</v>
      </c>
      <c r="AO39">
        <f t="shared" si="1"/>
        <v>26</v>
      </c>
      <c r="AP39">
        <f t="shared" si="2"/>
        <v>0</v>
      </c>
    </row>
    <row r="40" spans="1:42">
      <c r="A40" s="927"/>
      <c r="B40" s="806" t="s">
        <v>28</v>
      </c>
      <c r="C40" s="807">
        <f t="shared" si="3"/>
        <v>244.05399999999997</v>
      </c>
      <c r="D40" s="807">
        <v>257.37799999999999</v>
      </c>
      <c r="E40" s="807">
        <f>E39*E$4/1000</f>
        <v>11.375</v>
      </c>
      <c r="F40" s="807">
        <f t="shared" ref="F40" si="540">F39*F$4/1000</f>
        <v>88.74</v>
      </c>
      <c r="G40" s="807">
        <f t="shared" ref="G40" si="541">G39*G$4/1000</f>
        <v>13.667999999999999</v>
      </c>
      <c r="H40" s="807">
        <f t="shared" ref="H40" si="542">H39*H$4/1000</f>
        <v>3.4319999999999999</v>
      </c>
      <c r="I40" s="807">
        <f t="shared" ref="I40" si="543">I39*I$4/1000</f>
        <v>24.696000000000002</v>
      </c>
      <c r="J40" s="807">
        <f t="shared" ref="J40" si="544">J39*J$4/1000</f>
        <v>12.824999999999999</v>
      </c>
      <c r="K40" s="807">
        <f t="shared" ref="K40" si="545">K39*K$4/1000</f>
        <v>11.5</v>
      </c>
      <c r="L40" s="807">
        <f t="shared" ref="L40" si="546">L39*L$4/1000</f>
        <v>12.669</v>
      </c>
      <c r="M40" s="807">
        <f t="shared" ref="M40" si="547">M39*M$4/1000</f>
        <v>41.47</v>
      </c>
      <c r="N40" s="807">
        <f t="shared" ref="N40" si="548">N39*N$4/1000</f>
        <v>0</v>
      </c>
      <c r="O40" s="807">
        <f t="shared" ref="O40" si="549">O39*O$4/1000</f>
        <v>0.87</v>
      </c>
      <c r="P40" s="807">
        <f t="shared" ref="P40" si="550">P39*P$4/1000</f>
        <v>0.58799999999999997</v>
      </c>
      <c r="Q40" s="807">
        <f t="shared" ref="Q40" si="551">Q39*Q$4/1000</f>
        <v>0.91800000000000004</v>
      </c>
      <c r="R40" s="807">
        <f t="shared" ref="R40" si="552">R39*R$4/1000</f>
        <v>0.159</v>
      </c>
      <c r="S40" s="807">
        <f t="shared" ref="S40" si="553">S39*S$4/1000</f>
        <v>0.12</v>
      </c>
      <c r="T40" s="807">
        <f t="shared" ref="T40" si="554">T39*T$4/1000</f>
        <v>3.29</v>
      </c>
      <c r="U40" s="807">
        <f t="shared" ref="U40" si="555">U39*U$4/1000</f>
        <v>3.4079999999999999</v>
      </c>
      <c r="V40" s="807">
        <f t="shared" ref="V40" si="556">V39*V$4/1000</f>
        <v>0.93600000000000005</v>
      </c>
      <c r="W40" s="807">
        <f t="shared" ref="W40" si="557">W39*W$4/1000</f>
        <v>1.425</v>
      </c>
      <c r="X40" s="807">
        <f t="shared" ref="X40" si="558">X39*X$4/1000</f>
        <v>2.72</v>
      </c>
      <c r="Y40" s="807">
        <f t="shared" ref="Y40" si="559">Y39*Y$4/1000</f>
        <v>2.1389999999999998</v>
      </c>
      <c r="Z40" s="807">
        <f t="shared" ref="Z40" si="560">Z39*Z$4/1000</f>
        <v>0.188</v>
      </c>
      <c r="AA40" s="807">
        <f t="shared" ref="AA40" si="561">AA39*AA$4/1000</f>
        <v>0.71399999999999997</v>
      </c>
      <c r="AB40" s="807">
        <f t="shared" ref="AB40" si="562">AB39*AB$4/1000</f>
        <v>0</v>
      </c>
      <c r="AC40" s="807">
        <f t="shared" ref="AC40" si="563">AC39*AC$4/1000</f>
        <v>0.45</v>
      </c>
      <c r="AD40" s="807">
        <f t="shared" ref="AD40" si="564">AD39*AD$4/1000</f>
        <v>0</v>
      </c>
      <c r="AE40" s="807">
        <f t="shared" ref="AE40" si="565">AE39*AE$4/1000</f>
        <v>0.16400000000000001</v>
      </c>
      <c r="AF40" s="803"/>
      <c r="AG40" s="807">
        <f t="shared" ref="AG40" si="566">AG39*AG$4/1000</f>
        <v>0</v>
      </c>
      <c r="AH40" s="807">
        <f t="shared" ref="AH40" si="567">AH39*AH$4/1000</f>
        <v>0</v>
      </c>
      <c r="AI40" s="807">
        <f t="shared" ref="AI40" si="568">AI39*AI$4/1000</f>
        <v>0</v>
      </c>
      <c r="AJ40" s="807">
        <f t="shared" ref="AJ40" si="569">AJ39*AJ$4/1000</f>
        <v>5.59</v>
      </c>
      <c r="AK40" s="807">
        <f t="shared" ref="AK40" si="570">AK39*AK$4/1000</f>
        <v>0</v>
      </c>
      <c r="AL40" s="807">
        <f t="shared" ref="AL40" si="571">AL39*AL$4/1000</f>
        <v>0</v>
      </c>
      <c r="AM40" s="807">
        <f t="shared" ref="AM40" si="572">AM39*AM$4/1000</f>
        <v>0</v>
      </c>
    </row>
    <row r="41" spans="1:42">
      <c r="A41" s="926">
        <v>43282</v>
      </c>
      <c r="B41" s="801" t="s">
        <v>806</v>
      </c>
      <c r="C41" s="802">
        <f t="shared" si="3"/>
        <v>4595</v>
      </c>
      <c r="D41" s="802">
        <v>4676</v>
      </c>
      <c r="E41" s="802">
        <v>455</v>
      </c>
      <c r="F41" s="802">
        <f>2467-2</f>
        <v>2465</v>
      </c>
      <c r="G41" s="802">
        <v>268</v>
      </c>
      <c r="H41" s="802">
        <v>66</v>
      </c>
      <c r="I41" s="802">
        <f>410-67</f>
        <v>343</v>
      </c>
      <c r="J41" s="802">
        <f>179-8</f>
        <v>171</v>
      </c>
      <c r="K41" s="802">
        <v>125</v>
      </c>
      <c r="L41" s="802">
        <v>123</v>
      </c>
      <c r="M41" s="802">
        <v>290</v>
      </c>
      <c r="N41" s="803"/>
      <c r="O41" s="802">
        <v>29</v>
      </c>
      <c r="P41" s="802">
        <v>14</v>
      </c>
      <c r="Q41" s="802">
        <v>18</v>
      </c>
      <c r="R41" s="802">
        <v>3</v>
      </c>
      <c r="S41" s="802">
        <v>2</v>
      </c>
      <c r="T41" s="802">
        <v>47</v>
      </c>
      <c r="U41" s="802">
        <v>48</v>
      </c>
      <c r="V41" s="802">
        <v>13</v>
      </c>
      <c r="W41" s="802">
        <v>19</v>
      </c>
      <c r="X41" s="802">
        <v>34</v>
      </c>
      <c r="Y41" s="802">
        <v>23</v>
      </c>
      <c r="Z41" s="802">
        <v>2</v>
      </c>
      <c r="AA41" s="802">
        <v>7</v>
      </c>
      <c r="AB41" s="802"/>
      <c r="AC41" s="802">
        <v>3</v>
      </c>
      <c r="AD41" s="802"/>
      <c r="AE41" s="802">
        <v>1</v>
      </c>
      <c r="AF41" s="803"/>
      <c r="AG41" s="804">
        <v>0</v>
      </c>
      <c r="AH41" s="804">
        <v>0</v>
      </c>
      <c r="AI41" s="804">
        <v>0</v>
      </c>
      <c r="AJ41" s="804">
        <v>26</v>
      </c>
      <c r="AK41" s="804">
        <v>0</v>
      </c>
      <c r="AL41" s="804">
        <v>0</v>
      </c>
      <c r="AO41">
        <f t="shared" si="1"/>
        <v>26</v>
      </c>
      <c r="AP41">
        <f t="shared" si="2"/>
        <v>0</v>
      </c>
    </row>
    <row r="42" spans="1:42">
      <c r="A42" s="927"/>
      <c r="B42" s="806" t="s">
        <v>28</v>
      </c>
      <c r="C42" s="807">
        <f t="shared" si="3"/>
        <v>244.05399999999997</v>
      </c>
      <c r="D42" s="807">
        <v>257.37799999999999</v>
      </c>
      <c r="E42" s="807">
        <f>E41*E$4/1000</f>
        <v>11.375</v>
      </c>
      <c r="F42" s="807">
        <f t="shared" ref="F42" si="573">F41*F$4/1000</f>
        <v>88.74</v>
      </c>
      <c r="G42" s="807">
        <f t="shared" ref="G42" si="574">G41*G$4/1000</f>
        <v>13.667999999999999</v>
      </c>
      <c r="H42" s="807">
        <f t="shared" ref="H42" si="575">H41*H$4/1000</f>
        <v>3.4319999999999999</v>
      </c>
      <c r="I42" s="807">
        <f t="shared" ref="I42" si="576">I41*I$4/1000</f>
        <v>24.696000000000002</v>
      </c>
      <c r="J42" s="807">
        <f t="shared" ref="J42" si="577">J41*J$4/1000</f>
        <v>12.824999999999999</v>
      </c>
      <c r="K42" s="807">
        <f t="shared" ref="K42" si="578">K41*K$4/1000</f>
        <v>11.5</v>
      </c>
      <c r="L42" s="807">
        <f t="shared" ref="L42" si="579">L41*L$4/1000</f>
        <v>12.669</v>
      </c>
      <c r="M42" s="807">
        <f t="shared" ref="M42" si="580">M41*M$4/1000</f>
        <v>41.47</v>
      </c>
      <c r="N42" s="807">
        <f t="shared" ref="N42" si="581">N41*N$4/1000</f>
        <v>0</v>
      </c>
      <c r="O42" s="807">
        <f t="shared" ref="O42" si="582">O41*O$4/1000</f>
        <v>0.87</v>
      </c>
      <c r="P42" s="807">
        <f t="shared" ref="P42" si="583">P41*P$4/1000</f>
        <v>0.58799999999999997</v>
      </c>
      <c r="Q42" s="807">
        <f t="shared" ref="Q42" si="584">Q41*Q$4/1000</f>
        <v>0.91800000000000004</v>
      </c>
      <c r="R42" s="807">
        <f t="shared" ref="R42" si="585">R41*R$4/1000</f>
        <v>0.159</v>
      </c>
      <c r="S42" s="807">
        <f t="shared" ref="S42" si="586">S41*S$4/1000</f>
        <v>0.12</v>
      </c>
      <c r="T42" s="807">
        <f t="shared" ref="T42" si="587">T41*T$4/1000</f>
        <v>3.29</v>
      </c>
      <c r="U42" s="807">
        <f t="shared" ref="U42" si="588">U41*U$4/1000</f>
        <v>3.4079999999999999</v>
      </c>
      <c r="V42" s="807">
        <f t="shared" ref="V42" si="589">V41*V$4/1000</f>
        <v>0.93600000000000005</v>
      </c>
      <c r="W42" s="807">
        <f t="shared" ref="W42" si="590">W41*W$4/1000</f>
        <v>1.425</v>
      </c>
      <c r="X42" s="807">
        <f t="shared" ref="X42" si="591">X41*X$4/1000</f>
        <v>2.72</v>
      </c>
      <c r="Y42" s="807">
        <f t="shared" ref="Y42" si="592">Y41*Y$4/1000</f>
        <v>2.1389999999999998</v>
      </c>
      <c r="Z42" s="807">
        <f t="shared" ref="Z42" si="593">Z41*Z$4/1000</f>
        <v>0.188</v>
      </c>
      <c r="AA42" s="807">
        <f t="shared" ref="AA42" si="594">AA41*AA$4/1000</f>
        <v>0.71399999999999997</v>
      </c>
      <c r="AB42" s="807">
        <f t="shared" ref="AB42" si="595">AB41*AB$4/1000</f>
        <v>0</v>
      </c>
      <c r="AC42" s="807">
        <f t="shared" ref="AC42" si="596">AC41*AC$4/1000</f>
        <v>0.45</v>
      </c>
      <c r="AD42" s="807">
        <f t="shared" ref="AD42" si="597">AD41*AD$4/1000</f>
        <v>0</v>
      </c>
      <c r="AE42" s="807">
        <f t="shared" ref="AE42" si="598">AE41*AE$4/1000</f>
        <v>0.16400000000000001</v>
      </c>
      <c r="AF42" s="803"/>
      <c r="AG42" s="807">
        <f t="shared" ref="AG42" si="599">AG41*AG$4/1000</f>
        <v>0</v>
      </c>
      <c r="AH42" s="807">
        <f t="shared" ref="AH42" si="600">AH41*AH$4/1000</f>
        <v>0</v>
      </c>
      <c r="AI42" s="807">
        <f t="shared" ref="AI42" si="601">AI41*AI$4/1000</f>
        <v>0</v>
      </c>
      <c r="AJ42" s="807">
        <f t="shared" ref="AJ42" si="602">AJ41*AJ$4/1000</f>
        <v>5.59</v>
      </c>
      <c r="AK42" s="807">
        <f t="shared" ref="AK42" si="603">AK41*AK$4/1000</f>
        <v>0</v>
      </c>
      <c r="AL42" s="807">
        <f t="shared" ref="AL42" si="604">AL41*AL$4/1000</f>
        <v>0</v>
      </c>
      <c r="AM42" s="807">
        <f t="shared" ref="AM42" si="605">AM41*AM$4/1000</f>
        <v>0</v>
      </c>
    </row>
    <row r="43" spans="1:42">
      <c r="A43" s="926">
        <v>43252</v>
      </c>
      <c r="B43" s="801" t="s">
        <v>806</v>
      </c>
      <c r="C43" s="802">
        <f t="shared" si="3"/>
        <v>4595</v>
      </c>
      <c r="D43" s="802">
        <v>4676</v>
      </c>
      <c r="E43" s="802">
        <v>455</v>
      </c>
      <c r="F43" s="802">
        <f>2467-2</f>
        <v>2465</v>
      </c>
      <c r="G43" s="802">
        <v>268</v>
      </c>
      <c r="H43" s="802">
        <v>66</v>
      </c>
      <c r="I43" s="802">
        <f>410-67</f>
        <v>343</v>
      </c>
      <c r="J43" s="802">
        <f>179-8</f>
        <v>171</v>
      </c>
      <c r="K43" s="802">
        <v>125</v>
      </c>
      <c r="L43" s="802">
        <v>123</v>
      </c>
      <c r="M43" s="802">
        <v>290</v>
      </c>
      <c r="N43" s="803"/>
      <c r="O43" s="802">
        <v>29</v>
      </c>
      <c r="P43" s="802">
        <v>14</v>
      </c>
      <c r="Q43" s="802">
        <v>18</v>
      </c>
      <c r="R43" s="802">
        <v>3</v>
      </c>
      <c r="S43" s="802">
        <v>2</v>
      </c>
      <c r="T43" s="802">
        <v>47</v>
      </c>
      <c r="U43" s="802">
        <v>48</v>
      </c>
      <c r="V43" s="802">
        <v>13</v>
      </c>
      <c r="W43" s="802">
        <v>19</v>
      </c>
      <c r="X43" s="802">
        <v>34</v>
      </c>
      <c r="Y43" s="802">
        <v>23</v>
      </c>
      <c r="Z43" s="802">
        <v>2</v>
      </c>
      <c r="AA43" s="802">
        <v>7</v>
      </c>
      <c r="AB43" s="802"/>
      <c r="AC43" s="802">
        <v>3</v>
      </c>
      <c r="AD43" s="802"/>
      <c r="AE43" s="802">
        <v>1</v>
      </c>
      <c r="AF43" s="803"/>
      <c r="AG43" s="804">
        <v>0</v>
      </c>
      <c r="AH43" s="804">
        <v>0</v>
      </c>
      <c r="AI43" s="804">
        <v>0</v>
      </c>
      <c r="AJ43" s="804">
        <v>26</v>
      </c>
      <c r="AK43" s="804">
        <v>0</v>
      </c>
      <c r="AL43" s="804">
        <v>0</v>
      </c>
      <c r="AO43">
        <f t="shared" si="1"/>
        <v>26</v>
      </c>
      <c r="AP43">
        <f t="shared" si="2"/>
        <v>-4</v>
      </c>
    </row>
    <row r="44" spans="1:42">
      <c r="A44" s="927"/>
      <c r="B44" s="806" t="s">
        <v>28</v>
      </c>
      <c r="C44" s="807">
        <f t="shared" si="3"/>
        <v>244.05399999999997</v>
      </c>
      <c r="D44" s="807">
        <v>257.37799999999999</v>
      </c>
      <c r="E44" s="807">
        <f>E43*E$4/1000</f>
        <v>11.375</v>
      </c>
      <c r="F44" s="807">
        <f t="shared" ref="F44" si="606">F43*F$4/1000</f>
        <v>88.74</v>
      </c>
      <c r="G44" s="807">
        <f t="shared" ref="G44" si="607">G43*G$4/1000</f>
        <v>13.667999999999999</v>
      </c>
      <c r="H44" s="807">
        <f t="shared" ref="H44" si="608">H43*H$4/1000</f>
        <v>3.4319999999999999</v>
      </c>
      <c r="I44" s="807">
        <f t="shared" ref="I44" si="609">I43*I$4/1000</f>
        <v>24.696000000000002</v>
      </c>
      <c r="J44" s="807">
        <f t="shared" ref="J44" si="610">J43*J$4/1000</f>
        <v>12.824999999999999</v>
      </c>
      <c r="K44" s="807">
        <f t="shared" ref="K44" si="611">K43*K$4/1000</f>
        <v>11.5</v>
      </c>
      <c r="L44" s="807">
        <f t="shared" ref="L44" si="612">L43*L$4/1000</f>
        <v>12.669</v>
      </c>
      <c r="M44" s="807">
        <f t="shared" ref="M44" si="613">M43*M$4/1000</f>
        <v>41.47</v>
      </c>
      <c r="N44" s="807">
        <f t="shared" ref="N44" si="614">N43*N$4/1000</f>
        <v>0</v>
      </c>
      <c r="O44" s="807">
        <f t="shared" ref="O44" si="615">O43*O$4/1000</f>
        <v>0.87</v>
      </c>
      <c r="P44" s="807">
        <f t="shared" ref="P44" si="616">P43*P$4/1000</f>
        <v>0.58799999999999997</v>
      </c>
      <c r="Q44" s="807">
        <f t="shared" ref="Q44" si="617">Q43*Q$4/1000</f>
        <v>0.91800000000000004</v>
      </c>
      <c r="R44" s="807">
        <f t="shared" ref="R44" si="618">R43*R$4/1000</f>
        <v>0.159</v>
      </c>
      <c r="S44" s="807">
        <f t="shared" ref="S44" si="619">S43*S$4/1000</f>
        <v>0.12</v>
      </c>
      <c r="T44" s="807">
        <f t="shared" ref="T44" si="620">T43*T$4/1000</f>
        <v>3.29</v>
      </c>
      <c r="U44" s="807">
        <f t="shared" ref="U44" si="621">U43*U$4/1000</f>
        <v>3.4079999999999999</v>
      </c>
      <c r="V44" s="807">
        <f t="shared" ref="V44" si="622">V43*V$4/1000</f>
        <v>0.93600000000000005</v>
      </c>
      <c r="W44" s="807">
        <f t="shared" ref="W44" si="623">W43*W$4/1000</f>
        <v>1.425</v>
      </c>
      <c r="X44" s="807">
        <f t="shared" ref="X44" si="624">X43*X$4/1000</f>
        <v>2.72</v>
      </c>
      <c r="Y44" s="807">
        <f t="shared" ref="Y44" si="625">Y43*Y$4/1000</f>
        <v>2.1389999999999998</v>
      </c>
      <c r="Z44" s="807">
        <f t="shared" ref="Z44" si="626">Z43*Z$4/1000</f>
        <v>0.188</v>
      </c>
      <c r="AA44" s="807">
        <f t="shared" ref="AA44" si="627">AA43*AA$4/1000</f>
        <v>0.71399999999999997</v>
      </c>
      <c r="AB44" s="807">
        <f t="shared" ref="AB44" si="628">AB43*AB$4/1000</f>
        <v>0</v>
      </c>
      <c r="AC44" s="807">
        <f t="shared" ref="AC44" si="629">AC43*AC$4/1000</f>
        <v>0.45</v>
      </c>
      <c r="AD44" s="807">
        <f t="shared" ref="AD44" si="630">AD43*AD$4/1000</f>
        <v>0</v>
      </c>
      <c r="AE44" s="807">
        <f t="shared" ref="AE44" si="631">AE43*AE$4/1000</f>
        <v>0.16400000000000001</v>
      </c>
      <c r="AF44" s="803"/>
      <c r="AG44" s="807">
        <f t="shared" ref="AG44" si="632">AG43*AG$4/1000</f>
        <v>0</v>
      </c>
      <c r="AH44" s="807">
        <f t="shared" ref="AH44" si="633">AH43*AH$4/1000</f>
        <v>0</v>
      </c>
      <c r="AI44" s="807">
        <f t="shared" ref="AI44" si="634">AI43*AI$4/1000</f>
        <v>0</v>
      </c>
      <c r="AJ44" s="807">
        <f t="shared" ref="AJ44" si="635">AJ43*AJ$4/1000</f>
        <v>5.59</v>
      </c>
      <c r="AK44" s="807">
        <f t="shared" ref="AK44" si="636">AK43*AK$4/1000</f>
        <v>0</v>
      </c>
      <c r="AL44" s="807">
        <f t="shared" ref="AL44" si="637">AL43*AL$4/1000</f>
        <v>0</v>
      </c>
      <c r="AM44" s="807">
        <f t="shared" ref="AM44" si="638">AM43*AM$4/1000</f>
        <v>0</v>
      </c>
    </row>
    <row r="45" spans="1:42">
      <c r="A45" s="926">
        <v>43221</v>
      </c>
      <c r="B45" s="801" t="s">
        <v>806</v>
      </c>
      <c r="C45" s="802">
        <f t="shared" si="3"/>
        <v>4595</v>
      </c>
      <c r="D45" s="802">
        <v>4676</v>
      </c>
      <c r="E45" s="802">
        <v>455</v>
      </c>
      <c r="F45" s="802">
        <f>2467-2</f>
        <v>2465</v>
      </c>
      <c r="G45" s="802">
        <v>268</v>
      </c>
      <c r="H45" s="802">
        <v>66</v>
      </c>
      <c r="I45" s="802">
        <f>410-71</f>
        <v>339</v>
      </c>
      <c r="J45" s="802">
        <f>179-8</f>
        <v>171</v>
      </c>
      <c r="K45" s="802">
        <v>125</v>
      </c>
      <c r="L45" s="802">
        <v>123</v>
      </c>
      <c r="M45" s="802">
        <v>290</v>
      </c>
      <c r="N45" s="803"/>
      <c r="O45" s="802">
        <v>29</v>
      </c>
      <c r="P45" s="802">
        <v>14</v>
      </c>
      <c r="Q45" s="802">
        <v>18</v>
      </c>
      <c r="R45" s="802">
        <v>3</v>
      </c>
      <c r="S45" s="802">
        <v>2</v>
      </c>
      <c r="T45" s="802">
        <v>47</v>
      </c>
      <c r="U45" s="802">
        <v>48</v>
      </c>
      <c r="V45" s="802">
        <v>13</v>
      </c>
      <c r="W45" s="802">
        <v>19</v>
      </c>
      <c r="X45" s="802">
        <v>34</v>
      </c>
      <c r="Y45" s="802">
        <v>23</v>
      </c>
      <c r="Z45" s="802">
        <v>2</v>
      </c>
      <c r="AA45" s="802">
        <v>7</v>
      </c>
      <c r="AB45" s="802"/>
      <c r="AC45" s="802">
        <v>3</v>
      </c>
      <c r="AD45" s="802"/>
      <c r="AE45" s="802">
        <v>1</v>
      </c>
      <c r="AF45" s="803"/>
      <c r="AG45" s="804">
        <v>0</v>
      </c>
      <c r="AH45" s="804">
        <v>0</v>
      </c>
      <c r="AI45" s="804">
        <v>0</v>
      </c>
      <c r="AJ45" s="804">
        <v>30</v>
      </c>
      <c r="AK45" s="804">
        <v>0</v>
      </c>
      <c r="AL45" s="804">
        <v>0</v>
      </c>
      <c r="AO45">
        <f t="shared" si="1"/>
        <v>30</v>
      </c>
      <c r="AP45">
        <f t="shared" si="2"/>
        <v>0</v>
      </c>
    </row>
    <row r="46" spans="1:42">
      <c r="A46" s="927"/>
      <c r="B46" s="806" t="s">
        <v>28</v>
      </c>
      <c r="C46" s="807">
        <f t="shared" si="3"/>
        <v>244.62599999999995</v>
      </c>
      <c r="D46" s="807">
        <v>252.12999999999997</v>
      </c>
      <c r="E46" s="807">
        <f>E45*E$4/1000</f>
        <v>11.375</v>
      </c>
      <c r="F46" s="807">
        <f t="shared" ref="F46" si="639">F45*F$4/1000</f>
        <v>88.74</v>
      </c>
      <c r="G46" s="807">
        <f t="shared" ref="G46" si="640">G45*G$4/1000</f>
        <v>13.667999999999999</v>
      </c>
      <c r="H46" s="807">
        <f t="shared" ref="H46" si="641">H45*H$4/1000</f>
        <v>3.4319999999999999</v>
      </c>
      <c r="I46" s="807">
        <f t="shared" ref="I46" si="642">I45*I$4/1000</f>
        <v>24.408000000000001</v>
      </c>
      <c r="J46" s="807">
        <f t="shared" ref="J46" si="643">J45*J$4/1000</f>
        <v>12.824999999999999</v>
      </c>
      <c r="K46" s="807">
        <f t="shared" ref="K46" si="644">K45*K$4/1000</f>
        <v>11.5</v>
      </c>
      <c r="L46" s="807">
        <f t="shared" ref="L46" si="645">L45*L$4/1000</f>
        <v>12.669</v>
      </c>
      <c r="M46" s="807">
        <f t="shared" ref="M46" si="646">M45*M$4/1000</f>
        <v>41.47</v>
      </c>
      <c r="N46" s="807">
        <f t="shared" ref="N46" si="647">N45*N$4/1000</f>
        <v>0</v>
      </c>
      <c r="O46" s="807">
        <f t="shared" ref="O46" si="648">O45*O$4/1000</f>
        <v>0.87</v>
      </c>
      <c r="P46" s="807">
        <f t="shared" ref="P46" si="649">P45*P$4/1000</f>
        <v>0.58799999999999997</v>
      </c>
      <c r="Q46" s="807">
        <f t="shared" ref="Q46" si="650">Q45*Q$4/1000</f>
        <v>0.91800000000000004</v>
      </c>
      <c r="R46" s="807">
        <f t="shared" ref="R46" si="651">R45*R$4/1000</f>
        <v>0.159</v>
      </c>
      <c r="S46" s="807">
        <f t="shared" ref="S46" si="652">S45*S$4/1000</f>
        <v>0.12</v>
      </c>
      <c r="T46" s="807">
        <f t="shared" ref="T46" si="653">T45*T$4/1000</f>
        <v>3.29</v>
      </c>
      <c r="U46" s="807">
        <f t="shared" ref="U46" si="654">U45*U$4/1000</f>
        <v>3.4079999999999999</v>
      </c>
      <c r="V46" s="807">
        <f t="shared" ref="V46" si="655">V45*V$4/1000</f>
        <v>0.93600000000000005</v>
      </c>
      <c r="W46" s="807">
        <f t="shared" ref="W46" si="656">W45*W$4/1000</f>
        <v>1.425</v>
      </c>
      <c r="X46" s="807">
        <f t="shared" ref="X46" si="657">X45*X$4/1000</f>
        <v>2.72</v>
      </c>
      <c r="Y46" s="807">
        <f t="shared" ref="Y46" si="658">Y45*Y$4/1000</f>
        <v>2.1389999999999998</v>
      </c>
      <c r="Z46" s="807">
        <f t="shared" ref="Z46" si="659">Z45*Z$4/1000</f>
        <v>0.188</v>
      </c>
      <c r="AA46" s="807">
        <f t="shared" ref="AA46" si="660">AA45*AA$4/1000</f>
        <v>0.71399999999999997</v>
      </c>
      <c r="AB46" s="807">
        <f t="shared" ref="AB46" si="661">AB45*AB$4/1000</f>
        <v>0</v>
      </c>
      <c r="AC46" s="807">
        <f t="shared" ref="AC46" si="662">AC45*AC$4/1000</f>
        <v>0.45</v>
      </c>
      <c r="AD46" s="807">
        <f t="shared" ref="AD46" si="663">AD45*AD$4/1000</f>
        <v>0</v>
      </c>
      <c r="AE46" s="807">
        <f t="shared" ref="AE46" si="664">AE45*AE$4/1000</f>
        <v>0.16400000000000001</v>
      </c>
      <c r="AF46" s="803"/>
      <c r="AG46" s="807">
        <f t="shared" ref="AG46" si="665">AG45*AG$4/1000</f>
        <v>0</v>
      </c>
      <c r="AH46" s="807">
        <f t="shared" ref="AH46" si="666">AH45*AH$4/1000</f>
        <v>0</v>
      </c>
      <c r="AI46" s="807">
        <f t="shared" ref="AI46" si="667">AI45*AI$4/1000</f>
        <v>0</v>
      </c>
      <c r="AJ46" s="807">
        <f t="shared" ref="AJ46" si="668">AJ45*AJ$4/1000</f>
        <v>6.45</v>
      </c>
      <c r="AK46" s="807">
        <f t="shared" ref="AK46" si="669">AK45*AK$4/1000</f>
        <v>0</v>
      </c>
      <c r="AL46" s="807">
        <f t="shared" ref="AL46" si="670">AL45*AL$4/1000</f>
        <v>0</v>
      </c>
      <c r="AM46" s="807">
        <f t="shared" ref="AM46" si="671">AM45*AM$4/1000</f>
        <v>0</v>
      </c>
    </row>
    <row r="47" spans="1:42">
      <c r="A47" s="926">
        <v>43191</v>
      </c>
      <c r="B47" s="801" t="s">
        <v>806</v>
      </c>
      <c r="C47" s="802">
        <f t="shared" si="3"/>
        <v>4595</v>
      </c>
      <c r="D47" s="802">
        <v>4676</v>
      </c>
      <c r="E47" s="802">
        <v>455</v>
      </c>
      <c r="F47" s="802">
        <f>2467-2</f>
        <v>2465</v>
      </c>
      <c r="G47" s="802">
        <v>268</v>
      </c>
      <c r="H47" s="802">
        <v>66</v>
      </c>
      <c r="I47" s="802">
        <f>410-71</f>
        <v>339</v>
      </c>
      <c r="J47" s="802">
        <f>179-8</f>
        <v>171</v>
      </c>
      <c r="K47" s="802">
        <v>125</v>
      </c>
      <c r="L47" s="802">
        <v>123</v>
      </c>
      <c r="M47" s="802">
        <v>290</v>
      </c>
      <c r="N47" s="803"/>
      <c r="O47" s="802">
        <v>29</v>
      </c>
      <c r="P47" s="802">
        <v>14</v>
      </c>
      <c r="Q47" s="802">
        <v>18</v>
      </c>
      <c r="R47" s="802">
        <v>3</v>
      </c>
      <c r="S47" s="802">
        <v>2</v>
      </c>
      <c r="T47" s="802">
        <v>47</v>
      </c>
      <c r="U47" s="802">
        <v>48</v>
      </c>
      <c r="V47" s="802">
        <v>13</v>
      </c>
      <c r="W47" s="802">
        <v>19</v>
      </c>
      <c r="X47" s="802">
        <v>34</v>
      </c>
      <c r="Y47" s="802">
        <v>23</v>
      </c>
      <c r="Z47" s="802">
        <v>2</v>
      </c>
      <c r="AA47" s="802">
        <v>7</v>
      </c>
      <c r="AB47" s="802"/>
      <c r="AC47" s="802">
        <v>3</v>
      </c>
      <c r="AD47" s="802"/>
      <c r="AE47" s="802">
        <v>1</v>
      </c>
      <c r="AF47" s="803"/>
      <c r="AG47" s="804">
        <v>0</v>
      </c>
      <c r="AH47" s="804">
        <v>0</v>
      </c>
      <c r="AI47" s="804">
        <v>0</v>
      </c>
      <c r="AJ47" s="804">
        <v>30</v>
      </c>
      <c r="AK47" s="804">
        <v>0</v>
      </c>
      <c r="AL47" s="804">
        <v>0</v>
      </c>
      <c r="AO47">
        <f t="shared" si="1"/>
        <v>30</v>
      </c>
      <c r="AP47">
        <f t="shared" si="2"/>
        <v>0</v>
      </c>
    </row>
    <row r="48" spans="1:42">
      <c r="A48" s="927"/>
      <c r="B48" s="806" t="s">
        <v>28</v>
      </c>
      <c r="C48" s="807">
        <f t="shared" si="3"/>
        <v>244.62599999999995</v>
      </c>
      <c r="D48" s="807">
        <v>250.48199999999997</v>
      </c>
      <c r="E48" s="807">
        <f>E47*E$4/1000</f>
        <v>11.375</v>
      </c>
      <c r="F48" s="807">
        <f t="shared" ref="F48" si="672">F47*F$4/1000</f>
        <v>88.74</v>
      </c>
      <c r="G48" s="807">
        <f t="shared" ref="G48" si="673">G47*G$4/1000</f>
        <v>13.667999999999999</v>
      </c>
      <c r="H48" s="807">
        <f t="shared" ref="H48" si="674">H47*H$4/1000</f>
        <v>3.4319999999999999</v>
      </c>
      <c r="I48" s="807">
        <f t="shared" ref="I48" si="675">I47*I$4/1000</f>
        <v>24.408000000000001</v>
      </c>
      <c r="J48" s="807">
        <f t="shared" ref="J48" si="676">J47*J$4/1000</f>
        <v>12.824999999999999</v>
      </c>
      <c r="K48" s="807">
        <f t="shared" ref="K48" si="677">K47*K$4/1000</f>
        <v>11.5</v>
      </c>
      <c r="L48" s="807">
        <f t="shared" ref="L48" si="678">L47*L$4/1000</f>
        <v>12.669</v>
      </c>
      <c r="M48" s="807">
        <f t="shared" ref="M48" si="679">M47*M$4/1000</f>
        <v>41.47</v>
      </c>
      <c r="N48" s="807">
        <f t="shared" ref="N48" si="680">N47*N$4/1000</f>
        <v>0</v>
      </c>
      <c r="O48" s="807">
        <f t="shared" ref="O48" si="681">O47*O$4/1000</f>
        <v>0.87</v>
      </c>
      <c r="P48" s="807">
        <f t="shared" ref="P48" si="682">P47*P$4/1000</f>
        <v>0.58799999999999997</v>
      </c>
      <c r="Q48" s="807">
        <f t="shared" ref="Q48" si="683">Q47*Q$4/1000</f>
        <v>0.91800000000000004</v>
      </c>
      <c r="R48" s="807">
        <f t="shared" ref="R48" si="684">R47*R$4/1000</f>
        <v>0.159</v>
      </c>
      <c r="S48" s="807">
        <f t="shared" ref="S48" si="685">S47*S$4/1000</f>
        <v>0.12</v>
      </c>
      <c r="T48" s="807">
        <f t="shared" ref="T48" si="686">T47*T$4/1000</f>
        <v>3.29</v>
      </c>
      <c r="U48" s="807">
        <f t="shared" ref="U48" si="687">U47*U$4/1000</f>
        <v>3.4079999999999999</v>
      </c>
      <c r="V48" s="807">
        <f t="shared" ref="V48" si="688">V47*V$4/1000</f>
        <v>0.93600000000000005</v>
      </c>
      <c r="W48" s="807">
        <f t="shared" ref="W48" si="689">W47*W$4/1000</f>
        <v>1.425</v>
      </c>
      <c r="X48" s="807">
        <f t="shared" ref="X48" si="690">X47*X$4/1000</f>
        <v>2.72</v>
      </c>
      <c r="Y48" s="807">
        <f t="shared" ref="Y48" si="691">Y47*Y$4/1000</f>
        <v>2.1389999999999998</v>
      </c>
      <c r="Z48" s="807">
        <f t="shared" ref="Z48" si="692">Z47*Z$4/1000</f>
        <v>0.188</v>
      </c>
      <c r="AA48" s="807">
        <f t="shared" ref="AA48" si="693">AA47*AA$4/1000</f>
        <v>0.71399999999999997</v>
      </c>
      <c r="AB48" s="807">
        <f t="shared" ref="AB48" si="694">AB47*AB$4/1000</f>
        <v>0</v>
      </c>
      <c r="AC48" s="807">
        <f t="shared" ref="AC48" si="695">AC47*AC$4/1000</f>
        <v>0.45</v>
      </c>
      <c r="AD48" s="807">
        <f t="shared" ref="AD48" si="696">AD47*AD$4/1000</f>
        <v>0</v>
      </c>
      <c r="AE48" s="807">
        <f t="shared" ref="AE48" si="697">AE47*AE$4/1000</f>
        <v>0.16400000000000001</v>
      </c>
      <c r="AF48" s="803"/>
      <c r="AG48" s="807">
        <f t="shared" ref="AG48" si="698">AG47*AG$4/1000</f>
        <v>0</v>
      </c>
      <c r="AH48" s="807">
        <f t="shared" ref="AH48" si="699">AH47*AH$4/1000</f>
        <v>0</v>
      </c>
      <c r="AI48" s="807">
        <f t="shared" ref="AI48" si="700">AI47*AI$4/1000</f>
        <v>0</v>
      </c>
      <c r="AJ48" s="807">
        <f t="shared" ref="AJ48" si="701">AJ47*AJ$4/1000</f>
        <v>6.45</v>
      </c>
      <c r="AK48" s="807">
        <f t="shared" ref="AK48" si="702">AK47*AK$4/1000</f>
        <v>0</v>
      </c>
      <c r="AL48" s="807">
        <f t="shared" ref="AL48" si="703">AL47*AL$4/1000</f>
        <v>0</v>
      </c>
      <c r="AM48" s="807">
        <f t="shared" ref="AM48" si="704">AM47*AM$4/1000</f>
        <v>0</v>
      </c>
    </row>
    <row r="49" spans="1:42">
      <c r="A49" s="926">
        <v>43160</v>
      </c>
      <c r="B49" s="801" t="s">
        <v>806</v>
      </c>
      <c r="C49" s="802">
        <f t="shared" si="3"/>
        <v>4595</v>
      </c>
      <c r="D49" s="802">
        <v>4676</v>
      </c>
      <c r="E49" s="802">
        <v>455</v>
      </c>
      <c r="F49" s="802">
        <f>2467-2</f>
        <v>2465</v>
      </c>
      <c r="G49" s="802">
        <v>268</v>
      </c>
      <c r="H49" s="802">
        <v>66</v>
      </c>
      <c r="I49" s="802">
        <f>410-71</f>
        <v>339</v>
      </c>
      <c r="J49" s="802">
        <f>179-8</f>
        <v>171</v>
      </c>
      <c r="K49" s="802">
        <v>125</v>
      </c>
      <c r="L49" s="802">
        <v>123</v>
      </c>
      <c r="M49" s="802">
        <v>290</v>
      </c>
      <c r="N49" s="803"/>
      <c r="O49" s="802">
        <v>29</v>
      </c>
      <c r="P49" s="802">
        <v>14</v>
      </c>
      <c r="Q49" s="802">
        <v>18</v>
      </c>
      <c r="R49" s="802">
        <v>3</v>
      </c>
      <c r="S49" s="802">
        <v>2</v>
      </c>
      <c r="T49" s="802">
        <v>47</v>
      </c>
      <c r="U49" s="802">
        <v>48</v>
      </c>
      <c r="V49" s="802">
        <v>13</v>
      </c>
      <c r="W49" s="802">
        <v>19</v>
      </c>
      <c r="X49" s="802">
        <v>34</v>
      </c>
      <c r="Y49" s="802">
        <v>23</v>
      </c>
      <c r="Z49" s="802">
        <v>2</v>
      </c>
      <c r="AA49" s="802">
        <v>7</v>
      </c>
      <c r="AB49" s="802"/>
      <c r="AC49" s="802">
        <v>3</v>
      </c>
      <c r="AD49" s="802"/>
      <c r="AE49" s="802">
        <v>1</v>
      </c>
      <c r="AF49" s="803"/>
      <c r="AG49" s="804">
        <v>0</v>
      </c>
      <c r="AH49" s="804">
        <v>0</v>
      </c>
      <c r="AI49" s="804">
        <v>0</v>
      </c>
      <c r="AJ49" s="804">
        <v>30</v>
      </c>
      <c r="AK49" s="804">
        <v>0</v>
      </c>
      <c r="AL49" s="804">
        <v>0</v>
      </c>
      <c r="AO49">
        <f t="shared" si="1"/>
        <v>30</v>
      </c>
      <c r="AP49">
        <f t="shared" si="2"/>
        <v>0</v>
      </c>
    </row>
    <row r="50" spans="1:42">
      <c r="A50" s="927"/>
      <c r="B50" s="806" t="s">
        <v>28</v>
      </c>
      <c r="C50" s="807">
        <f t="shared" si="3"/>
        <v>244.62599999999995</v>
      </c>
      <c r="D50" s="807">
        <v>250.48199999999997</v>
      </c>
      <c r="E50" s="807">
        <f>E49*E$4/1000</f>
        <v>11.375</v>
      </c>
      <c r="F50" s="807">
        <f t="shared" ref="F50" si="705">F49*F$4/1000</f>
        <v>88.74</v>
      </c>
      <c r="G50" s="807">
        <f t="shared" ref="G50" si="706">G49*G$4/1000</f>
        <v>13.667999999999999</v>
      </c>
      <c r="H50" s="807">
        <f t="shared" ref="H50" si="707">H49*H$4/1000</f>
        <v>3.4319999999999999</v>
      </c>
      <c r="I50" s="807">
        <f t="shared" ref="I50" si="708">I49*I$4/1000</f>
        <v>24.408000000000001</v>
      </c>
      <c r="J50" s="807">
        <f t="shared" ref="J50" si="709">J49*J$4/1000</f>
        <v>12.824999999999999</v>
      </c>
      <c r="K50" s="807">
        <f t="shared" ref="K50" si="710">K49*K$4/1000</f>
        <v>11.5</v>
      </c>
      <c r="L50" s="807">
        <f t="shared" ref="L50" si="711">L49*L$4/1000</f>
        <v>12.669</v>
      </c>
      <c r="M50" s="807">
        <f t="shared" ref="M50" si="712">M49*M$4/1000</f>
        <v>41.47</v>
      </c>
      <c r="N50" s="807">
        <f t="shared" ref="N50" si="713">N49*N$4/1000</f>
        <v>0</v>
      </c>
      <c r="O50" s="807">
        <f t="shared" ref="O50" si="714">O49*O$4/1000</f>
        <v>0.87</v>
      </c>
      <c r="P50" s="807">
        <f t="shared" ref="P50" si="715">P49*P$4/1000</f>
        <v>0.58799999999999997</v>
      </c>
      <c r="Q50" s="807">
        <f t="shared" ref="Q50" si="716">Q49*Q$4/1000</f>
        <v>0.91800000000000004</v>
      </c>
      <c r="R50" s="807">
        <f t="shared" ref="R50" si="717">R49*R$4/1000</f>
        <v>0.159</v>
      </c>
      <c r="S50" s="807">
        <f t="shared" ref="S50" si="718">S49*S$4/1000</f>
        <v>0.12</v>
      </c>
      <c r="T50" s="807">
        <f t="shared" ref="T50" si="719">T49*T$4/1000</f>
        <v>3.29</v>
      </c>
      <c r="U50" s="807">
        <f t="shared" ref="U50" si="720">U49*U$4/1000</f>
        <v>3.4079999999999999</v>
      </c>
      <c r="V50" s="807">
        <f t="shared" ref="V50" si="721">V49*V$4/1000</f>
        <v>0.93600000000000005</v>
      </c>
      <c r="W50" s="807">
        <f t="shared" ref="W50" si="722">W49*W$4/1000</f>
        <v>1.425</v>
      </c>
      <c r="X50" s="807">
        <f t="shared" ref="X50" si="723">X49*X$4/1000</f>
        <v>2.72</v>
      </c>
      <c r="Y50" s="807">
        <f t="shared" ref="Y50" si="724">Y49*Y$4/1000</f>
        <v>2.1389999999999998</v>
      </c>
      <c r="Z50" s="807">
        <f t="shared" ref="Z50" si="725">Z49*Z$4/1000</f>
        <v>0.188</v>
      </c>
      <c r="AA50" s="807">
        <f t="shared" ref="AA50" si="726">AA49*AA$4/1000</f>
        <v>0.71399999999999997</v>
      </c>
      <c r="AB50" s="807">
        <f t="shared" ref="AB50" si="727">AB49*AB$4/1000</f>
        <v>0</v>
      </c>
      <c r="AC50" s="807">
        <f t="shared" ref="AC50" si="728">AC49*AC$4/1000</f>
        <v>0.45</v>
      </c>
      <c r="AD50" s="807">
        <f t="shared" ref="AD50" si="729">AD49*AD$4/1000</f>
        <v>0</v>
      </c>
      <c r="AE50" s="807">
        <f t="shared" ref="AE50" si="730">AE49*AE$4/1000</f>
        <v>0.16400000000000001</v>
      </c>
      <c r="AF50" s="803"/>
      <c r="AG50" s="807">
        <f t="shared" ref="AG50" si="731">AG49*AG$4/1000</f>
        <v>0</v>
      </c>
      <c r="AH50" s="807">
        <f t="shared" ref="AH50" si="732">AH49*AH$4/1000</f>
        <v>0</v>
      </c>
      <c r="AI50" s="807">
        <f t="shared" ref="AI50" si="733">AI49*AI$4/1000</f>
        <v>0</v>
      </c>
      <c r="AJ50" s="807">
        <f t="shared" ref="AJ50" si="734">AJ49*AJ$4/1000</f>
        <v>6.45</v>
      </c>
      <c r="AK50" s="807">
        <f t="shared" ref="AK50" si="735">AK49*AK$4/1000</f>
        <v>0</v>
      </c>
      <c r="AL50" s="807">
        <f t="shared" ref="AL50" si="736">AL49*AL$4/1000</f>
        <v>0</v>
      </c>
      <c r="AM50" s="807">
        <f t="shared" ref="AM50" si="737">AM49*AM$4/1000</f>
        <v>0</v>
      </c>
    </row>
    <row r="51" spans="1:42">
      <c r="A51" s="926">
        <v>43132</v>
      </c>
      <c r="B51" s="801" t="s">
        <v>806</v>
      </c>
      <c r="C51" s="802">
        <f t="shared" si="3"/>
        <v>4595</v>
      </c>
      <c r="D51" s="802">
        <v>4676</v>
      </c>
      <c r="E51" s="802">
        <v>455</v>
      </c>
      <c r="F51" s="802">
        <f>2467-2</f>
        <v>2465</v>
      </c>
      <c r="G51" s="802">
        <v>268</v>
      </c>
      <c r="H51" s="802">
        <v>66</v>
      </c>
      <c r="I51" s="802">
        <f>410-71</f>
        <v>339</v>
      </c>
      <c r="J51" s="802">
        <f>179-8</f>
        <v>171</v>
      </c>
      <c r="K51" s="802">
        <v>125</v>
      </c>
      <c r="L51" s="802">
        <v>123</v>
      </c>
      <c r="M51" s="802">
        <v>290</v>
      </c>
      <c r="N51" s="803"/>
      <c r="O51" s="802">
        <v>29</v>
      </c>
      <c r="P51" s="802">
        <v>14</v>
      </c>
      <c r="Q51" s="802">
        <v>18</v>
      </c>
      <c r="R51" s="802">
        <v>3</v>
      </c>
      <c r="S51" s="802">
        <v>2</v>
      </c>
      <c r="T51" s="802">
        <v>47</v>
      </c>
      <c r="U51" s="802">
        <v>48</v>
      </c>
      <c r="V51" s="802">
        <v>13</v>
      </c>
      <c r="W51" s="802">
        <v>19</v>
      </c>
      <c r="X51" s="802">
        <v>34</v>
      </c>
      <c r="Y51" s="802">
        <v>23</v>
      </c>
      <c r="Z51" s="802">
        <v>2</v>
      </c>
      <c r="AA51" s="802">
        <v>7</v>
      </c>
      <c r="AB51" s="802"/>
      <c r="AC51" s="802">
        <v>3</v>
      </c>
      <c r="AD51" s="802"/>
      <c r="AE51" s="802">
        <v>1</v>
      </c>
      <c r="AF51" s="803"/>
      <c r="AG51" s="804">
        <v>0</v>
      </c>
      <c r="AH51" s="804">
        <v>0</v>
      </c>
      <c r="AI51" s="804">
        <v>0</v>
      </c>
      <c r="AJ51" s="804">
        <v>30</v>
      </c>
      <c r="AK51" s="804">
        <v>0</v>
      </c>
      <c r="AL51" s="804">
        <v>0</v>
      </c>
      <c r="AO51">
        <f t="shared" si="1"/>
        <v>30</v>
      </c>
      <c r="AP51">
        <f t="shared" si="2"/>
        <v>0</v>
      </c>
    </row>
    <row r="52" spans="1:42">
      <c r="A52" s="927"/>
      <c r="B52" s="806" t="s">
        <v>28</v>
      </c>
      <c r="C52" s="807">
        <f t="shared" si="3"/>
        <v>244.62599999999995</v>
      </c>
      <c r="D52" s="807">
        <v>250.40999999999997</v>
      </c>
      <c r="E52" s="807">
        <f>E51*E$4/1000</f>
        <v>11.375</v>
      </c>
      <c r="F52" s="807">
        <f t="shared" ref="F52" si="738">F51*F$4/1000</f>
        <v>88.74</v>
      </c>
      <c r="G52" s="807">
        <f t="shared" ref="G52" si="739">G51*G$4/1000</f>
        <v>13.667999999999999</v>
      </c>
      <c r="H52" s="807">
        <f t="shared" ref="H52" si="740">H51*H$4/1000</f>
        <v>3.4319999999999999</v>
      </c>
      <c r="I52" s="807">
        <f t="shared" ref="I52" si="741">I51*I$4/1000</f>
        <v>24.408000000000001</v>
      </c>
      <c r="J52" s="807">
        <f t="shared" ref="J52" si="742">J51*J$4/1000</f>
        <v>12.824999999999999</v>
      </c>
      <c r="K52" s="807">
        <f t="shared" ref="K52" si="743">K51*K$4/1000</f>
        <v>11.5</v>
      </c>
      <c r="L52" s="807">
        <f t="shared" ref="L52" si="744">L51*L$4/1000</f>
        <v>12.669</v>
      </c>
      <c r="M52" s="807">
        <f t="shared" ref="M52" si="745">M51*M$4/1000</f>
        <v>41.47</v>
      </c>
      <c r="N52" s="807">
        <f t="shared" ref="N52" si="746">N51*N$4/1000</f>
        <v>0</v>
      </c>
      <c r="O52" s="807">
        <f t="shared" ref="O52" si="747">O51*O$4/1000</f>
        <v>0.87</v>
      </c>
      <c r="P52" s="807">
        <f t="shared" ref="P52" si="748">P51*P$4/1000</f>
        <v>0.58799999999999997</v>
      </c>
      <c r="Q52" s="807">
        <f t="shared" ref="Q52" si="749">Q51*Q$4/1000</f>
        <v>0.91800000000000004</v>
      </c>
      <c r="R52" s="807">
        <f t="shared" ref="R52" si="750">R51*R$4/1000</f>
        <v>0.159</v>
      </c>
      <c r="S52" s="807">
        <f t="shared" ref="S52" si="751">S51*S$4/1000</f>
        <v>0.12</v>
      </c>
      <c r="T52" s="807">
        <f t="shared" ref="T52" si="752">T51*T$4/1000</f>
        <v>3.29</v>
      </c>
      <c r="U52" s="807">
        <f t="shared" ref="U52" si="753">U51*U$4/1000</f>
        <v>3.4079999999999999</v>
      </c>
      <c r="V52" s="807">
        <f t="shared" ref="V52" si="754">V51*V$4/1000</f>
        <v>0.93600000000000005</v>
      </c>
      <c r="W52" s="807">
        <f t="shared" ref="W52" si="755">W51*W$4/1000</f>
        <v>1.425</v>
      </c>
      <c r="X52" s="807">
        <f t="shared" ref="X52" si="756">X51*X$4/1000</f>
        <v>2.72</v>
      </c>
      <c r="Y52" s="807">
        <f t="shared" ref="Y52" si="757">Y51*Y$4/1000</f>
        <v>2.1389999999999998</v>
      </c>
      <c r="Z52" s="807">
        <f t="shared" ref="Z52" si="758">Z51*Z$4/1000</f>
        <v>0.188</v>
      </c>
      <c r="AA52" s="807">
        <f t="shared" ref="AA52" si="759">AA51*AA$4/1000</f>
        <v>0.71399999999999997</v>
      </c>
      <c r="AB52" s="807">
        <f t="shared" ref="AB52" si="760">AB51*AB$4/1000</f>
        <v>0</v>
      </c>
      <c r="AC52" s="807">
        <f t="shared" ref="AC52" si="761">AC51*AC$4/1000</f>
        <v>0.45</v>
      </c>
      <c r="AD52" s="807">
        <f t="shared" ref="AD52" si="762">AD51*AD$4/1000</f>
        <v>0</v>
      </c>
      <c r="AE52" s="807">
        <f t="shared" ref="AE52" si="763">AE51*AE$4/1000</f>
        <v>0.16400000000000001</v>
      </c>
      <c r="AF52" s="803"/>
      <c r="AG52" s="807">
        <f t="shared" ref="AG52" si="764">AG51*AG$4/1000</f>
        <v>0</v>
      </c>
      <c r="AH52" s="807">
        <f t="shared" ref="AH52" si="765">AH51*AH$4/1000</f>
        <v>0</v>
      </c>
      <c r="AI52" s="807">
        <f t="shared" ref="AI52" si="766">AI51*AI$4/1000</f>
        <v>0</v>
      </c>
      <c r="AJ52" s="807">
        <f t="shared" ref="AJ52" si="767">AJ51*AJ$4/1000</f>
        <v>6.45</v>
      </c>
      <c r="AK52" s="807">
        <f t="shared" ref="AK52" si="768">AK51*AK$4/1000</f>
        <v>0</v>
      </c>
      <c r="AL52" s="807">
        <f t="shared" ref="AL52" si="769">AL51*AL$4/1000</f>
        <v>0</v>
      </c>
      <c r="AM52" s="807">
        <f t="shared" ref="AM52" si="770">AM51*AM$4/1000</f>
        <v>0</v>
      </c>
    </row>
    <row r="53" spans="1:42">
      <c r="A53" s="926">
        <v>43101</v>
      </c>
      <c r="B53" s="801" t="s">
        <v>806</v>
      </c>
      <c r="C53" s="802">
        <f t="shared" si="3"/>
        <v>4595</v>
      </c>
      <c r="D53" s="802">
        <v>4676</v>
      </c>
      <c r="E53" s="802">
        <v>455</v>
      </c>
      <c r="F53" s="802">
        <f>2467-2</f>
        <v>2465</v>
      </c>
      <c r="G53" s="802">
        <v>268</v>
      </c>
      <c r="H53" s="802">
        <v>66</v>
      </c>
      <c r="I53" s="802">
        <f>410-71</f>
        <v>339</v>
      </c>
      <c r="J53" s="802">
        <f>179-8</f>
        <v>171</v>
      </c>
      <c r="K53" s="802">
        <v>125</v>
      </c>
      <c r="L53" s="802">
        <v>123</v>
      </c>
      <c r="M53" s="802">
        <v>290</v>
      </c>
      <c r="N53" s="803"/>
      <c r="O53" s="802">
        <v>29</v>
      </c>
      <c r="P53" s="802">
        <v>14</v>
      </c>
      <c r="Q53" s="802">
        <v>18</v>
      </c>
      <c r="R53" s="802">
        <v>3</v>
      </c>
      <c r="S53" s="802">
        <v>2</v>
      </c>
      <c r="T53" s="802">
        <v>47</v>
      </c>
      <c r="U53" s="802">
        <v>48</v>
      </c>
      <c r="V53" s="802">
        <v>13</v>
      </c>
      <c r="W53" s="802">
        <v>19</v>
      </c>
      <c r="X53" s="802">
        <v>34</v>
      </c>
      <c r="Y53" s="802">
        <v>23</v>
      </c>
      <c r="Z53" s="802">
        <v>2</v>
      </c>
      <c r="AA53" s="802">
        <v>7</v>
      </c>
      <c r="AB53" s="802"/>
      <c r="AC53" s="802">
        <v>3</v>
      </c>
      <c r="AD53" s="802"/>
      <c r="AE53" s="802">
        <v>1</v>
      </c>
      <c r="AF53" s="803"/>
      <c r="AG53" s="804">
        <v>0</v>
      </c>
      <c r="AH53" s="804">
        <v>0</v>
      </c>
      <c r="AI53" s="804">
        <v>0</v>
      </c>
      <c r="AJ53" s="804">
        <v>30</v>
      </c>
      <c r="AK53" s="804">
        <v>0</v>
      </c>
      <c r="AL53" s="804">
        <v>0</v>
      </c>
      <c r="AO53">
        <f t="shared" si="1"/>
        <v>30</v>
      </c>
      <c r="AP53">
        <f t="shared" si="2"/>
        <v>-7</v>
      </c>
    </row>
    <row r="54" spans="1:42">
      <c r="A54" s="927"/>
      <c r="B54" s="806" t="s">
        <v>28</v>
      </c>
      <c r="C54" s="807">
        <f t="shared" si="3"/>
        <v>244.62599999999995</v>
      </c>
      <c r="D54" s="807">
        <v>250.40999999999997</v>
      </c>
      <c r="E54" s="807">
        <f>E53*E$4/1000</f>
        <v>11.375</v>
      </c>
      <c r="F54" s="807">
        <f t="shared" ref="F54" si="771">F53*F$4/1000</f>
        <v>88.74</v>
      </c>
      <c r="G54" s="807">
        <f t="shared" ref="G54" si="772">G53*G$4/1000</f>
        <v>13.667999999999999</v>
      </c>
      <c r="H54" s="807">
        <f t="shared" ref="H54" si="773">H53*H$4/1000</f>
        <v>3.4319999999999999</v>
      </c>
      <c r="I54" s="807">
        <f t="shared" ref="I54" si="774">I53*I$4/1000</f>
        <v>24.408000000000001</v>
      </c>
      <c r="J54" s="807">
        <f t="shared" ref="J54" si="775">J53*J$4/1000</f>
        <v>12.824999999999999</v>
      </c>
      <c r="K54" s="807">
        <f t="shared" ref="K54" si="776">K53*K$4/1000</f>
        <v>11.5</v>
      </c>
      <c r="L54" s="807">
        <f t="shared" ref="L54" si="777">L53*L$4/1000</f>
        <v>12.669</v>
      </c>
      <c r="M54" s="807">
        <f t="shared" ref="M54" si="778">M53*M$4/1000</f>
        <v>41.47</v>
      </c>
      <c r="N54" s="807">
        <f t="shared" ref="N54" si="779">N53*N$4/1000</f>
        <v>0</v>
      </c>
      <c r="O54" s="807">
        <f t="shared" ref="O54" si="780">O53*O$4/1000</f>
        <v>0.87</v>
      </c>
      <c r="P54" s="807">
        <f t="shared" ref="P54" si="781">P53*P$4/1000</f>
        <v>0.58799999999999997</v>
      </c>
      <c r="Q54" s="807">
        <f t="shared" ref="Q54" si="782">Q53*Q$4/1000</f>
        <v>0.91800000000000004</v>
      </c>
      <c r="R54" s="807">
        <f t="shared" ref="R54" si="783">R53*R$4/1000</f>
        <v>0.159</v>
      </c>
      <c r="S54" s="807">
        <f t="shared" ref="S54" si="784">S53*S$4/1000</f>
        <v>0.12</v>
      </c>
      <c r="T54" s="807">
        <f t="shared" ref="T54" si="785">T53*T$4/1000</f>
        <v>3.29</v>
      </c>
      <c r="U54" s="807">
        <f t="shared" ref="U54" si="786">U53*U$4/1000</f>
        <v>3.4079999999999999</v>
      </c>
      <c r="V54" s="807">
        <f t="shared" ref="V54" si="787">V53*V$4/1000</f>
        <v>0.93600000000000005</v>
      </c>
      <c r="W54" s="807">
        <f t="shared" ref="W54" si="788">W53*W$4/1000</f>
        <v>1.425</v>
      </c>
      <c r="X54" s="807">
        <f t="shared" ref="X54" si="789">X53*X$4/1000</f>
        <v>2.72</v>
      </c>
      <c r="Y54" s="807">
        <f t="shared" ref="Y54" si="790">Y53*Y$4/1000</f>
        <v>2.1389999999999998</v>
      </c>
      <c r="Z54" s="807">
        <f t="shared" ref="Z54" si="791">Z53*Z$4/1000</f>
        <v>0.188</v>
      </c>
      <c r="AA54" s="807">
        <f t="shared" ref="AA54" si="792">AA53*AA$4/1000</f>
        <v>0.71399999999999997</v>
      </c>
      <c r="AB54" s="807">
        <f t="shared" ref="AB54" si="793">AB53*AB$4/1000</f>
        <v>0</v>
      </c>
      <c r="AC54" s="807">
        <f t="shared" ref="AC54" si="794">AC53*AC$4/1000</f>
        <v>0.45</v>
      </c>
      <c r="AD54" s="807">
        <f t="shared" ref="AD54" si="795">AD53*AD$4/1000</f>
        <v>0</v>
      </c>
      <c r="AE54" s="807">
        <f t="shared" ref="AE54" si="796">AE53*AE$4/1000</f>
        <v>0.16400000000000001</v>
      </c>
      <c r="AF54" s="803"/>
      <c r="AG54" s="807">
        <f t="shared" ref="AG54" si="797">AG53*AG$4/1000</f>
        <v>0</v>
      </c>
      <c r="AH54" s="807">
        <f t="shared" ref="AH54" si="798">AH53*AH$4/1000</f>
        <v>0</v>
      </c>
      <c r="AI54" s="807">
        <f t="shared" ref="AI54" si="799">AI53*AI$4/1000</f>
        <v>0</v>
      </c>
      <c r="AJ54" s="807">
        <f t="shared" ref="AJ54" si="800">AJ53*AJ$4/1000</f>
        <v>6.45</v>
      </c>
      <c r="AK54" s="807">
        <f t="shared" ref="AK54" si="801">AK53*AK$4/1000</f>
        <v>0</v>
      </c>
      <c r="AL54" s="807">
        <f t="shared" ref="AL54" si="802">AL53*AL$4/1000</f>
        <v>0</v>
      </c>
      <c r="AM54" s="807">
        <f t="shared" ref="AM54" si="803">AM53*AM$4/1000</f>
        <v>0</v>
      </c>
    </row>
    <row r="55" spans="1:42">
      <c r="A55" s="918">
        <v>43070</v>
      </c>
      <c r="B55" s="801" t="s">
        <v>806</v>
      </c>
      <c r="C55" s="802">
        <f t="shared" si="3"/>
        <v>4595</v>
      </c>
      <c r="D55" s="802">
        <v>4676</v>
      </c>
      <c r="E55" s="802">
        <v>455</v>
      </c>
      <c r="F55" s="802">
        <f>2460-2</f>
        <v>2458</v>
      </c>
      <c r="G55" s="802">
        <v>268</v>
      </c>
      <c r="H55" s="802">
        <v>66</v>
      </c>
      <c r="I55" s="802">
        <f>410-71</f>
        <v>339</v>
      </c>
      <c r="J55" s="802">
        <f>179-8</f>
        <v>171</v>
      </c>
      <c r="K55" s="802">
        <v>125</v>
      </c>
      <c r="L55" s="802">
        <v>123</v>
      </c>
      <c r="M55" s="802">
        <v>290</v>
      </c>
      <c r="N55" s="803"/>
      <c r="O55" s="802">
        <v>29</v>
      </c>
      <c r="P55" s="802">
        <v>14</v>
      </c>
      <c r="Q55" s="802">
        <v>18</v>
      </c>
      <c r="R55" s="802">
        <v>3</v>
      </c>
      <c r="S55" s="802">
        <v>2</v>
      </c>
      <c r="T55" s="802">
        <v>47</v>
      </c>
      <c r="U55" s="802">
        <v>48</v>
      </c>
      <c r="V55" s="802">
        <v>13</v>
      </c>
      <c r="W55" s="802">
        <v>19</v>
      </c>
      <c r="X55" s="802">
        <v>34</v>
      </c>
      <c r="Y55" s="802">
        <v>23</v>
      </c>
      <c r="Z55" s="802">
        <v>2</v>
      </c>
      <c r="AA55" s="802">
        <v>7</v>
      </c>
      <c r="AB55" s="802"/>
      <c r="AC55" s="802">
        <v>3</v>
      </c>
      <c r="AD55" s="802"/>
      <c r="AE55" s="802">
        <v>1</v>
      </c>
      <c r="AF55" s="803"/>
      <c r="AG55" s="804">
        <v>4</v>
      </c>
      <c r="AH55" s="804">
        <v>0</v>
      </c>
      <c r="AI55" s="804">
        <v>3</v>
      </c>
      <c r="AJ55" s="804">
        <v>30</v>
      </c>
      <c r="AK55" s="804">
        <v>0</v>
      </c>
      <c r="AL55" s="804">
        <v>0</v>
      </c>
      <c r="AO55">
        <f t="shared" si="1"/>
        <v>37</v>
      </c>
      <c r="AP55">
        <f t="shared" si="2"/>
        <v>0</v>
      </c>
    </row>
    <row r="56" spans="1:42">
      <c r="A56" s="918"/>
      <c r="B56" s="806" t="s">
        <v>28</v>
      </c>
      <c r="C56" s="807">
        <f t="shared" si="3"/>
        <v>245.34399999999997</v>
      </c>
      <c r="D56" s="807">
        <v>251.12799999999999</v>
      </c>
      <c r="E56" s="807">
        <f>E55*E$4/1000</f>
        <v>11.375</v>
      </c>
      <c r="F56" s="807">
        <f t="shared" ref="F56" si="804">F55*F$4/1000</f>
        <v>88.488</v>
      </c>
      <c r="G56" s="807">
        <f t="shared" ref="G56" si="805">G55*G$4/1000</f>
        <v>13.667999999999999</v>
      </c>
      <c r="H56" s="807">
        <f t="shared" ref="H56" si="806">H55*H$4/1000</f>
        <v>3.4319999999999999</v>
      </c>
      <c r="I56" s="807">
        <f t="shared" ref="I56" si="807">I55*I$4/1000</f>
        <v>24.408000000000001</v>
      </c>
      <c r="J56" s="807">
        <f t="shared" ref="J56" si="808">J55*J$4/1000</f>
        <v>12.824999999999999</v>
      </c>
      <c r="K56" s="807">
        <f t="shared" ref="K56" si="809">K55*K$4/1000</f>
        <v>11.5</v>
      </c>
      <c r="L56" s="807">
        <f t="shared" ref="L56" si="810">L55*L$4/1000</f>
        <v>12.669</v>
      </c>
      <c r="M56" s="807">
        <f t="shared" ref="M56" si="811">M55*M$4/1000</f>
        <v>41.47</v>
      </c>
      <c r="N56" s="807">
        <f t="shared" ref="N56" si="812">N55*N$4/1000</f>
        <v>0</v>
      </c>
      <c r="O56" s="807">
        <f t="shared" ref="O56" si="813">O55*O$4/1000</f>
        <v>0.87</v>
      </c>
      <c r="P56" s="807">
        <f t="shared" ref="P56" si="814">P55*P$4/1000</f>
        <v>0.58799999999999997</v>
      </c>
      <c r="Q56" s="807">
        <f t="shared" ref="Q56" si="815">Q55*Q$4/1000</f>
        <v>0.91800000000000004</v>
      </c>
      <c r="R56" s="807">
        <f t="shared" ref="R56" si="816">R55*R$4/1000</f>
        <v>0.159</v>
      </c>
      <c r="S56" s="807">
        <f t="shared" ref="S56" si="817">S55*S$4/1000</f>
        <v>0.12</v>
      </c>
      <c r="T56" s="807">
        <f t="shared" ref="T56" si="818">T55*T$4/1000</f>
        <v>3.29</v>
      </c>
      <c r="U56" s="807">
        <f t="shared" ref="U56" si="819">U55*U$4/1000</f>
        <v>3.4079999999999999</v>
      </c>
      <c r="V56" s="807">
        <f t="shared" ref="V56" si="820">V55*V$4/1000</f>
        <v>0.93600000000000005</v>
      </c>
      <c r="W56" s="807">
        <f t="shared" ref="W56" si="821">W55*W$4/1000</f>
        <v>1.425</v>
      </c>
      <c r="X56" s="807">
        <f t="shared" ref="X56" si="822">X55*X$4/1000</f>
        <v>2.72</v>
      </c>
      <c r="Y56" s="807">
        <f t="shared" ref="Y56" si="823">Y55*Y$4/1000</f>
        <v>2.1389999999999998</v>
      </c>
      <c r="Z56" s="807">
        <f t="shared" ref="Z56" si="824">Z55*Z$4/1000</f>
        <v>0.188</v>
      </c>
      <c r="AA56" s="807">
        <f t="shared" ref="AA56" si="825">AA55*AA$4/1000</f>
        <v>0.71399999999999997</v>
      </c>
      <c r="AB56" s="807">
        <f t="shared" ref="AB56" si="826">AB55*AB$4/1000</f>
        <v>0</v>
      </c>
      <c r="AC56" s="807">
        <f t="shared" ref="AC56" si="827">AC55*AC$4/1000</f>
        <v>0.45</v>
      </c>
      <c r="AD56" s="807">
        <f t="shared" ref="AD56" si="828">AD55*AD$4/1000</f>
        <v>0</v>
      </c>
      <c r="AE56" s="807">
        <f t="shared" ref="AE56" si="829">AE55*AE$4/1000</f>
        <v>0.16400000000000001</v>
      </c>
      <c r="AF56" s="803"/>
      <c r="AG56" s="807">
        <f t="shared" ref="AG56" si="830">AG55*AG$4/1000</f>
        <v>0.4</v>
      </c>
      <c r="AH56" s="807">
        <f t="shared" ref="AH56" si="831">AH55*AH$4/1000</f>
        <v>0</v>
      </c>
      <c r="AI56" s="807">
        <f t="shared" ref="AI56" si="832">AI55*AI$4/1000</f>
        <v>0.56999999999999995</v>
      </c>
      <c r="AJ56" s="807">
        <f t="shared" ref="AJ56" si="833">AJ55*AJ$4/1000</f>
        <v>6.45</v>
      </c>
      <c r="AK56" s="807">
        <f t="shared" ref="AK56" si="834">AK55*AK$4/1000</f>
        <v>0</v>
      </c>
      <c r="AL56" s="807">
        <f t="shared" ref="AL56" si="835">AL55*AL$4/1000</f>
        <v>0</v>
      </c>
      <c r="AM56" s="807">
        <f t="shared" ref="AM56" si="836">AM55*AM$4/1000</f>
        <v>0</v>
      </c>
    </row>
    <row r="57" spans="1:42">
      <c r="A57" s="918">
        <v>43040</v>
      </c>
      <c r="B57" s="801" t="s">
        <v>806</v>
      </c>
      <c r="C57" s="802">
        <f t="shared" si="3"/>
        <v>4595</v>
      </c>
      <c r="D57" s="802">
        <v>4676</v>
      </c>
      <c r="E57" s="802">
        <v>455</v>
      </c>
      <c r="F57" s="802">
        <f>2460-2</f>
        <v>2458</v>
      </c>
      <c r="G57" s="802">
        <v>268</v>
      </c>
      <c r="H57" s="802">
        <v>66</v>
      </c>
      <c r="I57" s="802">
        <f>410-71</f>
        <v>339</v>
      </c>
      <c r="J57" s="802">
        <f>179-8</f>
        <v>171</v>
      </c>
      <c r="K57" s="802">
        <v>125</v>
      </c>
      <c r="L57" s="802">
        <v>123</v>
      </c>
      <c r="M57" s="802">
        <v>290</v>
      </c>
      <c r="N57" s="803"/>
      <c r="O57" s="802">
        <v>29</v>
      </c>
      <c r="P57" s="802">
        <v>14</v>
      </c>
      <c r="Q57" s="802">
        <v>18</v>
      </c>
      <c r="R57" s="802">
        <v>3</v>
      </c>
      <c r="S57" s="802">
        <v>2</v>
      </c>
      <c r="T57" s="802">
        <v>47</v>
      </c>
      <c r="U57" s="802">
        <v>48</v>
      </c>
      <c r="V57" s="802">
        <v>13</v>
      </c>
      <c r="W57" s="802">
        <v>19</v>
      </c>
      <c r="X57" s="802">
        <v>34</v>
      </c>
      <c r="Y57" s="802">
        <v>23</v>
      </c>
      <c r="Z57" s="802">
        <v>2</v>
      </c>
      <c r="AA57" s="802">
        <v>7</v>
      </c>
      <c r="AB57" s="802"/>
      <c r="AC57" s="802">
        <v>3</v>
      </c>
      <c r="AD57" s="802"/>
      <c r="AE57" s="802">
        <v>1</v>
      </c>
      <c r="AF57" s="803"/>
      <c r="AG57" s="804">
        <v>4</v>
      </c>
      <c r="AH57" s="804">
        <v>0</v>
      </c>
      <c r="AI57" s="804">
        <v>3</v>
      </c>
      <c r="AJ57" s="804">
        <v>30</v>
      </c>
      <c r="AK57" s="804">
        <v>0</v>
      </c>
      <c r="AL57" s="804">
        <v>0</v>
      </c>
      <c r="AO57">
        <f t="shared" si="1"/>
        <v>37</v>
      </c>
      <c r="AP57">
        <f t="shared" si="2"/>
        <v>-8</v>
      </c>
    </row>
    <row r="58" spans="1:42">
      <c r="A58" s="918"/>
      <c r="B58" s="806" t="s">
        <v>28</v>
      </c>
      <c r="C58" s="807">
        <f t="shared" si="3"/>
        <v>245.34399999999997</v>
      </c>
      <c r="D58" s="807">
        <v>251.12799999999999</v>
      </c>
      <c r="E58" s="807">
        <f>E57*E$4/1000</f>
        <v>11.375</v>
      </c>
      <c r="F58" s="807">
        <f t="shared" ref="F58" si="837">F57*F$4/1000</f>
        <v>88.488</v>
      </c>
      <c r="G58" s="807">
        <f t="shared" ref="G58" si="838">G57*G$4/1000</f>
        <v>13.667999999999999</v>
      </c>
      <c r="H58" s="807">
        <f t="shared" ref="H58" si="839">H57*H$4/1000</f>
        <v>3.4319999999999999</v>
      </c>
      <c r="I58" s="807">
        <f t="shared" ref="I58" si="840">I57*I$4/1000</f>
        <v>24.408000000000001</v>
      </c>
      <c r="J58" s="807">
        <f t="shared" ref="J58" si="841">J57*J$4/1000</f>
        <v>12.824999999999999</v>
      </c>
      <c r="K58" s="807">
        <f t="shared" ref="K58" si="842">K57*K$4/1000</f>
        <v>11.5</v>
      </c>
      <c r="L58" s="807">
        <f t="shared" ref="L58" si="843">L57*L$4/1000</f>
        <v>12.669</v>
      </c>
      <c r="M58" s="807">
        <f t="shared" ref="M58" si="844">M57*M$4/1000</f>
        <v>41.47</v>
      </c>
      <c r="N58" s="807">
        <f t="shared" ref="N58" si="845">N57*N$4/1000</f>
        <v>0</v>
      </c>
      <c r="O58" s="807">
        <f t="shared" ref="O58" si="846">O57*O$4/1000</f>
        <v>0.87</v>
      </c>
      <c r="P58" s="807">
        <f t="shared" ref="P58" si="847">P57*P$4/1000</f>
        <v>0.58799999999999997</v>
      </c>
      <c r="Q58" s="807">
        <f t="shared" ref="Q58" si="848">Q57*Q$4/1000</f>
        <v>0.91800000000000004</v>
      </c>
      <c r="R58" s="807">
        <f t="shared" ref="R58" si="849">R57*R$4/1000</f>
        <v>0.159</v>
      </c>
      <c r="S58" s="807">
        <f t="shared" ref="S58" si="850">S57*S$4/1000</f>
        <v>0.12</v>
      </c>
      <c r="T58" s="807">
        <f t="shared" ref="T58" si="851">T57*T$4/1000</f>
        <v>3.29</v>
      </c>
      <c r="U58" s="807">
        <f t="shared" ref="U58" si="852">U57*U$4/1000</f>
        <v>3.4079999999999999</v>
      </c>
      <c r="V58" s="807">
        <f t="shared" ref="V58" si="853">V57*V$4/1000</f>
        <v>0.93600000000000005</v>
      </c>
      <c r="W58" s="807">
        <f t="shared" ref="W58" si="854">W57*W$4/1000</f>
        <v>1.425</v>
      </c>
      <c r="X58" s="807">
        <f t="shared" ref="X58" si="855">X57*X$4/1000</f>
        <v>2.72</v>
      </c>
      <c r="Y58" s="807">
        <f t="shared" ref="Y58" si="856">Y57*Y$4/1000</f>
        <v>2.1389999999999998</v>
      </c>
      <c r="Z58" s="807">
        <f t="shared" ref="Z58" si="857">Z57*Z$4/1000</f>
        <v>0.188</v>
      </c>
      <c r="AA58" s="807">
        <f t="shared" ref="AA58" si="858">AA57*AA$4/1000</f>
        <v>0.71399999999999997</v>
      </c>
      <c r="AB58" s="807">
        <f t="shared" ref="AB58" si="859">AB57*AB$4/1000</f>
        <v>0</v>
      </c>
      <c r="AC58" s="807">
        <f t="shared" ref="AC58" si="860">AC57*AC$4/1000</f>
        <v>0.45</v>
      </c>
      <c r="AD58" s="807">
        <f t="shared" ref="AD58" si="861">AD57*AD$4/1000</f>
        <v>0</v>
      </c>
      <c r="AE58" s="807">
        <f t="shared" ref="AE58" si="862">AE57*AE$4/1000</f>
        <v>0.16400000000000001</v>
      </c>
      <c r="AF58" s="803"/>
      <c r="AG58" s="807">
        <f t="shared" ref="AG58" si="863">AG57*AG$4/1000</f>
        <v>0.4</v>
      </c>
      <c r="AH58" s="807">
        <f t="shared" ref="AH58" si="864">AH57*AH$4/1000</f>
        <v>0</v>
      </c>
      <c r="AI58" s="807">
        <f t="shared" ref="AI58" si="865">AI57*AI$4/1000</f>
        <v>0.56999999999999995</v>
      </c>
      <c r="AJ58" s="807">
        <f t="shared" ref="AJ58" si="866">AJ57*AJ$4/1000</f>
        <v>6.45</v>
      </c>
      <c r="AK58" s="807">
        <f t="shared" ref="AK58" si="867">AK57*AK$4/1000</f>
        <v>0</v>
      </c>
      <c r="AL58" s="807">
        <f t="shared" ref="AL58" si="868">AL57*AL$4/1000</f>
        <v>0</v>
      </c>
      <c r="AM58" s="807">
        <f t="shared" ref="AM58" si="869">AM57*AM$4/1000</f>
        <v>0</v>
      </c>
    </row>
    <row r="59" spans="1:42">
      <c r="A59" s="926">
        <v>43009</v>
      </c>
      <c r="B59" s="801" t="s">
        <v>806</v>
      </c>
      <c r="C59" s="802">
        <f t="shared" si="3"/>
        <v>4595</v>
      </c>
      <c r="D59" s="802">
        <v>4674</v>
      </c>
      <c r="E59" s="802">
        <v>455</v>
      </c>
      <c r="F59" s="802">
        <v>2453</v>
      </c>
      <c r="G59" s="802">
        <v>268</v>
      </c>
      <c r="H59" s="802">
        <v>66</v>
      </c>
      <c r="I59" s="802">
        <f>409-71</f>
        <v>338</v>
      </c>
      <c r="J59" s="802">
        <f>179-8</f>
        <v>171</v>
      </c>
      <c r="K59" s="802">
        <v>125</v>
      </c>
      <c r="L59" s="802">
        <v>123</v>
      </c>
      <c r="M59" s="802">
        <v>288</v>
      </c>
      <c r="N59" s="803"/>
      <c r="O59" s="802">
        <v>29</v>
      </c>
      <c r="P59" s="802">
        <v>14</v>
      </c>
      <c r="Q59" s="802">
        <v>18</v>
      </c>
      <c r="R59" s="802">
        <v>3</v>
      </c>
      <c r="S59" s="802">
        <v>2</v>
      </c>
      <c r="T59" s="802">
        <v>47</v>
      </c>
      <c r="U59" s="802">
        <v>48</v>
      </c>
      <c r="V59" s="802">
        <v>13</v>
      </c>
      <c r="W59" s="802">
        <v>19</v>
      </c>
      <c r="X59" s="802">
        <v>34</v>
      </c>
      <c r="Y59" s="802">
        <v>23</v>
      </c>
      <c r="Z59" s="802">
        <v>2</v>
      </c>
      <c r="AA59" s="802">
        <v>7</v>
      </c>
      <c r="AB59" s="802"/>
      <c r="AC59" s="802">
        <v>3</v>
      </c>
      <c r="AD59" s="802"/>
      <c r="AE59" s="802">
        <v>1</v>
      </c>
      <c r="AF59" s="803"/>
      <c r="AG59" s="804">
        <v>12</v>
      </c>
      <c r="AH59" s="804">
        <v>-1</v>
      </c>
      <c r="AI59" s="804">
        <v>3</v>
      </c>
      <c r="AJ59" s="804">
        <v>31</v>
      </c>
      <c r="AK59" s="804">
        <v>0</v>
      </c>
      <c r="AL59" s="804">
        <v>0</v>
      </c>
      <c r="AO59">
        <f t="shared" si="1"/>
        <v>45</v>
      </c>
      <c r="AP59">
        <f t="shared" si="2"/>
        <v>-15</v>
      </c>
    </row>
    <row r="60" spans="1:42">
      <c r="A60" s="927"/>
      <c r="B60" s="806" t="s">
        <v>28</v>
      </c>
      <c r="C60" s="807">
        <f t="shared" si="3"/>
        <v>245.68599999999995</v>
      </c>
      <c r="D60" s="807">
        <v>251.39799999999997</v>
      </c>
      <c r="E60" s="807">
        <f>E59*E$4/1000</f>
        <v>11.375</v>
      </c>
      <c r="F60" s="807">
        <f t="shared" ref="F60" si="870">F59*F$4/1000</f>
        <v>88.308000000000007</v>
      </c>
      <c r="G60" s="807">
        <f t="shared" ref="G60" si="871">G59*G$4/1000</f>
        <v>13.667999999999999</v>
      </c>
      <c r="H60" s="807">
        <f t="shared" ref="H60" si="872">H59*H$4/1000</f>
        <v>3.4319999999999999</v>
      </c>
      <c r="I60" s="807">
        <f t="shared" ref="I60" si="873">I59*I$4/1000</f>
        <v>24.335999999999999</v>
      </c>
      <c r="J60" s="807">
        <f t="shared" ref="J60" si="874">J59*J$4/1000</f>
        <v>12.824999999999999</v>
      </c>
      <c r="K60" s="807">
        <f t="shared" ref="K60" si="875">K59*K$4/1000</f>
        <v>11.5</v>
      </c>
      <c r="L60" s="807">
        <f t="shared" ref="L60" si="876">L59*L$4/1000</f>
        <v>12.669</v>
      </c>
      <c r="M60" s="807">
        <f t="shared" ref="M60" si="877">M59*M$4/1000</f>
        <v>41.183999999999997</v>
      </c>
      <c r="N60" s="807">
        <f t="shared" ref="N60" si="878">N59*N$4/1000</f>
        <v>0</v>
      </c>
      <c r="O60" s="807">
        <f t="shared" ref="O60" si="879">O59*O$4/1000</f>
        <v>0.87</v>
      </c>
      <c r="P60" s="807">
        <f t="shared" ref="P60" si="880">P59*P$4/1000</f>
        <v>0.58799999999999997</v>
      </c>
      <c r="Q60" s="807">
        <f t="shared" ref="Q60" si="881">Q59*Q$4/1000</f>
        <v>0.91800000000000004</v>
      </c>
      <c r="R60" s="807">
        <f t="shared" ref="R60" si="882">R59*R$4/1000</f>
        <v>0.159</v>
      </c>
      <c r="S60" s="807">
        <f t="shared" ref="S60" si="883">S59*S$4/1000</f>
        <v>0.12</v>
      </c>
      <c r="T60" s="807">
        <f t="shared" ref="T60" si="884">T59*T$4/1000</f>
        <v>3.29</v>
      </c>
      <c r="U60" s="807">
        <f t="shared" ref="U60" si="885">U59*U$4/1000</f>
        <v>3.4079999999999999</v>
      </c>
      <c r="V60" s="807">
        <f t="shared" ref="V60" si="886">V59*V$4/1000</f>
        <v>0.93600000000000005</v>
      </c>
      <c r="W60" s="807">
        <f t="shared" ref="W60" si="887">W59*W$4/1000</f>
        <v>1.425</v>
      </c>
      <c r="X60" s="807">
        <f t="shared" ref="X60" si="888">X59*X$4/1000</f>
        <v>2.72</v>
      </c>
      <c r="Y60" s="807">
        <f t="shared" ref="Y60" si="889">Y59*Y$4/1000</f>
        <v>2.1389999999999998</v>
      </c>
      <c r="Z60" s="807">
        <f t="shared" ref="Z60" si="890">Z59*Z$4/1000</f>
        <v>0.188</v>
      </c>
      <c r="AA60" s="807">
        <f t="shared" ref="AA60" si="891">AA59*AA$4/1000</f>
        <v>0.71399999999999997</v>
      </c>
      <c r="AB60" s="807">
        <f t="shared" ref="AB60" si="892">AB59*AB$4/1000</f>
        <v>0</v>
      </c>
      <c r="AC60" s="807">
        <f t="shared" ref="AC60" si="893">AC59*AC$4/1000</f>
        <v>0.45</v>
      </c>
      <c r="AD60" s="807">
        <f t="shared" ref="AD60" si="894">AD59*AD$4/1000</f>
        <v>0</v>
      </c>
      <c r="AE60" s="807">
        <f t="shared" ref="AE60" si="895">AE59*AE$4/1000</f>
        <v>0.16400000000000001</v>
      </c>
      <c r="AF60" s="803"/>
      <c r="AG60" s="807">
        <f t="shared" ref="AG60" si="896">AG59*AG$4/1000</f>
        <v>1.2</v>
      </c>
      <c r="AH60" s="807">
        <f t="shared" ref="AH60" si="897">AH59*AH$4/1000</f>
        <v>-0.13500000000000001</v>
      </c>
      <c r="AI60" s="807">
        <f t="shared" ref="AI60" si="898">AI59*AI$4/1000</f>
        <v>0.56999999999999995</v>
      </c>
      <c r="AJ60" s="807">
        <f t="shared" ref="AJ60" si="899">AJ59*AJ$4/1000</f>
        <v>6.665</v>
      </c>
      <c r="AK60" s="807">
        <f t="shared" ref="AK60" si="900">AK59*AK$4/1000</f>
        <v>0</v>
      </c>
      <c r="AL60" s="807">
        <f t="shared" ref="AL60" si="901">AL59*AL$4/1000</f>
        <v>0</v>
      </c>
      <c r="AM60" s="807">
        <f t="shared" ref="AM60" si="902">AM59*AM$4/1000</f>
        <v>0</v>
      </c>
    </row>
    <row r="61" spans="1:42">
      <c r="A61" s="926">
        <v>42979</v>
      </c>
      <c r="B61" s="801"/>
      <c r="C61" s="802">
        <f t="shared" si="3"/>
        <v>4595</v>
      </c>
      <c r="D61" s="802">
        <v>4674</v>
      </c>
      <c r="E61" s="802">
        <v>455</v>
      </c>
      <c r="F61" s="802">
        <v>2448</v>
      </c>
      <c r="G61" s="802">
        <v>267</v>
      </c>
      <c r="H61" s="802">
        <v>66</v>
      </c>
      <c r="I61" s="802">
        <f>402-72</f>
        <v>330</v>
      </c>
      <c r="J61" s="802">
        <f>177-7</f>
        <v>170</v>
      </c>
      <c r="K61" s="802">
        <v>125</v>
      </c>
      <c r="L61" s="802">
        <v>123</v>
      </c>
      <c r="M61" s="802">
        <v>288</v>
      </c>
      <c r="N61" s="803"/>
      <c r="O61" s="802">
        <v>29</v>
      </c>
      <c r="P61" s="802">
        <v>14</v>
      </c>
      <c r="Q61" s="802">
        <v>18</v>
      </c>
      <c r="R61" s="802">
        <v>3</v>
      </c>
      <c r="S61" s="802">
        <v>2</v>
      </c>
      <c r="T61" s="802">
        <v>47</v>
      </c>
      <c r="U61" s="802">
        <v>48</v>
      </c>
      <c r="V61" s="802">
        <v>13</v>
      </c>
      <c r="W61" s="802">
        <v>19</v>
      </c>
      <c r="X61" s="802">
        <v>34</v>
      </c>
      <c r="Y61" s="802">
        <v>23</v>
      </c>
      <c r="Z61" s="802">
        <v>2</v>
      </c>
      <c r="AA61" s="802">
        <v>7</v>
      </c>
      <c r="AB61" s="802"/>
      <c r="AC61" s="802">
        <v>3</v>
      </c>
      <c r="AD61" s="802"/>
      <c r="AE61" s="802">
        <v>1</v>
      </c>
      <c r="AF61" s="803"/>
      <c r="AG61" s="804">
        <v>17</v>
      </c>
      <c r="AH61" s="804">
        <v>3</v>
      </c>
      <c r="AI61" s="804">
        <v>8</v>
      </c>
      <c r="AJ61" s="804">
        <v>32</v>
      </c>
      <c r="AK61" s="804">
        <v>0</v>
      </c>
      <c r="AL61" s="804">
        <v>0</v>
      </c>
      <c r="AO61">
        <f t="shared" si="1"/>
        <v>60</v>
      </c>
      <c r="AP61">
        <f t="shared" si="2"/>
        <v>0</v>
      </c>
    </row>
    <row r="62" spans="1:42">
      <c r="A62" s="927"/>
      <c r="B62" s="806"/>
      <c r="C62" s="807">
        <f t="shared" si="3"/>
        <v>247.00899999999999</v>
      </c>
      <c r="D62" s="807">
        <v>252.71799999999999</v>
      </c>
      <c r="E62" s="807">
        <f>E61*E$4/1000</f>
        <v>11.375</v>
      </c>
      <c r="F62" s="807">
        <f t="shared" ref="F62" si="903">F61*F$4/1000</f>
        <v>88.128</v>
      </c>
      <c r="G62" s="807">
        <f t="shared" ref="G62" si="904">G61*G$4/1000</f>
        <v>13.617000000000001</v>
      </c>
      <c r="H62" s="807">
        <f t="shared" ref="H62" si="905">H61*H$4/1000</f>
        <v>3.4319999999999999</v>
      </c>
      <c r="I62" s="807">
        <f t="shared" ref="I62" si="906">I61*I$4/1000</f>
        <v>23.76</v>
      </c>
      <c r="J62" s="807">
        <f t="shared" ref="J62" si="907">J61*J$4/1000</f>
        <v>12.75</v>
      </c>
      <c r="K62" s="807">
        <f t="shared" ref="K62" si="908">K61*K$4/1000</f>
        <v>11.5</v>
      </c>
      <c r="L62" s="807">
        <f t="shared" ref="L62" si="909">L61*L$4/1000</f>
        <v>12.669</v>
      </c>
      <c r="M62" s="807">
        <f t="shared" ref="M62" si="910">M61*M$4/1000</f>
        <v>41.183999999999997</v>
      </c>
      <c r="N62" s="807">
        <f t="shared" ref="N62" si="911">N61*N$4/1000</f>
        <v>0</v>
      </c>
      <c r="O62" s="807">
        <f t="shared" ref="O62" si="912">O61*O$4/1000</f>
        <v>0.87</v>
      </c>
      <c r="P62" s="807">
        <f t="shared" ref="P62" si="913">P61*P$4/1000</f>
        <v>0.58799999999999997</v>
      </c>
      <c r="Q62" s="807">
        <f t="shared" ref="Q62" si="914">Q61*Q$4/1000</f>
        <v>0.91800000000000004</v>
      </c>
      <c r="R62" s="807">
        <f t="shared" ref="R62" si="915">R61*R$4/1000</f>
        <v>0.159</v>
      </c>
      <c r="S62" s="807">
        <f t="shared" ref="S62" si="916">S61*S$4/1000</f>
        <v>0.12</v>
      </c>
      <c r="T62" s="807">
        <f t="shared" ref="T62" si="917">T61*T$4/1000</f>
        <v>3.29</v>
      </c>
      <c r="U62" s="807">
        <f t="shared" ref="U62" si="918">U61*U$4/1000</f>
        <v>3.4079999999999999</v>
      </c>
      <c r="V62" s="807">
        <f t="shared" ref="V62" si="919">V61*V$4/1000</f>
        <v>0.93600000000000005</v>
      </c>
      <c r="W62" s="807">
        <f t="shared" ref="W62" si="920">W61*W$4/1000</f>
        <v>1.425</v>
      </c>
      <c r="X62" s="807">
        <f t="shared" ref="X62" si="921">X61*X$4/1000</f>
        <v>2.72</v>
      </c>
      <c r="Y62" s="807">
        <f t="shared" ref="Y62" si="922">Y61*Y$4/1000</f>
        <v>2.1389999999999998</v>
      </c>
      <c r="Z62" s="807">
        <f t="shared" ref="Z62" si="923">Z61*Z$4/1000</f>
        <v>0.188</v>
      </c>
      <c r="AA62" s="807">
        <f t="shared" ref="AA62" si="924">AA61*AA$4/1000</f>
        <v>0.71399999999999997</v>
      </c>
      <c r="AB62" s="807">
        <f t="shared" ref="AB62" si="925">AB61*AB$4/1000</f>
        <v>0</v>
      </c>
      <c r="AC62" s="807">
        <f t="shared" ref="AC62" si="926">AC61*AC$4/1000</f>
        <v>0.45</v>
      </c>
      <c r="AD62" s="807">
        <f t="shared" ref="AD62" si="927">AD61*AD$4/1000</f>
        <v>0</v>
      </c>
      <c r="AE62" s="807">
        <f t="shared" ref="AE62" si="928">AE61*AE$4/1000</f>
        <v>0.16400000000000001</v>
      </c>
      <c r="AF62" s="803"/>
      <c r="AG62" s="807">
        <f t="shared" ref="AG62" si="929">AG61*AG$4/1000</f>
        <v>1.7</v>
      </c>
      <c r="AH62" s="807">
        <f t="shared" ref="AH62" si="930">AH61*AH$4/1000</f>
        <v>0.40500000000000003</v>
      </c>
      <c r="AI62" s="807">
        <f t="shared" ref="AI62" si="931">AI61*AI$4/1000</f>
        <v>1.52</v>
      </c>
      <c r="AJ62" s="807">
        <f t="shared" ref="AJ62" si="932">AJ61*AJ$4/1000</f>
        <v>6.88</v>
      </c>
      <c r="AK62" s="807">
        <f t="shared" ref="AK62" si="933">AK61*AK$4/1000</f>
        <v>0</v>
      </c>
      <c r="AL62" s="807">
        <f t="shared" ref="AL62" si="934">AL61*AL$4/1000</f>
        <v>0</v>
      </c>
      <c r="AM62" s="807">
        <f t="shared" ref="AM62" si="935">AM61*AM$4/1000</f>
        <v>0</v>
      </c>
    </row>
    <row r="63" spans="1:42">
      <c r="A63" s="926">
        <v>42948</v>
      </c>
      <c r="B63" s="801"/>
      <c r="C63" s="802">
        <f t="shared" si="3"/>
        <v>4595</v>
      </c>
      <c r="D63" s="802">
        <v>4674</v>
      </c>
      <c r="E63" s="802">
        <v>455</v>
      </c>
      <c r="F63" s="802">
        <v>2448</v>
      </c>
      <c r="G63" s="802">
        <v>267</v>
      </c>
      <c r="H63" s="802">
        <v>66</v>
      </c>
      <c r="I63" s="802">
        <f>402-74</f>
        <v>328</v>
      </c>
      <c r="J63" s="802">
        <f>177-5</f>
        <v>172</v>
      </c>
      <c r="K63" s="802">
        <v>125</v>
      </c>
      <c r="L63" s="802">
        <v>123</v>
      </c>
      <c r="M63" s="802">
        <v>288</v>
      </c>
      <c r="N63" s="803"/>
      <c r="O63" s="802">
        <v>29</v>
      </c>
      <c r="P63" s="802">
        <v>14</v>
      </c>
      <c r="Q63" s="802">
        <v>18</v>
      </c>
      <c r="R63" s="802">
        <v>3</v>
      </c>
      <c r="S63" s="802">
        <v>2</v>
      </c>
      <c r="T63" s="802">
        <v>47</v>
      </c>
      <c r="U63" s="802">
        <v>48</v>
      </c>
      <c r="V63" s="802">
        <v>13</v>
      </c>
      <c r="W63" s="802">
        <v>19</v>
      </c>
      <c r="X63" s="802">
        <v>34</v>
      </c>
      <c r="Y63" s="802">
        <v>23</v>
      </c>
      <c r="Z63" s="802">
        <v>2</v>
      </c>
      <c r="AA63" s="802">
        <v>7</v>
      </c>
      <c r="AB63" s="802"/>
      <c r="AC63" s="802">
        <v>3</v>
      </c>
      <c r="AD63" s="802"/>
      <c r="AE63" s="802">
        <v>1</v>
      </c>
      <c r="AF63" s="803"/>
      <c r="AG63" s="804">
        <v>17</v>
      </c>
      <c r="AH63" s="804">
        <v>3</v>
      </c>
      <c r="AI63" s="804">
        <v>8</v>
      </c>
      <c r="AJ63" s="804">
        <v>32</v>
      </c>
      <c r="AK63" s="804">
        <v>0</v>
      </c>
      <c r="AL63" s="804">
        <v>0</v>
      </c>
      <c r="AO63">
        <f t="shared" si="1"/>
        <v>60</v>
      </c>
      <c r="AP63">
        <f t="shared" si="2"/>
        <v>-47</v>
      </c>
    </row>
    <row r="64" spans="1:42">
      <c r="A64" s="927"/>
      <c r="B64" s="806"/>
      <c r="C64" s="807">
        <f t="shared" si="3"/>
        <v>247.01499999999999</v>
      </c>
      <c r="D64" s="807">
        <v>252.71799999999999</v>
      </c>
      <c r="E64" s="807">
        <f>E63*E$4/1000</f>
        <v>11.375</v>
      </c>
      <c r="F64" s="807">
        <f t="shared" ref="F64" si="936">F63*F$4/1000</f>
        <v>88.128</v>
      </c>
      <c r="G64" s="807">
        <f t="shared" ref="G64" si="937">G63*G$4/1000</f>
        <v>13.617000000000001</v>
      </c>
      <c r="H64" s="807">
        <f t="shared" ref="H64" si="938">H63*H$4/1000</f>
        <v>3.4319999999999999</v>
      </c>
      <c r="I64" s="807">
        <f t="shared" ref="I64" si="939">I63*I$4/1000</f>
        <v>23.616</v>
      </c>
      <c r="J64" s="807">
        <f t="shared" ref="J64" si="940">J63*J$4/1000</f>
        <v>12.9</v>
      </c>
      <c r="K64" s="807">
        <f t="shared" ref="K64" si="941">K63*K$4/1000</f>
        <v>11.5</v>
      </c>
      <c r="L64" s="807">
        <f t="shared" ref="L64" si="942">L63*L$4/1000</f>
        <v>12.669</v>
      </c>
      <c r="M64" s="807">
        <f t="shared" ref="M64" si="943">M63*M$4/1000</f>
        <v>41.183999999999997</v>
      </c>
      <c r="N64" s="807">
        <f t="shared" ref="N64" si="944">N63*N$4/1000</f>
        <v>0</v>
      </c>
      <c r="O64" s="807">
        <f t="shared" ref="O64" si="945">O63*O$4/1000</f>
        <v>0.87</v>
      </c>
      <c r="P64" s="807">
        <f t="shared" ref="P64" si="946">P63*P$4/1000</f>
        <v>0.58799999999999997</v>
      </c>
      <c r="Q64" s="807">
        <f t="shared" ref="Q64" si="947">Q63*Q$4/1000</f>
        <v>0.91800000000000004</v>
      </c>
      <c r="R64" s="807">
        <f t="shared" ref="R64" si="948">R63*R$4/1000</f>
        <v>0.159</v>
      </c>
      <c r="S64" s="807">
        <f t="shared" ref="S64" si="949">S63*S$4/1000</f>
        <v>0.12</v>
      </c>
      <c r="T64" s="807">
        <f t="shared" ref="T64" si="950">T63*T$4/1000</f>
        <v>3.29</v>
      </c>
      <c r="U64" s="807">
        <f t="shared" ref="U64" si="951">U63*U$4/1000</f>
        <v>3.4079999999999999</v>
      </c>
      <c r="V64" s="807">
        <f t="shared" ref="V64" si="952">V63*V$4/1000</f>
        <v>0.93600000000000005</v>
      </c>
      <c r="W64" s="807">
        <f t="shared" ref="W64" si="953">W63*W$4/1000</f>
        <v>1.425</v>
      </c>
      <c r="X64" s="807">
        <f t="shared" ref="X64" si="954">X63*X$4/1000</f>
        <v>2.72</v>
      </c>
      <c r="Y64" s="807">
        <f t="shared" ref="Y64" si="955">Y63*Y$4/1000</f>
        <v>2.1389999999999998</v>
      </c>
      <c r="Z64" s="807">
        <f t="shared" ref="Z64" si="956">Z63*Z$4/1000</f>
        <v>0.188</v>
      </c>
      <c r="AA64" s="807">
        <f t="shared" ref="AA64" si="957">AA63*AA$4/1000</f>
        <v>0.71399999999999997</v>
      </c>
      <c r="AB64" s="807">
        <f t="shared" ref="AB64" si="958">AB63*AB$4/1000</f>
        <v>0</v>
      </c>
      <c r="AC64" s="807">
        <f t="shared" ref="AC64" si="959">AC63*AC$4/1000</f>
        <v>0.45</v>
      </c>
      <c r="AD64" s="807">
        <f t="shared" ref="AD64" si="960">AD63*AD$4/1000</f>
        <v>0</v>
      </c>
      <c r="AE64" s="807">
        <f t="shared" ref="AE64" si="961">AE63*AE$4/1000</f>
        <v>0.16400000000000001</v>
      </c>
      <c r="AF64" s="803"/>
      <c r="AG64" s="807">
        <f t="shared" ref="AG64" si="962">AG63*AG$4/1000</f>
        <v>1.7</v>
      </c>
      <c r="AH64" s="807">
        <f t="shared" ref="AH64" si="963">AH63*AH$4/1000</f>
        <v>0.40500000000000003</v>
      </c>
      <c r="AI64" s="807">
        <f t="shared" ref="AI64" si="964">AI63*AI$4/1000</f>
        <v>1.52</v>
      </c>
      <c r="AJ64" s="807">
        <f t="shared" ref="AJ64" si="965">AJ63*AJ$4/1000</f>
        <v>6.88</v>
      </c>
      <c r="AK64" s="807">
        <f t="shared" ref="AK64" si="966">AK63*AK$4/1000</f>
        <v>0</v>
      </c>
      <c r="AL64" s="807">
        <f t="shared" ref="AL64" si="967">AL63*AL$4/1000</f>
        <v>0</v>
      </c>
      <c r="AM64" s="807">
        <f t="shared" ref="AM64" si="968">AM63*AM$4/1000</f>
        <v>0</v>
      </c>
    </row>
    <row r="65" spans="1:42">
      <c r="A65" s="926">
        <v>42917</v>
      </c>
      <c r="B65" s="801"/>
      <c r="C65" s="802">
        <f t="shared" si="3"/>
        <v>4595</v>
      </c>
      <c r="D65" s="802">
        <v>4706</v>
      </c>
      <c r="E65" s="802">
        <v>455</v>
      </c>
      <c r="F65" s="802">
        <v>2434</v>
      </c>
      <c r="G65" s="802">
        <v>267</v>
      </c>
      <c r="H65" s="802">
        <v>66</v>
      </c>
      <c r="I65" s="802">
        <f>402-84</f>
        <v>318</v>
      </c>
      <c r="J65" s="802">
        <f>176-12</f>
        <v>164</v>
      </c>
      <c r="K65" s="802">
        <f>125-15</f>
        <v>110</v>
      </c>
      <c r="L65" s="802">
        <v>123</v>
      </c>
      <c r="M65" s="802">
        <v>288</v>
      </c>
      <c r="N65" s="803"/>
      <c r="O65" s="802">
        <v>29</v>
      </c>
      <c r="P65" s="802">
        <v>14</v>
      </c>
      <c r="Q65" s="802">
        <v>18</v>
      </c>
      <c r="R65" s="802">
        <v>3</v>
      </c>
      <c r="S65" s="802">
        <v>2</v>
      </c>
      <c r="T65" s="802">
        <v>47</v>
      </c>
      <c r="U65" s="802">
        <v>48</v>
      </c>
      <c r="V65" s="802">
        <v>13</v>
      </c>
      <c r="W65" s="802">
        <v>19</v>
      </c>
      <c r="X65" s="802">
        <v>34</v>
      </c>
      <c r="Y65" s="802">
        <v>23</v>
      </c>
      <c r="Z65" s="802">
        <v>2</v>
      </c>
      <c r="AA65" s="802">
        <v>7</v>
      </c>
      <c r="AB65" s="802"/>
      <c r="AC65" s="802">
        <v>3</v>
      </c>
      <c r="AD65" s="802"/>
      <c r="AE65" s="802">
        <v>1</v>
      </c>
      <c r="AF65" s="803"/>
      <c r="AG65" s="804">
        <v>31</v>
      </c>
      <c r="AH65" s="804">
        <v>3</v>
      </c>
      <c r="AI65" s="804">
        <v>8</v>
      </c>
      <c r="AJ65" s="804">
        <v>65</v>
      </c>
      <c r="AK65" s="804">
        <v>0</v>
      </c>
      <c r="AL65" s="804">
        <v>0</v>
      </c>
      <c r="AO65">
        <f t="shared" si="1"/>
        <v>107</v>
      </c>
      <c r="AP65">
        <f t="shared" si="2"/>
        <v>-21</v>
      </c>
    </row>
    <row r="66" spans="1:42">
      <c r="A66" s="927"/>
      <c r="B66" s="806"/>
      <c r="C66" s="807">
        <f t="shared" si="3"/>
        <v>252.30600000000001</v>
      </c>
      <c r="D66" s="807">
        <v>260.63399999999996</v>
      </c>
      <c r="E66" s="807">
        <f>E65*E$4/1000</f>
        <v>11.375</v>
      </c>
      <c r="F66" s="807">
        <f t="shared" ref="F66" si="969">F65*F$4/1000</f>
        <v>87.623999999999995</v>
      </c>
      <c r="G66" s="807">
        <f t="shared" ref="G66" si="970">G65*G$4/1000</f>
        <v>13.617000000000001</v>
      </c>
      <c r="H66" s="807">
        <f t="shared" ref="H66" si="971">H65*H$4/1000</f>
        <v>3.4319999999999999</v>
      </c>
      <c r="I66" s="807">
        <f t="shared" ref="I66" si="972">I65*I$4/1000</f>
        <v>22.896000000000001</v>
      </c>
      <c r="J66" s="807">
        <f t="shared" ref="J66" si="973">J65*J$4/1000</f>
        <v>12.3</v>
      </c>
      <c r="K66" s="807">
        <f t="shared" ref="K66" si="974">K65*K$4/1000</f>
        <v>10.119999999999999</v>
      </c>
      <c r="L66" s="807">
        <f t="shared" ref="L66" si="975">L65*L$4/1000</f>
        <v>12.669</v>
      </c>
      <c r="M66" s="807">
        <f t="shared" ref="M66" si="976">M65*M$4/1000</f>
        <v>41.183999999999997</v>
      </c>
      <c r="N66" s="807">
        <f t="shared" ref="N66" si="977">N65*N$4/1000</f>
        <v>0</v>
      </c>
      <c r="O66" s="807">
        <f t="shared" ref="O66" si="978">O65*O$4/1000</f>
        <v>0.87</v>
      </c>
      <c r="P66" s="807">
        <f t="shared" ref="P66" si="979">P65*P$4/1000</f>
        <v>0.58799999999999997</v>
      </c>
      <c r="Q66" s="807">
        <f t="shared" ref="Q66" si="980">Q65*Q$4/1000</f>
        <v>0.91800000000000004</v>
      </c>
      <c r="R66" s="807">
        <f t="shared" ref="R66" si="981">R65*R$4/1000</f>
        <v>0.159</v>
      </c>
      <c r="S66" s="807">
        <f t="shared" ref="S66" si="982">S65*S$4/1000</f>
        <v>0.12</v>
      </c>
      <c r="T66" s="807">
        <f t="shared" ref="T66" si="983">T65*T$4/1000</f>
        <v>3.29</v>
      </c>
      <c r="U66" s="807">
        <f t="shared" ref="U66" si="984">U65*U$4/1000</f>
        <v>3.4079999999999999</v>
      </c>
      <c r="V66" s="807">
        <f t="shared" ref="V66" si="985">V65*V$4/1000</f>
        <v>0.93600000000000005</v>
      </c>
      <c r="W66" s="807">
        <f t="shared" ref="W66" si="986">W65*W$4/1000</f>
        <v>1.425</v>
      </c>
      <c r="X66" s="807">
        <f t="shared" ref="X66" si="987">X65*X$4/1000</f>
        <v>2.72</v>
      </c>
      <c r="Y66" s="807">
        <f t="shared" ref="Y66" si="988">Y65*Y$4/1000</f>
        <v>2.1389999999999998</v>
      </c>
      <c r="Z66" s="807">
        <f t="shared" ref="Z66" si="989">Z65*Z$4/1000</f>
        <v>0.188</v>
      </c>
      <c r="AA66" s="807">
        <f t="shared" ref="AA66" si="990">AA65*AA$4/1000</f>
        <v>0.71399999999999997</v>
      </c>
      <c r="AB66" s="807">
        <f t="shared" ref="AB66" si="991">AB65*AB$4/1000</f>
        <v>0</v>
      </c>
      <c r="AC66" s="807">
        <f t="shared" ref="AC66" si="992">AC65*AC$4/1000</f>
        <v>0.45</v>
      </c>
      <c r="AD66" s="807">
        <f t="shared" ref="AD66" si="993">AD65*AD$4/1000</f>
        <v>0</v>
      </c>
      <c r="AE66" s="807">
        <f t="shared" ref="AE66" si="994">AE65*AE$4/1000</f>
        <v>0.16400000000000001</v>
      </c>
      <c r="AF66" s="803"/>
      <c r="AG66" s="807">
        <f t="shared" ref="AG66" si="995">AG65*AG$4/1000</f>
        <v>3.1</v>
      </c>
      <c r="AH66" s="807">
        <f t="shared" ref="AH66" si="996">AH65*AH$4/1000</f>
        <v>0.40500000000000003</v>
      </c>
      <c r="AI66" s="807">
        <f t="shared" ref="AI66" si="997">AI65*AI$4/1000</f>
        <v>1.52</v>
      </c>
      <c r="AJ66" s="807">
        <f t="shared" ref="AJ66" si="998">AJ65*AJ$4/1000</f>
        <v>13.975</v>
      </c>
      <c r="AK66" s="807">
        <f t="shared" ref="AK66" si="999">AK65*AK$4/1000</f>
        <v>0</v>
      </c>
      <c r="AL66" s="807">
        <f t="shared" ref="AL66" si="1000">AL65*AL$4/1000</f>
        <v>0</v>
      </c>
      <c r="AM66" s="807">
        <f t="shared" ref="AM66" si="1001">AM65*AM$4/1000</f>
        <v>0</v>
      </c>
    </row>
    <row r="67" spans="1:42">
      <c r="A67" s="926">
        <v>42887</v>
      </c>
      <c r="B67" s="801"/>
      <c r="C67" s="802">
        <f t="shared" si="3"/>
        <v>4595</v>
      </c>
      <c r="D67" s="802">
        <v>4687</v>
      </c>
      <c r="E67" s="802">
        <v>455</v>
      </c>
      <c r="F67" s="802">
        <v>2434</v>
      </c>
      <c r="G67" s="802">
        <v>260</v>
      </c>
      <c r="H67" s="802">
        <v>52</v>
      </c>
      <c r="I67" s="802">
        <f>402-84</f>
        <v>318</v>
      </c>
      <c r="J67" s="802">
        <f>172-8</f>
        <v>164</v>
      </c>
      <c r="K67" s="802">
        <v>110</v>
      </c>
      <c r="L67" s="802">
        <v>123</v>
      </c>
      <c r="M67" s="802">
        <v>288</v>
      </c>
      <c r="N67" s="803"/>
      <c r="O67" s="802">
        <v>29</v>
      </c>
      <c r="P67" s="802">
        <v>14</v>
      </c>
      <c r="Q67" s="802">
        <v>18</v>
      </c>
      <c r="R67" s="802">
        <v>3</v>
      </c>
      <c r="S67" s="802">
        <v>2</v>
      </c>
      <c r="T67" s="802">
        <v>47</v>
      </c>
      <c r="U67" s="802">
        <v>48</v>
      </c>
      <c r="V67" s="802">
        <v>13</v>
      </c>
      <c r="W67" s="802">
        <v>19</v>
      </c>
      <c r="X67" s="802">
        <v>34</v>
      </c>
      <c r="Y67" s="802">
        <v>23</v>
      </c>
      <c r="Z67" s="802">
        <v>2</v>
      </c>
      <c r="AA67" s="802">
        <v>7</v>
      </c>
      <c r="AB67" s="802"/>
      <c r="AC67" s="802">
        <v>3</v>
      </c>
      <c r="AD67" s="802"/>
      <c r="AE67" s="802">
        <v>1</v>
      </c>
      <c r="AF67" s="803"/>
      <c r="AG67" s="804">
        <v>33</v>
      </c>
      <c r="AH67" s="804">
        <v>20</v>
      </c>
      <c r="AI67" s="804">
        <v>8</v>
      </c>
      <c r="AJ67" s="804">
        <v>67</v>
      </c>
      <c r="AK67" s="804">
        <v>0</v>
      </c>
      <c r="AL67" s="804">
        <v>0</v>
      </c>
      <c r="AO67">
        <f t="shared" si="1"/>
        <v>128</v>
      </c>
      <c r="AP67">
        <f t="shared" si="2"/>
        <v>-47</v>
      </c>
    </row>
    <row r="68" spans="1:42">
      <c r="A68" s="927"/>
      <c r="B68" s="806"/>
      <c r="C68" s="807">
        <f t="shared" si="3"/>
        <v>254.14599999999999</v>
      </c>
      <c r="D68" s="807">
        <v>260.79399999999998</v>
      </c>
      <c r="E68" s="807">
        <f>E67*E$4/1000</f>
        <v>11.375</v>
      </c>
      <c r="F68" s="807">
        <f t="shared" ref="F68" si="1002">F67*F$4/1000</f>
        <v>87.623999999999995</v>
      </c>
      <c r="G68" s="807">
        <f t="shared" ref="G68" si="1003">G67*G$4/1000</f>
        <v>13.26</v>
      </c>
      <c r="H68" s="807">
        <f t="shared" ref="H68" si="1004">H67*H$4/1000</f>
        <v>2.7040000000000002</v>
      </c>
      <c r="I68" s="807">
        <f t="shared" ref="I68" si="1005">I67*I$4/1000</f>
        <v>22.896000000000001</v>
      </c>
      <c r="J68" s="807">
        <f t="shared" ref="J68" si="1006">J67*J$4/1000</f>
        <v>12.3</v>
      </c>
      <c r="K68" s="807">
        <f t="shared" ref="K68" si="1007">K67*K$4/1000</f>
        <v>10.119999999999999</v>
      </c>
      <c r="L68" s="807">
        <f t="shared" ref="L68" si="1008">L67*L$4/1000</f>
        <v>12.669</v>
      </c>
      <c r="M68" s="807">
        <f t="shared" ref="M68" si="1009">M67*M$4/1000</f>
        <v>41.183999999999997</v>
      </c>
      <c r="N68" s="807">
        <f t="shared" ref="N68" si="1010">N67*N$4/1000</f>
        <v>0</v>
      </c>
      <c r="O68" s="807">
        <f t="shared" ref="O68" si="1011">O67*O$4/1000</f>
        <v>0.87</v>
      </c>
      <c r="P68" s="807">
        <f t="shared" ref="P68" si="1012">P67*P$4/1000</f>
        <v>0.58799999999999997</v>
      </c>
      <c r="Q68" s="807">
        <f t="shared" ref="Q68" si="1013">Q67*Q$4/1000</f>
        <v>0.91800000000000004</v>
      </c>
      <c r="R68" s="807">
        <f t="shared" ref="R68" si="1014">R67*R$4/1000</f>
        <v>0.159</v>
      </c>
      <c r="S68" s="807">
        <f t="shared" ref="S68" si="1015">S67*S$4/1000</f>
        <v>0.12</v>
      </c>
      <c r="T68" s="807">
        <f t="shared" ref="T68" si="1016">T67*T$4/1000</f>
        <v>3.29</v>
      </c>
      <c r="U68" s="807">
        <f t="shared" ref="U68" si="1017">U67*U$4/1000</f>
        <v>3.4079999999999999</v>
      </c>
      <c r="V68" s="807">
        <f t="shared" ref="V68" si="1018">V67*V$4/1000</f>
        <v>0.93600000000000005</v>
      </c>
      <c r="W68" s="807">
        <f t="shared" ref="W68" si="1019">W67*W$4/1000</f>
        <v>1.425</v>
      </c>
      <c r="X68" s="807">
        <f t="shared" ref="X68" si="1020">X67*X$4/1000</f>
        <v>2.72</v>
      </c>
      <c r="Y68" s="807">
        <f t="shared" ref="Y68" si="1021">Y67*Y$4/1000</f>
        <v>2.1389999999999998</v>
      </c>
      <c r="Z68" s="807">
        <f t="shared" ref="Z68" si="1022">Z67*Z$4/1000</f>
        <v>0.188</v>
      </c>
      <c r="AA68" s="807">
        <f t="shared" ref="AA68" si="1023">AA67*AA$4/1000</f>
        <v>0.71399999999999997</v>
      </c>
      <c r="AB68" s="807">
        <f t="shared" ref="AB68" si="1024">AB67*AB$4/1000</f>
        <v>0</v>
      </c>
      <c r="AC68" s="807">
        <f t="shared" ref="AC68" si="1025">AC67*AC$4/1000</f>
        <v>0.45</v>
      </c>
      <c r="AD68" s="807">
        <f t="shared" ref="AD68" si="1026">AD67*AD$4/1000</f>
        <v>0</v>
      </c>
      <c r="AE68" s="807">
        <f t="shared" ref="AE68" si="1027">AE67*AE$4/1000</f>
        <v>0.16400000000000001</v>
      </c>
      <c r="AF68" s="803"/>
      <c r="AG68" s="807">
        <f t="shared" ref="AG68" si="1028">AG67*AG$4/1000</f>
        <v>3.3</v>
      </c>
      <c r="AH68" s="807">
        <f t="shared" ref="AH68" si="1029">AH67*AH$4/1000</f>
        <v>2.7</v>
      </c>
      <c r="AI68" s="807">
        <f t="shared" ref="AI68" si="1030">AI67*AI$4/1000</f>
        <v>1.52</v>
      </c>
      <c r="AJ68" s="807">
        <f t="shared" ref="AJ68" si="1031">AJ67*AJ$4/1000</f>
        <v>14.404999999999999</v>
      </c>
      <c r="AK68" s="807">
        <f t="shared" ref="AK68" si="1032">AK67*AK$4/1000</f>
        <v>0</v>
      </c>
      <c r="AL68" s="807">
        <f t="shared" ref="AL68" si="1033">AL67*AL$4/1000</f>
        <v>0</v>
      </c>
      <c r="AM68" s="807">
        <f t="shared" ref="AM68" si="1034">AM67*AM$4/1000</f>
        <v>0</v>
      </c>
    </row>
    <row r="69" spans="1:42">
      <c r="A69" s="926">
        <v>42856</v>
      </c>
      <c r="B69" s="801"/>
      <c r="C69" s="802">
        <f t="shared" si="3"/>
        <v>4595</v>
      </c>
      <c r="D69" s="802">
        <v>4687</v>
      </c>
      <c r="E69" s="802">
        <v>455</v>
      </c>
      <c r="F69" s="802">
        <f>2434</f>
        <v>2434</v>
      </c>
      <c r="G69" s="802">
        <v>260</v>
      </c>
      <c r="H69" s="802">
        <v>52</v>
      </c>
      <c r="I69" s="802">
        <f>402-84</f>
        <v>318</v>
      </c>
      <c r="J69" s="802">
        <f>125-8</f>
        <v>117</v>
      </c>
      <c r="K69" s="802">
        <v>110</v>
      </c>
      <c r="L69" s="802">
        <v>123</v>
      </c>
      <c r="M69" s="802">
        <v>288</v>
      </c>
      <c r="N69" s="803"/>
      <c r="O69" s="802">
        <v>29</v>
      </c>
      <c r="P69" s="802">
        <v>14</v>
      </c>
      <c r="Q69" s="802">
        <v>18</v>
      </c>
      <c r="R69" s="802">
        <v>3</v>
      </c>
      <c r="S69" s="802">
        <v>2</v>
      </c>
      <c r="T69" s="802">
        <v>47</v>
      </c>
      <c r="U69" s="802">
        <v>48</v>
      </c>
      <c r="V69" s="802">
        <v>13</v>
      </c>
      <c r="W69" s="802">
        <v>19</v>
      </c>
      <c r="X69" s="802">
        <v>34</v>
      </c>
      <c r="Y69" s="802">
        <v>23</v>
      </c>
      <c r="Z69" s="802">
        <v>2</v>
      </c>
      <c r="AA69" s="802">
        <v>7</v>
      </c>
      <c r="AB69" s="802"/>
      <c r="AC69" s="802">
        <v>3</v>
      </c>
      <c r="AD69" s="802"/>
      <c r="AE69" s="802">
        <v>1</v>
      </c>
      <c r="AF69" s="803"/>
      <c r="AG69" s="804">
        <v>33</v>
      </c>
      <c r="AH69" s="804">
        <v>20</v>
      </c>
      <c r="AI69" s="804">
        <v>39</v>
      </c>
      <c r="AJ69" s="804">
        <v>83</v>
      </c>
      <c r="AK69" s="804">
        <v>0</v>
      </c>
      <c r="AL69" s="804">
        <v>0</v>
      </c>
      <c r="AO69">
        <f t="shared" ref="AO69:AO109" si="1035">SUM(AG69:AL69)</f>
        <v>175</v>
      </c>
      <c r="AP69">
        <f t="shared" ref="AP69:AP105" si="1036">AO69-AO71</f>
        <v>-22</v>
      </c>
    </row>
    <row r="70" spans="1:42">
      <c r="A70" s="927"/>
      <c r="B70" s="806"/>
      <c r="C70" s="807">
        <f t="shared" ref="C70:C110" si="1037">SUM(E70:AL70)</f>
        <v>259.95099999999996</v>
      </c>
      <c r="D70" s="807">
        <v>266.59899999999993</v>
      </c>
      <c r="E70" s="807">
        <f>E69*E$4/1000</f>
        <v>11.375</v>
      </c>
      <c r="F70" s="807">
        <f t="shared" ref="F70" si="1038">F69*F$4/1000</f>
        <v>87.623999999999995</v>
      </c>
      <c r="G70" s="807">
        <f t="shared" ref="G70" si="1039">G69*G$4/1000</f>
        <v>13.26</v>
      </c>
      <c r="H70" s="807">
        <f t="shared" ref="H70" si="1040">H69*H$4/1000</f>
        <v>2.7040000000000002</v>
      </c>
      <c r="I70" s="807">
        <f t="shared" ref="I70" si="1041">I69*I$4/1000</f>
        <v>22.896000000000001</v>
      </c>
      <c r="J70" s="807">
        <f t="shared" ref="J70" si="1042">J69*J$4/1000</f>
        <v>8.7750000000000004</v>
      </c>
      <c r="K70" s="807">
        <f t="shared" ref="K70" si="1043">K69*K$4/1000</f>
        <v>10.119999999999999</v>
      </c>
      <c r="L70" s="807">
        <f t="shared" ref="L70" si="1044">L69*L$4/1000</f>
        <v>12.669</v>
      </c>
      <c r="M70" s="807">
        <f t="shared" ref="M70" si="1045">M69*M$4/1000</f>
        <v>41.183999999999997</v>
      </c>
      <c r="N70" s="807">
        <f t="shared" ref="N70" si="1046">N69*N$4/1000</f>
        <v>0</v>
      </c>
      <c r="O70" s="807">
        <f t="shared" ref="O70" si="1047">O69*O$4/1000</f>
        <v>0.87</v>
      </c>
      <c r="P70" s="807">
        <f t="shared" ref="P70" si="1048">P69*P$4/1000</f>
        <v>0.58799999999999997</v>
      </c>
      <c r="Q70" s="807">
        <f t="shared" ref="Q70" si="1049">Q69*Q$4/1000</f>
        <v>0.91800000000000004</v>
      </c>
      <c r="R70" s="807">
        <f t="shared" ref="R70" si="1050">R69*R$4/1000</f>
        <v>0.159</v>
      </c>
      <c r="S70" s="807">
        <f t="shared" ref="S70" si="1051">S69*S$4/1000</f>
        <v>0.12</v>
      </c>
      <c r="T70" s="807">
        <f t="shared" ref="T70" si="1052">T69*T$4/1000</f>
        <v>3.29</v>
      </c>
      <c r="U70" s="807">
        <f t="shared" ref="U70" si="1053">U69*U$4/1000</f>
        <v>3.4079999999999999</v>
      </c>
      <c r="V70" s="807">
        <f t="shared" ref="V70" si="1054">V69*V$4/1000</f>
        <v>0.93600000000000005</v>
      </c>
      <c r="W70" s="807">
        <f t="shared" ref="W70" si="1055">W69*W$4/1000</f>
        <v>1.425</v>
      </c>
      <c r="X70" s="807">
        <f t="shared" ref="X70" si="1056">X69*X$4/1000</f>
        <v>2.72</v>
      </c>
      <c r="Y70" s="807">
        <f t="shared" ref="Y70" si="1057">Y69*Y$4/1000</f>
        <v>2.1389999999999998</v>
      </c>
      <c r="Z70" s="807">
        <f t="shared" ref="Z70" si="1058">Z69*Z$4/1000</f>
        <v>0.188</v>
      </c>
      <c r="AA70" s="807">
        <f t="shared" ref="AA70" si="1059">AA69*AA$4/1000</f>
        <v>0.71399999999999997</v>
      </c>
      <c r="AB70" s="807">
        <f t="shared" ref="AB70" si="1060">AB69*AB$4/1000</f>
        <v>0</v>
      </c>
      <c r="AC70" s="807">
        <f t="shared" ref="AC70" si="1061">AC69*AC$4/1000</f>
        <v>0.45</v>
      </c>
      <c r="AD70" s="807">
        <f t="shared" ref="AD70" si="1062">AD69*AD$4/1000</f>
        <v>0</v>
      </c>
      <c r="AE70" s="807">
        <f t="shared" ref="AE70" si="1063">AE69*AE$4/1000</f>
        <v>0.16400000000000001</v>
      </c>
      <c r="AF70" s="803"/>
      <c r="AG70" s="807">
        <f t="shared" ref="AG70" si="1064">AG69*AG$4/1000</f>
        <v>3.3</v>
      </c>
      <c r="AH70" s="807">
        <f t="shared" ref="AH70" si="1065">AH69*AH$4/1000</f>
        <v>2.7</v>
      </c>
      <c r="AI70" s="807">
        <f t="shared" ref="AI70" si="1066">AI69*AI$4/1000</f>
        <v>7.41</v>
      </c>
      <c r="AJ70" s="807">
        <f t="shared" ref="AJ70" si="1067">AJ69*AJ$4/1000</f>
        <v>17.844999999999999</v>
      </c>
      <c r="AK70" s="807">
        <f t="shared" ref="AK70" si="1068">AK69*AK$4/1000</f>
        <v>0</v>
      </c>
      <c r="AL70" s="807">
        <f t="shared" ref="AL70" si="1069">AL69*AL$4/1000</f>
        <v>0</v>
      </c>
      <c r="AM70" s="807">
        <f t="shared" ref="AM70" si="1070">AM69*AM$4/1000</f>
        <v>0</v>
      </c>
    </row>
    <row r="71" spans="1:42">
      <c r="A71" s="926">
        <v>42826</v>
      </c>
      <c r="B71" s="801"/>
      <c r="C71" s="802">
        <f t="shared" si="1037"/>
        <v>4595</v>
      </c>
      <c r="D71" s="802">
        <v>4678</v>
      </c>
      <c r="E71" s="802">
        <v>455</v>
      </c>
      <c r="F71" s="802">
        <v>2427</v>
      </c>
      <c r="G71" s="802">
        <v>260</v>
      </c>
      <c r="H71" s="802">
        <v>51</v>
      </c>
      <c r="I71" s="802">
        <f>397-83</f>
        <v>314</v>
      </c>
      <c r="J71" s="802">
        <v>107</v>
      </c>
      <c r="K71" s="802">
        <v>110</v>
      </c>
      <c r="L71" s="802">
        <v>123</v>
      </c>
      <c r="M71" s="802">
        <v>288</v>
      </c>
      <c r="N71" s="803"/>
      <c r="O71" s="802">
        <v>29</v>
      </c>
      <c r="P71" s="802">
        <v>14</v>
      </c>
      <c r="Q71" s="802">
        <v>18</v>
      </c>
      <c r="R71" s="802">
        <v>3</v>
      </c>
      <c r="S71" s="802">
        <v>2</v>
      </c>
      <c r="T71" s="802">
        <v>47</v>
      </c>
      <c r="U71" s="802">
        <v>48</v>
      </c>
      <c r="V71" s="802">
        <v>13</v>
      </c>
      <c r="W71" s="802">
        <v>19</v>
      </c>
      <c r="X71" s="802">
        <v>34</v>
      </c>
      <c r="Y71" s="802">
        <v>23</v>
      </c>
      <c r="Z71" s="802">
        <v>2</v>
      </c>
      <c r="AA71" s="802">
        <v>7</v>
      </c>
      <c r="AB71" s="802"/>
      <c r="AC71" s="802">
        <v>3</v>
      </c>
      <c r="AD71" s="802"/>
      <c r="AE71" s="802">
        <v>1</v>
      </c>
      <c r="AF71" s="803"/>
      <c r="AG71" s="804">
        <v>36</v>
      </c>
      <c r="AH71" s="804">
        <v>22</v>
      </c>
      <c r="AI71" s="804">
        <v>39</v>
      </c>
      <c r="AJ71" s="804">
        <v>100</v>
      </c>
      <c r="AK71" s="804">
        <v>0</v>
      </c>
      <c r="AL71" s="804">
        <v>0</v>
      </c>
      <c r="AO71">
        <f t="shared" si="1035"/>
        <v>197</v>
      </c>
      <c r="AP71">
        <f>AO71-AO73</f>
        <v>0</v>
      </c>
    </row>
    <row r="72" spans="1:42">
      <c r="A72" s="927"/>
      <c r="B72" s="806"/>
      <c r="C72" s="807">
        <f t="shared" si="1037"/>
        <v>262.83399999999995</v>
      </c>
      <c r="D72" s="807">
        <v>268.80999999999995</v>
      </c>
      <c r="E72" s="807">
        <f>E71*E$4/1000</f>
        <v>11.375</v>
      </c>
      <c r="F72" s="807">
        <f t="shared" ref="F72" si="1071">F71*F$4/1000</f>
        <v>87.372</v>
      </c>
      <c r="G72" s="807">
        <f t="shared" ref="G72" si="1072">G71*G$4/1000</f>
        <v>13.26</v>
      </c>
      <c r="H72" s="807">
        <f t="shared" ref="H72" si="1073">H71*H$4/1000</f>
        <v>2.6520000000000001</v>
      </c>
      <c r="I72" s="807">
        <f t="shared" ref="I72" si="1074">I71*I$4/1000</f>
        <v>22.608000000000001</v>
      </c>
      <c r="J72" s="807">
        <f t="shared" ref="J72" si="1075">J71*J$4/1000</f>
        <v>8.0250000000000004</v>
      </c>
      <c r="K72" s="807">
        <f t="shared" ref="K72" si="1076">K71*K$4/1000</f>
        <v>10.119999999999999</v>
      </c>
      <c r="L72" s="807">
        <f t="shared" ref="L72" si="1077">L71*L$4/1000</f>
        <v>12.669</v>
      </c>
      <c r="M72" s="807">
        <f t="shared" ref="M72" si="1078">M71*M$4/1000</f>
        <v>41.183999999999997</v>
      </c>
      <c r="N72" s="807">
        <f t="shared" ref="N72" si="1079">N71*N$4/1000</f>
        <v>0</v>
      </c>
      <c r="O72" s="807">
        <f t="shared" ref="O72" si="1080">O71*O$4/1000</f>
        <v>0.87</v>
      </c>
      <c r="P72" s="807">
        <f t="shared" ref="P72" si="1081">P71*P$4/1000</f>
        <v>0.58799999999999997</v>
      </c>
      <c r="Q72" s="807">
        <f t="shared" ref="Q72" si="1082">Q71*Q$4/1000</f>
        <v>0.91800000000000004</v>
      </c>
      <c r="R72" s="807">
        <f t="shared" ref="R72" si="1083">R71*R$4/1000</f>
        <v>0.159</v>
      </c>
      <c r="S72" s="807">
        <f t="shared" ref="S72" si="1084">S71*S$4/1000</f>
        <v>0.12</v>
      </c>
      <c r="T72" s="807">
        <f t="shared" ref="T72" si="1085">T71*T$4/1000</f>
        <v>3.29</v>
      </c>
      <c r="U72" s="807">
        <f t="shared" ref="U72" si="1086">U71*U$4/1000</f>
        <v>3.4079999999999999</v>
      </c>
      <c r="V72" s="807">
        <f t="shared" ref="V72" si="1087">V71*V$4/1000</f>
        <v>0.93600000000000005</v>
      </c>
      <c r="W72" s="807">
        <f t="shared" ref="W72" si="1088">W71*W$4/1000</f>
        <v>1.425</v>
      </c>
      <c r="X72" s="807">
        <f t="shared" ref="X72" si="1089">X71*X$4/1000</f>
        <v>2.72</v>
      </c>
      <c r="Y72" s="807">
        <f t="shared" ref="Y72" si="1090">Y71*Y$4/1000</f>
        <v>2.1389999999999998</v>
      </c>
      <c r="Z72" s="807">
        <f t="shared" ref="Z72" si="1091">Z71*Z$4/1000</f>
        <v>0.188</v>
      </c>
      <c r="AA72" s="807">
        <f t="shared" ref="AA72" si="1092">AA71*AA$4/1000</f>
        <v>0.71399999999999997</v>
      </c>
      <c r="AB72" s="807">
        <f t="shared" ref="AB72" si="1093">AB71*AB$4/1000</f>
        <v>0</v>
      </c>
      <c r="AC72" s="807">
        <f t="shared" ref="AC72" si="1094">AC71*AC$4/1000</f>
        <v>0.45</v>
      </c>
      <c r="AD72" s="807">
        <f t="shared" ref="AD72" si="1095">AD71*AD$4/1000</f>
        <v>0</v>
      </c>
      <c r="AE72" s="807">
        <f t="shared" ref="AE72" si="1096">AE71*AE$4/1000</f>
        <v>0.16400000000000001</v>
      </c>
      <c r="AF72" s="803"/>
      <c r="AG72" s="807">
        <f t="shared" ref="AG72" si="1097">AG71*AG$4/1000</f>
        <v>3.6</v>
      </c>
      <c r="AH72" s="807">
        <f t="shared" ref="AH72" si="1098">AH71*AH$4/1000</f>
        <v>2.97</v>
      </c>
      <c r="AI72" s="807">
        <f t="shared" ref="AI72" si="1099">AI71*AI$4/1000</f>
        <v>7.41</v>
      </c>
      <c r="AJ72" s="807">
        <f t="shared" ref="AJ72" si="1100">AJ71*AJ$4/1000</f>
        <v>21.5</v>
      </c>
      <c r="AK72" s="807">
        <f t="shared" ref="AK72" si="1101">AK71*AK$4/1000</f>
        <v>0</v>
      </c>
      <c r="AL72" s="807">
        <f t="shared" ref="AL72" si="1102">AL71*AL$4/1000</f>
        <v>0</v>
      </c>
      <c r="AM72" s="807">
        <f t="shared" ref="AM72" si="1103">AM71*AM$4/1000</f>
        <v>0</v>
      </c>
    </row>
    <row r="73" spans="1:42">
      <c r="A73" s="926">
        <v>42795</v>
      </c>
      <c r="B73" s="801"/>
      <c r="C73" s="802">
        <f t="shared" si="1037"/>
        <v>4595</v>
      </c>
      <c r="D73" s="802">
        <v>4678</v>
      </c>
      <c r="E73" s="802">
        <v>455</v>
      </c>
      <c r="F73" s="802">
        <v>2427</v>
      </c>
      <c r="G73" s="802">
        <v>260</v>
      </c>
      <c r="H73" s="802">
        <v>51</v>
      </c>
      <c r="I73" s="802">
        <f>397-83</f>
        <v>314</v>
      </c>
      <c r="J73" s="802">
        <v>107</v>
      </c>
      <c r="K73" s="802">
        <v>110</v>
      </c>
      <c r="L73" s="802">
        <v>123</v>
      </c>
      <c r="M73" s="802">
        <v>288</v>
      </c>
      <c r="N73" s="803"/>
      <c r="O73" s="802">
        <v>29</v>
      </c>
      <c r="P73" s="802">
        <v>14</v>
      </c>
      <c r="Q73" s="802">
        <v>18</v>
      </c>
      <c r="R73" s="802">
        <v>3</v>
      </c>
      <c r="S73" s="802">
        <v>2</v>
      </c>
      <c r="T73" s="802">
        <v>47</v>
      </c>
      <c r="U73" s="802">
        <v>48</v>
      </c>
      <c r="V73" s="802">
        <v>13</v>
      </c>
      <c r="W73" s="802">
        <v>19</v>
      </c>
      <c r="X73" s="802">
        <v>34</v>
      </c>
      <c r="Y73" s="802">
        <v>23</v>
      </c>
      <c r="Z73" s="802">
        <v>2</v>
      </c>
      <c r="AA73" s="802">
        <v>7</v>
      </c>
      <c r="AB73" s="802"/>
      <c r="AC73" s="802">
        <v>3</v>
      </c>
      <c r="AD73" s="802"/>
      <c r="AE73" s="802">
        <v>1</v>
      </c>
      <c r="AF73" s="803"/>
      <c r="AG73" s="804">
        <v>36</v>
      </c>
      <c r="AH73" s="804">
        <v>22</v>
      </c>
      <c r="AI73" s="804">
        <v>39</v>
      </c>
      <c r="AJ73" s="804">
        <v>100</v>
      </c>
      <c r="AK73" s="804">
        <v>0</v>
      </c>
      <c r="AL73" s="804">
        <v>0</v>
      </c>
      <c r="AO73">
        <f t="shared" si="1035"/>
        <v>197</v>
      </c>
      <c r="AP73">
        <f t="shared" si="1036"/>
        <v>-35</v>
      </c>
    </row>
    <row r="74" spans="1:42">
      <c r="A74" s="927"/>
      <c r="B74" s="806"/>
      <c r="C74" s="807">
        <f t="shared" si="1037"/>
        <v>262.83399999999995</v>
      </c>
      <c r="D74" s="807">
        <v>268.80999999999995</v>
      </c>
      <c r="E74" s="807">
        <f>E73*E$4/1000</f>
        <v>11.375</v>
      </c>
      <c r="F74" s="807">
        <f t="shared" ref="F74" si="1104">F73*F$4/1000</f>
        <v>87.372</v>
      </c>
      <c r="G74" s="807">
        <f t="shared" ref="G74" si="1105">G73*G$4/1000</f>
        <v>13.26</v>
      </c>
      <c r="H74" s="807">
        <f t="shared" ref="H74" si="1106">H73*H$4/1000</f>
        <v>2.6520000000000001</v>
      </c>
      <c r="I74" s="807">
        <f t="shared" ref="I74" si="1107">I73*I$4/1000</f>
        <v>22.608000000000001</v>
      </c>
      <c r="J74" s="807">
        <f t="shared" ref="J74" si="1108">J73*J$4/1000</f>
        <v>8.0250000000000004</v>
      </c>
      <c r="K74" s="807">
        <f t="shared" ref="K74" si="1109">K73*K$4/1000</f>
        <v>10.119999999999999</v>
      </c>
      <c r="L74" s="807">
        <f t="shared" ref="L74" si="1110">L73*L$4/1000</f>
        <v>12.669</v>
      </c>
      <c r="M74" s="807">
        <f t="shared" ref="M74" si="1111">M73*M$4/1000</f>
        <v>41.183999999999997</v>
      </c>
      <c r="N74" s="807">
        <f t="shared" ref="N74" si="1112">N73*N$4/1000</f>
        <v>0</v>
      </c>
      <c r="O74" s="807">
        <f t="shared" ref="O74" si="1113">O73*O$4/1000</f>
        <v>0.87</v>
      </c>
      <c r="P74" s="807">
        <f t="shared" ref="P74" si="1114">P73*P$4/1000</f>
        <v>0.58799999999999997</v>
      </c>
      <c r="Q74" s="807">
        <f t="shared" ref="Q74" si="1115">Q73*Q$4/1000</f>
        <v>0.91800000000000004</v>
      </c>
      <c r="R74" s="807">
        <f t="shared" ref="R74" si="1116">R73*R$4/1000</f>
        <v>0.159</v>
      </c>
      <c r="S74" s="807">
        <f t="shared" ref="S74" si="1117">S73*S$4/1000</f>
        <v>0.12</v>
      </c>
      <c r="T74" s="807">
        <f t="shared" ref="T74" si="1118">T73*T$4/1000</f>
        <v>3.29</v>
      </c>
      <c r="U74" s="807">
        <f t="shared" ref="U74" si="1119">U73*U$4/1000</f>
        <v>3.4079999999999999</v>
      </c>
      <c r="V74" s="807">
        <f t="shared" ref="V74" si="1120">V73*V$4/1000</f>
        <v>0.93600000000000005</v>
      </c>
      <c r="W74" s="807">
        <f t="shared" ref="W74" si="1121">W73*W$4/1000</f>
        <v>1.425</v>
      </c>
      <c r="X74" s="807">
        <f t="shared" ref="X74" si="1122">X73*X$4/1000</f>
        <v>2.72</v>
      </c>
      <c r="Y74" s="807">
        <f t="shared" ref="Y74" si="1123">Y73*Y$4/1000</f>
        <v>2.1389999999999998</v>
      </c>
      <c r="Z74" s="807">
        <f t="shared" ref="Z74" si="1124">Z73*Z$4/1000</f>
        <v>0.188</v>
      </c>
      <c r="AA74" s="807">
        <f t="shared" ref="AA74" si="1125">AA73*AA$4/1000</f>
        <v>0.71399999999999997</v>
      </c>
      <c r="AB74" s="807">
        <f t="shared" ref="AB74" si="1126">AB73*AB$4/1000</f>
        <v>0</v>
      </c>
      <c r="AC74" s="807">
        <f t="shared" ref="AC74" si="1127">AC73*AC$4/1000</f>
        <v>0.45</v>
      </c>
      <c r="AD74" s="807">
        <f t="shared" ref="AD74" si="1128">AD73*AD$4/1000</f>
        <v>0</v>
      </c>
      <c r="AE74" s="807">
        <f t="shared" ref="AE74" si="1129">AE73*AE$4/1000</f>
        <v>0.16400000000000001</v>
      </c>
      <c r="AF74" s="803"/>
      <c r="AG74" s="807">
        <f t="shared" ref="AG74" si="1130">AG73*AG$4/1000</f>
        <v>3.6</v>
      </c>
      <c r="AH74" s="807">
        <f t="shared" ref="AH74" si="1131">AH73*AH$4/1000</f>
        <v>2.97</v>
      </c>
      <c r="AI74" s="807">
        <f t="shared" ref="AI74" si="1132">AI73*AI$4/1000</f>
        <v>7.41</v>
      </c>
      <c r="AJ74" s="807">
        <f t="shared" ref="AJ74" si="1133">AJ73*AJ$4/1000</f>
        <v>21.5</v>
      </c>
      <c r="AK74" s="807">
        <f t="shared" ref="AK74" si="1134">AK73*AK$4/1000</f>
        <v>0</v>
      </c>
      <c r="AL74" s="807">
        <f t="shared" ref="AL74" si="1135">AL73*AL$4/1000</f>
        <v>0</v>
      </c>
      <c r="AM74" s="807">
        <f t="shared" ref="AM74" si="1136">AM73*AM$4/1000</f>
        <v>0</v>
      </c>
    </row>
    <row r="75" spans="1:42">
      <c r="A75" s="926">
        <v>42767</v>
      </c>
      <c r="B75" s="801"/>
      <c r="C75" s="802">
        <f t="shared" si="1037"/>
        <v>4595</v>
      </c>
      <c r="D75" s="802">
        <v>4678</v>
      </c>
      <c r="E75" s="802">
        <v>455</v>
      </c>
      <c r="F75" s="802">
        <v>2396</v>
      </c>
      <c r="G75" s="802">
        <v>260</v>
      </c>
      <c r="H75" s="802">
        <v>51</v>
      </c>
      <c r="I75" s="802">
        <f>397-84</f>
        <v>313</v>
      </c>
      <c r="J75" s="802">
        <v>104</v>
      </c>
      <c r="K75" s="802">
        <v>110</v>
      </c>
      <c r="L75" s="802">
        <v>123</v>
      </c>
      <c r="M75" s="802">
        <v>288</v>
      </c>
      <c r="N75" s="803"/>
      <c r="O75" s="802">
        <v>29</v>
      </c>
      <c r="P75" s="802">
        <v>14</v>
      </c>
      <c r="Q75" s="802">
        <v>18</v>
      </c>
      <c r="R75" s="802">
        <v>3</v>
      </c>
      <c r="S75" s="802">
        <v>2</v>
      </c>
      <c r="T75" s="802">
        <v>47</v>
      </c>
      <c r="U75" s="802">
        <v>48</v>
      </c>
      <c r="V75" s="802">
        <v>13</v>
      </c>
      <c r="W75" s="802">
        <v>19</v>
      </c>
      <c r="X75" s="802">
        <v>34</v>
      </c>
      <c r="Y75" s="802">
        <v>23</v>
      </c>
      <c r="Z75" s="802">
        <v>2</v>
      </c>
      <c r="AA75" s="802">
        <v>7</v>
      </c>
      <c r="AB75" s="802"/>
      <c r="AC75" s="802">
        <v>3</v>
      </c>
      <c r="AD75" s="802"/>
      <c r="AE75" s="802">
        <v>1</v>
      </c>
      <c r="AF75" s="803"/>
      <c r="AG75" s="804">
        <v>67</v>
      </c>
      <c r="AH75" s="804">
        <v>22</v>
      </c>
      <c r="AI75" s="804">
        <v>43</v>
      </c>
      <c r="AJ75" s="804">
        <v>100</v>
      </c>
      <c r="AK75" s="804">
        <v>0</v>
      </c>
      <c r="AL75" s="804">
        <v>0</v>
      </c>
      <c r="AO75">
        <f t="shared" si="1035"/>
        <v>232</v>
      </c>
      <c r="AP75">
        <f t="shared" si="1036"/>
        <v>0</v>
      </c>
    </row>
    <row r="76" spans="1:42">
      <c r="A76" s="927"/>
      <c r="B76" s="806"/>
      <c r="C76" s="807">
        <f t="shared" si="1037"/>
        <v>265.28099999999995</v>
      </c>
      <c r="D76" s="807">
        <v>271.13900000000001</v>
      </c>
      <c r="E76" s="807">
        <f>E75*E$4/1000</f>
        <v>11.375</v>
      </c>
      <c r="F76" s="807">
        <f t="shared" ref="F76" si="1137">F75*F$4/1000</f>
        <v>86.256</v>
      </c>
      <c r="G76" s="807">
        <f t="shared" ref="G76" si="1138">G75*G$4/1000</f>
        <v>13.26</v>
      </c>
      <c r="H76" s="807">
        <f t="shared" ref="H76" si="1139">H75*H$4/1000</f>
        <v>2.6520000000000001</v>
      </c>
      <c r="I76" s="807">
        <f t="shared" ref="I76" si="1140">I75*I$4/1000</f>
        <v>22.536000000000001</v>
      </c>
      <c r="J76" s="807">
        <f t="shared" ref="J76" si="1141">J75*J$4/1000</f>
        <v>7.8</v>
      </c>
      <c r="K76" s="807">
        <f t="shared" ref="K76" si="1142">K75*K$4/1000</f>
        <v>10.119999999999999</v>
      </c>
      <c r="L76" s="807">
        <f t="shared" ref="L76" si="1143">L75*L$4/1000</f>
        <v>12.669</v>
      </c>
      <c r="M76" s="807">
        <f t="shared" ref="M76" si="1144">M75*M$4/1000</f>
        <v>41.183999999999997</v>
      </c>
      <c r="N76" s="807">
        <f t="shared" ref="N76" si="1145">N75*N$4/1000</f>
        <v>0</v>
      </c>
      <c r="O76" s="807">
        <f t="shared" ref="O76" si="1146">O75*O$4/1000</f>
        <v>0.87</v>
      </c>
      <c r="P76" s="807">
        <f t="shared" ref="P76" si="1147">P75*P$4/1000</f>
        <v>0.58799999999999997</v>
      </c>
      <c r="Q76" s="807">
        <f t="shared" ref="Q76" si="1148">Q75*Q$4/1000</f>
        <v>0.91800000000000004</v>
      </c>
      <c r="R76" s="807">
        <f t="shared" ref="R76" si="1149">R75*R$4/1000</f>
        <v>0.159</v>
      </c>
      <c r="S76" s="807">
        <f t="shared" ref="S76" si="1150">S75*S$4/1000</f>
        <v>0.12</v>
      </c>
      <c r="T76" s="807">
        <f t="shared" ref="T76" si="1151">T75*T$4/1000</f>
        <v>3.29</v>
      </c>
      <c r="U76" s="807">
        <f t="shared" ref="U76" si="1152">U75*U$4/1000</f>
        <v>3.4079999999999999</v>
      </c>
      <c r="V76" s="807">
        <f t="shared" ref="V76" si="1153">V75*V$4/1000</f>
        <v>0.93600000000000005</v>
      </c>
      <c r="W76" s="807">
        <f t="shared" ref="W76" si="1154">W75*W$4/1000</f>
        <v>1.425</v>
      </c>
      <c r="X76" s="807">
        <f t="shared" ref="X76" si="1155">X75*X$4/1000</f>
        <v>2.72</v>
      </c>
      <c r="Y76" s="807">
        <f t="shared" ref="Y76" si="1156">Y75*Y$4/1000</f>
        <v>2.1389999999999998</v>
      </c>
      <c r="Z76" s="807">
        <f t="shared" ref="Z76" si="1157">Z75*Z$4/1000</f>
        <v>0.188</v>
      </c>
      <c r="AA76" s="807">
        <f t="shared" ref="AA76" si="1158">AA75*AA$4/1000</f>
        <v>0.71399999999999997</v>
      </c>
      <c r="AB76" s="807">
        <f t="shared" ref="AB76" si="1159">AB75*AB$4/1000</f>
        <v>0</v>
      </c>
      <c r="AC76" s="807">
        <f t="shared" ref="AC76" si="1160">AC75*AC$4/1000</f>
        <v>0.45</v>
      </c>
      <c r="AD76" s="807">
        <f t="shared" ref="AD76" si="1161">AD75*AD$4/1000</f>
        <v>0</v>
      </c>
      <c r="AE76" s="807">
        <f t="shared" ref="AE76" si="1162">AE75*AE$4/1000</f>
        <v>0.16400000000000001</v>
      </c>
      <c r="AF76" s="803"/>
      <c r="AG76" s="807">
        <f t="shared" ref="AG76" si="1163">AG75*AG$4/1000</f>
        <v>6.7</v>
      </c>
      <c r="AH76" s="807">
        <f t="shared" ref="AH76" si="1164">AH75*AH$4/1000</f>
        <v>2.97</v>
      </c>
      <c r="AI76" s="807">
        <f t="shared" ref="AI76" si="1165">AI75*AI$4/1000</f>
        <v>8.17</v>
      </c>
      <c r="AJ76" s="807">
        <f t="shared" ref="AJ76" si="1166">AJ75*AJ$4/1000</f>
        <v>21.5</v>
      </c>
      <c r="AK76" s="807">
        <f t="shared" ref="AK76" si="1167">AK75*AK$4/1000</f>
        <v>0</v>
      </c>
      <c r="AL76" s="807">
        <f t="shared" ref="AL76" si="1168">AL75*AL$4/1000</f>
        <v>0</v>
      </c>
      <c r="AM76" s="807">
        <f t="shared" ref="AM76" si="1169">AM75*AM$4/1000</f>
        <v>0</v>
      </c>
    </row>
    <row r="77" spans="1:42">
      <c r="A77" s="926">
        <v>42736</v>
      </c>
      <c r="B77" s="801"/>
      <c r="C77" s="802">
        <f>SUM(E77:AL77)</f>
        <v>4595</v>
      </c>
      <c r="D77" s="802">
        <v>4678</v>
      </c>
      <c r="E77" s="802">
        <v>455</v>
      </c>
      <c r="F77" s="802">
        <v>2396</v>
      </c>
      <c r="G77" s="802">
        <v>260</v>
      </c>
      <c r="H77" s="802">
        <v>51</v>
      </c>
      <c r="I77" s="802">
        <f>397-84</f>
        <v>313</v>
      </c>
      <c r="J77" s="802">
        <v>104</v>
      </c>
      <c r="K77" s="802">
        <v>110</v>
      </c>
      <c r="L77" s="802">
        <v>123</v>
      </c>
      <c r="M77" s="802">
        <v>288</v>
      </c>
      <c r="N77" s="803"/>
      <c r="O77" s="802">
        <v>29</v>
      </c>
      <c r="P77" s="802">
        <v>14</v>
      </c>
      <c r="Q77" s="802">
        <v>18</v>
      </c>
      <c r="R77" s="802">
        <v>3</v>
      </c>
      <c r="S77" s="802">
        <v>2</v>
      </c>
      <c r="T77" s="802">
        <v>47</v>
      </c>
      <c r="U77" s="802">
        <v>48</v>
      </c>
      <c r="V77" s="802">
        <v>13</v>
      </c>
      <c r="W77" s="802">
        <v>19</v>
      </c>
      <c r="X77" s="802">
        <v>34</v>
      </c>
      <c r="Y77" s="802">
        <v>23</v>
      </c>
      <c r="Z77" s="802">
        <v>2</v>
      </c>
      <c r="AA77" s="802">
        <v>7</v>
      </c>
      <c r="AB77" s="802"/>
      <c r="AC77" s="802">
        <v>3</v>
      </c>
      <c r="AD77" s="802"/>
      <c r="AE77" s="802">
        <v>1</v>
      </c>
      <c r="AF77" s="803"/>
      <c r="AG77" s="804">
        <v>67</v>
      </c>
      <c r="AH77" s="804">
        <v>22</v>
      </c>
      <c r="AI77" s="804">
        <v>43</v>
      </c>
      <c r="AJ77" s="804">
        <v>100</v>
      </c>
      <c r="AK77" s="804">
        <v>0</v>
      </c>
      <c r="AL77" s="804">
        <v>0</v>
      </c>
      <c r="AO77">
        <f t="shared" si="1035"/>
        <v>232</v>
      </c>
      <c r="AP77">
        <f t="shared" si="1036"/>
        <v>-21</v>
      </c>
    </row>
    <row r="78" spans="1:42">
      <c r="A78" s="927"/>
      <c r="B78" s="806"/>
      <c r="C78" s="807">
        <f>SUM(E78:AL78)</f>
        <v>265.28099999999995</v>
      </c>
      <c r="D78" s="807">
        <v>271.13900000000001</v>
      </c>
      <c r="E78" s="807">
        <f>E77*E$4/1000</f>
        <v>11.375</v>
      </c>
      <c r="F78" s="807">
        <f t="shared" ref="F78" si="1170">F77*F$4/1000</f>
        <v>86.256</v>
      </c>
      <c r="G78" s="807">
        <f t="shared" ref="G78" si="1171">G77*G$4/1000</f>
        <v>13.26</v>
      </c>
      <c r="H78" s="807">
        <f t="shared" ref="H78" si="1172">H77*H$4/1000</f>
        <v>2.6520000000000001</v>
      </c>
      <c r="I78" s="807">
        <f t="shared" ref="I78" si="1173">I77*I$4/1000</f>
        <v>22.536000000000001</v>
      </c>
      <c r="J78" s="807">
        <f t="shared" ref="J78" si="1174">J77*J$4/1000</f>
        <v>7.8</v>
      </c>
      <c r="K78" s="807">
        <f t="shared" ref="K78" si="1175">K77*K$4/1000</f>
        <v>10.119999999999999</v>
      </c>
      <c r="L78" s="807">
        <f t="shared" ref="L78" si="1176">L77*L$4/1000</f>
        <v>12.669</v>
      </c>
      <c r="M78" s="807">
        <f t="shared" ref="M78" si="1177">M77*M$4/1000</f>
        <v>41.183999999999997</v>
      </c>
      <c r="N78" s="807">
        <f t="shared" ref="N78" si="1178">N77*N$4/1000</f>
        <v>0</v>
      </c>
      <c r="O78" s="807">
        <f t="shared" ref="O78" si="1179">O77*O$4/1000</f>
        <v>0.87</v>
      </c>
      <c r="P78" s="807">
        <f t="shared" ref="P78" si="1180">P77*P$4/1000</f>
        <v>0.58799999999999997</v>
      </c>
      <c r="Q78" s="807">
        <f t="shared" ref="Q78" si="1181">Q77*Q$4/1000</f>
        <v>0.91800000000000004</v>
      </c>
      <c r="R78" s="807">
        <f t="shared" ref="R78" si="1182">R77*R$4/1000</f>
        <v>0.159</v>
      </c>
      <c r="S78" s="807">
        <f t="shared" ref="S78" si="1183">S77*S$4/1000</f>
        <v>0.12</v>
      </c>
      <c r="T78" s="807">
        <f t="shared" ref="T78" si="1184">T77*T$4/1000</f>
        <v>3.29</v>
      </c>
      <c r="U78" s="807">
        <f t="shared" ref="U78" si="1185">U77*U$4/1000</f>
        <v>3.4079999999999999</v>
      </c>
      <c r="V78" s="807">
        <f t="shared" ref="V78" si="1186">V77*V$4/1000</f>
        <v>0.93600000000000005</v>
      </c>
      <c r="W78" s="807">
        <f t="shared" ref="W78" si="1187">W77*W$4/1000</f>
        <v>1.425</v>
      </c>
      <c r="X78" s="807">
        <f t="shared" ref="X78" si="1188">X77*X$4/1000</f>
        <v>2.72</v>
      </c>
      <c r="Y78" s="807">
        <f t="shared" ref="Y78" si="1189">Y77*Y$4/1000</f>
        <v>2.1389999999999998</v>
      </c>
      <c r="Z78" s="807">
        <f t="shared" ref="Z78" si="1190">Z77*Z$4/1000</f>
        <v>0.188</v>
      </c>
      <c r="AA78" s="807">
        <f t="shared" ref="AA78" si="1191">AA77*AA$4/1000</f>
        <v>0.71399999999999997</v>
      </c>
      <c r="AB78" s="807">
        <f t="shared" ref="AB78" si="1192">AB77*AB$4/1000</f>
        <v>0</v>
      </c>
      <c r="AC78" s="807">
        <f t="shared" ref="AC78" si="1193">AC77*AC$4/1000</f>
        <v>0.45</v>
      </c>
      <c r="AD78" s="807">
        <f t="shared" ref="AD78" si="1194">AD77*AD$4/1000</f>
        <v>0</v>
      </c>
      <c r="AE78" s="807">
        <f t="shared" ref="AE78" si="1195">AE77*AE$4/1000</f>
        <v>0.16400000000000001</v>
      </c>
      <c r="AF78" s="803"/>
      <c r="AG78" s="807">
        <f t="shared" ref="AG78" si="1196">AG77*AG$4/1000</f>
        <v>6.7</v>
      </c>
      <c r="AH78" s="807">
        <f t="shared" ref="AH78" si="1197">AH77*AH$4/1000</f>
        <v>2.97</v>
      </c>
      <c r="AI78" s="807">
        <f t="shared" ref="AI78" si="1198">AI77*AI$4/1000</f>
        <v>8.17</v>
      </c>
      <c r="AJ78" s="807">
        <f t="shared" ref="AJ78" si="1199">AJ77*AJ$4/1000</f>
        <v>21.5</v>
      </c>
      <c r="AK78" s="807">
        <f t="shared" ref="AK78" si="1200">AK77*AK$4/1000</f>
        <v>0</v>
      </c>
      <c r="AL78" s="807">
        <f t="shared" ref="AL78" si="1201">AL77*AL$4/1000</f>
        <v>0</v>
      </c>
      <c r="AM78" s="807">
        <f t="shared" ref="AM78" si="1202">AM77*AM$4/1000</f>
        <v>0</v>
      </c>
    </row>
    <row r="79" spans="1:42">
      <c r="A79" s="918">
        <v>42705</v>
      </c>
      <c r="B79" s="801"/>
      <c r="C79" s="802">
        <f t="shared" si="1037"/>
        <v>4595</v>
      </c>
      <c r="D79" s="802">
        <v>4678</v>
      </c>
      <c r="E79" s="802">
        <v>450</v>
      </c>
      <c r="F79" s="802">
        <v>2396</v>
      </c>
      <c r="G79" s="802">
        <v>260</v>
      </c>
      <c r="H79" s="802">
        <v>51</v>
      </c>
      <c r="I79" s="802">
        <f>397-84</f>
        <v>313</v>
      </c>
      <c r="J79" s="802">
        <v>88</v>
      </c>
      <c r="K79" s="802">
        <v>110</v>
      </c>
      <c r="L79" s="802">
        <v>123</v>
      </c>
      <c r="M79" s="802">
        <v>288</v>
      </c>
      <c r="N79" s="803"/>
      <c r="O79" s="802">
        <v>29</v>
      </c>
      <c r="P79" s="802">
        <v>14</v>
      </c>
      <c r="Q79" s="802">
        <v>18</v>
      </c>
      <c r="R79" s="802">
        <v>3</v>
      </c>
      <c r="S79" s="802">
        <v>2</v>
      </c>
      <c r="T79" s="802">
        <v>47</v>
      </c>
      <c r="U79" s="802">
        <v>48</v>
      </c>
      <c r="V79" s="802">
        <v>13</v>
      </c>
      <c r="W79" s="802">
        <v>19</v>
      </c>
      <c r="X79" s="802">
        <v>34</v>
      </c>
      <c r="Y79" s="802">
        <v>23</v>
      </c>
      <c r="Z79" s="802">
        <v>2</v>
      </c>
      <c r="AA79" s="802">
        <v>7</v>
      </c>
      <c r="AB79" s="802"/>
      <c r="AC79" s="802">
        <v>3</v>
      </c>
      <c r="AD79" s="802"/>
      <c r="AE79" s="802">
        <v>1</v>
      </c>
      <c r="AF79" s="803"/>
      <c r="AG79" s="804">
        <v>67</v>
      </c>
      <c r="AH79" s="804">
        <v>27</v>
      </c>
      <c r="AI79" s="804">
        <v>59</v>
      </c>
      <c r="AJ79" s="804">
        <v>100</v>
      </c>
      <c r="AK79" s="804">
        <v>0</v>
      </c>
      <c r="AL79" s="804">
        <v>0</v>
      </c>
      <c r="AO79">
        <f t="shared" si="1035"/>
        <v>253</v>
      </c>
      <c r="AP79">
        <f t="shared" si="1036"/>
        <v>-28</v>
      </c>
    </row>
    <row r="80" spans="1:42">
      <c r="A80" s="918"/>
      <c r="B80" s="806"/>
      <c r="C80" s="807">
        <f t="shared" si="1037"/>
        <v>267.67099999999999</v>
      </c>
      <c r="D80" s="807">
        <v>273.529</v>
      </c>
      <c r="E80" s="807">
        <f>E79*E$4/1000</f>
        <v>11.25</v>
      </c>
      <c r="F80" s="807">
        <f t="shared" ref="F80" si="1203">F79*F$4/1000</f>
        <v>86.256</v>
      </c>
      <c r="G80" s="807">
        <f t="shared" ref="G80" si="1204">G79*G$4/1000</f>
        <v>13.26</v>
      </c>
      <c r="H80" s="807">
        <f t="shared" ref="H80" si="1205">H79*H$4/1000</f>
        <v>2.6520000000000001</v>
      </c>
      <c r="I80" s="807">
        <f t="shared" ref="I80" si="1206">I79*I$4/1000</f>
        <v>22.536000000000001</v>
      </c>
      <c r="J80" s="807">
        <f t="shared" ref="J80" si="1207">J79*J$4/1000</f>
        <v>6.6</v>
      </c>
      <c r="K80" s="807">
        <f t="shared" ref="K80" si="1208">K79*K$4/1000</f>
        <v>10.119999999999999</v>
      </c>
      <c r="L80" s="807">
        <f t="shared" ref="L80" si="1209">L79*L$4/1000</f>
        <v>12.669</v>
      </c>
      <c r="M80" s="807">
        <f t="shared" ref="M80" si="1210">M79*M$4/1000</f>
        <v>41.183999999999997</v>
      </c>
      <c r="N80" s="807">
        <f t="shared" ref="N80" si="1211">N79*N$4/1000</f>
        <v>0</v>
      </c>
      <c r="O80" s="807">
        <f t="shared" ref="O80" si="1212">O79*O$4/1000</f>
        <v>0.87</v>
      </c>
      <c r="P80" s="807">
        <f t="shared" ref="P80" si="1213">P79*P$4/1000</f>
        <v>0.58799999999999997</v>
      </c>
      <c r="Q80" s="807">
        <f t="shared" ref="Q80" si="1214">Q79*Q$4/1000</f>
        <v>0.91800000000000004</v>
      </c>
      <c r="R80" s="807">
        <f t="shared" ref="R80" si="1215">R79*R$4/1000</f>
        <v>0.159</v>
      </c>
      <c r="S80" s="807">
        <f t="shared" ref="S80" si="1216">S79*S$4/1000</f>
        <v>0.12</v>
      </c>
      <c r="T80" s="807">
        <f t="shared" ref="T80" si="1217">T79*T$4/1000</f>
        <v>3.29</v>
      </c>
      <c r="U80" s="807">
        <f t="shared" ref="U80" si="1218">U79*U$4/1000</f>
        <v>3.4079999999999999</v>
      </c>
      <c r="V80" s="807">
        <f t="shared" ref="V80" si="1219">V79*V$4/1000</f>
        <v>0.93600000000000005</v>
      </c>
      <c r="W80" s="807">
        <f t="shared" ref="W80" si="1220">W79*W$4/1000</f>
        <v>1.425</v>
      </c>
      <c r="X80" s="807">
        <f t="shared" ref="X80" si="1221">X79*X$4/1000</f>
        <v>2.72</v>
      </c>
      <c r="Y80" s="807">
        <f t="shared" ref="Y80" si="1222">Y79*Y$4/1000</f>
        <v>2.1389999999999998</v>
      </c>
      <c r="Z80" s="807">
        <f t="shared" ref="Z80" si="1223">Z79*Z$4/1000</f>
        <v>0.188</v>
      </c>
      <c r="AA80" s="807">
        <f t="shared" ref="AA80" si="1224">AA79*AA$4/1000</f>
        <v>0.71399999999999997</v>
      </c>
      <c r="AB80" s="807">
        <f t="shared" ref="AB80" si="1225">AB79*AB$4/1000</f>
        <v>0</v>
      </c>
      <c r="AC80" s="807">
        <f t="shared" ref="AC80" si="1226">AC79*AC$4/1000</f>
        <v>0.45</v>
      </c>
      <c r="AD80" s="807">
        <f t="shared" ref="AD80" si="1227">AD79*AD$4/1000</f>
        <v>0</v>
      </c>
      <c r="AE80" s="807">
        <f t="shared" ref="AE80" si="1228">AE79*AE$4/1000</f>
        <v>0.16400000000000001</v>
      </c>
      <c r="AF80" s="803"/>
      <c r="AG80" s="807">
        <f t="shared" ref="AG80" si="1229">AG79*AG$4/1000</f>
        <v>6.7</v>
      </c>
      <c r="AH80" s="807">
        <f t="shared" ref="AH80" si="1230">AH79*AH$4/1000</f>
        <v>3.645</v>
      </c>
      <c r="AI80" s="807">
        <f t="shared" ref="AI80" si="1231">AI79*AI$4/1000</f>
        <v>11.21</v>
      </c>
      <c r="AJ80" s="807">
        <f t="shared" ref="AJ80" si="1232">AJ79*AJ$4/1000</f>
        <v>21.5</v>
      </c>
      <c r="AK80" s="807">
        <f t="shared" ref="AK80" si="1233">AK79*AK$4/1000</f>
        <v>0</v>
      </c>
      <c r="AL80" s="807">
        <f t="shared" ref="AL80" si="1234">AL79*AL$4/1000</f>
        <v>0</v>
      </c>
      <c r="AM80" s="807">
        <f t="shared" ref="AM80" si="1235">AM79*AM$4/1000</f>
        <v>0</v>
      </c>
    </row>
    <row r="81" spans="1:42">
      <c r="A81" s="918">
        <v>42675</v>
      </c>
      <c r="B81" s="801"/>
      <c r="C81" s="802">
        <f t="shared" si="1037"/>
        <v>4595</v>
      </c>
      <c r="D81" s="802">
        <v>4678</v>
      </c>
      <c r="E81" s="802">
        <v>450</v>
      </c>
      <c r="F81" s="802">
        <v>2395</v>
      </c>
      <c r="G81" s="802">
        <v>260</v>
      </c>
      <c r="H81" s="802">
        <v>51</v>
      </c>
      <c r="I81" s="802">
        <f>397-84</f>
        <v>313</v>
      </c>
      <c r="J81" s="802">
        <v>61</v>
      </c>
      <c r="K81" s="802">
        <v>110</v>
      </c>
      <c r="L81" s="802">
        <v>123</v>
      </c>
      <c r="M81" s="802">
        <v>288</v>
      </c>
      <c r="N81" s="803"/>
      <c r="O81" s="802">
        <v>29</v>
      </c>
      <c r="P81" s="802">
        <v>14</v>
      </c>
      <c r="Q81" s="802">
        <v>18</v>
      </c>
      <c r="R81" s="802">
        <v>3</v>
      </c>
      <c r="S81" s="802">
        <v>2</v>
      </c>
      <c r="T81" s="802">
        <v>47</v>
      </c>
      <c r="U81" s="802">
        <v>48</v>
      </c>
      <c r="V81" s="802">
        <v>13</v>
      </c>
      <c r="W81" s="802">
        <v>19</v>
      </c>
      <c r="X81" s="802">
        <v>34</v>
      </c>
      <c r="Y81" s="802">
        <v>23</v>
      </c>
      <c r="Z81" s="802">
        <v>2</v>
      </c>
      <c r="AA81" s="802">
        <v>7</v>
      </c>
      <c r="AB81" s="802"/>
      <c r="AC81" s="802">
        <v>3</v>
      </c>
      <c r="AD81" s="802"/>
      <c r="AE81" s="802">
        <v>1</v>
      </c>
      <c r="AF81" s="803"/>
      <c r="AG81" s="804">
        <v>68</v>
      </c>
      <c r="AH81" s="804">
        <v>27</v>
      </c>
      <c r="AI81" s="804">
        <v>86</v>
      </c>
      <c r="AJ81" s="804">
        <v>100</v>
      </c>
      <c r="AK81" s="804">
        <v>0</v>
      </c>
      <c r="AL81" s="804">
        <v>0</v>
      </c>
      <c r="AO81">
        <f t="shared" si="1035"/>
        <v>281</v>
      </c>
      <c r="AP81">
        <f t="shared" si="1036"/>
        <v>-253</v>
      </c>
    </row>
    <row r="82" spans="1:42">
      <c r="A82" s="918"/>
      <c r="B82" s="806"/>
      <c r="C82" s="807">
        <f t="shared" si="1037"/>
        <v>270.84000000000003</v>
      </c>
      <c r="D82" s="807">
        <v>276.69799999999998</v>
      </c>
      <c r="E82" s="807">
        <f>E81*E$4/1000</f>
        <v>11.25</v>
      </c>
      <c r="F82" s="807">
        <f t="shared" ref="F82" si="1236">F81*F$4/1000</f>
        <v>86.22</v>
      </c>
      <c r="G82" s="807">
        <f t="shared" ref="G82" si="1237">G81*G$4/1000</f>
        <v>13.26</v>
      </c>
      <c r="H82" s="807">
        <f t="shared" ref="H82" si="1238">H81*H$4/1000</f>
        <v>2.6520000000000001</v>
      </c>
      <c r="I82" s="807">
        <f t="shared" ref="I82" si="1239">I81*I$4/1000</f>
        <v>22.536000000000001</v>
      </c>
      <c r="J82" s="807">
        <f t="shared" ref="J82" si="1240">J81*J$4/1000</f>
        <v>4.5750000000000002</v>
      </c>
      <c r="K82" s="807">
        <f t="shared" ref="K82" si="1241">K81*K$4/1000</f>
        <v>10.119999999999999</v>
      </c>
      <c r="L82" s="807">
        <f t="shared" ref="L82" si="1242">L81*L$4/1000</f>
        <v>12.669</v>
      </c>
      <c r="M82" s="807">
        <f t="shared" ref="M82" si="1243">M81*M$4/1000</f>
        <v>41.183999999999997</v>
      </c>
      <c r="N82" s="807">
        <f t="shared" ref="N82" si="1244">N81*N$4/1000</f>
        <v>0</v>
      </c>
      <c r="O82" s="807">
        <f t="shared" ref="O82" si="1245">O81*O$4/1000</f>
        <v>0.87</v>
      </c>
      <c r="P82" s="807">
        <f t="shared" ref="P82" si="1246">P81*P$4/1000</f>
        <v>0.58799999999999997</v>
      </c>
      <c r="Q82" s="807">
        <f t="shared" ref="Q82" si="1247">Q81*Q$4/1000</f>
        <v>0.91800000000000004</v>
      </c>
      <c r="R82" s="807">
        <f t="shared" ref="R82" si="1248">R81*R$4/1000</f>
        <v>0.159</v>
      </c>
      <c r="S82" s="807">
        <f t="shared" ref="S82" si="1249">S81*S$4/1000</f>
        <v>0.12</v>
      </c>
      <c r="T82" s="807">
        <f t="shared" ref="T82" si="1250">T81*T$4/1000</f>
        <v>3.29</v>
      </c>
      <c r="U82" s="807">
        <f t="shared" ref="U82" si="1251">U81*U$4/1000</f>
        <v>3.4079999999999999</v>
      </c>
      <c r="V82" s="807">
        <f t="shared" ref="V82" si="1252">V81*V$4/1000</f>
        <v>0.93600000000000005</v>
      </c>
      <c r="W82" s="807">
        <f t="shared" ref="W82" si="1253">W81*W$4/1000</f>
        <v>1.425</v>
      </c>
      <c r="X82" s="807">
        <f t="shared" ref="X82" si="1254">X81*X$4/1000</f>
        <v>2.72</v>
      </c>
      <c r="Y82" s="807">
        <f t="shared" ref="Y82" si="1255">Y81*Y$4/1000</f>
        <v>2.1389999999999998</v>
      </c>
      <c r="Z82" s="807">
        <f t="shared" ref="Z82" si="1256">Z81*Z$4/1000</f>
        <v>0.188</v>
      </c>
      <c r="AA82" s="807">
        <f t="shared" ref="AA82" si="1257">AA81*AA$4/1000</f>
        <v>0.71399999999999997</v>
      </c>
      <c r="AB82" s="807">
        <f t="shared" ref="AB82" si="1258">AB81*AB$4/1000</f>
        <v>0</v>
      </c>
      <c r="AC82" s="807">
        <f t="shared" ref="AC82" si="1259">AC81*AC$4/1000</f>
        <v>0.45</v>
      </c>
      <c r="AD82" s="807">
        <f t="shared" ref="AD82" si="1260">AD81*AD$4/1000</f>
        <v>0</v>
      </c>
      <c r="AE82" s="807">
        <f t="shared" ref="AE82" si="1261">AE81*AE$4/1000</f>
        <v>0.16400000000000001</v>
      </c>
      <c r="AF82" s="803"/>
      <c r="AG82" s="807">
        <f t="shared" ref="AG82" si="1262">AG81*AG$4/1000</f>
        <v>6.8</v>
      </c>
      <c r="AH82" s="807">
        <f t="shared" ref="AH82" si="1263">AH81*AH$4/1000</f>
        <v>3.645</v>
      </c>
      <c r="AI82" s="807">
        <f t="shared" ref="AI82" si="1264">AI81*AI$4/1000</f>
        <v>16.34</v>
      </c>
      <c r="AJ82" s="807">
        <f t="shared" ref="AJ82" si="1265">AJ81*AJ$4/1000</f>
        <v>21.5</v>
      </c>
      <c r="AK82" s="807">
        <f t="shared" ref="AK82" si="1266">AK81*AK$4/1000</f>
        <v>0</v>
      </c>
      <c r="AL82" s="807">
        <f t="shared" ref="AL82" si="1267">AL81*AL$4/1000</f>
        <v>0</v>
      </c>
      <c r="AM82" s="807">
        <f t="shared" ref="AM82" si="1268">AM81*AM$4/1000</f>
        <v>0</v>
      </c>
    </row>
    <row r="83" spans="1:42">
      <c r="A83" s="926">
        <v>42644</v>
      </c>
      <c r="B83" s="801"/>
      <c r="C83" s="802">
        <f t="shared" si="1037"/>
        <v>4595</v>
      </c>
      <c r="D83" s="802">
        <v>4678</v>
      </c>
      <c r="E83" s="802">
        <v>250</v>
      </c>
      <c r="F83" s="802">
        <v>2377</v>
      </c>
      <c r="G83" s="802">
        <v>260</v>
      </c>
      <c r="H83" s="802">
        <v>31</v>
      </c>
      <c r="I83" s="802">
        <f>397-83</f>
        <v>314</v>
      </c>
      <c r="J83" s="802">
        <v>45</v>
      </c>
      <c r="K83" s="802">
        <v>110</v>
      </c>
      <c r="L83" s="802">
        <v>123</v>
      </c>
      <c r="M83" s="802">
        <v>288</v>
      </c>
      <c r="N83" s="803"/>
      <c r="O83" s="802">
        <v>29</v>
      </c>
      <c r="P83" s="802">
        <v>14</v>
      </c>
      <c r="Q83" s="802">
        <v>18</v>
      </c>
      <c r="R83" s="802">
        <v>3</v>
      </c>
      <c r="S83" s="802">
        <v>2</v>
      </c>
      <c r="T83" s="802">
        <v>47</v>
      </c>
      <c r="U83" s="802">
        <v>48</v>
      </c>
      <c r="V83" s="802">
        <v>13</v>
      </c>
      <c r="W83" s="802">
        <v>19</v>
      </c>
      <c r="X83" s="802">
        <v>34</v>
      </c>
      <c r="Y83" s="802">
        <v>23</v>
      </c>
      <c r="Z83" s="802">
        <v>2</v>
      </c>
      <c r="AA83" s="802">
        <v>7</v>
      </c>
      <c r="AB83" s="802"/>
      <c r="AC83" s="802">
        <v>3</v>
      </c>
      <c r="AD83" s="802"/>
      <c r="AE83" s="802">
        <v>1</v>
      </c>
      <c r="AF83" s="803"/>
      <c r="AG83" s="804">
        <v>90</v>
      </c>
      <c r="AH83" s="804">
        <v>243</v>
      </c>
      <c r="AI83" s="804">
        <f>101</f>
        <v>101</v>
      </c>
      <c r="AJ83" s="804">
        <v>100</v>
      </c>
      <c r="AK83" s="804">
        <v>0</v>
      </c>
      <c r="AL83" s="804">
        <v>0</v>
      </c>
      <c r="AO83">
        <f t="shared" si="1035"/>
        <v>534</v>
      </c>
      <c r="AP83">
        <f t="shared" si="1036"/>
        <v>-297</v>
      </c>
    </row>
    <row r="84" spans="1:42">
      <c r="A84" s="927"/>
      <c r="B84" s="806"/>
      <c r="C84" s="807">
        <f t="shared" si="1037"/>
        <v>297.23399999999998</v>
      </c>
      <c r="D84" s="807">
        <v>303.20999999999998</v>
      </c>
      <c r="E84" s="807">
        <f>E83*E$4/1000</f>
        <v>6.25</v>
      </c>
      <c r="F84" s="807">
        <f t="shared" ref="F84" si="1269">F83*F$4/1000</f>
        <v>85.572000000000003</v>
      </c>
      <c r="G84" s="807">
        <f t="shared" ref="G84" si="1270">G83*G$4/1000</f>
        <v>13.26</v>
      </c>
      <c r="H84" s="807">
        <f t="shared" ref="H84" si="1271">H83*H$4/1000</f>
        <v>1.6120000000000001</v>
      </c>
      <c r="I84" s="807">
        <f>I83*I$4/1000</f>
        <v>22.608000000000001</v>
      </c>
      <c r="J84" s="807">
        <f t="shared" ref="J84" si="1272">J83*J$4/1000</f>
        <v>3.375</v>
      </c>
      <c r="K84" s="807">
        <f t="shared" ref="K84" si="1273">K83*K$4/1000</f>
        <v>10.119999999999999</v>
      </c>
      <c r="L84" s="807">
        <f t="shared" ref="L84" si="1274">L83*L$4/1000</f>
        <v>12.669</v>
      </c>
      <c r="M84" s="807">
        <f t="shared" ref="M84" si="1275">M83*M$4/1000</f>
        <v>41.183999999999997</v>
      </c>
      <c r="N84" s="807">
        <f t="shared" ref="N84" si="1276">N83*N$4/1000</f>
        <v>0</v>
      </c>
      <c r="O84" s="807">
        <f t="shared" ref="O84" si="1277">O83*O$4/1000</f>
        <v>0.87</v>
      </c>
      <c r="P84" s="807">
        <f t="shared" ref="P84" si="1278">P83*P$4/1000</f>
        <v>0.58799999999999997</v>
      </c>
      <c r="Q84" s="807">
        <f t="shared" ref="Q84" si="1279">Q83*Q$4/1000</f>
        <v>0.91800000000000004</v>
      </c>
      <c r="R84" s="807">
        <f t="shared" ref="R84" si="1280">R83*R$4/1000</f>
        <v>0.159</v>
      </c>
      <c r="S84" s="807">
        <f t="shared" ref="S84" si="1281">S83*S$4/1000</f>
        <v>0.12</v>
      </c>
      <c r="T84" s="807">
        <f t="shared" ref="T84" si="1282">T83*T$4/1000</f>
        <v>3.29</v>
      </c>
      <c r="U84" s="807">
        <f t="shared" ref="U84" si="1283">U83*U$4/1000</f>
        <v>3.4079999999999999</v>
      </c>
      <c r="V84" s="807">
        <f t="shared" ref="V84" si="1284">V83*V$4/1000</f>
        <v>0.93600000000000005</v>
      </c>
      <c r="W84" s="807">
        <f t="shared" ref="W84" si="1285">W83*W$4/1000</f>
        <v>1.425</v>
      </c>
      <c r="X84" s="807">
        <f t="shared" ref="X84" si="1286">X83*X$4/1000</f>
        <v>2.72</v>
      </c>
      <c r="Y84" s="807">
        <f t="shared" ref="Y84" si="1287">Y83*Y$4/1000</f>
        <v>2.1389999999999998</v>
      </c>
      <c r="Z84" s="807">
        <f t="shared" ref="Z84" si="1288">Z83*Z$4/1000</f>
        <v>0.188</v>
      </c>
      <c r="AA84" s="807">
        <f t="shared" ref="AA84" si="1289">AA83*AA$4/1000</f>
        <v>0.71399999999999997</v>
      </c>
      <c r="AB84" s="807">
        <f t="shared" ref="AB84" si="1290">AB83*AB$4/1000</f>
        <v>0</v>
      </c>
      <c r="AC84" s="807">
        <f t="shared" ref="AC84" si="1291">AC83*AC$4/1000</f>
        <v>0.45</v>
      </c>
      <c r="AD84" s="807">
        <f t="shared" ref="AD84" si="1292">AD83*AD$4/1000</f>
        <v>0</v>
      </c>
      <c r="AE84" s="807">
        <f t="shared" ref="AE84" si="1293">AE83*AE$4/1000</f>
        <v>0.16400000000000001</v>
      </c>
      <c r="AF84" s="803"/>
      <c r="AG84" s="807">
        <f t="shared" ref="AG84" si="1294">AG83*AG$4/1000</f>
        <v>9</v>
      </c>
      <c r="AH84" s="807">
        <f t="shared" ref="AH84" si="1295">AH83*AH$4/1000</f>
        <v>32.805</v>
      </c>
      <c r="AI84" s="807">
        <f t="shared" ref="AI84" si="1296">AI83*AI$4/1000</f>
        <v>19.190000000000001</v>
      </c>
      <c r="AJ84" s="807">
        <f t="shared" ref="AJ84" si="1297">AJ83*AJ$4/1000</f>
        <v>21.5</v>
      </c>
      <c r="AK84" s="807">
        <f t="shared" ref="AK84" si="1298">AK83*AK$4/1000</f>
        <v>0</v>
      </c>
      <c r="AL84" s="807">
        <f t="shared" ref="AL84" si="1299">AL83*AL$4/1000</f>
        <v>0</v>
      </c>
      <c r="AM84" s="807">
        <f t="shared" ref="AM84" si="1300">AM83*AM$4/1000</f>
        <v>0</v>
      </c>
    </row>
    <row r="85" spans="1:42">
      <c r="A85" s="926">
        <v>42614</v>
      </c>
      <c r="B85" s="801"/>
      <c r="C85" s="802">
        <f t="shared" si="1037"/>
        <v>4595</v>
      </c>
      <c r="D85" s="802">
        <v>4678</v>
      </c>
      <c r="E85" s="802">
        <v>7</v>
      </c>
      <c r="F85" s="802">
        <v>2377</v>
      </c>
      <c r="G85" s="802">
        <v>260</v>
      </c>
      <c r="H85" s="802">
        <v>30</v>
      </c>
      <c r="I85" s="802">
        <f>387-83</f>
        <v>304</v>
      </c>
      <c r="J85" s="802">
        <v>2</v>
      </c>
      <c r="K85" s="802">
        <v>110</v>
      </c>
      <c r="L85" s="802">
        <v>123</v>
      </c>
      <c r="M85" s="802">
        <v>288</v>
      </c>
      <c r="N85" s="803"/>
      <c r="O85" s="802">
        <v>29</v>
      </c>
      <c r="P85" s="802">
        <v>14</v>
      </c>
      <c r="Q85" s="802">
        <v>18</v>
      </c>
      <c r="R85" s="802">
        <v>3</v>
      </c>
      <c r="S85" s="802">
        <v>2</v>
      </c>
      <c r="T85" s="802">
        <v>47</v>
      </c>
      <c r="U85" s="802">
        <v>48</v>
      </c>
      <c r="V85" s="802">
        <v>13</v>
      </c>
      <c r="W85" s="802">
        <v>19</v>
      </c>
      <c r="X85" s="802">
        <v>34</v>
      </c>
      <c r="Y85" s="802">
        <v>23</v>
      </c>
      <c r="Z85" s="802">
        <v>2</v>
      </c>
      <c r="AA85" s="802">
        <v>7</v>
      </c>
      <c r="AB85" s="802"/>
      <c r="AC85" s="802">
        <v>3</v>
      </c>
      <c r="AD85" s="802"/>
      <c r="AE85" s="802">
        <v>1</v>
      </c>
      <c r="AF85" s="803"/>
      <c r="AG85" s="804">
        <v>91</v>
      </c>
      <c r="AH85" s="804">
        <v>465</v>
      </c>
      <c r="AI85" s="804">
        <f>175</f>
        <v>175</v>
      </c>
      <c r="AJ85" s="804">
        <v>100</v>
      </c>
      <c r="AK85" s="804">
        <v>0</v>
      </c>
      <c r="AL85" s="804">
        <v>0</v>
      </c>
      <c r="AO85">
        <f t="shared" si="1035"/>
        <v>831</v>
      </c>
      <c r="AP85">
        <f t="shared" si="1036"/>
        <v>-67</v>
      </c>
    </row>
    <row r="86" spans="1:42">
      <c r="A86" s="927"/>
      <c r="B86" s="806"/>
      <c r="C86" s="807">
        <f t="shared" si="1037"/>
        <v>331.29199999999997</v>
      </c>
      <c r="D86" s="807">
        <v>337.26799999999997</v>
      </c>
      <c r="E86" s="807">
        <f>E85*E$4/1000</f>
        <v>0.17499999999999999</v>
      </c>
      <c r="F86" s="807">
        <f t="shared" ref="F86" si="1301">F85*F$4/1000</f>
        <v>85.572000000000003</v>
      </c>
      <c r="G86" s="807">
        <f t="shared" ref="G86" si="1302">G85*G$4/1000</f>
        <v>13.26</v>
      </c>
      <c r="H86" s="807">
        <f t="shared" ref="H86" si="1303">H85*H$4/1000</f>
        <v>1.56</v>
      </c>
      <c r="I86" s="807">
        <f t="shared" ref="I86" si="1304">I85*I$4/1000</f>
        <v>21.888000000000002</v>
      </c>
      <c r="J86" s="807">
        <f t="shared" ref="J86" si="1305">J85*J$4/1000</f>
        <v>0.15</v>
      </c>
      <c r="K86" s="807">
        <f t="shared" ref="K86" si="1306">K85*K$4/1000</f>
        <v>10.119999999999999</v>
      </c>
      <c r="L86" s="807">
        <f t="shared" ref="L86" si="1307">L85*L$4/1000</f>
        <v>12.669</v>
      </c>
      <c r="M86" s="807">
        <f t="shared" ref="M86" si="1308">M85*M$4/1000</f>
        <v>41.183999999999997</v>
      </c>
      <c r="N86" s="807">
        <f t="shared" ref="N86" si="1309">N85*N$4/1000</f>
        <v>0</v>
      </c>
      <c r="O86" s="807">
        <f t="shared" ref="O86" si="1310">O85*O$4/1000</f>
        <v>0.87</v>
      </c>
      <c r="P86" s="807">
        <f t="shared" ref="P86" si="1311">P85*P$4/1000</f>
        <v>0.58799999999999997</v>
      </c>
      <c r="Q86" s="807">
        <f t="shared" ref="Q86" si="1312">Q85*Q$4/1000</f>
        <v>0.91800000000000004</v>
      </c>
      <c r="R86" s="807">
        <f t="shared" ref="R86" si="1313">R85*R$4/1000</f>
        <v>0.159</v>
      </c>
      <c r="S86" s="807">
        <f t="shared" ref="S86" si="1314">S85*S$4/1000</f>
        <v>0.12</v>
      </c>
      <c r="T86" s="807">
        <f t="shared" ref="T86" si="1315">T85*T$4/1000</f>
        <v>3.29</v>
      </c>
      <c r="U86" s="807">
        <f t="shared" ref="U86" si="1316">U85*U$4/1000</f>
        <v>3.4079999999999999</v>
      </c>
      <c r="V86" s="807">
        <f t="shared" ref="V86" si="1317">V85*V$4/1000</f>
        <v>0.93600000000000005</v>
      </c>
      <c r="W86" s="807">
        <f t="shared" ref="W86" si="1318">W85*W$4/1000</f>
        <v>1.425</v>
      </c>
      <c r="X86" s="807">
        <f t="shared" ref="X86" si="1319">X85*X$4/1000</f>
        <v>2.72</v>
      </c>
      <c r="Y86" s="807">
        <f t="shared" ref="Y86" si="1320">Y85*Y$4/1000</f>
        <v>2.1389999999999998</v>
      </c>
      <c r="Z86" s="807">
        <f t="shared" ref="Z86" si="1321">Z85*Z$4/1000</f>
        <v>0.188</v>
      </c>
      <c r="AA86" s="807">
        <f t="shared" ref="AA86" si="1322">AA85*AA$4/1000</f>
        <v>0.71399999999999997</v>
      </c>
      <c r="AB86" s="807">
        <f t="shared" ref="AB86" si="1323">AB85*AB$4/1000</f>
        <v>0</v>
      </c>
      <c r="AC86" s="807">
        <f t="shared" ref="AC86" si="1324">AC85*AC$4/1000</f>
        <v>0.45</v>
      </c>
      <c r="AD86" s="807">
        <f t="shared" ref="AD86" si="1325">AD85*AD$4/1000</f>
        <v>0</v>
      </c>
      <c r="AE86" s="807">
        <f t="shared" ref="AE86" si="1326">AE85*AE$4/1000</f>
        <v>0.16400000000000001</v>
      </c>
      <c r="AF86" s="803"/>
      <c r="AG86" s="807">
        <f t="shared" ref="AG86" si="1327">AG85*AG$4/1000</f>
        <v>9.1</v>
      </c>
      <c r="AH86" s="807">
        <f t="shared" ref="AH86" si="1328">AH85*AH$4/1000</f>
        <v>62.774999999999999</v>
      </c>
      <c r="AI86" s="807">
        <f t="shared" ref="AI86" si="1329">AI85*AI$4/1000</f>
        <v>33.25</v>
      </c>
      <c r="AJ86" s="807">
        <f t="shared" ref="AJ86" si="1330">AJ85*AJ$4/1000</f>
        <v>21.5</v>
      </c>
      <c r="AK86" s="807">
        <f t="shared" ref="AK86" si="1331">AK85*AK$4/1000</f>
        <v>0</v>
      </c>
      <c r="AL86" s="807">
        <f t="shared" ref="AL86" si="1332">AL85*AL$4/1000</f>
        <v>0</v>
      </c>
      <c r="AM86" s="807">
        <f t="shared" ref="AM86" si="1333">AM85*AM$4/1000</f>
        <v>0</v>
      </c>
    </row>
    <row r="87" spans="1:42">
      <c r="A87" s="926">
        <v>42583</v>
      </c>
      <c r="B87" s="801"/>
      <c r="C87" s="802">
        <f t="shared" si="1037"/>
        <v>4595</v>
      </c>
      <c r="D87" s="802">
        <v>4679</v>
      </c>
      <c r="E87" s="802">
        <v>0</v>
      </c>
      <c r="F87" s="802">
        <v>2372</v>
      </c>
      <c r="G87" s="802">
        <v>258</v>
      </c>
      <c r="H87" s="802">
        <v>30</v>
      </c>
      <c r="I87" s="802">
        <f>372-84</f>
        <v>288</v>
      </c>
      <c r="J87" s="802">
        <v>2</v>
      </c>
      <c r="K87" s="802">
        <v>109</v>
      </c>
      <c r="L87" s="802">
        <v>113</v>
      </c>
      <c r="M87" s="802">
        <v>262</v>
      </c>
      <c r="N87" s="803"/>
      <c r="O87" s="802">
        <v>29</v>
      </c>
      <c r="P87" s="802">
        <v>14</v>
      </c>
      <c r="Q87" s="802">
        <v>18</v>
      </c>
      <c r="R87" s="802">
        <v>3</v>
      </c>
      <c r="S87" s="802">
        <v>2</v>
      </c>
      <c r="T87" s="802">
        <v>47</v>
      </c>
      <c r="U87" s="802">
        <v>48</v>
      </c>
      <c r="V87" s="802">
        <v>13</v>
      </c>
      <c r="W87" s="802">
        <v>19</v>
      </c>
      <c r="X87" s="802">
        <v>34</v>
      </c>
      <c r="Y87" s="802">
        <v>23</v>
      </c>
      <c r="Z87" s="802">
        <v>2</v>
      </c>
      <c r="AA87" s="802">
        <v>7</v>
      </c>
      <c r="AB87" s="802"/>
      <c r="AC87" s="802">
        <v>3</v>
      </c>
      <c r="AD87" s="802"/>
      <c r="AE87" s="802">
        <v>1</v>
      </c>
      <c r="AF87" s="803"/>
      <c r="AG87" s="804">
        <v>106</v>
      </c>
      <c r="AH87" s="804">
        <v>472</v>
      </c>
      <c r="AI87" s="804">
        <v>201</v>
      </c>
      <c r="AJ87" s="804">
        <v>100</v>
      </c>
      <c r="AK87" s="804">
        <v>0</v>
      </c>
      <c r="AL87" s="804">
        <v>19</v>
      </c>
      <c r="AO87">
        <f t="shared" si="1035"/>
        <v>898</v>
      </c>
      <c r="AP87">
        <f t="shared" si="1036"/>
        <v>-643</v>
      </c>
    </row>
    <row r="88" spans="1:42">
      <c r="A88" s="927"/>
      <c r="B88" s="806"/>
      <c r="C88" s="807">
        <f t="shared" si="1037"/>
        <v>338.11799999999999</v>
      </c>
      <c r="D88" s="807">
        <v>344.166</v>
      </c>
      <c r="E88" s="807">
        <f>E87*E$4/1000</f>
        <v>0</v>
      </c>
      <c r="F88" s="807">
        <f t="shared" ref="F88" si="1334">F87*F$4/1000</f>
        <v>85.391999999999996</v>
      </c>
      <c r="G88" s="807">
        <f t="shared" ref="G88" si="1335">G87*G$4/1000</f>
        <v>13.157999999999999</v>
      </c>
      <c r="H88" s="807">
        <f t="shared" ref="H88" si="1336">H87*H$4/1000</f>
        <v>1.56</v>
      </c>
      <c r="I88" s="807">
        <f t="shared" ref="I88" si="1337">I87*I$4/1000</f>
        <v>20.736000000000001</v>
      </c>
      <c r="J88" s="807">
        <f t="shared" ref="J88" si="1338">J87*J$4/1000</f>
        <v>0.15</v>
      </c>
      <c r="K88" s="807">
        <f t="shared" ref="K88" si="1339">K87*K$4/1000</f>
        <v>10.028</v>
      </c>
      <c r="L88" s="807">
        <f t="shared" ref="L88" si="1340">L87*L$4/1000</f>
        <v>11.638999999999999</v>
      </c>
      <c r="M88" s="807">
        <f t="shared" ref="M88" si="1341">M87*M$4/1000</f>
        <v>37.466000000000001</v>
      </c>
      <c r="N88" s="807">
        <f t="shared" ref="N88" si="1342">N87*N$4/1000</f>
        <v>0</v>
      </c>
      <c r="O88" s="807">
        <f t="shared" ref="O88" si="1343">O87*O$4/1000</f>
        <v>0.87</v>
      </c>
      <c r="P88" s="807">
        <f t="shared" ref="P88" si="1344">P87*P$4/1000</f>
        <v>0.58799999999999997</v>
      </c>
      <c r="Q88" s="807">
        <f t="shared" ref="Q88" si="1345">Q87*Q$4/1000</f>
        <v>0.91800000000000004</v>
      </c>
      <c r="R88" s="807">
        <f t="shared" ref="R88" si="1346">R87*R$4/1000</f>
        <v>0.159</v>
      </c>
      <c r="S88" s="807">
        <f t="shared" ref="S88" si="1347">S87*S$4/1000</f>
        <v>0.12</v>
      </c>
      <c r="T88" s="807">
        <f t="shared" ref="T88" si="1348">T87*T$4/1000</f>
        <v>3.29</v>
      </c>
      <c r="U88" s="807">
        <f t="shared" ref="U88" si="1349">U87*U$4/1000</f>
        <v>3.4079999999999999</v>
      </c>
      <c r="V88" s="807">
        <f t="shared" ref="V88" si="1350">V87*V$4/1000</f>
        <v>0.93600000000000005</v>
      </c>
      <c r="W88" s="807">
        <f t="shared" ref="W88" si="1351">W87*W$4/1000</f>
        <v>1.425</v>
      </c>
      <c r="X88" s="807">
        <f t="shared" ref="X88" si="1352">X87*X$4/1000</f>
        <v>2.72</v>
      </c>
      <c r="Y88" s="807">
        <f t="shared" ref="Y88" si="1353">Y87*Y$4/1000</f>
        <v>2.1389999999999998</v>
      </c>
      <c r="Z88" s="807">
        <f t="shared" ref="Z88" si="1354">Z87*Z$4/1000</f>
        <v>0.188</v>
      </c>
      <c r="AA88" s="807">
        <f t="shared" ref="AA88" si="1355">AA87*AA$4/1000</f>
        <v>0.71399999999999997</v>
      </c>
      <c r="AB88" s="807">
        <f t="shared" ref="AB88" si="1356">AB87*AB$4/1000</f>
        <v>0</v>
      </c>
      <c r="AC88" s="807">
        <f t="shared" ref="AC88" si="1357">AC87*AC$4/1000</f>
        <v>0.45</v>
      </c>
      <c r="AD88" s="807">
        <f t="shared" ref="AD88" si="1358">AD87*AD$4/1000</f>
        <v>0</v>
      </c>
      <c r="AE88" s="807">
        <f t="shared" ref="AE88" si="1359">AE87*AE$4/1000</f>
        <v>0.16400000000000001</v>
      </c>
      <c r="AF88" s="803"/>
      <c r="AG88" s="807">
        <f t="shared" ref="AG88" si="1360">AG87*AG$4/1000</f>
        <v>10.6</v>
      </c>
      <c r="AH88" s="807">
        <f t="shared" ref="AH88" si="1361">AH87*AH$4/1000</f>
        <v>63.72</v>
      </c>
      <c r="AI88" s="807">
        <f t="shared" ref="AI88" si="1362">AI87*AI$4/1000</f>
        <v>38.19</v>
      </c>
      <c r="AJ88" s="807">
        <f t="shared" ref="AJ88" si="1363">AJ87*AJ$4/1000</f>
        <v>21.5</v>
      </c>
      <c r="AK88" s="807">
        <f t="shared" ref="AK88" si="1364">AK87*AK$4/1000</f>
        <v>0</v>
      </c>
      <c r="AL88" s="807">
        <f t="shared" ref="AL88" si="1365">AL87*AL$4/1000</f>
        <v>5.89</v>
      </c>
      <c r="AM88" s="807">
        <f t="shared" ref="AM88" si="1366">AM87*AM$4/1000</f>
        <v>0</v>
      </c>
    </row>
    <row r="89" spans="1:42">
      <c r="A89" s="926">
        <v>42552</v>
      </c>
      <c r="B89" s="801"/>
      <c r="C89" s="802">
        <f t="shared" si="1037"/>
        <v>4594</v>
      </c>
      <c r="D89" s="802">
        <v>4267</v>
      </c>
      <c r="E89" s="802">
        <v>0</v>
      </c>
      <c r="F89" s="802">
        <v>2157</v>
      </c>
      <c r="G89" s="802">
        <v>115</v>
      </c>
      <c r="H89" s="802">
        <v>30</v>
      </c>
      <c r="I89" s="802">
        <f>297-84</f>
        <v>213</v>
      </c>
      <c r="J89" s="802">
        <v>2</v>
      </c>
      <c r="K89" s="802">
        <v>67</v>
      </c>
      <c r="L89" s="802">
        <v>108</v>
      </c>
      <c r="M89" s="802">
        <v>98</v>
      </c>
      <c r="N89" s="803"/>
      <c r="O89" s="802">
        <v>29</v>
      </c>
      <c r="P89" s="802">
        <v>14</v>
      </c>
      <c r="Q89" s="802">
        <v>18</v>
      </c>
      <c r="R89" s="802">
        <v>3</v>
      </c>
      <c r="S89" s="802">
        <v>2</v>
      </c>
      <c r="T89" s="802">
        <v>47</v>
      </c>
      <c r="U89" s="802">
        <v>48</v>
      </c>
      <c r="V89" s="802">
        <v>13</v>
      </c>
      <c r="W89" s="802">
        <v>19</v>
      </c>
      <c r="X89" s="802">
        <v>34</v>
      </c>
      <c r="Y89" s="802">
        <v>23</v>
      </c>
      <c r="Z89" s="802">
        <v>2</v>
      </c>
      <c r="AA89" s="802">
        <v>7</v>
      </c>
      <c r="AB89" s="802"/>
      <c r="AC89" s="802">
        <v>3</v>
      </c>
      <c r="AD89" s="802"/>
      <c r="AE89" s="802">
        <v>1</v>
      </c>
      <c r="AF89" s="803"/>
      <c r="AG89" s="804">
        <v>515</v>
      </c>
      <c r="AH89" s="804">
        <f>AH91</f>
        <v>518</v>
      </c>
      <c r="AI89" s="804">
        <f>100</f>
        <v>100</v>
      </c>
      <c r="AJ89" s="804">
        <v>8</v>
      </c>
      <c r="AK89" s="804">
        <v>104</v>
      </c>
      <c r="AL89" s="804">
        <f>AL91</f>
        <v>296</v>
      </c>
      <c r="AO89">
        <f t="shared" si="1035"/>
        <v>1541</v>
      </c>
      <c r="AP89">
        <f t="shared" si="1036"/>
        <v>-317</v>
      </c>
    </row>
    <row r="90" spans="1:42">
      <c r="A90" s="927"/>
      <c r="B90" s="806"/>
      <c r="C90" s="807">
        <f t="shared" si="1037"/>
        <v>409.86400000000003</v>
      </c>
      <c r="D90" s="807">
        <v>357.83699999999999</v>
      </c>
      <c r="E90" s="807">
        <f>E89*E$4/1000</f>
        <v>0</v>
      </c>
      <c r="F90" s="807">
        <f t="shared" ref="F90" si="1367">F89*F$4/1000</f>
        <v>77.652000000000001</v>
      </c>
      <c r="G90" s="807">
        <f t="shared" ref="G90" si="1368">G89*G$4/1000</f>
        <v>5.8650000000000002</v>
      </c>
      <c r="H90" s="807">
        <f t="shared" ref="H90" si="1369">H89*H$4/1000</f>
        <v>1.56</v>
      </c>
      <c r="I90" s="807">
        <f t="shared" ref="I90" si="1370">I89*I$4/1000</f>
        <v>15.336</v>
      </c>
      <c r="J90" s="807">
        <f t="shared" ref="J90" si="1371">J89*J$4/1000</f>
        <v>0.15</v>
      </c>
      <c r="K90" s="807">
        <f t="shared" ref="K90" si="1372">K89*K$4/1000</f>
        <v>6.1639999999999997</v>
      </c>
      <c r="L90" s="807">
        <f t="shared" ref="L90" si="1373">L89*L$4/1000</f>
        <v>11.124000000000001</v>
      </c>
      <c r="M90" s="807">
        <f t="shared" ref="M90" si="1374">M89*M$4/1000</f>
        <v>14.013999999999999</v>
      </c>
      <c r="N90" s="807">
        <f t="shared" ref="N90" si="1375">N89*N$4/1000</f>
        <v>0</v>
      </c>
      <c r="O90" s="807">
        <f t="shared" ref="O90" si="1376">O89*O$4/1000</f>
        <v>0.87</v>
      </c>
      <c r="P90" s="807">
        <f t="shared" ref="P90" si="1377">P89*P$4/1000</f>
        <v>0.58799999999999997</v>
      </c>
      <c r="Q90" s="807">
        <f t="shared" ref="Q90" si="1378">Q89*Q$4/1000</f>
        <v>0.91800000000000004</v>
      </c>
      <c r="R90" s="807">
        <f t="shared" ref="R90" si="1379">R89*R$4/1000</f>
        <v>0.159</v>
      </c>
      <c r="S90" s="807">
        <f t="shared" ref="S90" si="1380">S89*S$4/1000</f>
        <v>0.12</v>
      </c>
      <c r="T90" s="807">
        <f t="shared" ref="T90" si="1381">T89*T$4/1000</f>
        <v>3.29</v>
      </c>
      <c r="U90" s="807">
        <f t="shared" ref="U90" si="1382">U89*U$4/1000</f>
        <v>3.4079999999999999</v>
      </c>
      <c r="V90" s="807">
        <f t="shared" ref="V90" si="1383">V89*V$4/1000</f>
        <v>0.93600000000000005</v>
      </c>
      <c r="W90" s="807">
        <f t="shared" ref="W90" si="1384">W89*W$4/1000</f>
        <v>1.425</v>
      </c>
      <c r="X90" s="807">
        <f t="shared" ref="X90" si="1385">X89*X$4/1000</f>
        <v>2.72</v>
      </c>
      <c r="Y90" s="807">
        <f t="shared" ref="Y90" si="1386">Y89*Y$4/1000</f>
        <v>2.1389999999999998</v>
      </c>
      <c r="Z90" s="807">
        <f t="shared" ref="Z90" si="1387">Z89*Z$4/1000</f>
        <v>0.188</v>
      </c>
      <c r="AA90" s="807">
        <f t="shared" ref="AA90" si="1388">AA89*AA$4/1000</f>
        <v>0.71399999999999997</v>
      </c>
      <c r="AB90" s="807">
        <f t="shared" ref="AB90" si="1389">AB89*AB$4/1000</f>
        <v>0</v>
      </c>
      <c r="AC90" s="807">
        <f t="shared" ref="AC90" si="1390">AC89*AC$4/1000</f>
        <v>0.45</v>
      </c>
      <c r="AD90" s="807">
        <f t="shared" ref="AD90" si="1391">AD89*AD$4/1000</f>
        <v>0</v>
      </c>
      <c r="AE90" s="807">
        <f t="shared" ref="AE90" si="1392">AE89*AE$4/1000</f>
        <v>0.16400000000000001</v>
      </c>
      <c r="AF90" s="803"/>
      <c r="AG90" s="807">
        <f t="shared" ref="AG90" si="1393">AG89*AG$4/1000</f>
        <v>51.5</v>
      </c>
      <c r="AH90" s="807">
        <f t="shared" ref="AH90" si="1394">AH89*AH$4/1000</f>
        <v>69.930000000000007</v>
      </c>
      <c r="AI90" s="807">
        <f t="shared" ref="AI90" si="1395">AI89*AI$4/1000</f>
        <v>19</v>
      </c>
      <c r="AJ90" s="807">
        <f t="shared" ref="AJ90" si="1396">AJ89*AJ$4/1000</f>
        <v>1.72</v>
      </c>
      <c r="AK90" s="807">
        <f t="shared" ref="AK90" si="1397">AK89*AK$4/1000</f>
        <v>26</v>
      </c>
      <c r="AL90" s="807">
        <f t="shared" ref="AL90" si="1398">AL89*AL$4/1000</f>
        <v>91.76</v>
      </c>
      <c r="AM90" s="807">
        <f t="shared" ref="AM90" si="1399">AM89*AM$4/1000</f>
        <v>0</v>
      </c>
    </row>
    <row r="91" spans="1:42">
      <c r="A91" s="926">
        <v>42522</v>
      </c>
      <c r="B91" s="801"/>
      <c r="C91" s="802">
        <f t="shared" si="1037"/>
        <v>4595</v>
      </c>
      <c r="D91" s="802">
        <v>4679</v>
      </c>
      <c r="E91" s="802">
        <v>0</v>
      </c>
      <c r="F91" s="802">
        <v>2113</v>
      </c>
      <c r="G91" s="802">
        <v>48</v>
      </c>
      <c r="H91" s="802">
        <v>30</v>
      </c>
      <c r="I91" s="802">
        <f>296-84</f>
        <v>212</v>
      </c>
      <c r="J91" s="802">
        <v>2</v>
      </c>
      <c r="K91" s="802">
        <v>66</v>
      </c>
      <c r="L91" s="802">
        <v>3</v>
      </c>
      <c r="M91" s="802">
        <v>0</v>
      </c>
      <c r="N91" s="803"/>
      <c r="O91" s="802">
        <v>29</v>
      </c>
      <c r="P91" s="802">
        <v>14</v>
      </c>
      <c r="Q91" s="802">
        <v>18</v>
      </c>
      <c r="R91" s="802">
        <v>3</v>
      </c>
      <c r="S91" s="802">
        <v>2</v>
      </c>
      <c r="T91" s="802">
        <v>47</v>
      </c>
      <c r="U91" s="802">
        <v>48</v>
      </c>
      <c r="V91" s="802">
        <v>13</v>
      </c>
      <c r="W91" s="802">
        <v>19</v>
      </c>
      <c r="X91" s="802">
        <v>34</v>
      </c>
      <c r="Y91" s="802">
        <v>23</v>
      </c>
      <c r="Z91" s="802">
        <v>2</v>
      </c>
      <c r="AA91" s="802">
        <v>7</v>
      </c>
      <c r="AB91" s="802"/>
      <c r="AC91" s="802">
        <v>3</v>
      </c>
      <c r="AD91" s="802"/>
      <c r="AE91" s="802">
        <v>1</v>
      </c>
      <c r="AF91" s="803"/>
      <c r="AG91" s="804">
        <v>477</v>
      </c>
      <c r="AH91" s="804">
        <v>518</v>
      </c>
      <c r="AI91" s="804">
        <v>459</v>
      </c>
      <c r="AJ91" s="804">
        <v>100</v>
      </c>
      <c r="AK91" s="804">
        <v>8</v>
      </c>
      <c r="AL91" s="804">
        <v>296</v>
      </c>
      <c r="AO91">
        <f t="shared" si="1035"/>
        <v>1858</v>
      </c>
      <c r="AP91">
        <f t="shared" si="1036"/>
        <v>-180</v>
      </c>
    </row>
    <row r="92" spans="1:42">
      <c r="A92" s="927"/>
      <c r="B92" s="806"/>
      <c r="C92" s="807">
        <f t="shared" si="1037"/>
        <v>440.06</v>
      </c>
      <c r="D92" s="807">
        <v>446.108</v>
      </c>
      <c r="E92" s="807">
        <f>E91*E$4/1000</f>
        <v>0</v>
      </c>
      <c r="F92" s="807">
        <f t="shared" ref="F92" si="1400">F91*F$4/1000</f>
        <v>76.067999999999998</v>
      </c>
      <c r="G92" s="807">
        <f t="shared" ref="G92" si="1401">G91*G$4/1000</f>
        <v>2.448</v>
      </c>
      <c r="H92" s="807">
        <f t="shared" ref="H92" si="1402">H91*H$4/1000</f>
        <v>1.56</v>
      </c>
      <c r="I92" s="807">
        <f t="shared" ref="I92" si="1403">I91*I$4/1000</f>
        <v>15.263999999999999</v>
      </c>
      <c r="J92" s="807">
        <f t="shared" ref="J92" si="1404">J91*J$4/1000</f>
        <v>0.15</v>
      </c>
      <c r="K92" s="807">
        <f t="shared" ref="K92" si="1405">K91*K$4/1000</f>
        <v>6.0720000000000001</v>
      </c>
      <c r="L92" s="807">
        <f t="shared" ref="L92" si="1406">L91*L$4/1000</f>
        <v>0.309</v>
      </c>
      <c r="M92" s="807">
        <f t="shared" ref="M92" si="1407">M91*M$4/1000</f>
        <v>0</v>
      </c>
      <c r="N92" s="807">
        <f t="shared" ref="N92" si="1408">N91*N$4/1000</f>
        <v>0</v>
      </c>
      <c r="O92" s="807">
        <f t="shared" ref="O92" si="1409">O91*O$4/1000</f>
        <v>0.87</v>
      </c>
      <c r="P92" s="807">
        <f t="shared" ref="P92" si="1410">P91*P$4/1000</f>
        <v>0.58799999999999997</v>
      </c>
      <c r="Q92" s="807">
        <f t="shared" ref="Q92" si="1411">Q91*Q$4/1000</f>
        <v>0.91800000000000004</v>
      </c>
      <c r="R92" s="807">
        <f t="shared" ref="R92" si="1412">R91*R$4/1000</f>
        <v>0.159</v>
      </c>
      <c r="S92" s="807">
        <f t="shared" ref="S92" si="1413">S91*S$4/1000</f>
        <v>0.12</v>
      </c>
      <c r="T92" s="807">
        <f t="shared" ref="T92" si="1414">T91*T$4/1000</f>
        <v>3.29</v>
      </c>
      <c r="U92" s="807">
        <f t="shared" ref="U92" si="1415">U91*U$4/1000</f>
        <v>3.4079999999999999</v>
      </c>
      <c r="V92" s="807">
        <f t="shared" ref="V92" si="1416">V91*V$4/1000</f>
        <v>0.93600000000000005</v>
      </c>
      <c r="W92" s="807">
        <f t="shared" ref="W92" si="1417">W91*W$4/1000</f>
        <v>1.425</v>
      </c>
      <c r="X92" s="807">
        <f t="shared" ref="X92" si="1418">X91*X$4/1000</f>
        <v>2.72</v>
      </c>
      <c r="Y92" s="807">
        <f t="shared" ref="Y92" si="1419">Y91*Y$4/1000</f>
        <v>2.1389999999999998</v>
      </c>
      <c r="Z92" s="807">
        <f t="shared" ref="Z92" si="1420">Z91*Z$4/1000</f>
        <v>0.188</v>
      </c>
      <c r="AA92" s="807">
        <f t="shared" ref="AA92" si="1421">AA91*AA$4/1000</f>
        <v>0.71399999999999997</v>
      </c>
      <c r="AB92" s="807">
        <f t="shared" ref="AB92" si="1422">AB91*AB$4/1000</f>
        <v>0</v>
      </c>
      <c r="AC92" s="807">
        <f t="shared" ref="AC92" si="1423">AC91*AC$4/1000</f>
        <v>0.45</v>
      </c>
      <c r="AD92" s="807">
        <f t="shared" ref="AD92" si="1424">AD91*AD$4/1000</f>
        <v>0</v>
      </c>
      <c r="AE92" s="807">
        <f t="shared" ref="AE92" si="1425">AE91*AE$4/1000</f>
        <v>0.16400000000000001</v>
      </c>
      <c r="AF92" s="803"/>
      <c r="AG92" s="807">
        <f t="shared" ref="AG92" si="1426">AG91*AG$4/1000</f>
        <v>47.7</v>
      </c>
      <c r="AH92" s="807">
        <f t="shared" ref="AH92" si="1427">AH91*AH$4/1000</f>
        <v>69.930000000000007</v>
      </c>
      <c r="AI92" s="807">
        <f t="shared" ref="AI92" si="1428">AI91*AI$4/1000</f>
        <v>87.21</v>
      </c>
      <c r="AJ92" s="807">
        <f t="shared" ref="AJ92" si="1429">AJ91*AJ$4/1000</f>
        <v>21.5</v>
      </c>
      <c r="AK92" s="807">
        <f t="shared" ref="AK92" si="1430">AK91*AK$4/1000</f>
        <v>2</v>
      </c>
      <c r="AL92" s="807">
        <f t="shared" ref="AL92" si="1431">AL91*AL$4/1000</f>
        <v>91.76</v>
      </c>
      <c r="AM92" s="807">
        <f t="shared" ref="AM92" si="1432">AM91*AM$4/1000</f>
        <v>0</v>
      </c>
    </row>
    <row r="93" spans="1:42">
      <c r="A93" s="926">
        <v>42491</v>
      </c>
      <c r="B93" s="801"/>
      <c r="C93" s="802">
        <f t="shared" si="1037"/>
        <v>4595</v>
      </c>
      <c r="D93" s="802">
        <v>4595</v>
      </c>
      <c r="E93" s="802"/>
      <c r="F93" s="802">
        <v>2102</v>
      </c>
      <c r="G93" s="802">
        <v>46</v>
      </c>
      <c r="H93" s="802"/>
      <c r="I93" s="802">
        <v>170</v>
      </c>
      <c r="J93" s="802">
        <v>31</v>
      </c>
      <c r="K93" s="802">
        <v>63</v>
      </c>
      <c r="L93" s="802"/>
      <c r="M93" s="802"/>
      <c r="N93" s="803"/>
      <c r="O93" s="802">
        <v>28</v>
      </c>
      <c r="P93" s="802"/>
      <c r="Q93" s="802"/>
      <c r="R93" s="802"/>
      <c r="S93" s="802">
        <v>2</v>
      </c>
      <c r="T93" s="802"/>
      <c r="U93" s="802">
        <v>54</v>
      </c>
      <c r="V93" s="802"/>
      <c r="W93" s="802"/>
      <c r="X93" s="802">
        <v>34</v>
      </c>
      <c r="Y93" s="802">
        <v>26</v>
      </c>
      <c r="Z93" s="802"/>
      <c r="AA93" s="802"/>
      <c r="AB93" s="802"/>
      <c r="AC93" s="802"/>
      <c r="AD93" s="802"/>
      <c r="AE93" s="802">
        <v>1</v>
      </c>
      <c r="AF93" s="803"/>
      <c r="AG93" s="804">
        <v>938</v>
      </c>
      <c r="AH93" s="804">
        <v>152</v>
      </c>
      <c r="AI93" s="804">
        <v>331</v>
      </c>
      <c r="AJ93" s="804"/>
      <c r="AK93" s="804"/>
      <c r="AL93" s="804">
        <v>617</v>
      </c>
      <c r="AO93">
        <f t="shared" si="1035"/>
        <v>2038</v>
      </c>
      <c r="AP93">
        <f t="shared" si="1036"/>
        <v>-298</v>
      </c>
    </row>
    <row r="94" spans="1:42">
      <c r="A94" s="927"/>
      <c r="B94" s="806"/>
      <c r="C94" s="807">
        <f t="shared" si="1037"/>
        <v>476.95500000000004</v>
      </c>
      <c r="D94" s="807">
        <v>476.97500000000002</v>
      </c>
      <c r="E94" s="807">
        <f>E93*E$4/1000</f>
        <v>0</v>
      </c>
      <c r="F94" s="807">
        <f t="shared" ref="F94" si="1433">F93*F$4/1000</f>
        <v>75.671999999999997</v>
      </c>
      <c r="G94" s="807">
        <f t="shared" ref="G94" si="1434">G93*G$4/1000</f>
        <v>2.3460000000000001</v>
      </c>
      <c r="H94" s="807">
        <f t="shared" ref="H94" si="1435">H93*H$4/1000</f>
        <v>0</v>
      </c>
      <c r="I94" s="807">
        <f t="shared" ref="I94" si="1436">I93*I$4/1000</f>
        <v>12.24</v>
      </c>
      <c r="J94" s="807">
        <f t="shared" ref="J94" si="1437">J93*J$4/1000</f>
        <v>2.3250000000000002</v>
      </c>
      <c r="K94" s="807">
        <f t="shared" ref="K94" si="1438">K93*K$4/1000</f>
        <v>5.7960000000000003</v>
      </c>
      <c r="L94" s="807">
        <f t="shared" ref="L94" si="1439">L93*L$4/1000</f>
        <v>0</v>
      </c>
      <c r="M94" s="807">
        <f t="shared" ref="M94" si="1440">M93*M$4/1000</f>
        <v>0</v>
      </c>
      <c r="N94" s="807">
        <f t="shared" ref="N94" si="1441">N93*N$4/1000</f>
        <v>0</v>
      </c>
      <c r="O94" s="807">
        <f t="shared" ref="O94" si="1442">O93*O$4/1000</f>
        <v>0.84</v>
      </c>
      <c r="P94" s="807">
        <f t="shared" ref="P94" si="1443">P93*P$4/1000</f>
        <v>0</v>
      </c>
      <c r="Q94" s="807">
        <f t="shared" ref="Q94" si="1444">Q93*Q$4/1000</f>
        <v>0</v>
      </c>
      <c r="R94" s="807">
        <f t="shared" ref="R94" si="1445">R93*R$4/1000</f>
        <v>0</v>
      </c>
      <c r="S94" s="807">
        <f t="shared" ref="S94" si="1446">S93*S$4/1000</f>
        <v>0.12</v>
      </c>
      <c r="T94" s="807">
        <f t="shared" ref="T94" si="1447">T93*T$4/1000</f>
        <v>0</v>
      </c>
      <c r="U94" s="807">
        <f t="shared" ref="U94" si="1448">U93*U$4/1000</f>
        <v>3.8340000000000001</v>
      </c>
      <c r="V94" s="807">
        <f t="shared" ref="V94" si="1449">V93*V$4/1000</f>
        <v>0</v>
      </c>
      <c r="W94" s="807">
        <f t="shared" ref="W94" si="1450">W93*W$4/1000</f>
        <v>0</v>
      </c>
      <c r="X94" s="807">
        <f t="shared" ref="X94" si="1451">X93*X$4/1000</f>
        <v>2.72</v>
      </c>
      <c r="Y94" s="807">
        <f t="shared" ref="Y94" si="1452">Y93*Y$4/1000</f>
        <v>2.4180000000000001</v>
      </c>
      <c r="Z94" s="807">
        <f t="shared" ref="Z94" si="1453">Z93*Z$4/1000</f>
        <v>0</v>
      </c>
      <c r="AA94" s="807">
        <f t="shared" ref="AA94" si="1454">AA93*AA$4/1000</f>
        <v>0</v>
      </c>
      <c r="AB94" s="807">
        <f t="shared" ref="AB94" si="1455">AB93*AB$4/1000</f>
        <v>0</v>
      </c>
      <c r="AC94" s="807">
        <f t="shared" ref="AC94" si="1456">AC93*AC$4/1000</f>
        <v>0</v>
      </c>
      <c r="AD94" s="807">
        <f t="shared" ref="AD94" si="1457">AD93*AD$4/1000</f>
        <v>0</v>
      </c>
      <c r="AE94" s="807">
        <f t="shared" ref="AE94" si="1458">AE93*AE$4/1000</f>
        <v>0.16400000000000001</v>
      </c>
      <c r="AF94" s="803"/>
      <c r="AG94" s="807">
        <f t="shared" ref="AG94" si="1459">AG93*AG$4/1000</f>
        <v>93.8</v>
      </c>
      <c r="AH94" s="807">
        <f t="shared" ref="AH94" si="1460">AH93*AH$4/1000</f>
        <v>20.52</v>
      </c>
      <c r="AI94" s="807">
        <f t="shared" ref="AI94" si="1461">AI93*AI$4/1000</f>
        <v>62.89</v>
      </c>
      <c r="AJ94" s="807">
        <f t="shared" ref="AJ94" si="1462">AJ93*AJ$4/1000</f>
        <v>0</v>
      </c>
      <c r="AK94" s="807">
        <f t="shared" ref="AK94" si="1463">AK93*AK$4/1000</f>
        <v>0</v>
      </c>
      <c r="AL94" s="807">
        <f t="shared" ref="AL94" si="1464">AL93*AL$4/1000</f>
        <v>191.27</v>
      </c>
      <c r="AM94" s="807">
        <f t="shared" ref="AM94" si="1465">AM93*AM$4/1000</f>
        <v>0</v>
      </c>
    </row>
    <row r="95" spans="1:42">
      <c r="A95" s="926">
        <v>42461</v>
      </c>
      <c r="B95" s="801"/>
      <c r="C95" s="802">
        <f t="shared" si="1037"/>
        <v>4595</v>
      </c>
      <c r="D95" s="802">
        <v>4595</v>
      </c>
      <c r="E95" s="802"/>
      <c r="F95" s="802">
        <v>1836</v>
      </c>
      <c r="G95" s="802">
        <v>14</v>
      </c>
      <c r="H95" s="802"/>
      <c r="I95" s="802">
        <v>170</v>
      </c>
      <c r="J95" s="802">
        <v>31</v>
      </c>
      <c r="K95" s="802">
        <v>63</v>
      </c>
      <c r="L95" s="802"/>
      <c r="M95" s="802"/>
      <c r="N95" s="803"/>
      <c r="O95" s="802">
        <v>28</v>
      </c>
      <c r="P95" s="802"/>
      <c r="Q95" s="802"/>
      <c r="R95" s="802"/>
      <c r="S95" s="802">
        <v>2</v>
      </c>
      <c r="T95" s="802"/>
      <c r="U95" s="802">
        <v>54</v>
      </c>
      <c r="V95" s="802"/>
      <c r="W95" s="802"/>
      <c r="X95" s="802">
        <v>34</v>
      </c>
      <c r="Y95" s="802">
        <v>26</v>
      </c>
      <c r="Z95" s="802"/>
      <c r="AA95" s="802"/>
      <c r="AB95" s="802"/>
      <c r="AC95" s="802"/>
      <c r="AD95" s="802"/>
      <c r="AE95" s="802">
        <v>1</v>
      </c>
      <c r="AF95" s="803"/>
      <c r="AG95" s="804">
        <v>1198</v>
      </c>
      <c r="AH95" s="804">
        <v>164</v>
      </c>
      <c r="AI95" s="804">
        <v>354</v>
      </c>
      <c r="AJ95" s="804"/>
      <c r="AK95" s="804"/>
      <c r="AL95" s="804">
        <v>620</v>
      </c>
      <c r="AO95">
        <f t="shared" si="1035"/>
        <v>2336</v>
      </c>
      <c r="AP95">
        <f t="shared" si="1036"/>
        <v>-446</v>
      </c>
    </row>
    <row r="96" spans="1:42">
      <c r="A96" s="927"/>
      <c r="B96" s="806"/>
      <c r="C96" s="807">
        <f t="shared" si="1037"/>
        <v>498.66699999999997</v>
      </c>
      <c r="D96" s="807">
        <v>498.68700000000001</v>
      </c>
      <c r="E96" s="807">
        <f>E95*E$4/1000</f>
        <v>0</v>
      </c>
      <c r="F96" s="807">
        <f t="shared" ref="F96" si="1466">F95*F$4/1000</f>
        <v>66.096000000000004</v>
      </c>
      <c r="G96" s="807">
        <f t="shared" ref="G96" si="1467">G95*G$4/1000</f>
        <v>0.71399999999999997</v>
      </c>
      <c r="H96" s="807">
        <f t="shared" ref="H96" si="1468">H95*H$4/1000</f>
        <v>0</v>
      </c>
      <c r="I96" s="807">
        <f t="shared" ref="I96" si="1469">I95*I$4/1000</f>
        <v>12.24</v>
      </c>
      <c r="J96" s="807">
        <f t="shared" ref="J96" si="1470">J95*J$4/1000</f>
        <v>2.3250000000000002</v>
      </c>
      <c r="K96" s="807">
        <f t="shared" ref="K96" si="1471">K95*K$4/1000</f>
        <v>5.7960000000000003</v>
      </c>
      <c r="L96" s="807">
        <f t="shared" ref="L96" si="1472">L95*L$4/1000</f>
        <v>0</v>
      </c>
      <c r="M96" s="807">
        <f t="shared" ref="M96" si="1473">M95*M$4/1000</f>
        <v>0</v>
      </c>
      <c r="N96" s="807">
        <f t="shared" ref="N96" si="1474">N95*N$4/1000</f>
        <v>0</v>
      </c>
      <c r="O96" s="807">
        <f t="shared" ref="O96" si="1475">O95*O$4/1000</f>
        <v>0.84</v>
      </c>
      <c r="P96" s="807">
        <f t="shared" ref="P96" si="1476">P95*P$4/1000</f>
        <v>0</v>
      </c>
      <c r="Q96" s="807">
        <f t="shared" ref="Q96" si="1477">Q95*Q$4/1000</f>
        <v>0</v>
      </c>
      <c r="R96" s="807">
        <f t="shared" ref="R96" si="1478">R95*R$4/1000</f>
        <v>0</v>
      </c>
      <c r="S96" s="807">
        <f t="shared" ref="S96" si="1479">S95*S$4/1000</f>
        <v>0.12</v>
      </c>
      <c r="T96" s="807">
        <f t="shared" ref="T96" si="1480">T95*T$4/1000</f>
        <v>0</v>
      </c>
      <c r="U96" s="807">
        <f t="shared" ref="U96" si="1481">U95*U$4/1000</f>
        <v>3.8340000000000001</v>
      </c>
      <c r="V96" s="807">
        <f t="shared" ref="V96" si="1482">V95*V$4/1000</f>
        <v>0</v>
      </c>
      <c r="W96" s="807">
        <f t="shared" ref="W96" si="1483">W95*W$4/1000</f>
        <v>0</v>
      </c>
      <c r="X96" s="807">
        <f t="shared" ref="X96" si="1484">X95*X$4/1000</f>
        <v>2.72</v>
      </c>
      <c r="Y96" s="807">
        <f t="shared" ref="Y96" si="1485">Y95*Y$4/1000</f>
        <v>2.4180000000000001</v>
      </c>
      <c r="Z96" s="807">
        <f t="shared" ref="Z96" si="1486">Z95*Z$4/1000</f>
        <v>0</v>
      </c>
      <c r="AA96" s="807">
        <f t="shared" ref="AA96" si="1487">AA95*AA$4/1000</f>
        <v>0</v>
      </c>
      <c r="AB96" s="807">
        <f t="shared" ref="AB96" si="1488">AB95*AB$4/1000</f>
        <v>0</v>
      </c>
      <c r="AC96" s="807">
        <f t="shared" ref="AC96" si="1489">AC95*AC$4/1000</f>
        <v>0</v>
      </c>
      <c r="AD96" s="807">
        <f t="shared" ref="AD96" si="1490">AD95*AD$4/1000</f>
        <v>0</v>
      </c>
      <c r="AE96" s="807">
        <f t="shared" ref="AE96" si="1491">AE95*AE$4/1000</f>
        <v>0.16400000000000001</v>
      </c>
      <c r="AF96" s="803"/>
      <c r="AG96" s="807">
        <f t="shared" ref="AG96" si="1492">AG95*AG$4/1000</f>
        <v>119.8</v>
      </c>
      <c r="AH96" s="807">
        <f t="shared" ref="AH96" si="1493">AH95*AH$4/1000</f>
        <v>22.14</v>
      </c>
      <c r="AI96" s="807">
        <f t="shared" ref="AI96" si="1494">AI95*AI$4/1000</f>
        <v>67.260000000000005</v>
      </c>
      <c r="AJ96" s="807">
        <f t="shared" ref="AJ96" si="1495">AJ95*AJ$4/1000</f>
        <v>0</v>
      </c>
      <c r="AK96" s="807">
        <f t="shared" ref="AK96" si="1496">AK95*AK$4/1000</f>
        <v>0</v>
      </c>
      <c r="AL96" s="807">
        <f t="shared" ref="AL96" si="1497">AL95*AL$4/1000</f>
        <v>192.2</v>
      </c>
      <c r="AM96" s="807">
        <f t="shared" ref="AM96" si="1498">AM95*AM$4/1000</f>
        <v>0</v>
      </c>
    </row>
    <row r="97" spans="1:42">
      <c r="A97" s="926">
        <v>42430</v>
      </c>
      <c r="B97" s="801"/>
      <c r="C97" s="802">
        <f t="shared" si="1037"/>
        <v>4595</v>
      </c>
      <c r="D97" s="802">
        <v>4595</v>
      </c>
      <c r="E97" s="802"/>
      <c r="F97" s="802">
        <v>1436</v>
      </c>
      <c r="G97" s="802">
        <v>14</v>
      </c>
      <c r="H97" s="802"/>
      <c r="I97" s="802">
        <v>136</v>
      </c>
      <c r="J97" s="802">
        <v>31</v>
      </c>
      <c r="K97" s="802">
        <v>51</v>
      </c>
      <c r="L97" s="802"/>
      <c r="M97" s="802"/>
      <c r="N97" s="803"/>
      <c r="O97" s="802">
        <v>28</v>
      </c>
      <c r="P97" s="802"/>
      <c r="Q97" s="802"/>
      <c r="R97" s="802"/>
      <c r="S97" s="802">
        <v>2</v>
      </c>
      <c r="T97" s="802"/>
      <c r="U97" s="802">
        <v>54</v>
      </c>
      <c r="V97" s="802"/>
      <c r="W97" s="802"/>
      <c r="X97" s="802">
        <v>34</v>
      </c>
      <c r="Y97" s="802">
        <v>26</v>
      </c>
      <c r="Z97" s="802"/>
      <c r="AA97" s="802"/>
      <c r="AB97" s="802"/>
      <c r="AC97" s="802"/>
      <c r="AD97" s="802"/>
      <c r="AE97" s="802">
        <v>1</v>
      </c>
      <c r="AF97" s="803"/>
      <c r="AG97" s="804">
        <v>1592</v>
      </c>
      <c r="AH97" s="804">
        <v>170</v>
      </c>
      <c r="AI97" s="804">
        <v>399</v>
      </c>
      <c r="AJ97" s="804"/>
      <c r="AK97" s="804"/>
      <c r="AL97" s="804">
        <v>621</v>
      </c>
      <c r="AO97">
        <f t="shared" si="1035"/>
        <v>2782</v>
      </c>
      <c r="AP97">
        <f t="shared" si="1036"/>
        <v>-245</v>
      </c>
    </row>
    <row r="98" spans="1:42">
      <c r="A98" s="927"/>
      <c r="B98" s="806"/>
      <c r="C98" s="807">
        <f t="shared" si="1037"/>
        <v>529.78499999999997</v>
      </c>
      <c r="D98" s="807">
        <v>529.80500000000006</v>
      </c>
      <c r="E98" s="807">
        <f>E97*E$4/1000</f>
        <v>0</v>
      </c>
      <c r="F98" s="807">
        <f t="shared" ref="F98" si="1499">F97*F$4/1000</f>
        <v>51.695999999999998</v>
      </c>
      <c r="G98" s="807">
        <f t="shared" ref="G98" si="1500">G97*G$4/1000</f>
        <v>0.71399999999999997</v>
      </c>
      <c r="H98" s="807">
        <f t="shared" ref="H98" si="1501">H97*H$4/1000</f>
        <v>0</v>
      </c>
      <c r="I98" s="807">
        <f t="shared" ref="I98" si="1502">I97*I$4/1000</f>
        <v>9.7919999999999998</v>
      </c>
      <c r="J98" s="807">
        <f t="shared" ref="J98" si="1503">J97*J$4/1000</f>
        <v>2.3250000000000002</v>
      </c>
      <c r="K98" s="807">
        <f t="shared" ref="K98" si="1504">K97*K$4/1000</f>
        <v>4.6920000000000002</v>
      </c>
      <c r="L98" s="807">
        <f t="shared" ref="L98" si="1505">L97*L$4/1000</f>
        <v>0</v>
      </c>
      <c r="M98" s="807">
        <f t="shared" ref="M98" si="1506">M97*M$4/1000</f>
        <v>0</v>
      </c>
      <c r="N98" s="807">
        <f t="shared" ref="N98" si="1507">N97*N$4/1000</f>
        <v>0</v>
      </c>
      <c r="O98" s="807">
        <f t="shared" ref="O98" si="1508">O97*O$4/1000</f>
        <v>0.84</v>
      </c>
      <c r="P98" s="807">
        <f t="shared" ref="P98" si="1509">P97*P$4/1000</f>
        <v>0</v>
      </c>
      <c r="Q98" s="807">
        <f t="shared" ref="Q98" si="1510">Q97*Q$4/1000</f>
        <v>0</v>
      </c>
      <c r="R98" s="807">
        <f t="shared" ref="R98" si="1511">R97*R$4/1000</f>
        <v>0</v>
      </c>
      <c r="S98" s="807">
        <f t="shared" ref="S98" si="1512">S97*S$4/1000</f>
        <v>0.12</v>
      </c>
      <c r="T98" s="807">
        <f t="shared" ref="T98" si="1513">T97*T$4/1000</f>
        <v>0</v>
      </c>
      <c r="U98" s="807">
        <f t="shared" ref="U98" si="1514">U97*U$4/1000</f>
        <v>3.8340000000000001</v>
      </c>
      <c r="V98" s="807">
        <f t="shared" ref="V98" si="1515">V97*V$4/1000</f>
        <v>0</v>
      </c>
      <c r="W98" s="807">
        <f t="shared" ref="W98" si="1516">W97*W$4/1000</f>
        <v>0</v>
      </c>
      <c r="X98" s="807">
        <f t="shared" ref="X98" si="1517">X97*X$4/1000</f>
        <v>2.72</v>
      </c>
      <c r="Y98" s="807">
        <f t="shared" ref="Y98" si="1518">Y97*Y$4/1000</f>
        <v>2.4180000000000001</v>
      </c>
      <c r="Z98" s="807">
        <f t="shared" ref="Z98" si="1519">Z97*Z$4/1000</f>
        <v>0</v>
      </c>
      <c r="AA98" s="807">
        <f t="shared" ref="AA98" si="1520">AA97*AA$4/1000</f>
        <v>0</v>
      </c>
      <c r="AB98" s="807">
        <f t="shared" ref="AB98" si="1521">AB97*AB$4/1000</f>
        <v>0</v>
      </c>
      <c r="AC98" s="807">
        <f t="shared" ref="AC98" si="1522">AC97*AC$4/1000</f>
        <v>0</v>
      </c>
      <c r="AD98" s="807">
        <f t="shared" ref="AD98" si="1523">AD97*AD$4/1000</f>
        <v>0</v>
      </c>
      <c r="AE98" s="807">
        <f t="shared" ref="AE98" si="1524">AE97*AE$4/1000</f>
        <v>0.16400000000000001</v>
      </c>
      <c r="AF98" s="803"/>
      <c r="AG98" s="807">
        <f t="shared" ref="AG98" si="1525">AG97*AG$4/1000</f>
        <v>159.19999999999999</v>
      </c>
      <c r="AH98" s="807">
        <f t="shared" ref="AH98" si="1526">AH97*AH$4/1000</f>
        <v>22.95</v>
      </c>
      <c r="AI98" s="807">
        <f t="shared" ref="AI98" si="1527">AI97*AI$4/1000</f>
        <v>75.81</v>
      </c>
      <c r="AJ98" s="807">
        <f t="shared" ref="AJ98" si="1528">AJ97*AJ$4/1000</f>
        <v>0</v>
      </c>
      <c r="AK98" s="807">
        <f t="shared" ref="AK98" si="1529">AK97*AK$4/1000</f>
        <v>0</v>
      </c>
      <c r="AL98" s="807">
        <f t="shared" ref="AL98" si="1530">AL97*AL$4/1000</f>
        <v>192.51</v>
      </c>
      <c r="AM98" s="807">
        <f t="shared" ref="AM98" si="1531">AM97*AM$4/1000</f>
        <v>0</v>
      </c>
    </row>
    <row r="99" spans="1:42">
      <c r="A99" s="926">
        <v>42401</v>
      </c>
      <c r="B99" s="801"/>
      <c r="C99" s="802">
        <f t="shared" si="1037"/>
        <v>4595</v>
      </c>
      <c r="D99" s="802">
        <v>4595</v>
      </c>
      <c r="E99" s="802"/>
      <c r="F99" s="802">
        <v>1217</v>
      </c>
      <c r="G99" s="802">
        <v>14</v>
      </c>
      <c r="H99" s="802"/>
      <c r="I99" s="802">
        <v>136</v>
      </c>
      <c r="J99" s="802">
        <v>31</v>
      </c>
      <c r="K99" s="802">
        <v>25</v>
      </c>
      <c r="L99" s="802"/>
      <c r="M99" s="802"/>
      <c r="N99" s="803"/>
      <c r="O99" s="802">
        <v>28</v>
      </c>
      <c r="P99" s="802"/>
      <c r="Q99" s="802"/>
      <c r="R99" s="802"/>
      <c r="S99" s="802">
        <v>2</v>
      </c>
      <c r="T99" s="802"/>
      <c r="U99" s="802">
        <v>54</v>
      </c>
      <c r="V99" s="802"/>
      <c r="W99" s="802"/>
      <c r="X99" s="802">
        <v>34</v>
      </c>
      <c r="Y99" s="802">
        <v>26</v>
      </c>
      <c r="Z99" s="802"/>
      <c r="AA99" s="802"/>
      <c r="AB99" s="802"/>
      <c r="AC99" s="802"/>
      <c r="AD99" s="802"/>
      <c r="AE99" s="802">
        <v>1</v>
      </c>
      <c r="AF99" s="803"/>
      <c r="AG99" s="804">
        <v>1811</v>
      </c>
      <c r="AH99" s="804">
        <v>170</v>
      </c>
      <c r="AI99" s="804">
        <v>425</v>
      </c>
      <c r="AJ99" s="804"/>
      <c r="AK99" s="804"/>
      <c r="AL99" s="804">
        <v>621</v>
      </c>
      <c r="AO99">
        <f t="shared" si="1035"/>
        <v>3027</v>
      </c>
      <c r="AP99">
        <f t="shared" si="1036"/>
        <v>-347</v>
      </c>
    </row>
    <row r="100" spans="1:42">
      <c r="A100" s="927"/>
      <c r="B100" s="806"/>
      <c r="C100" s="807">
        <f t="shared" si="1037"/>
        <v>546.34899999999993</v>
      </c>
      <c r="D100" s="807">
        <v>546.36900000000003</v>
      </c>
      <c r="E100" s="807">
        <f>E99*E$4/1000</f>
        <v>0</v>
      </c>
      <c r="F100" s="807">
        <f t="shared" ref="F100" si="1532">F99*F$4/1000</f>
        <v>43.811999999999998</v>
      </c>
      <c r="G100" s="807">
        <f t="shared" ref="G100" si="1533">G99*G$4/1000</f>
        <v>0.71399999999999997</v>
      </c>
      <c r="H100" s="807">
        <f t="shared" ref="H100" si="1534">H99*H$4/1000</f>
        <v>0</v>
      </c>
      <c r="I100" s="807">
        <f t="shared" ref="I100" si="1535">I99*I$4/1000</f>
        <v>9.7919999999999998</v>
      </c>
      <c r="J100" s="807">
        <f t="shared" ref="J100" si="1536">J99*J$4/1000</f>
        <v>2.3250000000000002</v>
      </c>
      <c r="K100" s="807">
        <f t="shared" ref="K100" si="1537">K99*K$4/1000</f>
        <v>2.2999999999999998</v>
      </c>
      <c r="L100" s="807">
        <f t="shared" ref="L100" si="1538">L99*L$4/1000</f>
        <v>0</v>
      </c>
      <c r="M100" s="807">
        <f t="shared" ref="M100" si="1539">M99*M$4/1000</f>
        <v>0</v>
      </c>
      <c r="N100" s="807">
        <f t="shared" ref="N100" si="1540">N99*N$4/1000</f>
        <v>0</v>
      </c>
      <c r="O100" s="807">
        <f t="shared" ref="O100" si="1541">O99*O$4/1000</f>
        <v>0.84</v>
      </c>
      <c r="P100" s="807">
        <f t="shared" ref="P100" si="1542">P99*P$4/1000</f>
        <v>0</v>
      </c>
      <c r="Q100" s="807">
        <f t="shared" ref="Q100" si="1543">Q99*Q$4/1000</f>
        <v>0</v>
      </c>
      <c r="R100" s="807">
        <f t="shared" ref="R100" si="1544">R99*R$4/1000</f>
        <v>0</v>
      </c>
      <c r="S100" s="807">
        <f t="shared" ref="S100" si="1545">S99*S$4/1000</f>
        <v>0.12</v>
      </c>
      <c r="T100" s="807">
        <f t="shared" ref="T100" si="1546">T99*T$4/1000</f>
        <v>0</v>
      </c>
      <c r="U100" s="807">
        <f t="shared" ref="U100" si="1547">U99*U$4/1000</f>
        <v>3.8340000000000001</v>
      </c>
      <c r="V100" s="807">
        <f t="shared" ref="V100" si="1548">V99*V$4/1000</f>
        <v>0</v>
      </c>
      <c r="W100" s="807">
        <f t="shared" ref="W100" si="1549">W99*W$4/1000</f>
        <v>0</v>
      </c>
      <c r="X100" s="807">
        <f t="shared" ref="X100" si="1550">X99*X$4/1000</f>
        <v>2.72</v>
      </c>
      <c r="Y100" s="807">
        <f t="shared" ref="Y100" si="1551">Y99*Y$4/1000</f>
        <v>2.4180000000000001</v>
      </c>
      <c r="Z100" s="807">
        <f t="shared" ref="Z100" si="1552">Z99*Z$4/1000</f>
        <v>0</v>
      </c>
      <c r="AA100" s="807">
        <f t="shared" ref="AA100" si="1553">AA99*AA$4/1000</f>
        <v>0</v>
      </c>
      <c r="AB100" s="807">
        <f t="shared" ref="AB100" si="1554">AB99*AB$4/1000</f>
        <v>0</v>
      </c>
      <c r="AC100" s="807">
        <f t="shared" ref="AC100" si="1555">AC99*AC$4/1000</f>
        <v>0</v>
      </c>
      <c r="AD100" s="807">
        <f t="shared" ref="AD100" si="1556">AD99*AD$4/1000</f>
        <v>0</v>
      </c>
      <c r="AE100" s="807">
        <f t="shared" ref="AE100" si="1557">AE99*AE$4/1000</f>
        <v>0.16400000000000001</v>
      </c>
      <c r="AF100" s="803"/>
      <c r="AG100" s="807">
        <f t="shared" ref="AG100" si="1558">AG99*AG$4/1000</f>
        <v>181.1</v>
      </c>
      <c r="AH100" s="807">
        <f t="shared" ref="AH100" si="1559">AH99*AH$4/1000</f>
        <v>22.95</v>
      </c>
      <c r="AI100" s="807">
        <f t="shared" ref="AI100" si="1560">AI99*AI$4/1000</f>
        <v>80.75</v>
      </c>
      <c r="AJ100" s="807">
        <f t="shared" ref="AJ100" si="1561">AJ99*AJ$4/1000</f>
        <v>0</v>
      </c>
      <c r="AK100" s="807">
        <f t="shared" ref="AK100" si="1562">AK99*AK$4/1000</f>
        <v>0</v>
      </c>
      <c r="AL100" s="807">
        <f t="shared" ref="AL100" si="1563">AL99*AL$4/1000</f>
        <v>192.51</v>
      </c>
      <c r="AM100" s="807">
        <f t="shared" ref="AM100" si="1564">AM99*AM$4/1000</f>
        <v>0</v>
      </c>
    </row>
    <row r="101" spans="1:42">
      <c r="A101" s="926">
        <v>42370</v>
      </c>
      <c r="B101" s="801"/>
      <c r="C101" s="802">
        <f t="shared" si="1037"/>
        <v>4595</v>
      </c>
      <c r="D101" s="802">
        <v>4595</v>
      </c>
      <c r="E101" s="802"/>
      <c r="F101" s="802">
        <v>1033</v>
      </c>
      <c r="G101" s="802"/>
      <c r="H101" s="802"/>
      <c r="I101" s="802">
        <v>12</v>
      </c>
      <c r="J101" s="802">
        <v>31</v>
      </c>
      <c r="K101" s="802"/>
      <c r="L101" s="802"/>
      <c r="M101" s="802"/>
      <c r="N101" s="803"/>
      <c r="O101" s="802">
        <v>28</v>
      </c>
      <c r="P101" s="802"/>
      <c r="Q101" s="802"/>
      <c r="R101" s="802"/>
      <c r="S101" s="802">
        <v>2</v>
      </c>
      <c r="T101" s="802"/>
      <c r="U101" s="802">
        <v>54</v>
      </c>
      <c r="V101" s="802"/>
      <c r="W101" s="802"/>
      <c r="X101" s="802">
        <v>34</v>
      </c>
      <c r="Y101" s="802">
        <v>26</v>
      </c>
      <c r="Z101" s="802"/>
      <c r="AA101" s="802"/>
      <c r="AB101" s="802"/>
      <c r="AC101" s="802"/>
      <c r="AD101" s="802"/>
      <c r="AE101" s="802">
        <v>1</v>
      </c>
      <c r="AF101" s="803"/>
      <c r="AG101" s="804">
        <v>1995</v>
      </c>
      <c r="AH101" s="804">
        <v>170</v>
      </c>
      <c r="AI101" s="804">
        <v>524</v>
      </c>
      <c r="AJ101" s="804"/>
      <c r="AK101" s="804"/>
      <c r="AL101" s="804">
        <v>685</v>
      </c>
      <c r="AO101">
        <f t="shared" si="1035"/>
        <v>3374</v>
      </c>
      <c r="AP101">
        <f t="shared" si="1036"/>
        <v>-480</v>
      </c>
    </row>
    <row r="102" spans="1:42">
      <c r="A102" s="927"/>
      <c r="B102" s="806"/>
      <c r="C102" s="807">
        <f t="shared" si="1037"/>
        <v>584.83299999999997</v>
      </c>
      <c r="D102" s="807">
        <v>584.85299999999995</v>
      </c>
      <c r="E102" s="807">
        <f>E101*E$4/1000</f>
        <v>0</v>
      </c>
      <c r="F102" s="807">
        <f t="shared" ref="F102" si="1565">F101*F$4/1000</f>
        <v>37.188000000000002</v>
      </c>
      <c r="G102" s="807">
        <f t="shared" ref="G102" si="1566">G101*G$4/1000</f>
        <v>0</v>
      </c>
      <c r="H102" s="807">
        <f t="shared" ref="H102" si="1567">H101*H$4/1000</f>
        <v>0</v>
      </c>
      <c r="I102" s="807">
        <f t="shared" ref="I102" si="1568">I101*I$4/1000</f>
        <v>0.86399999999999999</v>
      </c>
      <c r="J102" s="807">
        <f t="shared" ref="J102" si="1569">J101*J$4/1000</f>
        <v>2.3250000000000002</v>
      </c>
      <c r="K102" s="807">
        <f t="shared" ref="K102" si="1570">K101*K$4/1000</f>
        <v>0</v>
      </c>
      <c r="L102" s="807">
        <f t="shared" ref="L102" si="1571">L101*L$4/1000</f>
        <v>0</v>
      </c>
      <c r="M102" s="807">
        <f t="shared" ref="M102" si="1572">M101*M$4/1000</f>
        <v>0</v>
      </c>
      <c r="N102" s="807">
        <f t="shared" ref="N102" si="1573">N101*N$4/1000</f>
        <v>0</v>
      </c>
      <c r="O102" s="807">
        <f t="shared" ref="O102" si="1574">O101*O$4/1000</f>
        <v>0.84</v>
      </c>
      <c r="P102" s="807">
        <f t="shared" ref="P102" si="1575">P101*P$4/1000</f>
        <v>0</v>
      </c>
      <c r="Q102" s="807">
        <f t="shared" ref="Q102" si="1576">Q101*Q$4/1000</f>
        <v>0</v>
      </c>
      <c r="R102" s="807">
        <f t="shared" ref="R102" si="1577">R101*R$4/1000</f>
        <v>0</v>
      </c>
      <c r="S102" s="807">
        <f t="shared" ref="S102" si="1578">S101*S$4/1000</f>
        <v>0.12</v>
      </c>
      <c r="T102" s="807">
        <f t="shared" ref="T102" si="1579">T101*T$4/1000</f>
        <v>0</v>
      </c>
      <c r="U102" s="807">
        <f t="shared" ref="U102" si="1580">U101*U$4/1000</f>
        <v>3.8340000000000001</v>
      </c>
      <c r="V102" s="807">
        <f t="shared" ref="V102" si="1581">V101*V$4/1000</f>
        <v>0</v>
      </c>
      <c r="W102" s="807">
        <f t="shared" ref="W102" si="1582">W101*W$4/1000</f>
        <v>0</v>
      </c>
      <c r="X102" s="807">
        <f t="shared" ref="X102" si="1583">X101*X$4/1000</f>
        <v>2.72</v>
      </c>
      <c r="Y102" s="807">
        <f t="shared" ref="Y102" si="1584">Y101*Y$4/1000</f>
        <v>2.4180000000000001</v>
      </c>
      <c r="Z102" s="807">
        <f t="shared" ref="Z102" si="1585">Z101*Z$4/1000</f>
        <v>0</v>
      </c>
      <c r="AA102" s="807">
        <f t="shared" ref="AA102" si="1586">AA101*AA$4/1000</f>
        <v>0</v>
      </c>
      <c r="AB102" s="807">
        <f t="shared" ref="AB102" si="1587">AB101*AB$4/1000</f>
        <v>0</v>
      </c>
      <c r="AC102" s="807">
        <f t="shared" ref="AC102" si="1588">AC101*AC$4/1000</f>
        <v>0</v>
      </c>
      <c r="AD102" s="807">
        <f t="shared" ref="AD102" si="1589">AD101*AD$4/1000</f>
        <v>0</v>
      </c>
      <c r="AE102" s="807">
        <f t="shared" ref="AE102" si="1590">AE101*AE$4/1000</f>
        <v>0.16400000000000001</v>
      </c>
      <c r="AF102" s="803"/>
      <c r="AG102" s="807">
        <f t="shared" ref="AG102" si="1591">AG101*AG$4/1000</f>
        <v>199.5</v>
      </c>
      <c r="AH102" s="807">
        <f t="shared" ref="AH102" si="1592">AH101*AH$4/1000</f>
        <v>22.95</v>
      </c>
      <c r="AI102" s="807">
        <f t="shared" ref="AI102" si="1593">AI101*AI$4/1000</f>
        <v>99.56</v>
      </c>
      <c r="AJ102" s="807">
        <f t="shared" ref="AJ102" si="1594">AJ101*AJ$4/1000</f>
        <v>0</v>
      </c>
      <c r="AK102" s="807">
        <f t="shared" ref="AK102" si="1595">AK101*AK$4/1000</f>
        <v>0</v>
      </c>
      <c r="AL102" s="807">
        <f t="shared" ref="AL102" si="1596">AL101*AL$4/1000</f>
        <v>212.35</v>
      </c>
      <c r="AM102" s="807">
        <f t="shared" ref="AM102" si="1597">AM101*AM$4/1000</f>
        <v>0</v>
      </c>
    </row>
    <row r="103" spans="1:42">
      <c r="A103" s="926">
        <v>42339</v>
      </c>
      <c r="B103" s="801"/>
      <c r="C103" s="802">
        <f t="shared" si="1037"/>
        <v>4595</v>
      </c>
      <c r="D103" s="802">
        <v>4595</v>
      </c>
      <c r="E103" s="802"/>
      <c r="F103" s="802">
        <v>553</v>
      </c>
      <c r="G103" s="802"/>
      <c r="H103" s="802"/>
      <c r="I103" s="802">
        <v>12</v>
      </c>
      <c r="J103" s="802">
        <v>31</v>
      </c>
      <c r="K103" s="802"/>
      <c r="L103" s="802"/>
      <c r="M103" s="802"/>
      <c r="N103" s="803"/>
      <c r="O103" s="802">
        <v>28</v>
      </c>
      <c r="P103" s="802"/>
      <c r="Q103" s="802"/>
      <c r="R103" s="802"/>
      <c r="S103" s="802">
        <v>2</v>
      </c>
      <c r="T103" s="802"/>
      <c r="U103" s="802">
        <v>54</v>
      </c>
      <c r="V103" s="802"/>
      <c r="W103" s="802"/>
      <c r="X103" s="802">
        <v>34</v>
      </c>
      <c r="Y103" s="802">
        <v>26</v>
      </c>
      <c r="Z103" s="802"/>
      <c r="AA103" s="802"/>
      <c r="AB103" s="802"/>
      <c r="AC103" s="802"/>
      <c r="AD103" s="802"/>
      <c r="AE103" s="802">
        <v>1</v>
      </c>
      <c r="AF103" s="803"/>
      <c r="AG103" s="804">
        <v>2427</v>
      </c>
      <c r="AH103" s="804">
        <v>218</v>
      </c>
      <c r="AI103" s="804">
        <v>524</v>
      </c>
      <c r="AJ103" s="804"/>
      <c r="AK103" s="804"/>
      <c r="AL103" s="804">
        <v>685</v>
      </c>
      <c r="AO103">
        <f t="shared" si="1035"/>
        <v>3854</v>
      </c>
      <c r="AP103">
        <f t="shared" si="1036"/>
        <v>-87</v>
      </c>
    </row>
    <row r="104" spans="1:42">
      <c r="A104" s="927"/>
      <c r="B104" s="806"/>
      <c r="C104" s="807">
        <f t="shared" si="1037"/>
        <v>617.23299999999995</v>
      </c>
      <c r="D104" s="807">
        <v>617.25300000000004</v>
      </c>
      <c r="E104" s="807">
        <f>E103*E$4/1000</f>
        <v>0</v>
      </c>
      <c r="F104" s="807">
        <f t="shared" ref="F104" si="1598">F103*F$4/1000</f>
        <v>19.908000000000001</v>
      </c>
      <c r="G104" s="807">
        <f t="shared" ref="G104" si="1599">G103*G$4/1000</f>
        <v>0</v>
      </c>
      <c r="H104" s="807">
        <f t="shared" ref="H104" si="1600">H103*H$4/1000</f>
        <v>0</v>
      </c>
      <c r="I104" s="807">
        <f t="shared" ref="I104" si="1601">I103*I$4/1000</f>
        <v>0.86399999999999999</v>
      </c>
      <c r="J104" s="807">
        <f t="shared" ref="J104" si="1602">J103*J$4/1000</f>
        <v>2.3250000000000002</v>
      </c>
      <c r="K104" s="807">
        <f t="shared" ref="K104" si="1603">K103*K$4/1000</f>
        <v>0</v>
      </c>
      <c r="L104" s="807">
        <f t="shared" ref="L104" si="1604">L103*L$4/1000</f>
        <v>0</v>
      </c>
      <c r="M104" s="807">
        <f t="shared" ref="M104" si="1605">M103*M$4/1000</f>
        <v>0</v>
      </c>
      <c r="N104" s="807">
        <f t="shared" ref="N104" si="1606">N103*N$4/1000</f>
        <v>0</v>
      </c>
      <c r="O104" s="807">
        <f t="shared" ref="O104" si="1607">O103*O$4/1000</f>
        <v>0.84</v>
      </c>
      <c r="P104" s="807">
        <f t="shared" ref="P104" si="1608">P103*P$4/1000</f>
        <v>0</v>
      </c>
      <c r="Q104" s="807">
        <f t="shared" ref="Q104" si="1609">Q103*Q$4/1000</f>
        <v>0</v>
      </c>
      <c r="R104" s="807">
        <f t="shared" ref="R104" si="1610">R103*R$4/1000</f>
        <v>0</v>
      </c>
      <c r="S104" s="807">
        <f t="shared" ref="S104" si="1611">S103*S$4/1000</f>
        <v>0.12</v>
      </c>
      <c r="T104" s="807">
        <f t="shared" ref="T104" si="1612">T103*T$4/1000</f>
        <v>0</v>
      </c>
      <c r="U104" s="807">
        <f t="shared" ref="U104" si="1613">U103*U$4/1000</f>
        <v>3.8340000000000001</v>
      </c>
      <c r="V104" s="807">
        <f t="shared" ref="V104" si="1614">V103*V$4/1000</f>
        <v>0</v>
      </c>
      <c r="W104" s="807">
        <f t="shared" ref="W104" si="1615">W103*W$4/1000</f>
        <v>0</v>
      </c>
      <c r="X104" s="807">
        <f t="shared" ref="X104" si="1616">X103*X$4/1000</f>
        <v>2.72</v>
      </c>
      <c r="Y104" s="807">
        <f t="shared" ref="Y104" si="1617">Y103*Y$4/1000</f>
        <v>2.4180000000000001</v>
      </c>
      <c r="Z104" s="807">
        <f t="shared" ref="Z104" si="1618">Z103*Z$4/1000</f>
        <v>0</v>
      </c>
      <c r="AA104" s="807">
        <f t="shared" ref="AA104" si="1619">AA103*AA$4/1000</f>
        <v>0</v>
      </c>
      <c r="AB104" s="807">
        <f t="shared" ref="AB104" si="1620">AB103*AB$4/1000</f>
        <v>0</v>
      </c>
      <c r="AC104" s="807">
        <f t="shared" ref="AC104" si="1621">AC103*AC$4/1000</f>
        <v>0</v>
      </c>
      <c r="AD104" s="807">
        <f t="shared" ref="AD104" si="1622">AD103*AD$4/1000</f>
        <v>0</v>
      </c>
      <c r="AE104" s="807">
        <f t="shared" ref="AE104" si="1623">AE103*AE$4/1000</f>
        <v>0.16400000000000001</v>
      </c>
      <c r="AF104" s="803"/>
      <c r="AG104" s="807">
        <f t="shared" ref="AG104" si="1624">AG103*AG$4/1000</f>
        <v>242.7</v>
      </c>
      <c r="AH104" s="807">
        <f t="shared" ref="AH104" si="1625">AH103*AH$4/1000</f>
        <v>29.43</v>
      </c>
      <c r="AI104" s="807">
        <f t="shared" ref="AI104" si="1626">AI103*AI$4/1000</f>
        <v>99.56</v>
      </c>
      <c r="AJ104" s="807">
        <f t="shared" ref="AJ104" si="1627">AJ103*AJ$4/1000</f>
        <v>0</v>
      </c>
      <c r="AK104" s="807">
        <f t="shared" ref="AK104" si="1628">AK103*AK$4/1000</f>
        <v>0</v>
      </c>
      <c r="AL104" s="807">
        <f t="shared" ref="AL104" si="1629">AL103*AL$4/1000</f>
        <v>212.35</v>
      </c>
      <c r="AM104" s="807">
        <f t="shared" ref="AM104" si="1630">AM103*AM$4/1000</f>
        <v>0</v>
      </c>
    </row>
    <row r="105" spans="1:42">
      <c r="A105" s="926">
        <v>42309</v>
      </c>
      <c r="B105" s="801"/>
      <c r="C105" s="802">
        <f t="shared" si="1037"/>
        <v>4595</v>
      </c>
      <c r="D105" s="802">
        <v>4595</v>
      </c>
      <c r="E105" s="802"/>
      <c r="F105" s="802">
        <v>478</v>
      </c>
      <c r="G105" s="802"/>
      <c r="H105" s="802"/>
      <c r="I105" s="802"/>
      <c r="J105" s="802">
        <v>31</v>
      </c>
      <c r="K105" s="802"/>
      <c r="L105" s="802"/>
      <c r="M105" s="802"/>
      <c r="N105" s="803"/>
      <c r="O105" s="802">
        <v>28</v>
      </c>
      <c r="P105" s="802"/>
      <c r="Q105" s="802"/>
      <c r="R105" s="802"/>
      <c r="S105" s="802">
        <v>2</v>
      </c>
      <c r="T105" s="802"/>
      <c r="U105" s="802">
        <v>54</v>
      </c>
      <c r="V105" s="802"/>
      <c r="W105" s="802"/>
      <c r="X105" s="802">
        <v>34</v>
      </c>
      <c r="Y105" s="802">
        <v>26</v>
      </c>
      <c r="Z105" s="802"/>
      <c r="AA105" s="802"/>
      <c r="AB105" s="802"/>
      <c r="AC105" s="802"/>
      <c r="AD105" s="802"/>
      <c r="AE105" s="802">
        <v>1</v>
      </c>
      <c r="AF105" s="803"/>
      <c r="AG105" s="804">
        <v>2502</v>
      </c>
      <c r="AH105" s="804">
        <v>218</v>
      </c>
      <c r="AI105" s="804">
        <v>536</v>
      </c>
      <c r="AJ105" s="804"/>
      <c r="AK105" s="804"/>
      <c r="AL105" s="804">
        <v>685</v>
      </c>
      <c r="AO105">
        <f t="shared" si="1035"/>
        <v>3941</v>
      </c>
      <c r="AP105">
        <f t="shared" si="1036"/>
        <v>-415</v>
      </c>
    </row>
    <row r="106" spans="1:42">
      <c r="A106" s="927"/>
      <c r="B106" s="806"/>
      <c r="C106" s="807">
        <f t="shared" si="1037"/>
        <v>623.44900000000007</v>
      </c>
      <c r="D106" s="807">
        <v>623.46900000000005</v>
      </c>
      <c r="E106" s="807">
        <f>E105*E$4/1000</f>
        <v>0</v>
      </c>
      <c r="F106" s="807">
        <f t="shared" ref="F106" si="1631">F105*F$4/1000</f>
        <v>17.207999999999998</v>
      </c>
      <c r="G106" s="807">
        <f t="shared" ref="G106" si="1632">G105*G$4/1000</f>
        <v>0</v>
      </c>
      <c r="H106" s="807">
        <f t="shared" ref="H106" si="1633">H105*H$4/1000</f>
        <v>0</v>
      </c>
      <c r="I106" s="807">
        <f t="shared" ref="I106" si="1634">I105*I$4/1000</f>
        <v>0</v>
      </c>
      <c r="J106" s="807">
        <f t="shared" ref="J106" si="1635">J105*J$4/1000</f>
        <v>2.3250000000000002</v>
      </c>
      <c r="K106" s="807">
        <f t="shared" ref="K106" si="1636">K105*K$4/1000</f>
        <v>0</v>
      </c>
      <c r="L106" s="807">
        <f t="shared" ref="L106" si="1637">L105*L$4/1000</f>
        <v>0</v>
      </c>
      <c r="M106" s="807">
        <f t="shared" ref="M106" si="1638">M105*M$4/1000</f>
        <v>0</v>
      </c>
      <c r="N106" s="807">
        <f t="shared" ref="N106" si="1639">N105*N$4/1000</f>
        <v>0</v>
      </c>
      <c r="O106" s="807">
        <f t="shared" ref="O106" si="1640">O105*O$4/1000</f>
        <v>0.84</v>
      </c>
      <c r="P106" s="807">
        <f t="shared" ref="P106" si="1641">P105*P$4/1000</f>
        <v>0</v>
      </c>
      <c r="Q106" s="807">
        <f t="shared" ref="Q106" si="1642">Q105*Q$4/1000</f>
        <v>0</v>
      </c>
      <c r="R106" s="807">
        <f t="shared" ref="R106" si="1643">R105*R$4/1000</f>
        <v>0</v>
      </c>
      <c r="S106" s="807">
        <f t="shared" ref="S106" si="1644">S105*S$4/1000</f>
        <v>0.12</v>
      </c>
      <c r="T106" s="807">
        <f t="shared" ref="T106" si="1645">T105*T$4/1000</f>
        <v>0</v>
      </c>
      <c r="U106" s="807">
        <f t="shared" ref="U106" si="1646">U105*U$4/1000</f>
        <v>3.8340000000000001</v>
      </c>
      <c r="V106" s="807">
        <f t="shared" ref="V106" si="1647">V105*V$4/1000</f>
        <v>0</v>
      </c>
      <c r="W106" s="807">
        <f t="shared" ref="W106" si="1648">W105*W$4/1000</f>
        <v>0</v>
      </c>
      <c r="X106" s="807">
        <f t="shared" ref="X106" si="1649">X105*X$4/1000</f>
        <v>2.72</v>
      </c>
      <c r="Y106" s="807">
        <f t="shared" ref="Y106" si="1650">Y105*Y$4/1000</f>
        <v>2.4180000000000001</v>
      </c>
      <c r="Z106" s="807">
        <f t="shared" ref="Z106" si="1651">Z105*Z$4/1000</f>
        <v>0</v>
      </c>
      <c r="AA106" s="807">
        <f t="shared" ref="AA106" si="1652">AA105*AA$4/1000</f>
        <v>0</v>
      </c>
      <c r="AB106" s="807">
        <f t="shared" ref="AB106" si="1653">AB105*AB$4/1000</f>
        <v>0</v>
      </c>
      <c r="AC106" s="807">
        <f t="shared" ref="AC106" si="1654">AC105*AC$4/1000</f>
        <v>0</v>
      </c>
      <c r="AD106" s="807">
        <f t="shared" ref="AD106" si="1655">AD105*AD$4/1000</f>
        <v>0</v>
      </c>
      <c r="AE106" s="807">
        <f t="shared" ref="AE106" si="1656">AE105*AE$4/1000</f>
        <v>0.16400000000000001</v>
      </c>
      <c r="AF106" s="803"/>
      <c r="AG106" s="807">
        <f t="shared" ref="AG106" si="1657">AG105*AG$4/1000</f>
        <v>250.2</v>
      </c>
      <c r="AH106" s="807">
        <f t="shared" ref="AH106" si="1658">AH105*AH$4/1000</f>
        <v>29.43</v>
      </c>
      <c r="AI106" s="807">
        <f t="shared" ref="AI106" si="1659">AI105*AI$4/1000</f>
        <v>101.84</v>
      </c>
      <c r="AJ106" s="807">
        <f t="shared" ref="AJ106" si="1660">AJ105*AJ$4/1000</f>
        <v>0</v>
      </c>
      <c r="AK106" s="807">
        <f t="shared" ref="AK106" si="1661">AK105*AK$4/1000</f>
        <v>0</v>
      </c>
      <c r="AL106" s="807">
        <f t="shared" ref="AL106" si="1662">AL105*AL$4/1000</f>
        <v>212.35</v>
      </c>
      <c r="AM106" s="807">
        <f t="shared" ref="AM106" si="1663">AM105*AM$4/1000</f>
        <v>0</v>
      </c>
    </row>
    <row r="107" spans="1:42">
      <c r="A107" s="926">
        <v>42278</v>
      </c>
      <c r="B107" s="801"/>
      <c r="C107" s="802">
        <f t="shared" si="1037"/>
        <v>4595</v>
      </c>
      <c r="D107" s="802">
        <v>4595</v>
      </c>
      <c r="E107" s="802"/>
      <c r="F107" s="802">
        <v>63</v>
      </c>
      <c r="G107" s="802"/>
      <c r="H107" s="802"/>
      <c r="I107" s="802"/>
      <c r="J107" s="802">
        <v>31</v>
      </c>
      <c r="K107" s="802"/>
      <c r="L107" s="802"/>
      <c r="M107" s="802"/>
      <c r="N107" s="803"/>
      <c r="O107" s="802">
        <v>28</v>
      </c>
      <c r="P107" s="802"/>
      <c r="Q107" s="802"/>
      <c r="R107" s="802"/>
      <c r="S107" s="802">
        <v>2</v>
      </c>
      <c r="T107" s="802"/>
      <c r="U107" s="802">
        <v>54</v>
      </c>
      <c r="V107" s="802"/>
      <c r="W107" s="802"/>
      <c r="X107" s="802">
        <v>34</v>
      </c>
      <c r="Y107" s="802">
        <v>26</v>
      </c>
      <c r="Z107" s="802"/>
      <c r="AA107" s="802"/>
      <c r="AB107" s="802"/>
      <c r="AC107" s="802"/>
      <c r="AD107" s="802"/>
      <c r="AE107" s="802">
        <v>1</v>
      </c>
      <c r="AF107" s="803"/>
      <c r="AG107" s="804">
        <v>2909</v>
      </c>
      <c r="AH107" s="804">
        <v>225</v>
      </c>
      <c r="AI107" s="804">
        <v>537</v>
      </c>
      <c r="AJ107" s="804"/>
      <c r="AK107" s="804"/>
      <c r="AL107" s="804">
        <v>685</v>
      </c>
      <c r="AO107">
        <f>SUM(AG107:AL107)</f>
        <v>4356</v>
      </c>
      <c r="AP107">
        <f>AO107-AO109</f>
        <v>-63</v>
      </c>
    </row>
    <row r="108" spans="1:42">
      <c r="A108" s="927"/>
      <c r="B108" s="806"/>
      <c r="C108" s="807">
        <f t="shared" si="1037"/>
        <v>650.34400000000005</v>
      </c>
      <c r="D108" s="807">
        <v>650.36400000000003</v>
      </c>
      <c r="E108" s="807">
        <f>E107*E$4/1000</f>
        <v>0</v>
      </c>
      <c r="F108" s="807">
        <f t="shared" ref="F108" si="1664">F107*F$4/1000</f>
        <v>2.2679999999999998</v>
      </c>
      <c r="G108" s="807">
        <f t="shared" ref="G108" si="1665">G107*G$4/1000</f>
        <v>0</v>
      </c>
      <c r="H108" s="807">
        <f t="shared" ref="H108" si="1666">H107*H$4/1000</f>
        <v>0</v>
      </c>
      <c r="I108" s="807">
        <f t="shared" ref="I108" si="1667">I107*I$4/1000</f>
        <v>0</v>
      </c>
      <c r="J108" s="807">
        <f t="shared" ref="J108" si="1668">J107*J$4/1000</f>
        <v>2.3250000000000002</v>
      </c>
      <c r="K108" s="807">
        <f t="shared" ref="K108" si="1669">K107*K$4/1000</f>
        <v>0</v>
      </c>
      <c r="L108" s="807">
        <f t="shared" ref="L108" si="1670">L107*L$4/1000</f>
        <v>0</v>
      </c>
      <c r="M108" s="807">
        <f t="shared" ref="M108" si="1671">M107*M$4/1000</f>
        <v>0</v>
      </c>
      <c r="N108" s="807">
        <f t="shared" ref="N108" si="1672">N107*N$4/1000</f>
        <v>0</v>
      </c>
      <c r="O108" s="807">
        <f t="shared" ref="O108" si="1673">O107*O$4/1000</f>
        <v>0.84</v>
      </c>
      <c r="P108" s="807">
        <f t="shared" ref="P108" si="1674">P107*P$4/1000</f>
        <v>0</v>
      </c>
      <c r="Q108" s="807">
        <f t="shared" ref="Q108" si="1675">Q107*Q$4/1000</f>
        <v>0</v>
      </c>
      <c r="R108" s="807">
        <f t="shared" ref="R108" si="1676">R107*R$4/1000</f>
        <v>0</v>
      </c>
      <c r="S108" s="807">
        <f t="shared" ref="S108" si="1677">S107*S$4/1000</f>
        <v>0.12</v>
      </c>
      <c r="T108" s="807">
        <f t="shared" ref="T108" si="1678">T107*T$4/1000</f>
        <v>0</v>
      </c>
      <c r="U108" s="807">
        <f t="shared" ref="U108" si="1679">U107*U$4/1000</f>
        <v>3.8340000000000001</v>
      </c>
      <c r="V108" s="807">
        <f t="shared" ref="V108" si="1680">V107*V$4/1000</f>
        <v>0</v>
      </c>
      <c r="W108" s="807">
        <f t="shared" ref="W108" si="1681">W107*W$4/1000</f>
        <v>0</v>
      </c>
      <c r="X108" s="807">
        <f t="shared" ref="X108" si="1682">X107*X$4/1000</f>
        <v>2.72</v>
      </c>
      <c r="Y108" s="807">
        <f t="shared" ref="Y108" si="1683">Y107*Y$4/1000</f>
        <v>2.4180000000000001</v>
      </c>
      <c r="Z108" s="807">
        <f t="shared" ref="Z108" si="1684">Z107*Z$4/1000</f>
        <v>0</v>
      </c>
      <c r="AA108" s="807">
        <f t="shared" ref="AA108" si="1685">AA107*AA$4/1000</f>
        <v>0</v>
      </c>
      <c r="AB108" s="807">
        <f t="shared" ref="AB108" si="1686">AB107*AB$4/1000</f>
        <v>0</v>
      </c>
      <c r="AC108" s="807">
        <f t="shared" ref="AC108" si="1687">AC107*AC$4/1000</f>
        <v>0</v>
      </c>
      <c r="AD108" s="807">
        <f t="shared" ref="AD108" si="1688">AD107*AD$4/1000</f>
        <v>0</v>
      </c>
      <c r="AE108" s="807">
        <f t="shared" ref="AE108" si="1689">AE107*AE$4/1000</f>
        <v>0.16400000000000001</v>
      </c>
      <c r="AF108" s="803"/>
      <c r="AG108" s="807">
        <f t="shared" ref="AG108" si="1690">AG107*AG$4/1000</f>
        <v>290.89999999999998</v>
      </c>
      <c r="AH108" s="807">
        <f t="shared" ref="AH108" si="1691">AH107*AH$4/1000</f>
        <v>30.375</v>
      </c>
      <c r="AI108" s="807">
        <f t="shared" ref="AI108" si="1692">AI107*AI$4/1000</f>
        <v>102.03</v>
      </c>
      <c r="AJ108" s="807">
        <f t="shared" ref="AJ108" si="1693">AJ107*AJ$4/1000</f>
        <v>0</v>
      </c>
      <c r="AK108" s="807">
        <f t="shared" ref="AK108" si="1694">AK107*AK$4/1000</f>
        <v>0</v>
      </c>
      <c r="AL108" s="807">
        <f t="shared" ref="AL108" si="1695">AL107*AL$4/1000</f>
        <v>212.35</v>
      </c>
      <c r="AM108" s="807">
        <f t="shared" ref="AM108" si="1696">AM107*AM$4/1000</f>
        <v>0</v>
      </c>
    </row>
    <row r="109" spans="1:42">
      <c r="A109" s="926">
        <v>42248</v>
      </c>
      <c r="B109" s="801"/>
      <c r="C109" s="802">
        <f t="shared" si="1037"/>
        <v>4595</v>
      </c>
      <c r="D109" s="802">
        <v>4595</v>
      </c>
      <c r="E109" s="802"/>
      <c r="F109" s="802"/>
      <c r="G109" s="802"/>
      <c r="H109" s="802"/>
      <c r="I109" s="802"/>
      <c r="J109" s="802">
        <v>31</v>
      </c>
      <c r="K109" s="802"/>
      <c r="L109" s="802"/>
      <c r="M109" s="802"/>
      <c r="N109" s="803"/>
      <c r="O109" s="802">
        <v>28</v>
      </c>
      <c r="P109" s="802"/>
      <c r="Q109" s="802"/>
      <c r="R109" s="802"/>
      <c r="S109" s="802">
        <v>2</v>
      </c>
      <c r="T109" s="802"/>
      <c r="U109" s="802">
        <v>54</v>
      </c>
      <c r="V109" s="802"/>
      <c r="W109" s="802"/>
      <c r="X109" s="802">
        <v>34</v>
      </c>
      <c r="Y109" s="802">
        <v>26</v>
      </c>
      <c r="Z109" s="802"/>
      <c r="AA109" s="802"/>
      <c r="AB109" s="802"/>
      <c r="AC109" s="802"/>
      <c r="AD109" s="802"/>
      <c r="AE109" s="802">
        <v>1</v>
      </c>
      <c r="AF109" s="803"/>
      <c r="AG109" s="804">
        <v>2972</v>
      </c>
      <c r="AH109" s="804">
        <v>225</v>
      </c>
      <c r="AI109" s="804">
        <v>537</v>
      </c>
      <c r="AJ109" s="804"/>
      <c r="AK109" s="804"/>
      <c r="AL109" s="804">
        <v>685</v>
      </c>
      <c r="AO109">
        <f t="shared" si="1035"/>
        <v>4419</v>
      </c>
    </row>
    <row r="110" spans="1:42">
      <c r="A110" s="927"/>
      <c r="B110" s="806"/>
      <c r="C110" s="807">
        <f t="shared" si="1037"/>
        <v>654.37599999999998</v>
      </c>
      <c r="D110" s="807">
        <v>654.39599999999996</v>
      </c>
      <c r="E110" s="807">
        <f>E109*E$4/1000</f>
        <v>0</v>
      </c>
      <c r="F110" s="807">
        <f t="shared" ref="F110" si="1697">F109*F$4/1000</f>
        <v>0</v>
      </c>
      <c r="G110" s="807">
        <f t="shared" ref="G110" si="1698">G109*G$4/1000</f>
        <v>0</v>
      </c>
      <c r="H110" s="807">
        <f t="shared" ref="H110" si="1699">H109*H$4/1000</f>
        <v>0</v>
      </c>
      <c r="I110" s="807">
        <f t="shared" ref="I110" si="1700">I109*I$4/1000</f>
        <v>0</v>
      </c>
      <c r="J110" s="807">
        <f t="shared" ref="J110" si="1701">J109*J$4/1000</f>
        <v>2.3250000000000002</v>
      </c>
      <c r="K110" s="807">
        <f t="shared" ref="K110" si="1702">K109*K$4/1000</f>
        <v>0</v>
      </c>
      <c r="L110" s="807">
        <f t="shared" ref="L110" si="1703">L109*L$4/1000</f>
        <v>0</v>
      </c>
      <c r="M110" s="807">
        <f t="shared" ref="M110" si="1704">M109*M$4/1000</f>
        <v>0</v>
      </c>
      <c r="N110" s="807">
        <f t="shared" ref="N110" si="1705">N109*N$4/1000</f>
        <v>0</v>
      </c>
      <c r="O110" s="807">
        <f t="shared" ref="O110" si="1706">O109*O$4/1000</f>
        <v>0.84</v>
      </c>
      <c r="P110" s="807">
        <f t="shared" ref="P110" si="1707">P109*P$4/1000</f>
        <v>0</v>
      </c>
      <c r="Q110" s="807">
        <f t="shared" ref="Q110" si="1708">Q109*Q$4/1000</f>
        <v>0</v>
      </c>
      <c r="R110" s="807">
        <f t="shared" ref="R110" si="1709">R109*R$4/1000</f>
        <v>0</v>
      </c>
      <c r="S110" s="807">
        <f t="shared" ref="S110" si="1710">S109*S$4/1000</f>
        <v>0.12</v>
      </c>
      <c r="T110" s="807">
        <f t="shared" ref="T110" si="1711">T109*T$4/1000</f>
        <v>0</v>
      </c>
      <c r="U110" s="807">
        <f t="shared" ref="U110" si="1712">U109*U$4/1000</f>
        <v>3.8340000000000001</v>
      </c>
      <c r="V110" s="807">
        <f t="shared" ref="V110" si="1713">V109*V$4/1000</f>
        <v>0</v>
      </c>
      <c r="W110" s="807">
        <f t="shared" ref="W110" si="1714">W109*W$4/1000</f>
        <v>0</v>
      </c>
      <c r="X110" s="807">
        <f t="shared" ref="X110" si="1715">X109*X$4/1000</f>
        <v>2.72</v>
      </c>
      <c r="Y110" s="807">
        <f t="shared" ref="Y110" si="1716">Y109*Y$4/1000</f>
        <v>2.4180000000000001</v>
      </c>
      <c r="Z110" s="807">
        <f t="shared" ref="Z110" si="1717">Z109*Z$4/1000</f>
        <v>0</v>
      </c>
      <c r="AA110" s="807">
        <f t="shared" ref="AA110" si="1718">AA109*AA$4/1000</f>
        <v>0</v>
      </c>
      <c r="AB110" s="807">
        <f t="shared" ref="AB110" si="1719">AB109*AB$4/1000</f>
        <v>0</v>
      </c>
      <c r="AC110" s="807">
        <f t="shared" ref="AC110" si="1720">AC109*AC$4/1000</f>
        <v>0</v>
      </c>
      <c r="AD110" s="807">
        <f t="shared" ref="AD110" si="1721">AD109*AD$4/1000</f>
        <v>0</v>
      </c>
      <c r="AE110" s="807">
        <f t="shared" ref="AE110" si="1722">AE109*AE$4/1000</f>
        <v>0.16400000000000001</v>
      </c>
      <c r="AF110" s="803"/>
      <c r="AG110" s="807">
        <f t="shared" ref="AG110" si="1723">AG109*AG$4/1000</f>
        <v>297.2</v>
      </c>
      <c r="AH110" s="807">
        <f t="shared" ref="AH110" si="1724">AH109*AH$4/1000</f>
        <v>30.375</v>
      </c>
      <c r="AI110" s="807">
        <f t="shared" ref="AI110" si="1725">AI109*AI$4/1000</f>
        <v>102.03</v>
      </c>
      <c r="AJ110" s="807">
        <f t="shared" ref="AJ110" si="1726">AJ109*AJ$4/1000</f>
        <v>0</v>
      </c>
      <c r="AK110" s="807">
        <f t="shared" ref="AK110" si="1727">AK109*AK$4/1000</f>
        <v>0</v>
      </c>
      <c r="AL110" s="807">
        <f t="shared" ref="AL110" si="1728">AL109*AL$4/1000</f>
        <v>212.35</v>
      </c>
      <c r="AM110" s="807">
        <f t="shared" ref="AM110" si="1729">AM109*AM$4/1000</f>
        <v>0</v>
      </c>
    </row>
    <row r="111" spans="1:42">
      <c r="C111" t="s">
        <v>810</v>
      </c>
    </row>
    <row r="112" spans="1:42" ht="15.6">
      <c r="D112" s="808"/>
      <c r="E112" s="808"/>
      <c r="F112" s="808"/>
      <c r="G112" s="808"/>
      <c r="H112" s="808"/>
      <c r="I112" s="808"/>
      <c r="J112" s="808"/>
      <c r="K112" s="808"/>
      <c r="L112" s="808"/>
      <c r="M112" s="808"/>
      <c r="N112" s="808"/>
      <c r="O112" s="808"/>
      <c r="P112" s="808"/>
      <c r="Q112" s="808"/>
      <c r="R112" s="808"/>
      <c r="S112" s="808"/>
      <c r="T112" s="808"/>
      <c r="U112" s="808"/>
      <c r="V112" s="808"/>
      <c r="W112" s="808"/>
      <c r="X112" s="808"/>
    </row>
    <row r="113" spans="1:38" ht="15.6">
      <c r="D113" s="808"/>
      <c r="E113" s="808"/>
      <c r="F113" s="808"/>
      <c r="G113" s="808"/>
      <c r="H113" s="808"/>
      <c r="I113" s="808"/>
      <c r="J113" s="808"/>
      <c r="K113" s="808"/>
      <c r="L113" s="808"/>
      <c r="M113" s="808"/>
      <c r="O113" s="808"/>
      <c r="S113" s="808"/>
      <c r="U113" s="808"/>
      <c r="X113" s="808"/>
      <c r="Y113" s="808"/>
      <c r="AE113" s="808"/>
      <c r="AG113" s="808"/>
      <c r="AH113" s="808"/>
      <c r="AI113" s="808"/>
      <c r="AL113" s="808"/>
    </row>
    <row r="114" spans="1:38">
      <c r="A114" s="811"/>
    </row>
    <row r="115" spans="1:38">
      <c r="A115" s="811"/>
    </row>
    <row r="116" spans="1:38">
      <c r="A116" s="811"/>
    </row>
    <row r="117" spans="1:38">
      <c r="A117" s="811"/>
    </row>
    <row r="118" spans="1:38">
      <c r="A118" s="811"/>
    </row>
    <row r="119" spans="1:38">
      <c r="A119" s="811"/>
    </row>
    <row r="120" spans="1:38">
      <c r="A120" s="811"/>
    </row>
    <row r="121" spans="1:38">
      <c r="A121" s="811"/>
    </row>
    <row r="122" spans="1:38">
      <c r="A122" s="811"/>
    </row>
    <row r="123" spans="1:38">
      <c r="A123" s="811"/>
    </row>
    <row r="124" spans="1:38">
      <c r="A124" s="811"/>
    </row>
    <row r="125" spans="1:38">
      <c r="A125" s="811"/>
    </row>
    <row r="126" spans="1:38">
      <c r="A126" s="811"/>
    </row>
    <row r="127" spans="1:38">
      <c r="A127" s="811"/>
    </row>
    <row r="128" spans="1:38">
      <c r="A128" s="811"/>
    </row>
    <row r="129" spans="1:1">
      <c r="A129" s="811"/>
    </row>
    <row r="130" spans="1:1">
      <c r="A130" s="811"/>
    </row>
    <row r="131" spans="1:1">
      <c r="A131" s="811"/>
    </row>
    <row r="132" spans="1:1">
      <c r="A132" s="811"/>
    </row>
    <row r="133" spans="1:1">
      <c r="A133" s="811"/>
    </row>
    <row r="134" spans="1:1">
      <c r="A134" s="811"/>
    </row>
    <row r="135" spans="1:1">
      <c r="A135" s="811"/>
    </row>
    <row r="136" spans="1:1">
      <c r="A136" s="811"/>
    </row>
    <row r="137" spans="1:1">
      <c r="A137" s="811"/>
    </row>
    <row r="138" spans="1:1">
      <c r="A138" s="811"/>
    </row>
    <row r="139" spans="1:1">
      <c r="A139" s="811"/>
    </row>
    <row r="140" spans="1:1">
      <c r="A140" s="811"/>
    </row>
    <row r="141" spans="1:1">
      <c r="A141" s="811"/>
    </row>
    <row r="142" spans="1:1">
      <c r="A142" s="811"/>
    </row>
    <row r="143" spans="1:1">
      <c r="A143" s="811"/>
    </row>
    <row r="144" spans="1:1">
      <c r="A144" s="811"/>
    </row>
    <row r="145" spans="1:4">
      <c r="A145" s="811"/>
    </row>
    <row r="146" spans="1:4">
      <c r="A146" s="811"/>
    </row>
    <row r="147" spans="1:4">
      <c r="A147" s="811"/>
    </row>
    <row r="148" spans="1:4">
      <c r="A148" s="811"/>
    </row>
    <row r="149" spans="1:4">
      <c r="A149" s="811"/>
    </row>
    <row r="150" spans="1:4">
      <c r="A150" s="811"/>
    </row>
    <row r="151" spans="1:4">
      <c r="A151" s="811"/>
    </row>
    <row r="152" spans="1:4">
      <c r="A152" s="811"/>
    </row>
    <row r="153" spans="1:4">
      <c r="A153" s="811"/>
    </row>
    <row r="154" spans="1:4">
      <c r="A154" s="811"/>
    </row>
    <row r="155" spans="1:4">
      <c r="A155" s="811"/>
    </row>
    <row r="156" spans="1:4">
      <c r="A156" s="811"/>
    </row>
    <row r="157" spans="1:4">
      <c r="A157" s="811"/>
      <c r="D157" s="855"/>
    </row>
    <row r="158" spans="1:4">
      <c r="A158" s="811"/>
    </row>
    <row r="159" spans="1:4">
      <c r="A159" s="811"/>
    </row>
    <row r="160" spans="1:4">
      <c r="A160" s="811"/>
    </row>
    <row r="161" spans="1:2">
      <c r="A161" s="811"/>
    </row>
    <row r="162" spans="1:2">
      <c r="A162" s="811"/>
    </row>
    <row r="163" spans="1:2">
      <c r="A163" s="811"/>
    </row>
    <row r="164" spans="1:2">
      <c r="A164" s="811"/>
    </row>
    <row r="165" spans="1:2">
      <c r="A165" s="811"/>
    </row>
    <row r="166" spans="1:2">
      <c r="A166" s="811"/>
    </row>
    <row r="167" spans="1:2">
      <c r="B167" s="811"/>
    </row>
    <row r="168" spans="1:2">
      <c r="B168" s="811"/>
    </row>
    <row r="169" spans="1:2">
      <c r="B169" s="811"/>
    </row>
    <row r="170" spans="1:2">
      <c r="B170" s="811"/>
    </row>
    <row r="171" spans="1:2">
      <c r="B171" s="811"/>
    </row>
    <row r="172" spans="1:2">
      <c r="B172" s="811"/>
    </row>
    <row r="173" spans="1:2">
      <c r="B173" s="811"/>
    </row>
    <row r="174" spans="1:2">
      <c r="B174" s="811"/>
    </row>
    <row r="175" spans="1:2">
      <c r="B175" s="811"/>
    </row>
    <row r="176" spans="1:2">
      <c r="B176" s="811"/>
    </row>
    <row r="177" spans="2:2">
      <c r="B177" s="811"/>
    </row>
    <row r="178" spans="2:2">
      <c r="B178" s="811"/>
    </row>
    <row r="179" spans="2:2">
      <c r="B179" s="811"/>
    </row>
    <row r="180" spans="2:2">
      <c r="B180" s="811"/>
    </row>
    <row r="181" spans="2:2">
      <c r="B181" s="811"/>
    </row>
    <row r="182" spans="2:2">
      <c r="B182" s="811"/>
    </row>
    <row r="183" spans="2:2">
      <c r="B183" s="811"/>
    </row>
    <row r="184" spans="2:2">
      <c r="B184" s="811"/>
    </row>
    <row r="185" spans="2:2">
      <c r="B185" s="811"/>
    </row>
    <row r="186" spans="2:2">
      <c r="B186" s="811"/>
    </row>
    <row r="187" spans="2:2">
      <c r="B187" s="811"/>
    </row>
    <row r="188" spans="2:2">
      <c r="B188" s="811"/>
    </row>
    <row r="189" spans="2:2">
      <c r="B189" s="811"/>
    </row>
    <row r="190" spans="2:2">
      <c r="B190" s="811"/>
    </row>
    <row r="191" spans="2:2">
      <c r="B191" s="811"/>
    </row>
    <row r="192" spans="2:2">
      <c r="B192" s="811"/>
    </row>
    <row r="193" spans="2:2">
      <c r="B193" s="811"/>
    </row>
    <row r="194" spans="2:2">
      <c r="B194" s="811"/>
    </row>
    <row r="195" spans="2:2">
      <c r="B195" s="811"/>
    </row>
    <row r="196" spans="2:2">
      <c r="B196" s="811"/>
    </row>
    <row r="197" spans="2:2">
      <c r="B197" s="811"/>
    </row>
    <row r="198" spans="2:2">
      <c r="B198" s="811"/>
    </row>
    <row r="199" spans="2:2">
      <c r="B199" s="811"/>
    </row>
    <row r="200" spans="2:2">
      <c r="B200" s="811"/>
    </row>
    <row r="201" spans="2:2">
      <c r="B201" s="811"/>
    </row>
    <row r="202" spans="2:2">
      <c r="B202" s="811"/>
    </row>
    <row r="203" spans="2:2">
      <c r="B203" s="811"/>
    </row>
    <row r="204" spans="2:2">
      <c r="B204" s="811"/>
    </row>
    <row r="205" spans="2:2">
      <c r="B205" s="811"/>
    </row>
    <row r="206" spans="2:2">
      <c r="B206" s="811"/>
    </row>
    <row r="207" spans="2:2">
      <c r="B207" s="811"/>
    </row>
    <row r="208" spans="2:2">
      <c r="B208" s="811"/>
    </row>
    <row r="209" spans="2:2">
      <c r="B209" s="811"/>
    </row>
    <row r="210" spans="2:2">
      <c r="B210" s="811"/>
    </row>
    <row r="211" spans="2:2">
      <c r="B211" s="811"/>
    </row>
    <row r="212" spans="2:2">
      <c r="B212" s="811"/>
    </row>
    <row r="213" spans="2:2">
      <c r="B213" s="811"/>
    </row>
    <row r="214" spans="2:2">
      <c r="B214" s="811"/>
    </row>
    <row r="215" spans="2:2">
      <c r="B215" s="811"/>
    </row>
    <row r="216" spans="2:2">
      <c r="B216" s="811"/>
    </row>
    <row r="217" spans="2:2">
      <c r="B217" s="811"/>
    </row>
    <row r="218" spans="2:2">
      <c r="B218" s="811"/>
    </row>
    <row r="219" spans="2:2">
      <c r="B219" s="811"/>
    </row>
    <row r="220" spans="2:2">
      <c r="B220" s="811"/>
    </row>
  </sheetData>
  <mergeCells count="56">
    <mergeCell ref="A109:A110"/>
    <mergeCell ref="A97:A98"/>
    <mergeCell ref="A99:A100"/>
    <mergeCell ref="A101:A102"/>
    <mergeCell ref="A103:A104"/>
    <mergeCell ref="A105:A106"/>
    <mergeCell ref="A107:A108"/>
    <mergeCell ref="A93:A94"/>
    <mergeCell ref="A95:A96"/>
    <mergeCell ref="A83:A84"/>
    <mergeCell ref="A85:A86"/>
    <mergeCell ref="A87:A88"/>
    <mergeCell ref="A89:A90"/>
    <mergeCell ref="A91:A92"/>
    <mergeCell ref="A81:A82"/>
    <mergeCell ref="A59:A60"/>
    <mergeCell ref="A61:A62"/>
    <mergeCell ref="A63:A64"/>
    <mergeCell ref="A65:A66"/>
    <mergeCell ref="A67:A68"/>
    <mergeCell ref="A69:A70"/>
    <mergeCell ref="A71:A72"/>
    <mergeCell ref="A73:A74"/>
    <mergeCell ref="A75:A76"/>
    <mergeCell ref="A77:A78"/>
    <mergeCell ref="A79:A80"/>
    <mergeCell ref="A57:A58"/>
    <mergeCell ref="A35:A36"/>
    <mergeCell ref="A37:A38"/>
    <mergeCell ref="A39:A40"/>
    <mergeCell ref="A41:A42"/>
    <mergeCell ref="A43:A44"/>
    <mergeCell ref="A45:A46"/>
    <mergeCell ref="A47:A48"/>
    <mergeCell ref="A49:A50"/>
    <mergeCell ref="A51:A52"/>
    <mergeCell ref="A53:A54"/>
    <mergeCell ref="A55:A56"/>
    <mergeCell ref="A33:A34"/>
    <mergeCell ref="A11:A12"/>
    <mergeCell ref="A13:A14"/>
    <mergeCell ref="A15:A16"/>
    <mergeCell ref="A17:A18"/>
    <mergeCell ref="A19:A20"/>
    <mergeCell ref="A21:A22"/>
    <mergeCell ref="A23:A24"/>
    <mergeCell ref="A25:A26"/>
    <mergeCell ref="A27:A28"/>
    <mergeCell ref="A29:A30"/>
    <mergeCell ref="A31:A32"/>
    <mergeCell ref="A9:A10"/>
    <mergeCell ref="D1:F1"/>
    <mergeCell ref="E2:AE2"/>
    <mergeCell ref="AG2:AL2"/>
    <mergeCell ref="A5:A6"/>
    <mergeCell ref="A7:A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157"/>
  <sheetViews>
    <sheetView zoomScale="80" zoomScaleNormal="80" workbookViewId="0">
      <pane ySplit="16" topLeftCell="A89" activePane="bottomLeft" state="frozen"/>
      <selection activeCell="D157" sqref="D157"/>
      <selection pane="bottomLeft" activeCell="D157" sqref="D157"/>
    </sheetView>
  </sheetViews>
  <sheetFormatPr defaultColWidth="9" defaultRowHeight="14.4"/>
  <cols>
    <col min="1" max="1" width="9" style="25"/>
    <col min="2" max="2" width="37" style="699" customWidth="1"/>
    <col min="3" max="3" width="9" style="23"/>
    <col min="4" max="16384" width="9" style="25"/>
  </cols>
  <sheetData>
    <row r="16" spans="2:21" ht="26.25" customHeight="1">
      <c r="B16" s="700" t="s">
        <v>560</v>
      </c>
      <c r="C16" s="6" t="s">
        <v>504</v>
      </c>
      <c r="D16" s="5"/>
      <c r="E16" s="5"/>
      <c r="F16" s="5"/>
      <c r="G16" s="5"/>
      <c r="H16" s="5"/>
      <c r="I16" s="5"/>
      <c r="J16" s="5"/>
      <c r="K16" s="5"/>
      <c r="L16" s="5"/>
      <c r="M16" s="5"/>
      <c r="N16" s="5"/>
      <c r="O16" s="5"/>
      <c r="P16" s="5"/>
      <c r="Q16" s="5"/>
      <c r="R16" s="5"/>
      <c r="S16" s="5"/>
      <c r="T16" s="5"/>
      <c r="U16" s="5"/>
    </row>
    <row r="17" spans="2:21" ht="55.5" customHeight="1">
      <c r="B17" s="701" t="s">
        <v>634</v>
      </c>
      <c r="C17" s="4" t="s">
        <v>727</v>
      </c>
      <c r="D17" s="4"/>
      <c r="E17" s="4"/>
      <c r="F17" s="4"/>
      <c r="G17" s="4"/>
      <c r="H17" s="4"/>
      <c r="I17" s="4"/>
      <c r="J17" s="4"/>
      <c r="K17" s="4"/>
      <c r="L17" s="4"/>
      <c r="M17" s="4"/>
      <c r="N17" s="4"/>
      <c r="O17" s="4"/>
      <c r="P17" s="4"/>
      <c r="Q17" s="4"/>
      <c r="R17" s="4"/>
      <c r="S17" s="4"/>
      <c r="T17" s="4"/>
      <c r="U17" s="3"/>
    </row>
    <row r="18" spans="2:21" ht="15.6">
      <c r="B18" s="702"/>
      <c r="C18" s="703"/>
      <c r="D18" s="704"/>
      <c r="E18" s="704"/>
      <c r="F18" s="704"/>
      <c r="G18" s="704"/>
      <c r="H18" s="704"/>
      <c r="I18" s="704"/>
      <c r="J18" s="704"/>
      <c r="K18" s="704"/>
      <c r="L18" s="704"/>
      <c r="M18" s="704"/>
      <c r="N18" s="704"/>
      <c r="O18" s="704"/>
      <c r="P18" s="704"/>
      <c r="Q18" s="704"/>
      <c r="R18" s="704"/>
      <c r="S18" s="704"/>
      <c r="T18" s="704"/>
      <c r="U18" s="705"/>
    </row>
    <row r="19" spans="2:21" ht="15.6">
      <c r="B19" s="702"/>
      <c r="C19" s="703" t="s">
        <v>638</v>
      </c>
      <c r="D19" s="704"/>
      <c r="E19" s="704"/>
      <c r="F19" s="704"/>
      <c r="G19" s="704"/>
      <c r="H19" s="704"/>
      <c r="I19" s="704"/>
      <c r="J19" s="704"/>
      <c r="K19" s="704"/>
      <c r="L19" s="704"/>
      <c r="M19" s="704"/>
      <c r="N19" s="704"/>
      <c r="O19" s="704"/>
      <c r="P19" s="704"/>
      <c r="Q19" s="704"/>
      <c r="R19" s="704"/>
      <c r="S19" s="704"/>
      <c r="T19" s="704"/>
      <c r="U19" s="705"/>
    </row>
    <row r="20" spans="2:21" ht="15.6">
      <c r="B20" s="702"/>
      <c r="C20" s="703"/>
      <c r="D20" s="704"/>
      <c r="E20" s="704"/>
      <c r="F20" s="704"/>
      <c r="G20" s="704"/>
      <c r="H20" s="704"/>
      <c r="I20" s="704"/>
      <c r="J20" s="704"/>
      <c r="K20" s="704"/>
      <c r="L20" s="704"/>
      <c r="M20" s="704"/>
      <c r="N20" s="704"/>
      <c r="O20" s="704"/>
      <c r="P20" s="704"/>
      <c r="Q20" s="704"/>
      <c r="R20" s="704"/>
      <c r="S20" s="704"/>
      <c r="T20" s="704"/>
      <c r="U20" s="705"/>
    </row>
    <row r="21" spans="2:21" ht="15.6">
      <c r="B21" s="702"/>
      <c r="C21" s="703" t="s">
        <v>635</v>
      </c>
      <c r="D21" s="704"/>
      <c r="E21" s="704"/>
      <c r="F21" s="704"/>
      <c r="G21" s="704"/>
      <c r="H21" s="704"/>
      <c r="I21" s="704"/>
      <c r="J21" s="704"/>
      <c r="K21" s="704"/>
      <c r="L21" s="704"/>
      <c r="M21" s="704"/>
      <c r="N21" s="704"/>
      <c r="O21" s="704"/>
      <c r="P21" s="704"/>
      <c r="Q21" s="704"/>
      <c r="R21" s="704"/>
      <c r="S21" s="704"/>
      <c r="T21" s="704"/>
      <c r="U21" s="705"/>
    </row>
    <row r="22" spans="2:21" ht="15.6">
      <c r="B22" s="702"/>
      <c r="C22" s="703"/>
      <c r="D22" s="704"/>
      <c r="E22" s="704"/>
      <c r="F22" s="704"/>
      <c r="G22" s="704"/>
      <c r="H22" s="704"/>
      <c r="I22" s="704"/>
      <c r="J22" s="704"/>
      <c r="K22" s="704"/>
      <c r="L22" s="704"/>
      <c r="M22" s="704"/>
      <c r="N22" s="704"/>
      <c r="O22" s="704"/>
      <c r="P22" s="704"/>
      <c r="Q22" s="704"/>
      <c r="R22" s="704"/>
      <c r="S22" s="704"/>
      <c r="T22" s="704"/>
      <c r="U22" s="705"/>
    </row>
    <row r="23" spans="2:21" ht="30" customHeight="1">
      <c r="B23" s="702"/>
      <c r="C23" s="10" t="s">
        <v>636</v>
      </c>
      <c r="D23" s="10"/>
      <c r="E23" s="10"/>
      <c r="F23" s="10"/>
      <c r="G23" s="10"/>
      <c r="H23" s="10"/>
      <c r="I23" s="10"/>
      <c r="J23" s="10"/>
      <c r="K23" s="10"/>
      <c r="L23" s="10"/>
      <c r="M23" s="10"/>
      <c r="N23" s="10"/>
      <c r="O23" s="10"/>
      <c r="P23" s="10"/>
      <c r="Q23" s="10"/>
      <c r="R23" s="10"/>
      <c r="S23" s="10"/>
      <c r="T23" s="704"/>
      <c r="U23" s="705"/>
    </row>
    <row r="24" spans="2:21" ht="15.6">
      <c r="B24" s="702"/>
      <c r="C24" s="703"/>
      <c r="D24" s="704"/>
      <c r="E24" s="704"/>
      <c r="F24" s="704"/>
      <c r="G24" s="704"/>
      <c r="H24" s="704"/>
      <c r="I24" s="704"/>
      <c r="J24" s="704"/>
      <c r="K24" s="704"/>
      <c r="L24" s="704"/>
      <c r="M24" s="704"/>
      <c r="N24" s="704"/>
      <c r="O24" s="704"/>
      <c r="P24" s="704"/>
      <c r="Q24" s="704"/>
      <c r="R24" s="704"/>
      <c r="S24" s="704"/>
      <c r="T24" s="704"/>
      <c r="U24" s="705"/>
    </row>
    <row r="25" spans="2:21" ht="15.6">
      <c r="B25" s="702"/>
      <c r="C25" s="703" t="s">
        <v>639</v>
      </c>
      <c r="D25" s="704"/>
      <c r="E25" s="704"/>
      <c r="F25" s="704"/>
      <c r="G25" s="704"/>
      <c r="H25" s="704"/>
      <c r="I25" s="704"/>
      <c r="J25" s="704"/>
      <c r="K25" s="704"/>
      <c r="L25" s="704"/>
      <c r="M25" s="704"/>
      <c r="N25" s="704"/>
      <c r="O25" s="704"/>
      <c r="P25" s="704"/>
      <c r="Q25" s="704"/>
      <c r="R25" s="704"/>
      <c r="S25" s="704"/>
      <c r="T25" s="704"/>
      <c r="U25" s="705"/>
    </row>
    <row r="26" spans="2:21" ht="15.6">
      <c r="B26" s="702"/>
      <c r="C26" s="703"/>
      <c r="D26" s="704"/>
      <c r="E26" s="704"/>
      <c r="F26" s="704"/>
      <c r="G26" s="704"/>
      <c r="H26" s="704"/>
      <c r="I26" s="704"/>
      <c r="J26" s="704"/>
      <c r="K26" s="704"/>
      <c r="L26" s="704"/>
      <c r="M26" s="704"/>
      <c r="N26" s="704"/>
      <c r="O26" s="704"/>
      <c r="P26" s="704"/>
      <c r="Q26" s="704"/>
      <c r="R26" s="704"/>
      <c r="S26" s="704"/>
      <c r="T26" s="704"/>
      <c r="U26" s="705"/>
    </row>
    <row r="27" spans="2:21" ht="31.5" customHeight="1">
      <c r="B27" s="702"/>
      <c r="C27" s="10" t="s">
        <v>637</v>
      </c>
      <c r="D27" s="10"/>
      <c r="E27" s="10"/>
      <c r="F27" s="10"/>
      <c r="G27" s="10"/>
      <c r="H27" s="10"/>
      <c r="I27" s="10"/>
      <c r="J27" s="10"/>
      <c r="K27" s="10"/>
      <c r="L27" s="10"/>
      <c r="M27" s="10"/>
      <c r="N27" s="10"/>
      <c r="O27" s="10"/>
      <c r="P27" s="10"/>
      <c r="Q27" s="10"/>
      <c r="R27" s="10"/>
      <c r="S27" s="10"/>
      <c r="T27" s="10"/>
      <c r="U27" s="9"/>
    </row>
    <row r="28" spans="2:21" ht="15.6">
      <c r="B28" s="702"/>
      <c r="C28" s="703"/>
      <c r="D28" s="704"/>
      <c r="E28" s="704"/>
      <c r="F28" s="704"/>
      <c r="G28" s="704"/>
      <c r="H28" s="704"/>
      <c r="I28" s="704"/>
      <c r="J28" s="704"/>
      <c r="K28" s="704"/>
      <c r="L28" s="704"/>
      <c r="M28" s="704"/>
      <c r="N28" s="704"/>
      <c r="O28" s="704"/>
      <c r="P28" s="704"/>
      <c r="Q28" s="704"/>
      <c r="R28" s="704"/>
      <c r="S28" s="704"/>
      <c r="T28" s="704"/>
      <c r="U28" s="705"/>
    </row>
    <row r="29" spans="2:21" ht="31.5" customHeight="1">
      <c r="B29" s="702"/>
      <c r="C29" s="10" t="s">
        <v>640</v>
      </c>
      <c r="D29" s="10"/>
      <c r="E29" s="10"/>
      <c r="F29" s="10"/>
      <c r="G29" s="10"/>
      <c r="H29" s="10"/>
      <c r="I29" s="10"/>
      <c r="J29" s="10"/>
      <c r="K29" s="10"/>
      <c r="L29" s="10"/>
      <c r="M29" s="10"/>
      <c r="N29" s="10"/>
      <c r="O29" s="10"/>
      <c r="P29" s="10"/>
      <c r="Q29" s="10"/>
      <c r="R29" s="10"/>
      <c r="S29" s="10"/>
      <c r="T29" s="10"/>
      <c r="U29" s="9"/>
    </row>
    <row r="30" spans="2:21" ht="15.6">
      <c r="B30" s="702"/>
      <c r="C30" s="703"/>
      <c r="D30" s="704"/>
      <c r="E30" s="704"/>
      <c r="F30" s="704"/>
      <c r="G30" s="704"/>
      <c r="H30" s="704"/>
      <c r="I30" s="704"/>
      <c r="J30" s="704"/>
      <c r="K30" s="704"/>
      <c r="L30" s="704"/>
      <c r="M30" s="704"/>
      <c r="N30" s="704"/>
      <c r="O30" s="704"/>
      <c r="P30" s="704"/>
      <c r="Q30" s="704"/>
      <c r="R30" s="704"/>
      <c r="S30" s="704"/>
      <c r="T30" s="704"/>
      <c r="U30" s="705"/>
    </row>
    <row r="31" spans="2:21" ht="15.6">
      <c r="B31" s="702"/>
      <c r="C31" s="703" t="s">
        <v>641</v>
      </c>
      <c r="D31" s="704"/>
      <c r="E31" s="704"/>
      <c r="F31" s="704"/>
      <c r="G31" s="704"/>
      <c r="H31" s="704"/>
      <c r="I31" s="704"/>
      <c r="J31" s="704"/>
      <c r="K31" s="704"/>
      <c r="L31" s="704"/>
      <c r="M31" s="704"/>
      <c r="N31" s="704"/>
      <c r="O31" s="704"/>
      <c r="P31" s="704"/>
      <c r="Q31" s="704"/>
      <c r="R31" s="704"/>
      <c r="S31" s="704"/>
      <c r="T31" s="704"/>
      <c r="U31" s="705"/>
    </row>
    <row r="32" spans="2:21" ht="15.6">
      <c r="B32" s="706"/>
      <c r="C32" s="707"/>
      <c r="D32" s="708"/>
      <c r="E32" s="708"/>
      <c r="F32" s="708"/>
      <c r="G32" s="708"/>
      <c r="H32" s="708"/>
      <c r="I32" s="708"/>
      <c r="J32" s="708"/>
      <c r="K32" s="708"/>
      <c r="L32" s="708"/>
      <c r="M32" s="708"/>
      <c r="N32" s="708"/>
      <c r="O32" s="708"/>
      <c r="P32" s="708"/>
      <c r="Q32" s="708"/>
      <c r="R32" s="708"/>
      <c r="S32" s="708"/>
      <c r="T32" s="708"/>
      <c r="U32" s="709"/>
    </row>
    <row r="33" spans="2:21" ht="39" customHeight="1">
      <c r="B33" s="710" t="s">
        <v>642</v>
      </c>
      <c r="C33" s="2" t="s">
        <v>643</v>
      </c>
      <c r="D33" s="2"/>
      <c r="E33" s="2"/>
      <c r="F33" s="2"/>
      <c r="G33" s="2"/>
      <c r="H33" s="2"/>
      <c r="I33" s="2"/>
      <c r="J33" s="2"/>
      <c r="K33" s="2"/>
      <c r="L33" s="2"/>
      <c r="M33" s="2"/>
      <c r="N33" s="2"/>
      <c r="O33" s="2"/>
      <c r="P33" s="2"/>
      <c r="Q33" s="2"/>
      <c r="R33" s="2"/>
      <c r="S33" s="2"/>
      <c r="T33" s="2"/>
      <c r="U33" s="1"/>
    </row>
    <row r="34" spans="2:21">
      <c r="B34" s="711"/>
      <c r="C34" s="712"/>
      <c r="D34" s="712"/>
      <c r="E34" s="712"/>
      <c r="F34" s="712"/>
      <c r="G34" s="712"/>
      <c r="H34" s="712"/>
      <c r="I34" s="712"/>
      <c r="J34" s="712"/>
      <c r="K34" s="712"/>
      <c r="L34" s="712"/>
      <c r="M34" s="712"/>
      <c r="N34" s="712"/>
      <c r="O34" s="712"/>
      <c r="P34" s="712"/>
      <c r="Q34" s="712"/>
      <c r="R34" s="712"/>
      <c r="S34" s="712"/>
      <c r="T34" s="712"/>
      <c r="U34" s="713"/>
    </row>
    <row r="35" spans="2:21" ht="15.6">
      <c r="B35" s="714" t="s">
        <v>644</v>
      </c>
      <c r="C35" s="715" t="s">
        <v>645</v>
      </c>
      <c r="D35" s="704"/>
      <c r="E35" s="704"/>
      <c r="F35" s="704"/>
      <c r="G35" s="704"/>
      <c r="H35" s="704"/>
      <c r="I35" s="704"/>
      <c r="J35" s="704"/>
      <c r="K35" s="704"/>
      <c r="L35" s="704"/>
      <c r="M35" s="704"/>
      <c r="N35" s="704"/>
      <c r="O35" s="704"/>
      <c r="P35" s="704"/>
      <c r="Q35" s="704"/>
      <c r="R35" s="704"/>
      <c r="S35" s="704"/>
      <c r="T35" s="704"/>
      <c r="U35" s="705"/>
    </row>
    <row r="36" spans="2:21">
      <c r="B36" s="716"/>
      <c r="C36" s="708"/>
      <c r="D36" s="708"/>
      <c r="E36" s="708"/>
      <c r="F36" s="708"/>
      <c r="G36" s="708"/>
      <c r="H36" s="708"/>
      <c r="I36" s="708"/>
      <c r="J36" s="708"/>
      <c r="K36" s="708"/>
      <c r="L36" s="708"/>
      <c r="M36" s="708"/>
      <c r="N36" s="708"/>
      <c r="O36" s="708"/>
      <c r="P36" s="708"/>
      <c r="Q36" s="708"/>
      <c r="R36" s="708"/>
      <c r="S36" s="708"/>
      <c r="T36" s="708"/>
      <c r="U36" s="709"/>
    </row>
    <row r="37" spans="2:21" ht="34.5" customHeight="1">
      <c r="B37" s="701" t="s">
        <v>646</v>
      </c>
      <c r="C37" s="8" t="s">
        <v>647</v>
      </c>
      <c r="D37" s="8"/>
      <c r="E37" s="8"/>
      <c r="F37" s="8"/>
      <c r="G37" s="8"/>
      <c r="H37" s="8"/>
      <c r="I37" s="8"/>
      <c r="J37" s="8"/>
      <c r="K37" s="8"/>
      <c r="L37" s="8"/>
      <c r="M37" s="8"/>
      <c r="N37" s="8"/>
      <c r="O37" s="8"/>
      <c r="P37" s="8"/>
      <c r="Q37" s="8"/>
      <c r="R37" s="8"/>
      <c r="S37" s="8"/>
      <c r="T37" s="8"/>
      <c r="U37" s="7"/>
    </row>
    <row r="38" spans="2:21">
      <c r="B38" s="716"/>
      <c r="C38" s="708"/>
      <c r="D38" s="708"/>
      <c r="E38" s="708"/>
      <c r="F38" s="708"/>
      <c r="G38" s="708"/>
      <c r="H38" s="708"/>
      <c r="I38" s="708"/>
      <c r="J38" s="708"/>
      <c r="K38" s="708"/>
      <c r="L38" s="708"/>
      <c r="M38" s="708"/>
      <c r="N38" s="708"/>
      <c r="O38" s="708"/>
      <c r="P38" s="708"/>
      <c r="Q38" s="708"/>
      <c r="R38" s="708"/>
      <c r="S38" s="708"/>
      <c r="T38" s="708"/>
      <c r="U38" s="709"/>
    </row>
    <row r="39" spans="2:21" ht="15.6">
      <c r="B39" s="701" t="s">
        <v>648</v>
      </c>
      <c r="C39" s="717" t="s">
        <v>649</v>
      </c>
      <c r="D39" s="712"/>
      <c r="E39" s="712"/>
      <c r="F39" s="712"/>
      <c r="G39" s="712"/>
      <c r="H39" s="712"/>
      <c r="I39" s="712"/>
      <c r="J39" s="712"/>
      <c r="K39" s="712"/>
      <c r="L39" s="712"/>
      <c r="M39" s="712"/>
      <c r="N39" s="712"/>
      <c r="O39" s="712"/>
      <c r="P39" s="712"/>
      <c r="Q39" s="712"/>
      <c r="R39" s="712"/>
      <c r="S39" s="712"/>
      <c r="T39" s="712"/>
      <c r="U39" s="713"/>
    </row>
    <row r="40" spans="2:21">
      <c r="B40" s="716"/>
      <c r="C40" s="708"/>
      <c r="D40" s="708"/>
      <c r="E40" s="708"/>
      <c r="F40" s="708"/>
      <c r="G40" s="708"/>
      <c r="H40" s="708"/>
      <c r="I40" s="708"/>
      <c r="J40" s="708"/>
      <c r="K40" s="708"/>
      <c r="L40" s="708"/>
      <c r="M40" s="708"/>
      <c r="N40" s="708"/>
      <c r="O40" s="708"/>
      <c r="P40" s="708"/>
      <c r="Q40" s="708"/>
      <c r="R40" s="708"/>
      <c r="S40" s="708"/>
      <c r="T40" s="708"/>
      <c r="U40" s="709"/>
    </row>
    <row r="41" spans="2:21" ht="38.25" customHeight="1">
      <c r="B41" s="710" t="s">
        <v>650</v>
      </c>
      <c r="C41" s="858" t="s">
        <v>651</v>
      </c>
      <c r="D41" s="858"/>
      <c r="E41" s="858"/>
      <c r="F41" s="858"/>
      <c r="G41" s="858"/>
      <c r="H41" s="858"/>
      <c r="I41" s="858"/>
      <c r="J41" s="858"/>
      <c r="K41" s="858"/>
      <c r="L41" s="858"/>
      <c r="M41" s="858"/>
      <c r="N41" s="858"/>
      <c r="O41" s="858"/>
      <c r="P41" s="858"/>
      <c r="Q41" s="858"/>
      <c r="R41" s="858"/>
      <c r="S41" s="858"/>
      <c r="T41" s="858"/>
      <c r="U41" s="859"/>
    </row>
    <row r="42" spans="2:21">
      <c r="B42" s="718"/>
      <c r="C42" s="712"/>
      <c r="D42" s="712"/>
      <c r="E42" s="712"/>
      <c r="F42" s="712"/>
      <c r="G42" s="712"/>
      <c r="H42" s="712"/>
      <c r="I42" s="712"/>
      <c r="J42" s="712"/>
      <c r="K42" s="712"/>
      <c r="L42" s="712"/>
      <c r="M42" s="712"/>
      <c r="N42" s="712"/>
      <c r="O42" s="712"/>
      <c r="P42" s="712"/>
      <c r="Q42" s="712"/>
      <c r="R42" s="712"/>
      <c r="S42" s="712"/>
      <c r="T42" s="712"/>
      <c r="U42" s="713"/>
    </row>
    <row r="43" spans="2:21" ht="15.6">
      <c r="B43" s="714" t="s">
        <v>652</v>
      </c>
      <c r="C43" s="715" t="s">
        <v>653</v>
      </c>
      <c r="D43" s="704"/>
      <c r="E43" s="704"/>
      <c r="F43" s="704"/>
      <c r="G43" s="704"/>
      <c r="H43" s="704"/>
      <c r="I43" s="704"/>
      <c r="J43" s="704"/>
      <c r="K43" s="704"/>
      <c r="L43" s="704"/>
      <c r="M43" s="704"/>
      <c r="N43" s="704"/>
      <c r="O43" s="704"/>
      <c r="P43" s="704"/>
      <c r="Q43" s="704"/>
      <c r="R43" s="704"/>
      <c r="S43" s="704"/>
      <c r="T43" s="704"/>
      <c r="U43" s="705"/>
    </row>
    <row r="44" spans="2:21">
      <c r="B44" s="719"/>
      <c r="C44" s="704"/>
      <c r="D44" s="704"/>
      <c r="E44" s="704"/>
      <c r="F44" s="704"/>
      <c r="G44" s="704"/>
      <c r="H44" s="704"/>
      <c r="I44" s="704"/>
      <c r="J44" s="704"/>
      <c r="K44" s="704"/>
      <c r="L44" s="704"/>
      <c r="M44" s="704"/>
      <c r="N44" s="704"/>
      <c r="O44" s="704"/>
      <c r="P44" s="704"/>
      <c r="Q44" s="704"/>
      <c r="R44" s="704"/>
      <c r="S44" s="704"/>
      <c r="T44" s="704"/>
      <c r="U44" s="705"/>
    </row>
    <row r="45" spans="2:21" ht="36" customHeight="1">
      <c r="B45" s="719"/>
      <c r="C45" s="12" t="s">
        <v>669</v>
      </c>
      <c r="D45" s="12"/>
      <c r="E45" s="12"/>
      <c r="F45" s="12"/>
      <c r="G45" s="12"/>
      <c r="H45" s="12"/>
      <c r="I45" s="12"/>
      <c r="J45" s="12"/>
      <c r="K45" s="12"/>
      <c r="L45" s="12"/>
      <c r="M45" s="12"/>
      <c r="N45" s="12"/>
      <c r="O45" s="12"/>
      <c r="P45" s="12"/>
      <c r="Q45" s="12"/>
      <c r="R45" s="12"/>
      <c r="S45" s="12"/>
      <c r="T45" s="12"/>
      <c r="U45" s="11"/>
    </row>
    <row r="46" spans="2:21">
      <c r="B46" s="719"/>
      <c r="C46" s="720"/>
      <c r="D46" s="704"/>
      <c r="E46" s="704"/>
      <c r="F46" s="704"/>
      <c r="G46" s="704"/>
      <c r="H46" s="704"/>
      <c r="I46" s="704"/>
      <c r="J46" s="704"/>
      <c r="K46" s="704"/>
      <c r="L46" s="704"/>
      <c r="M46" s="704"/>
      <c r="N46" s="704"/>
      <c r="O46" s="704"/>
      <c r="P46" s="704"/>
      <c r="Q46" s="704"/>
      <c r="R46" s="704"/>
      <c r="S46" s="704"/>
      <c r="T46" s="704"/>
      <c r="U46" s="705"/>
    </row>
    <row r="47" spans="2:21" ht="35.25" customHeight="1">
      <c r="B47" s="719"/>
      <c r="C47" s="12" t="s">
        <v>654</v>
      </c>
      <c r="D47" s="12"/>
      <c r="E47" s="12"/>
      <c r="F47" s="12"/>
      <c r="G47" s="12"/>
      <c r="H47" s="12"/>
      <c r="I47" s="12"/>
      <c r="J47" s="12"/>
      <c r="K47" s="12"/>
      <c r="L47" s="12"/>
      <c r="M47" s="12"/>
      <c r="N47" s="12"/>
      <c r="O47" s="12"/>
      <c r="P47" s="12"/>
      <c r="Q47" s="12"/>
      <c r="R47" s="12"/>
      <c r="S47" s="12"/>
      <c r="T47" s="12"/>
      <c r="U47" s="11"/>
    </row>
    <row r="48" spans="2:21">
      <c r="B48" s="719"/>
      <c r="C48" s="720"/>
      <c r="D48" s="704"/>
      <c r="E48" s="704"/>
      <c r="F48" s="704"/>
      <c r="G48" s="704"/>
      <c r="H48" s="704"/>
      <c r="I48" s="704"/>
      <c r="J48" s="704"/>
      <c r="K48" s="704"/>
      <c r="L48" s="704"/>
      <c r="M48" s="704"/>
      <c r="N48" s="704"/>
      <c r="O48" s="704"/>
      <c r="P48" s="704"/>
      <c r="Q48" s="704"/>
      <c r="R48" s="704"/>
      <c r="S48" s="704"/>
      <c r="T48" s="704"/>
      <c r="U48" s="705"/>
    </row>
    <row r="49" spans="2:21" ht="40.5" customHeight="1">
      <c r="B49" s="719"/>
      <c r="C49" s="12" t="s">
        <v>655</v>
      </c>
      <c r="D49" s="12"/>
      <c r="E49" s="12"/>
      <c r="F49" s="12"/>
      <c r="G49" s="12"/>
      <c r="H49" s="12"/>
      <c r="I49" s="12"/>
      <c r="J49" s="12"/>
      <c r="K49" s="12"/>
      <c r="L49" s="12"/>
      <c r="M49" s="12"/>
      <c r="N49" s="12"/>
      <c r="O49" s="12"/>
      <c r="P49" s="12"/>
      <c r="Q49" s="12"/>
      <c r="R49" s="12"/>
      <c r="S49" s="12"/>
      <c r="T49" s="12"/>
      <c r="U49" s="11"/>
    </row>
    <row r="50" spans="2:21">
      <c r="B50" s="719"/>
      <c r="C50" s="720"/>
      <c r="D50" s="704"/>
      <c r="E50" s="704"/>
      <c r="F50" s="704"/>
      <c r="G50" s="704"/>
      <c r="H50" s="704"/>
      <c r="I50" s="704"/>
      <c r="J50" s="704"/>
      <c r="K50" s="704"/>
      <c r="L50" s="704"/>
      <c r="M50" s="704"/>
      <c r="N50" s="704"/>
      <c r="O50" s="704"/>
      <c r="P50" s="704"/>
      <c r="Q50" s="704"/>
      <c r="R50" s="704"/>
      <c r="S50" s="704"/>
      <c r="T50" s="704"/>
      <c r="U50" s="705"/>
    </row>
    <row r="51" spans="2:21" ht="30" customHeight="1">
      <c r="B51" s="719"/>
      <c r="C51" s="12" t="s">
        <v>656</v>
      </c>
      <c r="D51" s="12"/>
      <c r="E51" s="12"/>
      <c r="F51" s="12"/>
      <c r="G51" s="12"/>
      <c r="H51" s="12"/>
      <c r="I51" s="12"/>
      <c r="J51" s="12"/>
      <c r="K51" s="12"/>
      <c r="L51" s="12"/>
      <c r="M51" s="12"/>
      <c r="N51" s="12"/>
      <c r="O51" s="12"/>
      <c r="P51" s="12"/>
      <c r="Q51" s="12"/>
      <c r="R51" s="12"/>
      <c r="S51" s="12"/>
      <c r="T51" s="12"/>
      <c r="U51" s="11"/>
    </row>
    <row r="52" spans="2:21" ht="15.6">
      <c r="B52" s="719"/>
      <c r="C52" s="703"/>
      <c r="D52" s="704"/>
      <c r="E52" s="704"/>
      <c r="F52" s="704"/>
      <c r="G52" s="704"/>
      <c r="H52" s="704"/>
      <c r="I52" s="704"/>
      <c r="J52" s="704"/>
      <c r="K52" s="704"/>
      <c r="L52" s="704"/>
      <c r="M52" s="704"/>
      <c r="N52" s="704"/>
      <c r="O52" s="704"/>
      <c r="P52" s="704"/>
      <c r="Q52" s="704"/>
      <c r="R52" s="704"/>
      <c r="S52" s="704"/>
      <c r="T52" s="704"/>
      <c r="U52" s="705"/>
    </row>
    <row r="53" spans="2:21" ht="31.5" customHeight="1">
      <c r="B53" s="719"/>
      <c r="C53" s="10" t="s">
        <v>668</v>
      </c>
      <c r="D53" s="10"/>
      <c r="E53" s="10"/>
      <c r="F53" s="10"/>
      <c r="G53" s="10"/>
      <c r="H53" s="10"/>
      <c r="I53" s="10"/>
      <c r="J53" s="10"/>
      <c r="K53" s="10"/>
      <c r="L53" s="10"/>
      <c r="M53" s="10"/>
      <c r="N53" s="10"/>
      <c r="O53" s="10"/>
      <c r="P53" s="10"/>
      <c r="Q53" s="10"/>
      <c r="R53" s="10"/>
      <c r="S53" s="10"/>
      <c r="T53" s="10"/>
      <c r="U53" s="9"/>
    </row>
    <row r="54" spans="2:21">
      <c r="B54" s="716"/>
      <c r="C54" s="708"/>
      <c r="D54" s="708"/>
      <c r="E54" s="708"/>
      <c r="F54" s="708"/>
      <c r="G54" s="708"/>
      <c r="H54" s="708"/>
      <c r="I54" s="708"/>
      <c r="J54" s="708"/>
      <c r="K54" s="708"/>
      <c r="L54" s="708"/>
      <c r="M54" s="708"/>
      <c r="N54" s="708"/>
      <c r="O54" s="708"/>
      <c r="P54" s="708"/>
      <c r="Q54" s="708"/>
      <c r="R54" s="708"/>
      <c r="S54" s="708"/>
      <c r="T54" s="708"/>
      <c r="U54" s="709"/>
    </row>
    <row r="55" spans="2:21" ht="48" customHeight="1">
      <c r="B55" s="701" t="s">
        <v>657</v>
      </c>
      <c r="C55" s="8" t="s">
        <v>658</v>
      </c>
      <c r="D55" s="8"/>
      <c r="E55" s="8"/>
      <c r="F55" s="8"/>
      <c r="G55" s="8"/>
      <c r="H55" s="8"/>
      <c r="I55" s="8"/>
      <c r="J55" s="8"/>
      <c r="K55" s="8"/>
      <c r="L55" s="8"/>
      <c r="M55" s="8"/>
      <c r="N55" s="8"/>
      <c r="O55" s="8"/>
      <c r="P55" s="8"/>
      <c r="Q55" s="8"/>
      <c r="R55" s="8"/>
      <c r="S55" s="8"/>
      <c r="T55" s="8"/>
      <c r="U55" s="7"/>
    </row>
    <row r="56" spans="2:21">
      <c r="B56" s="716"/>
      <c r="C56" s="708"/>
      <c r="D56" s="708"/>
      <c r="E56" s="708"/>
      <c r="F56" s="708"/>
      <c r="G56" s="708"/>
      <c r="H56" s="708"/>
      <c r="I56" s="708"/>
      <c r="J56" s="708"/>
      <c r="K56" s="708"/>
      <c r="L56" s="708"/>
      <c r="M56" s="708"/>
      <c r="N56" s="708"/>
      <c r="O56" s="708"/>
      <c r="P56" s="708"/>
      <c r="Q56" s="708"/>
      <c r="R56" s="708"/>
      <c r="S56" s="708"/>
      <c r="T56" s="708"/>
      <c r="U56" s="709"/>
    </row>
    <row r="57" spans="2:21" ht="34.5" customHeight="1">
      <c r="B57" s="701" t="s">
        <v>659</v>
      </c>
      <c r="C57" s="8" t="s">
        <v>660</v>
      </c>
      <c r="D57" s="8"/>
      <c r="E57" s="8"/>
      <c r="F57" s="8"/>
      <c r="G57" s="8"/>
      <c r="H57" s="8"/>
      <c r="I57" s="8"/>
      <c r="J57" s="8"/>
      <c r="K57" s="8"/>
      <c r="L57" s="8"/>
      <c r="M57" s="8"/>
      <c r="N57" s="8"/>
      <c r="O57" s="8"/>
      <c r="P57" s="8"/>
      <c r="Q57" s="8"/>
      <c r="R57" s="8"/>
      <c r="S57" s="8"/>
      <c r="T57" s="8"/>
      <c r="U57" s="7"/>
    </row>
    <row r="58" spans="2:21">
      <c r="B58" s="721"/>
      <c r="C58" s="708"/>
      <c r="D58" s="708"/>
      <c r="E58" s="708"/>
      <c r="F58" s="708"/>
      <c r="G58" s="708"/>
      <c r="H58" s="708"/>
      <c r="I58" s="708"/>
      <c r="J58" s="708"/>
      <c r="K58" s="708"/>
      <c r="L58" s="708"/>
      <c r="M58" s="708"/>
      <c r="N58" s="708"/>
      <c r="O58" s="708"/>
      <c r="P58" s="708"/>
      <c r="Q58" s="708"/>
      <c r="R58" s="708"/>
      <c r="S58" s="708"/>
      <c r="T58" s="708"/>
      <c r="U58" s="709"/>
    </row>
    <row r="59" spans="2:21" ht="30.75" customHeight="1">
      <c r="B59" s="710" t="s">
        <v>661</v>
      </c>
      <c r="C59" s="722" t="s">
        <v>662</v>
      </c>
      <c r="D59" s="723"/>
      <c r="E59" s="723"/>
      <c r="F59" s="723"/>
      <c r="G59" s="723"/>
      <c r="H59" s="723"/>
      <c r="I59" s="723"/>
      <c r="J59" s="723"/>
      <c r="K59" s="723"/>
      <c r="L59" s="723"/>
      <c r="M59" s="723"/>
      <c r="N59" s="723"/>
      <c r="O59" s="723"/>
      <c r="P59" s="723"/>
      <c r="Q59" s="723"/>
      <c r="R59" s="723"/>
      <c r="S59" s="723"/>
      <c r="T59" s="723"/>
      <c r="U59" s="724"/>
    </row>
    <row r="157" spans="4:4">
      <c r="D157" s="853"/>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157"/>
  <sheetViews>
    <sheetView topLeftCell="A113" zoomScale="85" zoomScaleNormal="85" workbookViewId="0">
      <selection activeCell="D157" sqref="D157"/>
    </sheetView>
  </sheetViews>
  <sheetFormatPr defaultColWidth="9" defaultRowHeight="15.6"/>
  <cols>
    <col min="1" max="1" width="3" style="25" customWidth="1"/>
    <col min="2" max="2" width="61.5546875" style="23" customWidth="1"/>
    <col min="3" max="3" width="58.5546875" style="25" customWidth="1"/>
    <col min="4" max="4" width="62.5546875" style="25" customWidth="1"/>
    <col min="5" max="5" width="42" style="25" customWidth="1"/>
    <col min="6" max="6" width="44.109375" style="25" customWidth="1"/>
    <col min="7" max="7" width="9" style="29"/>
    <col min="8" max="10" width="9" style="25"/>
    <col min="11" max="11" width="26" style="25" customWidth="1"/>
    <col min="12" max="12" width="60" style="30" customWidth="1"/>
    <col min="13" max="13" width="14.5546875" style="38" customWidth="1"/>
    <col min="14" max="14" width="29.5546875" style="30" customWidth="1"/>
    <col min="15" max="16384" width="9" style="25"/>
  </cols>
  <sheetData>
    <row r="1" spans="2:20" ht="146.25" customHeight="1"/>
    <row r="3" spans="2:20" ht="25.5" customHeight="1">
      <c r="B3" s="861" t="s">
        <v>722</v>
      </c>
      <c r="C3" s="862"/>
      <c r="D3" s="862"/>
      <c r="E3" s="862"/>
      <c r="F3" s="863"/>
      <c r="G3" s="135"/>
    </row>
    <row r="4" spans="2:20" ht="16.5" customHeight="1">
      <c r="B4" s="864"/>
      <c r="C4" s="865"/>
      <c r="D4" s="865"/>
      <c r="E4" s="865"/>
      <c r="F4" s="866"/>
      <c r="G4" s="135"/>
    </row>
    <row r="5" spans="2:20" ht="71.25" customHeight="1">
      <c r="B5" s="864"/>
      <c r="C5" s="865"/>
      <c r="D5" s="865"/>
      <c r="E5" s="865"/>
      <c r="F5" s="866"/>
      <c r="G5" s="135"/>
    </row>
    <row r="6" spans="2:20" ht="21.75" customHeight="1">
      <c r="B6" s="867"/>
      <c r="C6" s="868"/>
      <c r="D6" s="868"/>
      <c r="E6" s="868"/>
      <c r="F6" s="869"/>
      <c r="G6" s="135"/>
    </row>
    <row r="8" spans="2:20" ht="21">
      <c r="B8" s="860" t="s">
        <v>480</v>
      </c>
      <c r="C8" s="860"/>
      <c r="D8" s="860"/>
      <c r="E8" s="860"/>
      <c r="F8" s="860"/>
      <c r="G8" s="860"/>
    </row>
    <row r="9" spans="2:20" ht="24.75" customHeight="1" thickBot="1">
      <c r="B9" s="127"/>
      <c r="C9" s="127"/>
      <c r="D9" s="127"/>
      <c r="E9" s="127"/>
      <c r="F9" s="127"/>
      <c r="G9" s="132"/>
    </row>
    <row r="10" spans="2:20" ht="27.75" customHeight="1" thickBot="1">
      <c r="B10" s="130" t="s">
        <v>171</v>
      </c>
      <c r="C10" s="115" t="s">
        <v>406</v>
      </c>
      <c r="D10" s="127"/>
      <c r="E10" s="127"/>
      <c r="F10" s="127"/>
      <c r="G10" s="132"/>
    </row>
    <row r="11" spans="2:20">
      <c r="B11" s="127"/>
      <c r="C11" s="127"/>
      <c r="D11" s="127"/>
      <c r="E11" s="127"/>
      <c r="F11" s="127"/>
      <c r="G11" s="132"/>
    </row>
    <row r="12" spans="2:20" s="22" customFormat="1" ht="31.5" customHeight="1" thickBot="1">
      <c r="B12" s="96" t="s">
        <v>588</v>
      </c>
      <c r="G12" s="41"/>
      <c r="L12" s="46"/>
      <c r="M12" s="46"/>
      <c r="N12" s="46"/>
      <c r="O12" s="46"/>
      <c r="P12" s="46"/>
      <c r="Q12" s="81"/>
      <c r="S12" s="21"/>
      <c r="T12" s="21"/>
    </row>
    <row r="13" spans="2:20" s="22" customFormat="1" ht="26.25" customHeight="1" thickBot="1">
      <c r="B13" s="115"/>
      <c r="C13" s="137" t="s">
        <v>627</v>
      </c>
      <c r="G13" s="122"/>
      <c r="L13" s="46"/>
      <c r="M13" s="46"/>
      <c r="N13" s="46"/>
      <c r="O13" s="46"/>
      <c r="P13" s="46"/>
      <c r="Q13" s="81"/>
      <c r="S13" s="21"/>
      <c r="T13" s="21"/>
    </row>
    <row r="14" spans="2:20" s="22" customFormat="1" ht="26.25" customHeight="1" thickBot="1">
      <c r="B14" s="115"/>
      <c r="C14" s="185" t="s">
        <v>622</v>
      </c>
      <c r="G14" s="136"/>
      <c r="L14" s="46"/>
      <c r="M14" s="46"/>
      <c r="N14" s="46"/>
      <c r="O14" s="46"/>
      <c r="P14" s="46"/>
      <c r="Q14" s="81"/>
      <c r="S14" s="21"/>
      <c r="T14" s="21"/>
    </row>
    <row r="15" spans="2:20" s="22" customFormat="1" ht="26.25" customHeight="1" thickBot="1">
      <c r="B15" s="115"/>
      <c r="C15" s="185" t="s">
        <v>623</v>
      </c>
      <c r="G15" s="136"/>
      <c r="L15" s="46"/>
      <c r="M15" s="46"/>
      <c r="N15" s="46"/>
      <c r="O15" s="46"/>
      <c r="P15" s="46"/>
      <c r="Q15" s="81"/>
      <c r="S15" s="21"/>
      <c r="T15" s="21"/>
    </row>
    <row r="16" spans="2:20" s="22" customFormat="1" ht="26.25" customHeight="1" thickBot="1">
      <c r="B16" s="115"/>
      <c r="C16" s="185" t="s">
        <v>624</v>
      </c>
      <c r="G16" s="136"/>
      <c r="L16" s="46"/>
      <c r="M16" s="46"/>
      <c r="N16" s="46"/>
      <c r="O16" s="46"/>
      <c r="P16" s="46"/>
      <c r="Q16" s="81"/>
      <c r="S16" s="21"/>
      <c r="T16" s="21"/>
    </row>
    <row r="17" spans="2:20" s="22" customFormat="1" ht="26.25" customHeight="1" thickBot="1">
      <c r="B17" s="115"/>
      <c r="C17" s="137" t="s">
        <v>625</v>
      </c>
      <c r="G17" s="122"/>
      <c r="L17" s="46"/>
      <c r="M17" s="46"/>
      <c r="N17" s="46"/>
      <c r="O17" s="46"/>
      <c r="P17" s="46"/>
      <c r="Q17" s="81"/>
      <c r="S17" s="21"/>
      <c r="T17" s="21"/>
    </row>
    <row r="18" spans="2:20" s="22" customFormat="1" ht="26.25" customHeight="1" thickBot="1">
      <c r="B18" s="115"/>
      <c r="C18" s="137" t="s">
        <v>626</v>
      </c>
      <c r="G18" s="136"/>
      <c r="L18" s="46"/>
      <c r="M18" s="46"/>
      <c r="N18" s="46"/>
      <c r="O18" s="46"/>
      <c r="P18" s="46"/>
      <c r="Q18" s="81"/>
      <c r="S18" s="21"/>
      <c r="T18" s="21"/>
    </row>
    <row r="19" spans="2:20" s="22" customFormat="1" ht="26.25" customHeight="1" thickBot="1">
      <c r="B19" s="115"/>
      <c r="C19" s="137" t="s">
        <v>628</v>
      </c>
      <c r="G19" s="136"/>
      <c r="L19" s="46"/>
      <c r="M19" s="46"/>
      <c r="N19" s="46"/>
      <c r="O19" s="46"/>
      <c r="P19" s="46"/>
      <c r="Q19" s="81"/>
      <c r="S19" s="21"/>
      <c r="T19" s="21"/>
    </row>
    <row r="20" spans="2:20" s="71" customFormat="1" ht="25.5" customHeight="1">
      <c r="D20" s="110"/>
      <c r="E20" s="110"/>
      <c r="F20" s="110"/>
      <c r="G20" s="110"/>
      <c r="J20" s="25"/>
      <c r="K20" s="25"/>
      <c r="S20" s="72"/>
      <c r="T20" s="72"/>
    </row>
    <row r="21" spans="2:20" s="30" customFormat="1" ht="39" customHeight="1">
      <c r="B21" s="256" t="s">
        <v>539</v>
      </c>
      <c r="C21" s="256" t="s">
        <v>470</v>
      </c>
      <c r="D21" s="256" t="s">
        <v>446</v>
      </c>
      <c r="E21" s="256" t="s">
        <v>438</v>
      </c>
      <c r="F21" s="256" t="s">
        <v>552</v>
      </c>
      <c r="G21" s="53"/>
      <c r="M21" s="38"/>
      <c r="T21" s="38"/>
    </row>
    <row r="22" spans="2:20" s="116" customFormat="1" ht="36" customHeight="1">
      <c r="B22" s="652" t="s">
        <v>542</v>
      </c>
      <c r="C22" s="658" t="s">
        <v>436</v>
      </c>
      <c r="D22" s="661" t="s">
        <v>442</v>
      </c>
      <c r="E22" s="665" t="s">
        <v>587</v>
      </c>
      <c r="F22" s="661" t="s">
        <v>447</v>
      </c>
      <c r="G22" s="187"/>
      <c r="M22" s="650"/>
      <c r="T22" s="650"/>
    </row>
    <row r="23" spans="2:20" s="116" customFormat="1" ht="35.25" customHeight="1">
      <c r="B23" s="653" t="s">
        <v>457</v>
      </c>
      <c r="C23" s="659" t="s">
        <v>437</v>
      </c>
      <c r="D23" s="662" t="s">
        <v>443</v>
      </c>
      <c r="E23" s="666" t="s">
        <v>587</v>
      </c>
      <c r="F23" s="662" t="s">
        <v>447</v>
      </c>
      <c r="G23" s="187"/>
      <c r="M23" s="650"/>
      <c r="T23" s="650"/>
    </row>
    <row r="24" spans="2:20" s="116" customFormat="1" ht="34.5" customHeight="1">
      <c r="B24" s="653" t="s">
        <v>454</v>
      </c>
      <c r="C24" s="659" t="s">
        <v>437</v>
      </c>
      <c r="D24" s="662" t="s">
        <v>444</v>
      </c>
      <c r="E24" s="666" t="s">
        <v>587</v>
      </c>
      <c r="F24" s="662" t="s">
        <v>447</v>
      </c>
      <c r="G24" s="187"/>
      <c r="M24" s="650"/>
      <c r="T24" s="650"/>
    </row>
    <row r="25" spans="2:20" s="116" customFormat="1" ht="32.25" customHeight="1">
      <c r="B25" s="654" t="s">
        <v>455</v>
      </c>
      <c r="C25" s="659" t="s">
        <v>436</v>
      </c>
      <c r="D25" s="662" t="s">
        <v>445</v>
      </c>
      <c r="E25" s="667" t="s">
        <v>606</v>
      </c>
      <c r="F25" s="670"/>
      <c r="G25" s="187"/>
      <c r="M25" s="650"/>
      <c r="T25" s="650"/>
    </row>
    <row r="26" spans="2:20" s="116" customFormat="1" ht="30.75" customHeight="1">
      <c r="B26" s="655" t="s">
        <v>540</v>
      </c>
      <c r="C26" s="659" t="s">
        <v>436</v>
      </c>
      <c r="D26" s="662"/>
      <c r="E26" s="667"/>
      <c r="F26" s="670"/>
      <c r="G26" s="187"/>
      <c r="M26" s="650"/>
      <c r="T26" s="650"/>
    </row>
    <row r="27" spans="2:20" s="116" customFormat="1" ht="32.25" customHeight="1">
      <c r="B27" s="656" t="s">
        <v>541</v>
      </c>
      <c r="C27" s="659" t="s">
        <v>436</v>
      </c>
      <c r="D27" s="663" t="s">
        <v>537</v>
      </c>
      <c r="E27" s="667"/>
      <c r="F27" s="670"/>
      <c r="G27" s="187"/>
      <c r="M27" s="650"/>
      <c r="T27" s="650"/>
    </row>
    <row r="28" spans="2:20" s="116" customFormat="1" ht="27" customHeight="1">
      <c r="B28" s="654" t="s">
        <v>456</v>
      </c>
      <c r="C28" s="659" t="s">
        <v>439</v>
      </c>
      <c r="D28" s="662" t="s">
        <v>481</v>
      </c>
      <c r="E28" s="667" t="s">
        <v>458</v>
      </c>
      <c r="F28" s="670"/>
      <c r="G28" s="187"/>
      <c r="M28" s="650"/>
      <c r="T28" s="650"/>
    </row>
    <row r="29" spans="2:20" s="116" customFormat="1" ht="27" customHeight="1">
      <c r="B29" s="656" t="s">
        <v>451</v>
      </c>
      <c r="C29" s="659" t="s">
        <v>436</v>
      </c>
      <c r="D29" s="662"/>
      <c r="E29" s="667"/>
      <c r="F29" s="662" t="s">
        <v>407</v>
      </c>
      <c r="G29" s="187"/>
      <c r="M29" s="650"/>
      <c r="T29" s="650"/>
    </row>
    <row r="30" spans="2:20" s="116" customFormat="1" ht="32.25" customHeight="1">
      <c r="B30" s="654" t="s">
        <v>207</v>
      </c>
      <c r="C30" s="659" t="s">
        <v>441</v>
      </c>
      <c r="D30" s="662" t="s">
        <v>554</v>
      </c>
      <c r="E30" s="668"/>
      <c r="F30" s="662" t="s">
        <v>553</v>
      </c>
      <c r="G30" s="651"/>
      <c r="M30" s="650"/>
    </row>
    <row r="31" spans="2:20" s="116" customFormat="1" ht="27.75" customHeight="1">
      <c r="B31" s="657" t="s">
        <v>538</v>
      </c>
      <c r="C31" s="660" t="s">
        <v>440</v>
      </c>
      <c r="D31" s="664"/>
      <c r="E31" s="669"/>
      <c r="F31" s="664"/>
      <c r="G31" s="651"/>
      <c r="M31" s="650"/>
    </row>
    <row r="32" spans="2:20" s="116" customFormat="1" ht="23.25" customHeight="1">
      <c r="C32" s="188"/>
      <c r="D32" s="188"/>
      <c r="E32" s="188"/>
      <c r="G32" s="651"/>
      <c r="M32" s="650"/>
    </row>
    <row r="33" spans="2:13" s="30" customFormat="1">
      <c r="B33" s="188"/>
      <c r="C33" s="186"/>
      <c r="D33" s="186"/>
      <c r="E33" s="186"/>
      <c r="G33" s="176"/>
      <c r="M33" s="38"/>
    </row>
    <row r="34" spans="2:13">
      <c r="C34" s="23"/>
      <c r="D34" s="23"/>
      <c r="E34" s="23"/>
    </row>
    <row r="157" spans="4:4">
      <c r="D157" s="853"/>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 defaultRowHeight="14.4"/>
  <cols>
    <col min="1" max="1" width="61" style="25" bestFit="1" customWidth="1"/>
    <col min="2" max="2" width="13.5546875" style="25" customWidth="1"/>
    <col min="3" max="3" width="9" style="23"/>
    <col min="4" max="4" width="15" style="25" customWidth="1"/>
    <col min="5" max="5" width="11.5546875" style="23" customWidth="1"/>
    <col min="6" max="6" width="24" style="25" customWidth="1"/>
    <col min="7" max="7" width="32" style="25" customWidth="1"/>
    <col min="8" max="8" width="14.5546875" style="25" customWidth="1"/>
    <col min="9" max="16384" width="9" style="25"/>
  </cols>
  <sheetData>
    <row r="1" spans="1:8">
      <c r="A1" s="21" t="s">
        <v>410</v>
      </c>
      <c r="B1" s="21" t="s">
        <v>41</v>
      </c>
      <c r="C1" s="133" t="s">
        <v>234</v>
      </c>
      <c r="D1" s="21" t="s">
        <v>414</v>
      </c>
      <c r="E1" s="133" t="s">
        <v>449</v>
      </c>
      <c r="F1" s="133" t="s">
        <v>548</v>
      </c>
      <c r="G1" s="133" t="s">
        <v>570</v>
      </c>
      <c r="H1" s="133" t="s">
        <v>581</v>
      </c>
    </row>
    <row r="2" spans="1:8">
      <c r="A2" s="25" t="s">
        <v>29</v>
      </c>
      <c r="B2" s="25" t="s">
        <v>27</v>
      </c>
      <c r="C2" s="23">
        <v>2006</v>
      </c>
      <c r="D2" s="25" t="s">
        <v>415</v>
      </c>
      <c r="E2" s="23">
        <f>'2. LRAMVA Threshold'!D9</f>
        <v>2016</v>
      </c>
      <c r="F2" s="39" t="s">
        <v>170</v>
      </c>
      <c r="G2" s="25" t="s">
        <v>571</v>
      </c>
      <c r="H2" s="25" t="s">
        <v>589</v>
      </c>
    </row>
    <row r="3" spans="1:8">
      <c r="A3" s="25" t="s">
        <v>371</v>
      </c>
      <c r="B3" s="25" t="s">
        <v>27</v>
      </c>
      <c r="C3" s="23">
        <v>2007</v>
      </c>
      <c r="D3" s="25" t="s">
        <v>416</v>
      </c>
      <c r="E3" s="23">
        <f>'2. LRAMVA Threshold'!D24</f>
        <v>2012</v>
      </c>
      <c r="F3" s="25" t="s">
        <v>549</v>
      </c>
      <c r="G3" s="25" t="s">
        <v>572</v>
      </c>
      <c r="H3" s="25" t="s">
        <v>582</v>
      </c>
    </row>
    <row r="4" spans="1:8">
      <c r="A4" s="25" t="s">
        <v>372</v>
      </c>
      <c r="B4" s="25" t="s">
        <v>28</v>
      </c>
      <c r="C4" s="23">
        <v>2008</v>
      </c>
      <c r="D4" s="25" t="s">
        <v>417</v>
      </c>
      <c r="F4" s="25" t="s">
        <v>169</v>
      </c>
      <c r="G4" s="25" t="s">
        <v>573</v>
      </c>
    </row>
    <row r="5" spans="1:8">
      <c r="A5" s="25" t="s">
        <v>373</v>
      </c>
      <c r="B5" s="25" t="s">
        <v>28</v>
      </c>
      <c r="C5" s="23">
        <v>2009</v>
      </c>
      <c r="F5" s="25" t="s">
        <v>368</v>
      </c>
      <c r="G5" s="25" t="s">
        <v>574</v>
      </c>
    </row>
    <row r="6" spans="1:8">
      <c r="A6" s="25" t="s">
        <v>374</v>
      </c>
      <c r="B6" s="25" t="s">
        <v>28</v>
      </c>
      <c r="C6" s="23">
        <v>2010</v>
      </c>
      <c r="F6" s="25" t="s">
        <v>369</v>
      </c>
      <c r="G6" s="25" t="s">
        <v>575</v>
      </c>
    </row>
    <row r="7" spans="1:8">
      <c r="A7" s="25" t="s">
        <v>375</v>
      </c>
      <c r="B7" s="25" t="s">
        <v>28</v>
      </c>
      <c r="C7" s="23">
        <v>2011</v>
      </c>
      <c r="F7" s="25" t="s">
        <v>370</v>
      </c>
      <c r="G7" s="25" t="s">
        <v>576</v>
      </c>
    </row>
    <row r="8" spans="1:8">
      <c r="A8" s="25" t="s">
        <v>376</v>
      </c>
      <c r="B8" s="25" t="s">
        <v>28</v>
      </c>
      <c r="C8" s="23">
        <v>2012</v>
      </c>
      <c r="F8" s="25" t="s">
        <v>557</v>
      </c>
      <c r="G8" s="25" t="s">
        <v>577</v>
      </c>
    </row>
    <row r="9" spans="1:8">
      <c r="A9" s="25" t="s">
        <v>377</v>
      </c>
      <c r="B9" s="25" t="s">
        <v>28</v>
      </c>
      <c r="C9" s="23">
        <v>2013</v>
      </c>
      <c r="G9" s="25" t="s">
        <v>578</v>
      </c>
    </row>
    <row r="10" spans="1:8">
      <c r="A10" s="25" t="s">
        <v>378</v>
      </c>
      <c r="B10" s="25" t="s">
        <v>28</v>
      </c>
      <c r="C10" s="23">
        <v>2014</v>
      </c>
      <c r="G10" s="25" t="s">
        <v>579</v>
      </c>
    </row>
    <row r="11" spans="1:8">
      <c r="A11" s="25" t="s">
        <v>379</v>
      </c>
      <c r="B11" s="25" t="s">
        <v>28</v>
      </c>
      <c r="C11" s="23">
        <v>2015</v>
      </c>
      <c r="G11" s="25" t="s">
        <v>580</v>
      </c>
    </row>
    <row r="12" spans="1:8">
      <c r="A12" s="25" t="s">
        <v>380</v>
      </c>
      <c r="B12" s="25" t="s">
        <v>28</v>
      </c>
      <c r="C12" s="23">
        <v>2016</v>
      </c>
    </row>
    <row r="13" spans="1:8">
      <c r="A13" s="25" t="s">
        <v>381</v>
      </c>
      <c r="B13" s="25" t="s">
        <v>28</v>
      </c>
      <c r="C13" s="23">
        <v>2017</v>
      </c>
    </row>
    <row r="14" spans="1:8">
      <c r="A14" s="25" t="s">
        <v>382</v>
      </c>
      <c r="B14" s="25" t="s">
        <v>28</v>
      </c>
      <c r="C14" s="23">
        <v>2018</v>
      </c>
    </row>
    <row r="15" spans="1:8">
      <c r="A15" s="25" t="s">
        <v>383</v>
      </c>
      <c r="B15" s="25" t="s">
        <v>28</v>
      </c>
      <c r="C15" s="23">
        <v>2019</v>
      </c>
    </row>
    <row r="16" spans="1:8">
      <c r="A16" s="25" t="s">
        <v>384</v>
      </c>
      <c r="B16" s="25" t="s">
        <v>28</v>
      </c>
      <c r="C16" s="23">
        <v>2020</v>
      </c>
    </row>
    <row r="17" spans="1:2">
      <c r="A17" s="25" t="s">
        <v>385</v>
      </c>
      <c r="B17" s="25" t="s">
        <v>28</v>
      </c>
    </row>
    <row r="18" spans="1:2">
      <c r="A18" s="25" t="s">
        <v>386</v>
      </c>
      <c r="B18" s="25" t="s">
        <v>28</v>
      </c>
    </row>
    <row r="19" spans="1:2">
      <c r="A19" s="25" t="s">
        <v>387</v>
      </c>
      <c r="B19" s="25" t="s">
        <v>28</v>
      </c>
    </row>
    <row r="20" spans="1:2">
      <c r="A20" s="25" t="s">
        <v>388</v>
      </c>
      <c r="B20" s="25" t="s">
        <v>28</v>
      </c>
    </row>
    <row r="21" spans="1:2">
      <c r="A21" s="25" t="s">
        <v>389</v>
      </c>
      <c r="B21" s="25" t="s">
        <v>28</v>
      </c>
    </row>
    <row r="22" spans="1:2">
      <c r="A22" s="25" t="s">
        <v>390</v>
      </c>
      <c r="B22" s="25" t="s">
        <v>28</v>
      </c>
    </row>
    <row r="23" spans="1:2">
      <c r="A23" s="25" t="s">
        <v>391</v>
      </c>
      <c r="B23" s="25" t="s">
        <v>28</v>
      </c>
    </row>
    <row r="24" spans="1:2">
      <c r="A24" s="25" t="s">
        <v>392</v>
      </c>
      <c r="B24" s="25" t="s">
        <v>28</v>
      </c>
    </row>
    <row r="25" spans="1:2">
      <c r="A25" s="25" t="s">
        <v>393</v>
      </c>
      <c r="B25" s="25" t="s">
        <v>28</v>
      </c>
    </row>
    <row r="26" spans="1:2">
      <c r="A26" s="25" t="s">
        <v>32</v>
      </c>
      <c r="B26" s="25" t="s">
        <v>27</v>
      </c>
    </row>
    <row r="27" spans="1:2">
      <c r="A27" s="25" t="s">
        <v>394</v>
      </c>
      <c r="B27" s="25" t="s">
        <v>28</v>
      </c>
    </row>
    <row r="28" spans="1:2">
      <c r="A28" s="25" t="s">
        <v>395</v>
      </c>
      <c r="B28" s="25" t="s">
        <v>28</v>
      </c>
    </row>
    <row r="29" spans="1:2">
      <c r="A29" s="25" t="s">
        <v>396</v>
      </c>
      <c r="B29" s="25" t="s">
        <v>28</v>
      </c>
    </row>
    <row r="30" spans="1:2">
      <c r="A30" s="25" t="s">
        <v>30</v>
      </c>
      <c r="B30" s="25" t="s">
        <v>28</v>
      </c>
    </row>
    <row r="31" spans="1:2">
      <c r="A31" s="25" t="s">
        <v>397</v>
      </c>
      <c r="B31" s="25" t="s">
        <v>28</v>
      </c>
    </row>
    <row r="32" spans="1:2">
      <c r="A32" s="25" t="s">
        <v>398</v>
      </c>
      <c r="B32" s="25" t="s">
        <v>28</v>
      </c>
    </row>
    <row r="33" spans="1:2">
      <c r="A33" s="25" t="s">
        <v>399</v>
      </c>
      <c r="B33" s="25" t="s">
        <v>28</v>
      </c>
    </row>
    <row r="34" spans="1:2">
      <c r="A34" s="25" t="s">
        <v>400</v>
      </c>
      <c r="B34" s="25" t="s">
        <v>28</v>
      </c>
    </row>
    <row r="35" spans="1:2">
      <c r="A35" s="25" t="s">
        <v>401</v>
      </c>
      <c r="B35" s="25" t="s">
        <v>28</v>
      </c>
    </row>
    <row r="36" spans="1:2">
      <c r="A36" s="25" t="s">
        <v>402</v>
      </c>
      <c r="B36" s="25" t="s">
        <v>28</v>
      </c>
    </row>
    <row r="37" spans="1:2">
      <c r="A37" s="25" t="s">
        <v>403</v>
      </c>
      <c r="B37" s="25" t="s">
        <v>28</v>
      </c>
    </row>
    <row r="38" spans="1:2">
      <c r="A38" s="25" t="s">
        <v>404</v>
      </c>
      <c r="B38" s="25" t="s">
        <v>28</v>
      </c>
    </row>
    <row r="39" spans="1:2">
      <c r="A39" s="25" t="s">
        <v>405</v>
      </c>
      <c r="B39" s="25" t="s">
        <v>28</v>
      </c>
    </row>
    <row r="40" spans="1:2">
      <c r="A40" s="25" t="s">
        <v>31</v>
      </c>
      <c r="B40" s="25"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57"/>
  <sheetViews>
    <sheetView tabSelected="1" topLeftCell="B79" zoomScale="85" zoomScaleNormal="85" workbookViewId="0">
      <selection activeCell="R119" sqref="R119"/>
    </sheetView>
  </sheetViews>
  <sheetFormatPr defaultColWidth="9" defaultRowHeight="15.6"/>
  <cols>
    <col min="1" max="1" width="2.5546875" style="22" customWidth="1"/>
    <col min="2" max="2" width="33.5546875" style="22" customWidth="1"/>
    <col min="3" max="4" width="29.5546875" style="22" customWidth="1"/>
    <col min="5" max="5" width="24.44140625" style="30" customWidth="1"/>
    <col min="6" max="6" width="34.44140625" style="22" customWidth="1"/>
    <col min="7" max="7" width="27.5546875" style="22" customWidth="1"/>
    <col min="8" max="8" width="29" style="22" customWidth="1"/>
    <col min="9" max="9" width="23" style="22" customWidth="1"/>
    <col min="10" max="10" width="22" style="22" customWidth="1"/>
    <col min="11" max="11" width="19.5546875" style="22" hidden="1" customWidth="1"/>
    <col min="12" max="12" width="21.5546875" style="22" hidden="1" customWidth="1"/>
    <col min="13" max="14" width="24" style="22" hidden="1" customWidth="1"/>
    <col min="15" max="15" width="21.44140625" style="22" hidden="1" customWidth="1"/>
    <col min="16" max="16" width="22" style="22" hidden="1" customWidth="1"/>
    <col min="17" max="17" width="16.44140625" style="22" hidden="1" customWidth="1"/>
    <col min="18" max="18" width="15.5546875" style="22" customWidth="1"/>
    <col min="19" max="19" width="17" style="22" customWidth="1"/>
    <col min="20" max="20" width="13.5546875" style="21" customWidth="1"/>
    <col min="21" max="21" width="6.44140625" style="21" customWidth="1"/>
    <col min="22" max="22" width="13.5546875" style="22" customWidth="1"/>
    <col min="23" max="23" width="15.44140625" style="22" customWidth="1"/>
    <col min="24" max="16384" width="9" style="22"/>
  </cols>
  <sheetData>
    <row r="1" spans="2:22" ht="144" customHeight="1"/>
    <row r="2" spans="2:22" ht="49.5" customHeight="1">
      <c r="E2" s="22"/>
      <c r="F2" s="30"/>
      <c r="H2" s="74"/>
      <c r="I2" s="45"/>
      <c r="K2" s="49"/>
      <c r="L2" s="49"/>
      <c r="T2" s="22"/>
      <c r="V2" s="21"/>
    </row>
    <row r="3" spans="2:22" ht="16.5" customHeight="1" thickBot="1">
      <c r="E3" s="22"/>
      <c r="F3" s="30"/>
      <c r="H3" s="74"/>
      <c r="I3" s="45"/>
      <c r="K3" s="49"/>
      <c r="L3" s="49"/>
      <c r="T3" s="22"/>
      <c r="V3" s="21"/>
    </row>
    <row r="4" spans="2:22" ht="24.75" customHeight="1" thickBot="1">
      <c r="B4" s="96" t="s">
        <v>171</v>
      </c>
      <c r="C4" s="139" t="s">
        <v>175</v>
      </c>
      <c r="E4" s="22"/>
      <c r="T4" s="22"/>
      <c r="V4" s="21"/>
    </row>
    <row r="5" spans="2:22" ht="26.25" customHeight="1" thickBot="1">
      <c r="C5" s="142" t="s">
        <v>172</v>
      </c>
      <c r="E5" s="22"/>
      <c r="T5" s="22"/>
      <c r="V5" s="21"/>
    </row>
    <row r="6" spans="2:22" ht="27" customHeight="1" thickBot="1">
      <c r="B6" s="96"/>
      <c r="C6" s="575" t="s">
        <v>550</v>
      </c>
      <c r="D6" s="30"/>
      <c r="E6" s="22"/>
      <c r="T6" s="22"/>
      <c r="V6" s="21"/>
    </row>
    <row r="7" spans="2:22" ht="21" customHeight="1">
      <c r="B7" s="543"/>
      <c r="C7" s="30"/>
      <c r="D7" s="30"/>
      <c r="E7" s="22"/>
      <c r="T7" s="22"/>
      <c r="V7" s="21"/>
    </row>
    <row r="8" spans="2:22" ht="24.75" customHeight="1">
      <c r="B8" s="130" t="s">
        <v>239</v>
      </c>
      <c r="C8" s="202" t="s">
        <v>745</v>
      </c>
      <c r="D8" s="607"/>
      <c r="E8" s="22"/>
      <c r="T8" s="22"/>
      <c r="V8" s="21"/>
    </row>
    <row r="9" spans="2:22" ht="41.25" customHeight="1">
      <c r="B9" s="557" t="s">
        <v>519</v>
      </c>
      <c r="C9" s="553"/>
      <c r="D9" s="551"/>
      <c r="E9" s="551"/>
      <c r="F9" s="551"/>
      <c r="G9" s="551"/>
      <c r="H9" s="551"/>
      <c r="I9" s="551"/>
      <c r="J9" s="552"/>
      <c r="K9" s="552"/>
      <c r="L9" s="552"/>
      <c r="M9" s="31"/>
      <c r="T9" s="22"/>
      <c r="V9" s="21"/>
    </row>
    <row r="10" spans="2:22" ht="10.5" customHeight="1">
      <c r="B10" s="557"/>
      <c r="C10" s="553"/>
      <c r="D10" s="551"/>
      <c r="E10" s="551"/>
      <c r="F10" s="551"/>
      <c r="G10" s="551"/>
      <c r="H10" s="551"/>
      <c r="I10" s="551"/>
      <c r="J10" s="552"/>
      <c r="K10" s="552"/>
      <c r="L10" s="552"/>
      <c r="M10" s="31"/>
      <c r="T10" s="22"/>
      <c r="V10" s="21"/>
    </row>
    <row r="11" spans="2:22" s="555" customFormat="1" ht="26.25" customHeight="1">
      <c r="B11" s="574" t="s">
        <v>555</v>
      </c>
      <c r="C11" s="573"/>
      <c r="D11" s="573"/>
      <c r="E11" s="573"/>
      <c r="F11" s="573"/>
      <c r="G11" s="573"/>
      <c r="H11" s="573"/>
      <c r="T11" s="556"/>
      <c r="U11" s="556"/>
    </row>
    <row r="12" spans="2:22" s="45" customFormat="1" ht="18.75" customHeight="1">
      <c r="B12" s="550"/>
      <c r="T12" s="199"/>
      <c r="U12" s="199"/>
    </row>
    <row r="13" spans="2:22" s="45" customFormat="1" ht="22.5" customHeight="1" thickBot="1">
      <c r="B13" s="198" t="s">
        <v>507</v>
      </c>
      <c r="C13" s="30"/>
      <c r="F13" s="198" t="s">
        <v>508</v>
      </c>
      <c r="G13" s="49"/>
      <c r="H13" s="44"/>
      <c r="I13" s="22"/>
      <c r="J13" s="197" t="s">
        <v>505</v>
      </c>
      <c r="N13" s="116"/>
      <c r="P13" s="22"/>
      <c r="Q13" s="200"/>
      <c r="R13" s="55"/>
      <c r="T13" s="199"/>
      <c r="U13" s="199"/>
    </row>
    <row r="14" spans="2:22" ht="29.25" customHeight="1" thickBot="1">
      <c r="B14" s="137" t="s">
        <v>546</v>
      </c>
      <c r="D14" s="548" t="s">
        <v>784</v>
      </c>
      <c r="E14" s="143"/>
      <c r="F14" s="137" t="s">
        <v>547</v>
      </c>
      <c r="H14" s="548" t="s">
        <v>814</v>
      </c>
      <c r="J14" s="137" t="s">
        <v>514</v>
      </c>
      <c r="L14" s="145"/>
      <c r="N14" s="116"/>
      <c r="Q14" s="112"/>
      <c r="R14" s="109"/>
    </row>
    <row r="15" spans="2:22" ht="26.25" customHeight="1" thickBot="1">
      <c r="B15" s="137" t="s">
        <v>423</v>
      </c>
      <c r="C15" s="119"/>
      <c r="D15" s="548" t="s">
        <v>816</v>
      </c>
      <c r="F15" s="137" t="s">
        <v>413</v>
      </c>
      <c r="G15" s="140"/>
      <c r="H15" s="548" t="s">
        <v>815</v>
      </c>
      <c r="I15" s="30"/>
      <c r="J15" s="137" t="s">
        <v>515</v>
      </c>
      <c r="L15" s="145"/>
      <c r="M15" s="116"/>
      <c r="Q15" s="121"/>
      <c r="R15" s="109"/>
    </row>
    <row r="16" spans="2:22" ht="28.5" customHeight="1" thickBot="1">
      <c r="B16" s="137" t="s">
        <v>453</v>
      </c>
      <c r="C16" s="119"/>
      <c r="D16" s="549" t="s">
        <v>180</v>
      </c>
      <c r="E16" s="116"/>
      <c r="F16" s="137" t="s">
        <v>433</v>
      </c>
      <c r="G16" s="138"/>
      <c r="H16" s="822" t="s">
        <v>834</v>
      </c>
      <c r="I16" s="116"/>
      <c r="K16" s="208"/>
      <c r="L16" s="208"/>
      <c r="M16" s="208"/>
      <c r="N16" s="208"/>
      <c r="Q16" s="128"/>
      <c r="R16" s="109"/>
    </row>
    <row r="17" spans="1:21" ht="29.25" customHeight="1">
      <c r="B17" s="137" t="s">
        <v>420</v>
      </c>
      <c r="C17" s="119"/>
      <c r="D17" s="728">
        <v>18852</v>
      </c>
      <c r="E17" s="134"/>
      <c r="F17" s="734" t="s">
        <v>672</v>
      </c>
      <c r="G17" s="208"/>
      <c r="H17" s="823"/>
      <c r="I17" s="30"/>
      <c r="M17" s="208"/>
      <c r="N17" s="208"/>
      <c r="P17" s="112"/>
      <c r="Q17" s="112"/>
      <c r="R17" s="109"/>
    </row>
    <row r="18" spans="1:21" s="41" customFormat="1" ht="29.25" customHeight="1">
      <c r="B18" s="137"/>
      <c r="C18" s="729"/>
      <c r="D18" s="727"/>
      <c r="E18" s="730"/>
      <c r="F18" s="726"/>
      <c r="G18" s="731"/>
      <c r="H18" s="732"/>
      <c r="I18" s="176"/>
      <c r="M18" s="731"/>
      <c r="N18" s="731"/>
      <c r="P18" s="731"/>
      <c r="Q18" s="731"/>
      <c r="R18" s="733"/>
      <c r="T18" s="50"/>
      <c r="U18" s="50"/>
    </row>
    <row r="19" spans="1:21" ht="27.75" customHeight="1" thickBot="1">
      <c r="E19" s="22"/>
      <c r="F19" s="137" t="s">
        <v>434</v>
      </c>
      <c r="G19" s="609" t="s">
        <v>363</v>
      </c>
      <c r="H19" s="255">
        <f>SUM(R54,R57,R60,R63,R66,R69,R72,R75,R78)</f>
        <v>507027.07196845167</v>
      </c>
      <c r="I19" s="30"/>
      <c r="J19" s="128"/>
      <c r="K19" s="128"/>
      <c r="L19" s="128"/>
      <c r="M19" s="128"/>
      <c r="N19" s="128"/>
      <c r="P19" s="128"/>
      <c r="Q19" s="128"/>
      <c r="R19" s="109"/>
    </row>
    <row r="20" spans="1:21" ht="27.75" customHeight="1" thickBot="1">
      <c r="E20" s="22"/>
      <c r="F20" s="137" t="s">
        <v>435</v>
      </c>
      <c r="G20" s="609" t="s">
        <v>364</v>
      </c>
      <c r="H20" s="144">
        <f>-SUM(R55,R58,R61,R64,R67,R70,R73,R76,R79)</f>
        <v>182741.55100000001</v>
      </c>
      <c r="I20" s="30"/>
      <c r="J20" s="128"/>
      <c r="P20" s="128"/>
      <c r="Q20" s="128"/>
      <c r="R20" s="109"/>
    </row>
    <row r="21" spans="1:21" ht="27.75" customHeight="1" thickBot="1">
      <c r="C21" s="45"/>
      <c r="D21" s="45"/>
      <c r="E21" s="45"/>
      <c r="F21" s="137" t="s">
        <v>408</v>
      </c>
      <c r="G21" s="609" t="s">
        <v>365</v>
      </c>
      <c r="H21" s="201">
        <f>R84</f>
        <v>20907.479721304509</v>
      </c>
      <c r="I21" s="116"/>
      <c r="P21" s="128"/>
      <c r="Q21" s="128"/>
      <c r="R21" s="109"/>
    </row>
    <row r="22" spans="1:21" ht="27.75" customHeight="1">
      <c r="C22" s="45"/>
      <c r="D22" s="45"/>
      <c r="E22" s="45"/>
      <c r="F22" s="137" t="s">
        <v>509</v>
      </c>
      <c r="G22" s="609" t="s">
        <v>448</v>
      </c>
      <c r="H22" s="201">
        <f>H19-H20+H21</f>
        <v>345193.00068975613</v>
      </c>
      <c r="I22" s="116"/>
      <c r="P22" s="208"/>
      <c r="Q22" s="208"/>
      <c r="R22" s="109"/>
    </row>
    <row r="23" spans="1:21" ht="22.5" customHeight="1">
      <c r="A23" s="41"/>
      <c r="E23" s="22"/>
    </row>
    <row r="24" spans="1:21" ht="13.5" customHeight="1">
      <c r="A24" s="41"/>
      <c r="B24" s="131" t="s">
        <v>418</v>
      </c>
      <c r="C24" s="48"/>
      <c r="E24" s="22"/>
    </row>
    <row r="25" spans="1:21" ht="13.5" customHeight="1">
      <c r="A25" s="41"/>
      <c r="B25" s="131"/>
      <c r="C25" s="48"/>
      <c r="E25" s="22"/>
    </row>
    <row r="26" spans="1:21" ht="108" customHeight="1">
      <c r="A26" s="41"/>
      <c r="B26" s="876" t="s">
        <v>679</v>
      </c>
      <c r="C26" s="876"/>
      <c r="D26" s="876"/>
      <c r="E26" s="876"/>
      <c r="F26" s="876"/>
      <c r="G26" s="876"/>
    </row>
    <row r="27" spans="1:21" ht="14.25" customHeight="1">
      <c r="A27" s="41"/>
      <c r="B27" s="554"/>
      <c r="C27" s="554"/>
      <c r="D27" s="544"/>
      <c r="E27" s="544"/>
      <c r="F27" s="544"/>
      <c r="G27" s="554"/>
    </row>
    <row r="28" spans="1:21" s="30" customFormat="1" ht="27" customHeight="1">
      <c r="B28" s="879" t="s">
        <v>506</v>
      </c>
      <c r="C28" s="880"/>
      <c r="D28" s="146" t="s">
        <v>41</v>
      </c>
      <c r="E28" s="147" t="s">
        <v>670</v>
      </c>
      <c r="F28" s="147" t="s">
        <v>408</v>
      </c>
      <c r="G28" s="148" t="s">
        <v>409</v>
      </c>
      <c r="T28" s="149"/>
      <c r="U28" s="149"/>
    </row>
    <row r="29" spans="1:21" ht="20.25" customHeight="1">
      <c r="B29" s="874" t="s">
        <v>29</v>
      </c>
      <c r="C29" s="875"/>
      <c r="D29" s="643" t="s">
        <v>27</v>
      </c>
      <c r="E29" s="151">
        <f>SUM(D54:D80)</f>
        <v>163400.90768509364</v>
      </c>
      <c r="F29" s="152">
        <f>D84</f>
        <v>10299.102433618413</v>
      </c>
      <c r="G29" s="151">
        <f>E29+F29</f>
        <v>173700.01011871206</v>
      </c>
    </row>
    <row r="30" spans="1:21" ht="20.25" customHeight="1">
      <c r="B30" s="874" t="s">
        <v>371</v>
      </c>
      <c r="C30" s="875"/>
      <c r="D30" s="643" t="s">
        <v>27</v>
      </c>
      <c r="E30" s="153">
        <f>SUM(E54:E80)</f>
        <v>107492.0008153518</v>
      </c>
      <c r="F30" s="154">
        <f>E84</f>
        <v>6970.4416227476995</v>
      </c>
      <c r="G30" s="153">
        <f>E30+F30</f>
        <v>114462.4424380995</v>
      </c>
    </row>
    <row r="31" spans="1:21" ht="20.25" customHeight="1">
      <c r="B31" s="874" t="s">
        <v>773</v>
      </c>
      <c r="C31" s="875"/>
      <c r="D31" s="643" t="s">
        <v>28</v>
      </c>
      <c r="E31" s="153">
        <f>SUM(F54:F80)</f>
        <v>36555.740918409792</v>
      </c>
      <c r="F31" s="154">
        <f>F84</f>
        <v>2557.8260142545346</v>
      </c>
      <c r="G31" s="153">
        <f t="shared" ref="G31:G34" si="0">E31+F31</f>
        <v>39113.566932664326</v>
      </c>
    </row>
    <row r="32" spans="1:21" ht="20.25" customHeight="1">
      <c r="B32" s="874" t="s">
        <v>774</v>
      </c>
      <c r="C32" s="875"/>
      <c r="D32" s="643" t="s">
        <v>28</v>
      </c>
      <c r="E32" s="153">
        <f>SUM(G54:G80)</f>
        <v>28664.978314015683</v>
      </c>
      <c r="F32" s="154">
        <f>G84</f>
        <v>1954.4843743759639</v>
      </c>
      <c r="G32" s="153">
        <f t="shared" si="0"/>
        <v>30619.462688391646</v>
      </c>
    </row>
    <row r="33" spans="2:22" ht="20.25" customHeight="1">
      <c r="B33" s="874" t="s">
        <v>775</v>
      </c>
      <c r="C33" s="875"/>
      <c r="D33" s="643" t="s">
        <v>27</v>
      </c>
      <c r="E33" s="153">
        <f>SUM(H54:H80)</f>
        <v>0</v>
      </c>
      <c r="F33" s="154">
        <f>H84</f>
        <v>0</v>
      </c>
      <c r="G33" s="153">
        <f>E33+F33</f>
        <v>0</v>
      </c>
    </row>
    <row r="34" spans="2:22" ht="20.25" customHeight="1">
      <c r="B34" s="874" t="s">
        <v>30</v>
      </c>
      <c r="C34" s="875"/>
      <c r="D34" s="643" t="s">
        <v>28</v>
      </c>
      <c r="E34" s="153">
        <f>SUM(I54:I80)</f>
        <v>0</v>
      </c>
      <c r="F34" s="154">
        <f>I84</f>
        <v>0</v>
      </c>
      <c r="G34" s="153">
        <f t="shared" si="0"/>
        <v>0</v>
      </c>
    </row>
    <row r="35" spans="2:22" ht="20.25" customHeight="1">
      <c r="B35" s="874" t="s">
        <v>31</v>
      </c>
      <c r="C35" s="875"/>
      <c r="D35" s="643" t="s">
        <v>28</v>
      </c>
      <c r="E35" s="153">
        <f>SUM(J54:J80)</f>
        <v>-11828.106764419203</v>
      </c>
      <c r="F35" s="154">
        <f>J84</f>
        <v>-874.37472369209672</v>
      </c>
      <c r="G35" s="153">
        <f>E35+F35</f>
        <v>-12702.4814881113</v>
      </c>
    </row>
    <row r="36" spans="2:22" ht="20.25" customHeight="1">
      <c r="B36" s="874"/>
      <c r="C36" s="875"/>
      <c r="D36" s="643"/>
      <c r="E36" s="153">
        <f>SUM(K54:K80)</f>
        <v>0</v>
      </c>
      <c r="F36" s="154">
        <f>K84</f>
        <v>0</v>
      </c>
      <c r="G36" s="153">
        <f t="shared" ref="G36:G42" si="1">E36+F36</f>
        <v>0</v>
      </c>
    </row>
    <row r="37" spans="2:22" ht="20.25" customHeight="1">
      <c r="B37" s="874"/>
      <c r="C37" s="875"/>
      <c r="D37" s="643"/>
      <c r="E37" s="153">
        <f>SUM(L54:L80)</f>
        <v>0</v>
      </c>
      <c r="F37" s="154">
        <f>L84</f>
        <v>0</v>
      </c>
      <c r="G37" s="153">
        <f t="shared" si="1"/>
        <v>0</v>
      </c>
    </row>
    <row r="38" spans="2:22" ht="20.25" customHeight="1">
      <c r="B38" s="874"/>
      <c r="C38" s="875"/>
      <c r="D38" s="643"/>
      <c r="E38" s="153">
        <f>SUM(M54:M80)</f>
        <v>0</v>
      </c>
      <c r="F38" s="154">
        <f>M84</f>
        <v>0</v>
      </c>
      <c r="G38" s="153">
        <f t="shared" si="1"/>
        <v>0</v>
      </c>
    </row>
    <row r="39" spans="2:22" ht="20.25" customHeight="1">
      <c r="B39" s="874"/>
      <c r="C39" s="875"/>
      <c r="D39" s="643"/>
      <c r="E39" s="153">
        <f>SUM(N54:N80)</f>
        <v>0</v>
      </c>
      <c r="F39" s="154">
        <f>N84</f>
        <v>0</v>
      </c>
      <c r="G39" s="153">
        <f t="shared" si="1"/>
        <v>0</v>
      </c>
    </row>
    <row r="40" spans="2:22" ht="20.25" customHeight="1">
      <c r="B40" s="874"/>
      <c r="C40" s="875"/>
      <c r="D40" s="643"/>
      <c r="E40" s="153">
        <f>SUM(O54:O80)</f>
        <v>0</v>
      </c>
      <c r="F40" s="154">
        <f>O84</f>
        <v>0</v>
      </c>
      <c r="G40" s="153">
        <f t="shared" si="1"/>
        <v>0</v>
      </c>
    </row>
    <row r="41" spans="2:22" ht="20.25" customHeight="1">
      <c r="B41" s="874"/>
      <c r="C41" s="875"/>
      <c r="D41" s="643"/>
      <c r="E41" s="153">
        <f>SUM(P54:P80)</f>
        <v>0</v>
      </c>
      <c r="F41" s="154">
        <f>P84</f>
        <v>0</v>
      </c>
      <c r="G41" s="153">
        <f t="shared" si="1"/>
        <v>0</v>
      </c>
    </row>
    <row r="42" spans="2:22" ht="20.25" customHeight="1">
      <c r="B42" s="874"/>
      <c r="C42" s="875"/>
      <c r="D42" s="644"/>
      <c r="E42" s="155">
        <f>SUM(Q54:Q80)</f>
        <v>0</v>
      </c>
      <c r="F42" s="156">
        <f>Q84</f>
        <v>0</v>
      </c>
      <c r="G42" s="155">
        <f t="shared" si="1"/>
        <v>0</v>
      </c>
    </row>
    <row r="43" spans="2:22" s="21" customFormat="1" ht="21" customHeight="1">
      <c r="B43" s="877" t="s">
        <v>26</v>
      </c>
      <c r="C43" s="878"/>
      <c r="D43" s="150"/>
      <c r="E43" s="157">
        <f>SUM(E29:E42)</f>
        <v>324285.52096845169</v>
      </c>
      <c r="F43" s="157">
        <f>SUM(F29:F42)</f>
        <v>20907.479721304509</v>
      </c>
      <c r="G43" s="157">
        <f>SUM(G29:G42)</f>
        <v>345193.00068975618</v>
      </c>
      <c r="H43" s="213"/>
    </row>
    <row r="44" spans="2:22" ht="18" customHeight="1">
      <c r="D44" s="107"/>
      <c r="E44" s="22"/>
      <c r="F44" s="30"/>
    </row>
    <row r="45" spans="2:22" s="41" customFormat="1" ht="21">
      <c r="C45" s="48"/>
      <c r="D45" s="49"/>
      <c r="E45" s="49"/>
      <c r="F45" s="49"/>
      <c r="G45" s="49"/>
      <c r="H45" s="49"/>
      <c r="I45" s="49"/>
      <c r="J45" s="49"/>
      <c r="K45" s="49"/>
      <c r="L45" s="49"/>
      <c r="M45" s="120"/>
      <c r="N45" s="49"/>
      <c r="O45" s="49"/>
      <c r="P45" s="49"/>
      <c r="Q45" s="49"/>
      <c r="R45" s="49"/>
      <c r="T45" s="50"/>
      <c r="U45" s="32"/>
      <c r="V45" s="51"/>
    </row>
    <row r="46" spans="2:22" ht="12" customHeight="1">
      <c r="B46" s="131" t="s">
        <v>459</v>
      </c>
      <c r="C46" s="44"/>
      <c r="D46" s="44"/>
      <c r="E46" s="603"/>
      <c r="F46" s="44"/>
      <c r="G46" s="44"/>
      <c r="H46" s="44"/>
      <c r="I46" s="44"/>
      <c r="J46" s="44"/>
      <c r="K46" s="44"/>
      <c r="L46" s="44"/>
      <c r="M46" s="44"/>
      <c r="N46" s="44"/>
      <c r="O46" s="44"/>
      <c r="P46" s="44"/>
      <c r="Q46" s="44"/>
      <c r="R46" s="44"/>
      <c r="U46" s="32"/>
      <c r="V46" s="26"/>
    </row>
    <row r="47" spans="2:22" ht="12" customHeight="1">
      <c r="B47" s="131"/>
      <c r="C47" s="44"/>
      <c r="D47" s="44"/>
      <c r="E47" s="44"/>
      <c r="F47" s="44"/>
      <c r="G47" s="44"/>
      <c r="H47" s="44"/>
      <c r="I47" s="44"/>
      <c r="J47" s="44"/>
      <c r="K47" s="44"/>
      <c r="L47" s="44"/>
      <c r="M47" s="44"/>
      <c r="N47" s="44"/>
      <c r="O47" s="44"/>
      <c r="P47" s="44"/>
      <c r="Q47" s="44"/>
      <c r="R47" s="44"/>
      <c r="U47" s="32"/>
      <c r="V47" s="26"/>
    </row>
    <row r="48" spans="2:22" s="41" customFormat="1" ht="41.25" customHeight="1">
      <c r="B48" s="876" t="s">
        <v>609</v>
      </c>
      <c r="C48" s="876"/>
      <c r="D48" s="876"/>
      <c r="E48" s="876"/>
      <c r="F48" s="876"/>
      <c r="G48" s="876"/>
      <c r="H48" s="876"/>
      <c r="I48" s="876"/>
      <c r="J48" s="876"/>
      <c r="K48" s="876"/>
      <c r="L48" s="876"/>
      <c r="M48" s="623"/>
      <c r="N48" s="118"/>
      <c r="O48" s="118"/>
      <c r="P48" s="118"/>
      <c r="Q48" s="118"/>
      <c r="R48" s="118"/>
      <c r="T48" s="50"/>
      <c r="U48" s="32"/>
      <c r="V48" s="51"/>
    </row>
    <row r="49" spans="2:22" s="41" customFormat="1" ht="41.1" customHeight="1">
      <c r="B49" s="876" t="s">
        <v>561</v>
      </c>
      <c r="C49" s="876"/>
      <c r="D49" s="876"/>
      <c r="E49" s="876"/>
      <c r="F49" s="876"/>
      <c r="G49" s="876"/>
      <c r="H49" s="876"/>
      <c r="I49" s="876"/>
      <c r="J49" s="876"/>
      <c r="K49" s="876"/>
      <c r="L49" s="876"/>
      <c r="M49" s="623"/>
      <c r="N49" s="118"/>
      <c r="O49" s="118"/>
      <c r="P49" s="118"/>
      <c r="Q49" s="118"/>
      <c r="R49" s="118"/>
      <c r="T49" s="50"/>
      <c r="U49" s="32"/>
      <c r="V49" s="51"/>
    </row>
    <row r="50" spans="2:22" s="41" customFormat="1" ht="18" customHeight="1">
      <c r="B50" s="876" t="s">
        <v>678</v>
      </c>
      <c r="C50" s="876"/>
      <c r="D50" s="876"/>
      <c r="E50" s="876"/>
      <c r="F50" s="876"/>
      <c r="G50" s="876"/>
      <c r="H50" s="876"/>
      <c r="I50" s="876"/>
      <c r="J50" s="876"/>
      <c r="K50" s="876"/>
      <c r="L50" s="876"/>
      <c r="M50" s="623"/>
      <c r="N50" s="118"/>
      <c r="O50" s="118"/>
      <c r="P50" s="118"/>
      <c r="Q50" s="118"/>
      <c r="R50" s="118"/>
      <c r="T50" s="50"/>
      <c r="U50" s="32"/>
      <c r="V50" s="51"/>
    </row>
    <row r="51" spans="2:22" ht="15" customHeight="1">
      <c r="B51" s="619"/>
      <c r="C51" s="44"/>
      <c r="D51" s="44"/>
      <c r="E51" s="44"/>
      <c r="F51" s="44"/>
      <c r="G51" s="44"/>
      <c r="H51" s="44"/>
      <c r="I51" s="44"/>
      <c r="J51" s="44"/>
      <c r="K51" s="44"/>
      <c r="L51" s="44"/>
      <c r="M51" s="44"/>
      <c r="N51" s="44"/>
      <c r="O51" s="44"/>
      <c r="P51" s="44"/>
      <c r="Q51" s="44"/>
      <c r="R51" s="44"/>
      <c r="U51" s="32"/>
      <c r="V51" s="26"/>
    </row>
    <row r="52" spans="2:22" s="30" customFormat="1" ht="63" customHeight="1">
      <c r="B52" s="256" t="s">
        <v>34</v>
      </c>
      <c r="C52" s="256" t="s">
        <v>516</v>
      </c>
      <c r="D52" s="148" t="str">
        <f>IF($B29&lt;&gt;"",$B29,"")</f>
        <v>Residential</v>
      </c>
      <c r="E52" s="148" t="str">
        <f>IF($B30&lt;&gt;"",$B30,"")</f>
        <v>GS&lt;50 kW</v>
      </c>
      <c r="F52" s="148" t="str">
        <f>IF($B31&lt;&gt;"",$B31,"")</f>
        <v>GS 50 - 999 kW</v>
      </c>
      <c r="G52" s="148" t="str">
        <f>IF($B32&lt;&gt;"",$B32,"")</f>
        <v>GS 1,000 - 4,999 kW</v>
      </c>
      <c r="H52" s="148" t="str">
        <f>IF($B33&lt;&gt;"",$B33,"")</f>
        <v>USL</v>
      </c>
      <c r="I52" s="148" t="str">
        <f>IF($B34&lt;&gt;"",$B34,"")</f>
        <v>Sentinel Lighting</v>
      </c>
      <c r="J52" s="148" t="str">
        <f>IF($B35&lt;&gt;"",$B35,"")</f>
        <v>Street Lighting</v>
      </c>
      <c r="K52" s="148" t="str">
        <f>IF($B36&lt;&gt;"",$B36,"")</f>
        <v/>
      </c>
      <c r="L52" s="148" t="str">
        <f>IF($B37&lt;&gt;"",$B37,"")</f>
        <v/>
      </c>
      <c r="M52" s="148" t="str">
        <f>IF($B38&lt;&gt;"",$B38,"")</f>
        <v/>
      </c>
      <c r="N52" s="148" t="str">
        <f>IF($B39&lt;&gt;"",$B39,"")</f>
        <v/>
      </c>
      <c r="O52" s="148" t="str">
        <f>IF($B40&lt;&gt;"",$B40,"")</f>
        <v/>
      </c>
      <c r="P52" s="148" t="str">
        <f>IF($B41&lt;&gt;"",$B41,"")</f>
        <v/>
      </c>
      <c r="Q52" s="148" t="str">
        <f>IF($B42&lt;&gt;"",$B42,"")</f>
        <v/>
      </c>
      <c r="R52" s="256" t="s">
        <v>26</v>
      </c>
      <c r="T52" s="149"/>
      <c r="U52" s="158"/>
    </row>
    <row r="53" spans="2:22" s="159" customFormat="1" ht="15.75" customHeight="1">
      <c r="B53" s="581"/>
      <c r="C53" s="582"/>
      <c r="D53" s="582" t="str">
        <f>D29</f>
        <v>kWh</v>
      </c>
      <c r="E53" s="582" t="str">
        <f>D30</f>
        <v>kWh</v>
      </c>
      <c r="F53" s="582" t="str">
        <f>D31</f>
        <v>kW</v>
      </c>
      <c r="G53" s="582" t="str">
        <f>D32</f>
        <v>kW</v>
      </c>
      <c r="H53" s="582" t="str">
        <f>D33</f>
        <v>kWh</v>
      </c>
      <c r="I53" s="582" t="str">
        <f>D34</f>
        <v>kW</v>
      </c>
      <c r="J53" s="582" t="str">
        <f>D35</f>
        <v>kW</v>
      </c>
      <c r="K53" s="582">
        <f>D36</f>
        <v>0</v>
      </c>
      <c r="L53" s="582">
        <f>D37</f>
        <v>0</v>
      </c>
      <c r="M53" s="582">
        <f>D38</f>
        <v>0</v>
      </c>
      <c r="N53" s="582">
        <f>D39</f>
        <v>0</v>
      </c>
      <c r="O53" s="582">
        <f>D40</f>
        <v>0</v>
      </c>
      <c r="P53" s="582">
        <f>D41</f>
        <v>0</v>
      </c>
      <c r="Q53" s="582">
        <f>D42</f>
        <v>0</v>
      </c>
      <c r="R53" s="583"/>
      <c r="U53" s="160"/>
    </row>
    <row r="54" spans="2:22" s="30" customFormat="1">
      <c r="B54" s="161" t="s">
        <v>142</v>
      </c>
      <c r="C54" s="162"/>
      <c r="D54" s="163">
        <f>'4.  2011-2014 LRAM'!Y131</f>
        <v>0</v>
      </c>
      <c r="E54" s="163">
        <f>'4.  2011-2014 LRAM'!Z131</f>
        <v>0</v>
      </c>
      <c r="F54" s="163">
        <f>'4.  2011-2014 LRAM'!AA131</f>
        <v>0</v>
      </c>
      <c r="G54" s="163">
        <f>'4.  2011-2014 LRAM'!AB131</f>
        <v>0</v>
      </c>
      <c r="H54" s="163">
        <f>'4.  2011-2014 LRAM'!AC131</f>
        <v>0</v>
      </c>
      <c r="I54" s="163">
        <f>'4.  2011-2014 LRAM'!AD131</f>
        <v>0</v>
      </c>
      <c r="J54" s="163">
        <f>'4.  2011-2014 LRAM'!AE131</f>
        <v>0</v>
      </c>
      <c r="K54" s="163">
        <f>'4.  2011-2014 LRAM'!AF131</f>
        <v>0</v>
      </c>
      <c r="L54" s="163">
        <f>'4.  2011-2014 LRAM'!AG131</f>
        <v>0</v>
      </c>
      <c r="M54" s="163">
        <f>'4.  2011-2014 LRAM'!AH131</f>
        <v>0</v>
      </c>
      <c r="N54" s="163">
        <f>'4.  2011-2014 LRAM'!AI131</f>
        <v>0</v>
      </c>
      <c r="O54" s="163">
        <f>'4.  2011-2014 LRAM'!AJ131</f>
        <v>0</v>
      </c>
      <c r="P54" s="163">
        <f>'4.  2011-2014 LRAM'!AK131</f>
        <v>0</v>
      </c>
      <c r="Q54" s="163">
        <f>'4.  2011-2014 LRAM'!AL131</f>
        <v>0</v>
      </c>
      <c r="R54" s="164">
        <f>SUM(D54:Q54)</f>
        <v>0</v>
      </c>
      <c r="U54" s="165"/>
      <c r="V54" s="166"/>
    </row>
    <row r="55" spans="2:22" s="30" customFormat="1">
      <c r="B55" s="167" t="s">
        <v>35</v>
      </c>
      <c r="C55" s="168"/>
      <c r="D55" s="169">
        <f>-'4.  2011-2014 LRAM'!Y132</f>
        <v>0</v>
      </c>
      <c r="E55" s="169">
        <f>-'4.  2011-2014 LRAM'!Z132</f>
        <v>0</v>
      </c>
      <c r="F55" s="169">
        <f>-'4.  2011-2014 LRAM'!AA132</f>
        <v>0</v>
      </c>
      <c r="G55" s="169">
        <f>-'4.  2011-2014 LRAM'!AB132</f>
        <v>0</v>
      </c>
      <c r="H55" s="169">
        <f>-'4.  2011-2014 LRAM'!AC132</f>
        <v>0</v>
      </c>
      <c r="I55" s="169">
        <f>-'4.  2011-2014 LRAM'!AD132</f>
        <v>0</v>
      </c>
      <c r="J55" s="169">
        <f>-'4.  2011-2014 LRAM'!AE132</f>
        <v>0</v>
      </c>
      <c r="K55" s="169">
        <f>-'4.  2011-2014 LRAM'!AF132</f>
        <v>0</v>
      </c>
      <c r="L55" s="169">
        <f>-'4.  2011-2014 LRAM'!AG132</f>
        <v>0</v>
      </c>
      <c r="M55" s="169">
        <f>-'4.  2011-2014 LRAM'!AH132</f>
        <v>0</v>
      </c>
      <c r="N55" s="169">
        <f>-'4.  2011-2014 LRAM'!AI132</f>
        <v>0</v>
      </c>
      <c r="O55" s="169">
        <f>-'4.  2011-2014 LRAM'!AJ132</f>
        <v>0</v>
      </c>
      <c r="P55" s="169">
        <f>-'4.  2011-2014 LRAM'!AK132</f>
        <v>0</v>
      </c>
      <c r="Q55" s="169">
        <f>-'4.  2011-2014 LRAM'!AL132</f>
        <v>0</v>
      </c>
      <c r="R55" s="170">
        <f>SUM(D55:Q55)</f>
        <v>0</v>
      </c>
      <c r="S55" s="171"/>
      <c r="T55" s="149"/>
      <c r="U55" s="172"/>
      <c r="V55" s="166"/>
    </row>
    <row r="56" spans="2:22" s="149" customFormat="1">
      <c r="B56" s="631" t="s">
        <v>67</v>
      </c>
      <c r="C56" s="627"/>
      <c r="D56" s="173"/>
      <c r="E56" s="173"/>
      <c r="F56" s="173"/>
      <c r="G56" s="173"/>
      <c r="H56" s="173"/>
      <c r="I56" s="173"/>
      <c r="J56" s="173"/>
      <c r="K56" s="174"/>
      <c r="L56" s="174"/>
      <c r="M56" s="174"/>
      <c r="N56" s="174"/>
      <c r="O56" s="174"/>
      <c r="P56" s="174"/>
      <c r="Q56" s="174"/>
      <c r="R56" s="175"/>
      <c r="U56" s="172"/>
      <c r="V56" s="166"/>
    </row>
    <row r="57" spans="2:22" s="30" customFormat="1">
      <c r="B57" s="167" t="s">
        <v>143</v>
      </c>
      <c r="C57" s="168"/>
      <c r="D57" s="169">
        <f>'4.  2011-2014 LRAM'!Y261</f>
        <v>0</v>
      </c>
      <c r="E57" s="169">
        <f>'4.  2011-2014 LRAM'!Z261</f>
        <v>0</v>
      </c>
      <c r="F57" s="169">
        <f>'4.  2011-2014 LRAM'!AA261</f>
        <v>0</v>
      </c>
      <c r="G57" s="169">
        <f>'4.  2011-2014 LRAM'!AB261</f>
        <v>0</v>
      </c>
      <c r="H57" s="169">
        <f>'4.  2011-2014 LRAM'!AC261</f>
        <v>0</v>
      </c>
      <c r="I57" s="169">
        <f>'4.  2011-2014 LRAM'!AD261</f>
        <v>0</v>
      </c>
      <c r="J57" s="169">
        <f>'4.  2011-2014 LRAM'!AE261</f>
        <v>0</v>
      </c>
      <c r="K57" s="169">
        <f>'4.  2011-2014 LRAM'!AF261</f>
        <v>0</v>
      </c>
      <c r="L57" s="169">
        <f>'4.  2011-2014 LRAM'!AG261</f>
        <v>0</v>
      </c>
      <c r="M57" s="169">
        <f>'4.  2011-2014 LRAM'!AH261</f>
        <v>0</v>
      </c>
      <c r="N57" s="169">
        <f>'4.  2011-2014 LRAM'!AI261</f>
        <v>0</v>
      </c>
      <c r="O57" s="169">
        <f>'4.  2011-2014 LRAM'!AJ261</f>
        <v>0</v>
      </c>
      <c r="P57" s="169">
        <f>'4.  2011-2014 LRAM'!AK261</f>
        <v>0</v>
      </c>
      <c r="Q57" s="169">
        <f>'4.  2011-2014 LRAM'!AL261</f>
        <v>0</v>
      </c>
      <c r="R57" s="170">
        <f>SUM(D57:Q57)</f>
        <v>0</v>
      </c>
      <c r="U57" s="165"/>
      <c r="V57" s="166"/>
    </row>
    <row r="58" spans="2:22" s="30" customFormat="1">
      <c r="B58" s="167" t="s">
        <v>36</v>
      </c>
      <c r="C58" s="168"/>
      <c r="D58" s="169">
        <f>-'4.  2011-2014 LRAM'!Y262</f>
        <v>0</v>
      </c>
      <c r="E58" s="169">
        <f>-'4.  2011-2014 LRAM'!Z262</f>
        <v>0</v>
      </c>
      <c r="F58" s="169">
        <f>-'4.  2011-2014 LRAM'!AA262</f>
        <v>0</v>
      </c>
      <c r="G58" s="169">
        <f>-'4.  2011-2014 LRAM'!AB262</f>
        <v>0</v>
      </c>
      <c r="H58" s="169">
        <f>-'4.  2011-2014 LRAM'!AC262</f>
        <v>0</v>
      </c>
      <c r="I58" s="169">
        <f>-'4.  2011-2014 LRAM'!AD262</f>
        <v>0</v>
      </c>
      <c r="J58" s="169">
        <f>-'4.  2011-2014 LRAM'!AE262</f>
        <v>0</v>
      </c>
      <c r="K58" s="169">
        <f>-'4.  2011-2014 LRAM'!AF262</f>
        <v>0</v>
      </c>
      <c r="L58" s="169">
        <f>-'4.  2011-2014 LRAM'!AG262</f>
        <v>0</v>
      </c>
      <c r="M58" s="169">
        <f>-'4.  2011-2014 LRAM'!AH262</f>
        <v>0</v>
      </c>
      <c r="N58" s="169">
        <f>-'4.  2011-2014 LRAM'!AI262</f>
        <v>0</v>
      </c>
      <c r="O58" s="169">
        <f>-'4.  2011-2014 LRAM'!AJ262</f>
        <v>0</v>
      </c>
      <c r="P58" s="169">
        <f>-'4.  2011-2014 LRAM'!AK262</f>
        <v>0</v>
      </c>
      <c r="Q58" s="169">
        <f>-'4.  2011-2014 LRAM'!AL262</f>
        <v>0</v>
      </c>
      <c r="R58" s="170">
        <f>SUM(D58:Q58)</f>
        <v>0</v>
      </c>
      <c r="S58" s="171"/>
      <c r="U58" s="165"/>
      <c r="V58" s="166"/>
    </row>
    <row r="59" spans="2:22" s="149" customFormat="1">
      <c r="B59" s="631" t="s">
        <v>67</v>
      </c>
      <c r="C59" s="627"/>
      <c r="D59" s="173"/>
      <c r="E59" s="173"/>
      <c r="F59" s="173"/>
      <c r="G59" s="173"/>
      <c r="H59" s="173"/>
      <c r="I59" s="173"/>
      <c r="J59" s="173"/>
      <c r="K59" s="174"/>
      <c r="L59" s="174"/>
      <c r="M59" s="174"/>
      <c r="N59" s="174"/>
      <c r="O59" s="174"/>
      <c r="P59" s="174"/>
      <c r="Q59" s="174"/>
      <c r="R59" s="175"/>
      <c r="U59" s="172"/>
      <c r="V59" s="166"/>
    </row>
    <row r="60" spans="2:22" s="176" customFormat="1">
      <c r="B60" s="167" t="s">
        <v>38</v>
      </c>
      <c r="C60" s="168"/>
      <c r="D60" s="169">
        <f>'4.  2011-2014 LRAM'!Y391</f>
        <v>0</v>
      </c>
      <c r="E60" s="169">
        <f>'4.  2011-2014 LRAM'!Z391</f>
        <v>0</v>
      </c>
      <c r="F60" s="169">
        <f>'4.  2011-2014 LRAM'!AA391</f>
        <v>0</v>
      </c>
      <c r="G60" s="169">
        <f>'4.  2011-2014 LRAM'!AB391</f>
        <v>0</v>
      </c>
      <c r="H60" s="169">
        <f>'4.  2011-2014 LRAM'!AC391</f>
        <v>0</v>
      </c>
      <c r="I60" s="169">
        <f>'4.  2011-2014 LRAM'!AD391</f>
        <v>0</v>
      </c>
      <c r="J60" s="169">
        <f>'4.  2011-2014 LRAM'!AE391</f>
        <v>0</v>
      </c>
      <c r="K60" s="169">
        <f>'4.  2011-2014 LRAM'!AF391</f>
        <v>0</v>
      </c>
      <c r="L60" s="169">
        <f>'4.  2011-2014 LRAM'!AG391</f>
        <v>0</v>
      </c>
      <c r="M60" s="169">
        <f>'4.  2011-2014 LRAM'!AH391</f>
        <v>0</v>
      </c>
      <c r="N60" s="169">
        <f>'4.  2011-2014 LRAM'!AI391</f>
        <v>0</v>
      </c>
      <c r="O60" s="169">
        <f>'4.  2011-2014 LRAM'!AJ391</f>
        <v>0</v>
      </c>
      <c r="P60" s="169">
        <f>'4.  2011-2014 LRAM'!AK391</f>
        <v>0</v>
      </c>
      <c r="Q60" s="169">
        <f>'4.  2011-2014 LRAM'!AL391</f>
        <v>0</v>
      </c>
      <c r="R60" s="170">
        <f>SUM(D60:Q60)</f>
        <v>0</v>
      </c>
      <c r="U60" s="165"/>
      <c r="V60" s="166"/>
    </row>
    <row r="61" spans="2:22" s="176" customFormat="1">
      <c r="B61" s="167" t="s">
        <v>37</v>
      </c>
      <c r="C61" s="168"/>
      <c r="D61" s="169">
        <f>-'4.  2011-2014 LRAM'!Y392</f>
        <v>0</v>
      </c>
      <c r="E61" s="169">
        <f>-'4.  2011-2014 LRAM'!Z392</f>
        <v>0</v>
      </c>
      <c r="F61" s="169">
        <f>-'4.  2011-2014 LRAM'!AA392</f>
        <v>0</v>
      </c>
      <c r="G61" s="169">
        <f>-'4.  2011-2014 LRAM'!AB392</f>
        <v>0</v>
      </c>
      <c r="H61" s="169">
        <f>-'4.  2011-2014 LRAM'!AC392</f>
        <v>0</v>
      </c>
      <c r="I61" s="169">
        <f>-'4.  2011-2014 LRAM'!AD392</f>
        <v>0</v>
      </c>
      <c r="J61" s="169">
        <f>-'4.  2011-2014 LRAM'!AE392</f>
        <v>0</v>
      </c>
      <c r="K61" s="169">
        <f>-'4.  2011-2014 LRAM'!AF392</f>
        <v>0</v>
      </c>
      <c r="L61" s="169">
        <f>-'4.  2011-2014 LRAM'!AG392</f>
        <v>0</v>
      </c>
      <c r="M61" s="169">
        <f>-'4.  2011-2014 LRAM'!AH392</f>
        <v>0</v>
      </c>
      <c r="N61" s="169">
        <f>-'4.  2011-2014 LRAM'!AI392</f>
        <v>0</v>
      </c>
      <c r="O61" s="169">
        <f>-'4.  2011-2014 LRAM'!AJ392</f>
        <v>0</v>
      </c>
      <c r="P61" s="169">
        <f>-'4.  2011-2014 LRAM'!AK392</f>
        <v>0</v>
      </c>
      <c r="Q61" s="169">
        <f>-'4.  2011-2014 LRAM'!AL392</f>
        <v>0</v>
      </c>
      <c r="R61" s="170">
        <f>SUM(D61:Q61)</f>
        <v>0</v>
      </c>
      <c r="S61" s="171"/>
      <c r="U61" s="165"/>
      <c r="V61" s="166"/>
    </row>
    <row r="62" spans="2:22" s="149" customFormat="1">
      <c r="B62" s="631" t="s">
        <v>67</v>
      </c>
      <c r="C62" s="627"/>
      <c r="D62" s="173"/>
      <c r="E62" s="173"/>
      <c r="F62" s="173"/>
      <c r="G62" s="173"/>
      <c r="H62" s="173"/>
      <c r="I62" s="173"/>
      <c r="J62" s="173"/>
      <c r="K62" s="174"/>
      <c r="L62" s="174"/>
      <c r="M62" s="174"/>
      <c r="N62" s="174"/>
      <c r="O62" s="174"/>
      <c r="P62" s="174"/>
      <c r="Q62" s="174"/>
      <c r="R62" s="175"/>
      <c r="U62" s="172"/>
      <c r="V62" s="166"/>
    </row>
    <row r="63" spans="2:22" s="176" customFormat="1">
      <c r="B63" s="167" t="s">
        <v>40</v>
      </c>
      <c r="C63" s="168"/>
      <c r="D63" s="169">
        <f>'4.  2011-2014 LRAM'!Y521</f>
        <v>0</v>
      </c>
      <c r="E63" s="169">
        <f>'4.  2011-2014 LRAM'!Z521</f>
        <v>0</v>
      </c>
      <c r="F63" s="169">
        <f>'4.  2011-2014 LRAM'!AA521</f>
        <v>0</v>
      </c>
      <c r="G63" s="169">
        <f>'4.  2011-2014 LRAM'!AB521</f>
        <v>0</v>
      </c>
      <c r="H63" s="169">
        <f>'4.  2011-2014 LRAM'!AC521</f>
        <v>0</v>
      </c>
      <c r="I63" s="169">
        <f>'4.  2011-2014 LRAM'!AD521</f>
        <v>0</v>
      </c>
      <c r="J63" s="169">
        <f>'4.  2011-2014 LRAM'!AE521</f>
        <v>0</v>
      </c>
      <c r="K63" s="169">
        <f>'4.  2011-2014 LRAM'!AF521</f>
        <v>0</v>
      </c>
      <c r="L63" s="169">
        <f>'4.  2011-2014 LRAM'!AG521</f>
        <v>0</v>
      </c>
      <c r="M63" s="169">
        <f>'4.  2011-2014 LRAM'!AH521</f>
        <v>0</v>
      </c>
      <c r="N63" s="169">
        <f>'4.  2011-2014 LRAM'!AI521</f>
        <v>0</v>
      </c>
      <c r="O63" s="169">
        <f>'4.  2011-2014 LRAM'!AJ521</f>
        <v>0</v>
      </c>
      <c r="P63" s="169">
        <f>'4.  2011-2014 LRAM'!AK521</f>
        <v>0</v>
      </c>
      <c r="Q63" s="169">
        <f>'4.  2011-2014 LRAM'!AL521</f>
        <v>0</v>
      </c>
      <c r="R63" s="170">
        <f>SUM(D63:Q63)</f>
        <v>0</v>
      </c>
      <c r="U63" s="165"/>
      <c r="V63" s="166"/>
    </row>
    <row r="64" spans="2:22" s="176" customFormat="1">
      <c r="B64" s="167" t="s">
        <v>39</v>
      </c>
      <c r="C64" s="168"/>
      <c r="D64" s="169">
        <f>-'4.  2011-2014 LRAM'!Y522</f>
        <v>0</v>
      </c>
      <c r="E64" s="169">
        <f>-'4.  2011-2014 LRAM'!Z522</f>
        <v>0</v>
      </c>
      <c r="F64" s="169">
        <f>-'4.  2011-2014 LRAM'!AA522</f>
        <v>0</v>
      </c>
      <c r="G64" s="169">
        <f>-'4.  2011-2014 LRAM'!AB522</f>
        <v>0</v>
      </c>
      <c r="H64" s="169">
        <f>-'4.  2011-2014 LRAM'!AC522</f>
        <v>0</v>
      </c>
      <c r="I64" s="169">
        <f>-'4.  2011-2014 LRAM'!AD522</f>
        <v>0</v>
      </c>
      <c r="J64" s="169">
        <f>-'4.  2011-2014 LRAM'!AE522</f>
        <v>0</v>
      </c>
      <c r="K64" s="169">
        <f>-'4.  2011-2014 LRAM'!AF522</f>
        <v>0</v>
      </c>
      <c r="L64" s="169">
        <f>-'4.  2011-2014 LRAM'!AG522</f>
        <v>0</v>
      </c>
      <c r="M64" s="169">
        <f>-'4.  2011-2014 LRAM'!AH522</f>
        <v>0</v>
      </c>
      <c r="N64" s="169">
        <f>-'4.  2011-2014 LRAM'!AI522</f>
        <v>0</v>
      </c>
      <c r="O64" s="169">
        <f>-'4.  2011-2014 LRAM'!AJ522</f>
        <v>0</v>
      </c>
      <c r="P64" s="169">
        <f>-'4.  2011-2014 LRAM'!AK522</f>
        <v>0</v>
      </c>
      <c r="Q64" s="169">
        <f>-'4.  2011-2014 LRAM'!AL522</f>
        <v>0</v>
      </c>
      <c r="R64" s="170">
        <f>SUM(D64:Q64)</f>
        <v>0</v>
      </c>
      <c r="S64" s="171"/>
      <c r="U64" s="165"/>
      <c r="V64" s="166"/>
    </row>
    <row r="65" spans="2:22" s="149" customFormat="1">
      <c r="B65" s="631" t="s">
        <v>67</v>
      </c>
      <c r="C65" s="627"/>
      <c r="D65" s="173"/>
      <c r="E65" s="173"/>
      <c r="F65" s="173"/>
      <c r="G65" s="173"/>
      <c r="H65" s="173"/>
      <c r="I65" s="173"/>
      <c r="J65" s="173"/>
      <c r="K65" s="174"/>
      <c r="L65" s="174"/>
      <c r="M65" s="174"/>
      <c r="N65" s="174"/>
      <c r="O65" s="174"/>
      <c r="P65" s="174"/>
      <c r="Q65" s="174"/>
      <c r="R65" s="175"/>
      <c r="U65" s="172"/>
      <c r="V65" s="166"/>
    </row>
    <row r="66" spans="2:22" s="176" customFormat="1">
      <c r="B66" s="167" t="s">
        <v>94</v>
      </c>
      <c r="C66" s="541"/>
      <c r="D66" s="177">
        <f>'5.  2015-2020 LRAM'!Y204</f>
        <v>43857.091783347547</v>
      </c>
      <c r="E66" s="177">
        <f>'5.  2015-2020 LRAM'!Z204</f>
        <v>30709.634040724584</v>
      </c>
      <c r="F66" s="177">
        <f>'5.  2015-2020 LRAM'!AA204</f>
        <v>31335.532768911326</v>
      </c>
      <c r="G66" s="177">
        <f>'5.  2015-2020 LRAM'!AB204</f>
        <v>15584.974668130613</v>
      </c>
      <c r="H66" s="177">
        <f>'5.  2015-2020 LRAM'!AC204</f>
        <v>0</v>
      </c>
      <c r="I66" s="177">
        <f>'5.  2015-2020 LRAM'!AD204</f>
        <v>0</v>
      </c>
      <c r="J66" s="177">
        <f>'5.  2015-2020 LRAM'!AE204</f>
        <v>1836.9683223119964</v>
      </c>
      <c r="K66" s="177">
        <f>'5.  2015-2020 LRAM'!AF204</f>
        <v>0</v>
      </c>
      <c r="L66" s="177">
        <f>'5.  2015-2020 LRAM'!AG204</f>
        <v>0</v>
      </c>
      <c r="M66" s="177">
        <f>'5.  2015-2020 LRAM'!AH204</f>
        <v>0</v>
      </c>
      <c r="N66" s="177">
        <f>'5.  2015-2020 LRAM'!AI204</f>
        <v>0</v>
      </c>
      <c r="O66" s="177">
        <f>'5.  2015-2020 LRAM'!AJ204</f>
        <v>0</v>
      </c>
      <c r="P66" s="177">
        <f>'5.  2015-2020 LRAM'!AK204</f>
        <v>0</v>
      </c>
      <c r="Q66" s="177">
        <f>'5.  2015-2020 LRAM'!AL204</f>
        <v>0</v>
      </c>
      <c r="R66" s="170">
        <f>SUM(D66:Q66)</f>
        <v>123324.20158342605</v>
      </c>
      <c r="U66" s="165"/>
      <c r="V66" s="166"/>
    </row>
    <row r="67" spans="2:22" s="176" customFormat="1">
      <c r="B67" s="167" t="s">
        <v>93</v>
      </c>
      <c r="C67" s="168"/>
      <c r="D67" s="177">
        <f>-'5.  2015-2020 LRAM'!Y205</f>
        <v>-28524.264300000003</v>
      </c>
      <c r="E67" s="177">
        <f>-'5.  2015-2020 LRAM'!Z205</f>
        <v>-5261.5510000000004</v>
      </c>
      <c r="F67" s="177">
        <f>-'5.  2015-2020 LRAM'!AA205</f>
        <v>-9522.9830000000002</v>
      </c>
      <c r="G67" s="177">
        <f>-'5.  2015-2020 LRAM'!AB205</f>
        <v>-1913.0818999999999</v>
      </c>
      <c r="H67" s="177">
        <f>-'5.  2015-2020 LRAM'!AC205</f>
        <v>0</v>
      </c>
      <c r="I67" s="177">
        <f>-'5.  2015-2020 LRAM'!AD205</f>
        <v>0</v>
      </c>
      <c r="J67" s="177">
        <f>-'5.  2015-2020 LRAM'!AE205</f>
        <v>0</v>
      </c>
      <c r="K67" s="177">
        <f>-'5.  2015-2020 LRAM'!AF205</f>
        <v>0</v>
      </c>
      <c r="L67" s="177">
        <f>-'5.  2015-2020 LRAM'!AG205</f>
        <v>0</v>
      </c>
      <c r="M67" s="177">
        <f>-'5.  2015-2020 LRAM'!AH205</f>
        <v>0</v>
      </c>
      <c r="N67" s="177">
        <f>-'5.  2015-2020 LRAM'!AI205</f>
        <v>0</v>
      </c>
      <c r="O67" s="177">
        <f>-'5.  2015-2020 LRAM'!AJ205</f>
        <v>0</v>
      </c>
      <c r="P67" s="177">
        <f>-'5.  2015-2020 LRAM'!AK205</f>
        <v>0</v>
      </c>
      <c r="Q67" s="177">
        <f>-'5.  2015-2020 LRAM'!AL205</f>
        <v>0</v>
      </c>
      <c r="R67" s="170">
        <f>SUM(D67:Q67)</f>
        <v>-45221.8802</v>
      </c>
      <c r="S67" s="171"/>
      <c r="U67" s="165"/>
      <c r="V67" s="166"/>
    </row>
    <row r="68" spans="2:22" s="149" customFormat="1">
      <c r="B68" s="631" t="s">
        <v>67</v>
      </c>
      <c r="C68" s="627"/>
      <c r="D68" s="173"/>
      <c r="E68" s="173"/>
      <c r="F68" s="173"/>
      <c r="G68" s="173"/>
      <c r="H68" s="173"/>
      <c r="I68" s="173"/>
      <c r="J68" s="173"/>
      <c r="K68" s="174"/>
      <c r="L68" s="174"/>
      <c r="M68" s="174"/>
      <c r="N68" s="174"/>
      <c r="O68" s="174"/>
      <c r="P68" s="174"/>
      <c r="Q68" s="174"/>
      <c r="R68" s="175"/>
      <c r="U68" s="172"/>
      <c r="V68" s="166"/>
    </row>
    <row r="69" spans="2:22" s="176" customFormat="1">
      <c r="B69" s="167" t="s">
        <v>225</v>
      </c>
      <c r="C69" s="541"/>
      <c r="D69" s="169">
        <f>'5.  2015-2020 LRAM'!Y388</f>
        <v>40796.842299999997</v>
      </c>
      <c r="E69" s="169">
        <f>'5.  2015-2020 LRAM'!Z388</f>
        <v>18249.907621619685</v>
      </c>
      <c r="F69" s="169">
        <f>'5.  2015-2020 LRAM'!AA388</f>
        <v>8347.3554746442042</v>
      </c>
      <c r="G69" s="169">
        <f>'5.  2015-2020 LRAM'!AB388</f>
        <v>9361.8166801716779</v>
      </c>
      <c r="H69" s="169">
        <f>'5.  2015-2020 LRAM'!AC388</f>
        <v>0</v>
      </c>
      <c r="I69" s="169">
        <f>'5.  2015-2020 LRAM'!AD388</f>
        <v>0</v>
      </c>
      <c r="J69" s="169">
        <f>'5.  2015-2020 LRAM'!AE388</f>
        <v>26869.841018294399</v>
      </c>
      <c r="K69" s="169">
        <f>'5.  2015-2020 LRAM'!AF388</f>
        <v>0</v>
      </c>
      <c r="L69" s="169">
        <f>'5.  2015-2020 LRAM'!AG388</f>
        <v>0</v>
      </c>
      <c r="M69" s="169">
        <f>'5.  2015-2020 LRAM'!AH388</f>
        <v>0</v>
      </c>
      <c r="N69" s="169">
        <f>'5.  2015-2020 LRAM'!AI388</f>
        <v>0</v>
      </c>
      <c r="O69" s="169">
        <f>'5.  2015-2020 LRAM'!AJ388</f>
        <v>0</v>
      </c>
      <c r="P69" s="169">
        <f>'5.  2015-2020 LRAM'!AK388</f>
        <v>0</v>
      </c>
      <c r="Q69" s="169">
        <f>'5.  2015-2020 LRAM'!AL388</f>
        <v>0</v>
      </c>
      <c r="R69" s="170">
        <f>SUM(D69:Q69)</f>
        <v>103625.76309472995</v>
      </c>
      <c r="U69" s="165"/>
      <c r="V69" s="166"/>
    </row>
    <row r="70" spans="2:22" s="176" customFormat="1">
      <c r="B70" s="167" t="s">
        <v>224</v>
      </c>
      <c r="C70" s="168"/>
      <c r="D70" s="169">
        <f>-'5.  2015-2020 LRAM'!Y389</f>
        <v>-7395.4226999999992</v>
      </c>
      <c r="E70" s="169">
        <f>-'5.  2015-2020 LRAM'!Z389</f>
        <v>-703.95659999999998</v>
      </c>
      <c r="F70" s="169">
        <f>-'5.  2015-2020 LRAM'!AA389</f>
        <v>-11930.039200000001</v>
      </c>
      <c r="G70" s="169">
        <f>-'5.  2015-2020 LRAM'!AB389</f>
        <v>-9480.0380999999998</v>
      </c>
      <c r="H70" s="169">
        <f>-'5.  2015-2020 LRAM'!AC389</f>
        <v>0</v>
      </c>
      <c r="I70" s="169">
        <f>-'5.  2015-2020 LRAM'!AD389</f>
        <v>0</v>
      </c>
      <c r="J70" s="169">
        <f>-'5.  2015-2020 LRAM'!AE389</f>
        <v>-41636.892599999999</v>
      </c>
      <c r="K70" s="169">
        <f>-'5.  2015-2020 LRAM'!AF389</f>
        <v>0</v>
      </c>
      <c r="L70" s="169">
        <f>-'5.  2015-2020 LRAM'!AG389</f>
        <v>0</v>
      </c>
      <c r="M70" s="169">
        <f>-'5.  2015-2020 LRAM'!AH389</f>
        <v>0</v>
      </c>
      <c r="N70" s="169">
        <f>-'5.  2015-2020 LRAM'!AI389</f>
        <v>0</v>
      </c>
      <c r="O70" s="169">
        <f>-'5.  2015-2020 LRAM'!AJ389</f>
        <v>0</v>
      </c>
      <c r="P70" s="169">
        <f>-'5.  2015-2020 LRAM'!AK389</f>
        <v>0</v>
      </c>
      <c r="Q70" s="169">
        <f>-'5.  2015-2020 LRAM'!AL389</f>
        <v>0</v>
      </c>
      <c r="R70" s="170">
        <f>SUM(D70:Q70)</f>
        <v>-71146.349199999997</v>
      </c>
      <c r="S70" s="171"/>
      <c r="U70" s="165"/>
      <c r="V70" s="166"/>
    </row>
    <row r="71" spans="2:22" s="149" customFormat="1">
      <c r="B71" s="631" t="s">
        <v>67</v>
      </c>
      <c r="C71" s="627"/>
      <c r="D71" s="173"/>
      <c r="E71" s="173"/>
      <c r="F71" s="173"/>
      <c r="G71" s="173"/>
      <c r="H71" s="173"/>
      <c r="I71" s="173"/>
      <c r="J71" s="173"/>
      <c r="K71" s="174"/>
      <c r="L71" s="174"/>
      <c r="M71" s="174"/>
      <c r="N71" s="174"/>
      <c r="O71" s="174"/>
      <c r="P71" s="174"/>
      <c r="Q71" s="174"/>
      <c r="R71" s="175"/>
      <c r="U71" s="172"/>
      <c r="V71" s="166"/>
    </row>
    <row r="72" spans="2:22" s="176" customFormat="1">
      <c r="B72" s="167" t="s">
        <v>227</v>
      </c>
      <c r="C72" s="541"/>
      <c r="D72" s="169">
        <f>'5.  2015-2020 LRAM'!Y572</f>
        <v>77876.822316610851</v>
      </c>
      <c r="E72" s="169">
        <f>'5.  2015-2020 LRAM'!Z572</f>
        <v>31127.437422443632</v>
      </c>
      <c r="F72" s="169">
        <f>'5.  2015-2020 LRAM'!AA572</f>
        <v>19202.204739168679</v>
      </c>
      <c r="G72" s="169">
        <f>'5.  2015-2020 LRAM'!AB572</f>
        <v>15548.071634929449</v>
      </c>
      <c r="H72" s="169">
        <f>'5.  2015-2020 LRAM'!AC572</f>
        <v>0</v>
      </c>
      <c r="I72" s="169">
        <f>'5.  2015-2020 LRAM'!AD572</f>
        <v>0</v>
      </c>
      <c r="J72" s="169">
        <f>'5.  2015-2020 LRAM'!AE572</f>
        <v>6233.5121686128005</v>
      </c>
      <c r="K72" s="169">
        <f>'5.  2015-2020 LRAM'!AF572</f>
        <v>0</v>
      </c>
      <c r="L72" s="169">
        <f>'5.  2015-2020 LRAM'!AG572</f>
        <v>0</v>
      </c>
      <c r="M72" s="169">
        <f>'5.  2015-2020 LRAM'!AH572</f>
        <v>0</v>
      </c>
      <c r="N72" s="169">
        <f>'5.  2015-2020 LRAM'!AI572</f>
        <v>0</v>
      </c>
      <c r="O72" s="169">
        <f>'5.  2015-2020 LRAM'!AJ572</f>
        <v>0</v>
      </c>
      <c r="P72" s="169">
        <f>'5.  2015-2020 LRAM'!AK572</f>
        <v>0</v>
      </c>
      <c r="Q72" s="169">
        <f>'5.  2015-2020 LRAM'!AL572</f>
        <v>0</v>
      </c>
      <c r="R72" s="170">
        <f>SUM(D72:Q72)</f>
        <v>149988.0482817654</v>
      </c>
      <c r="U72" s="165"/>
      <c r="V72" s="166"/>
    </row>
    <row r="73" spans="2:22" s="176" customFormat="1">
      <c r="B73" s="167" t="s">
        <v>226</v>
      </c>
      <c r="C73" s="168"/>
      <c r="D73" s="169">
        <f>-'5.  2015-2020 LRAM'!Y573</f>
        <v>-5460.1719000000003</v>
      </c>
      <c r="E73" s="169">
        <f>-'5.  2015-2020 LRAM'!Z573</f>
        <v>-748.89</v>
      </c>
      <c r="F73" s="169">
        <f>-'5.  2015-2020 LRAM'!AA573</f>
        <v>-12396.299200000001</v>
      </c>
      <c r="G73" s="169">
        <f>-'5.  2015-2020 LRAM'!AB573</f>
        <v>-9791.1839999999993</v>
      </c>
      <c r="H73" s="169">
        <f>-'5.  2015-2020 LRAM'!AC573</f>
        <v>0</v>
      </c>
      <c r="I73" s="169">
        <f>-'5.  2015-2020 LRAM'!AD573</f>
        <v>0</v>
      </c>
      <c r="J73" s="169">
        <f>-'5.  2015-2020 LRAM'!AE573</f>
        <v>-5757.6588000000002</v>
      </c>
      <c r="K73" s="169">
        <f>-'5.  2015-2020 LRAM'!AF573</f>
        <v>0</v>
      </c>
      <c r="L73" s="169">
        <f>-'5.  2015-2020 LRAM'!AG573</f>
        <v>0</v>
      </c>
      <c r="M73" s="169">
        <f>-'5.  2015-2020 LRAM'!AH573</f>
        <v>0</v>
      </c>
      <c r="N73" s="169">
        <f>-'5.  2015-2020 LRAM'!AI573</f>
        <v>0</v>
      </c>
      <c r="O73" s="169">
        <f>-'5.  2015-2020 LRAM'!AJ573</f>
        <v>0</v>
      </c>
      <c r="P73" s="169">
        <f>-'5.  2015-2020 LRAM'!AK573</f>
        <v>0</v>
      </c>
      <c r="Q73" s="169">
        <f>-'5.  2015-2020 LRAM'!AL573</f>
        <v>0</v>
      </c>
      <c r="R73" s="170">
        <f>SUM(D73:Q73)</f>
        <v>-34154.2039</v>
      </c>
      <c r="S73" s="171"/>
      <c r="U73" s="165"/>
      <c r="V73" s="166"/>
    </row>
    <row r="74" spans="2:22" s="149" customFormat="1">
      <c r="B74" s="631" t="s">
        <v>67</v>
      </c>
      <c r="C74" s="627"/>
      <c r="D74" s="173"/>
      <c r="E74" s="173"/>
      <c r="F74" s="173"/>
      <c r="G74" s="173"/>
      <c r="H74" s="173"/>
      <c r="I74" s="173"/>
      <c r="J74" s="173"/>
      <c r="K74" s="174"/>
      <c r="L74" s="174"/>
      <c r="M74" s="174"/>
      <c r="N74" s="174"/>
      <c r="O74" s="174"/>
      <c r="P74" s="174"/>
      <c r="Q74" s="174"/>
      <c r="R74" s="175"/>
      <c r="U74" s="172"/>
      <c r="V74" s="166"/>
    </row>
    <row r="75" spans="2:22" s="176" customFormat="1">
      <c r="B75" s="167" t="s">
        <v>229</v>
      </c>
      <c r="C75" s="541"/>
      <c r="D75" s="169">
        <f>'5.  2015-2020 LRAM'!Y756</f>
        <v>45360.234685135263</v>
      </c>
      <c r="E75" s="169">
        <f>'5.  2015-2020 LRAM'!Z756</f>
        <v>34883.287130563898</v>
      </c>
      <c r="F75" s="169">
        <f>'5.  2015-2020 LRAM'!AA756</f>
        <v>24093.610935685592</v>
      </c>
      <c r="G75" s="169">
        <f>'5.  2015-2020 LRAM'!AB756</f>
        <v>19285.805730783944</v>
      </c>
      <c r="H75" s="169">
        <f>'5.  2015-2020 LRAM'!AC756</f>
        <v>0</v>
      </c>
      <c r="I75" s="169">
        <f>'5.  2015-2020 LRAM'!AD756</f>
        <v>0</v>
      </c>
      <c r="J75" s="169">
        <f>'5.  2015-2020 LRAM'!AE756</f>
        <v>6466.1205263616012</v>
      </c>
      <c r="K75" s="169">
        <f>'5.  2015-2020 LRAM'!AF756</f>
        <v>0</v>
      </c>
      <c r="L75" s="169">
        <f>'5.  2015-2020 LRAM'!AG756</f>
        <v>0</v>
      </c>
      <c r="M75" s="169">
        <f>'5.  2015-2020 LRAM'!AH756</f>
        <v>0</v>
      </c>
      <c r="N75" s="169">
        <f>'5.  2015-2020 LRAM'!AI756</f>
        <v>0</v>
      </c>
      <c r="O75" s="169">
        <f>'5.  2015-2020 LRAM'!AJ756</f>
        <v>0</v>
      </c>
      <c r="P75" s="169">
        <f>'5.  2015-2020 LRAM'!AK756</f>
        <v>0</v>
      </c>
      <c r="Q75" s="169">
        <f>'5.  2015-2020 LRAM'!AL756</f>
        <v>0</v>
      </c>
      <c r="R75" s="170">
        <f>SUM(D75:Q75)</f>
        <v>130089.0590085303</v>
      </c>
      <c r="U75" s="165"/>
      <c r="V75" s="166"/>
    </row>
    <row r="76" spans="2:22" s="176" customFormat="1" ht="16.5" customHeight="1">
      <c r="B76" s="167" t="s">
        <v>228</v>
      </c>
      <c r="C76" s="168"/>
      <c r="D76" s="169">
        <f>-'5.  2015-2020 LRAM'!Y757</f>
        <v>-3110.2244999999998</v>
      </c>
      <c r="E76" s="169">
        <f>-'5.  2015-2020 LRAM'!Z757</f>
        <v>-763.8678000000001</v>
      </c>
      <c r="F76" s="169">
        <f>-'5.  2015-2020 LRAM'!AA757</f>
        <v>-12573.641600000001</v>
      </c>
      <c r="G76" s="169">
        <f>-'5.  2015-2020 LRAM'!AB757</f>
        <v>-9931.3863999999994</v>
      </c>
      <c r="H76" s="169">
        <f>-'5.  2015-2020 LRAM'!AC757</f>
        <v>0</v>
      </c>
      <c r="I76" s="169">
        <f>-'5.  2015-2020 LRAM'!AD757</f>
        <v>0</v>
      </c>
      <c r="J76" s="169">
        <f>-'5.  2015-2020 LRAM'!AE757</f>
        <v>-5839.9974000000002</v>
      </c>
      <c r="K76" s="169">
        <f>-'5.  2015-2020 LRAM'!AF757</f>
        <v>0</v>
      </c>
      <c r="L76" s="169">
        <f>-'5.  2015-2020 LRAM'!AG757</f>
        <v>0</v>
      </c>
      <c r="M76" s="169">
        <f>-'5.  2015-2020 LRAM'!AH757</f>
        <v>0</v>
      </c>
      <c r="N76" s="169">
        <f>-'5.  2015-2020 LRAM'!AI757</f>
        <v>0</v>
      </c>
      <c r="O76" s="169">
        <f>-'5.  2015-2020 LRAM'!AJ757</f>
        <v>0</v>
      </c>
      <c r="P76" s="169">
        <f>-'5.  2015-2020 LRAM'!AK757</f>
        <v>0</v>
      </c>
      <c r="Q76" s="169">
        <f>-'5.  2015-2020 LRAM'!AL757</f>
        <v>0</v>
      </c>
      <c r="R76" s="170">
        <f>SUM(D76:Q76)</f>
        <v>-32219.117699999999</v>
      </c>
      <c r="S76" s="171"/>
      <c r="U76" s="165"/>
      <c r="V76" s="166"/>
    </row>
    <row r="77" spans="2:22" s="149" customFormat="1">
      <c r="B77" s="631" t="s">
        <v>67</v>
      </c>
      <c r="C77" s="627"/>
      <c r="D77" s="173"/>
      <c r="E77" s="173"/>
      <c r="F77" s="173"/>
      <c r="G77" s="173"/>
      <c r="H77" s="173"/>
      <c r="I77" s="173"/>
      <c r="J77" s="173"/>
      <c r="K77" s="174"/>
      <c r="L77" s="174"/>
      <c r="M77" s="174"/>
      <c r="N77" s="174"/>
      <c r="O77" s="174"/>
      <c r="P77" s="174"/>
      <c r="Q77" s="174"/>
      <c r="R77" s="175"/>
      <c r="U77" s="172"/>
      <c r="V77" s="166"/>
    </row>
    <row r="78" spans="2:22" s="176" customFormat="1">
      <c r="B78" s="167" t="s">
        <v>231</v>
      </c>
      <c r="C78" s="168"/>
      <c r="D78" s="169"/>
      <c r="E78" s="169"/>
      <c r="F78" s="169"/>
      <c r="G78" s="169"/>
      <c r="H78" s="169"/>
      <c r="I78" s="169"/>
      <c r="J78" s="169"/>
      <c r="K78" s="169"/>
      <c r="L78" s="169"/>
      <c r="M78" s="169"/>
      <c r="N78" s="169"/>
      <c r="O78" s="169"/>
      <c r="P78" s="169"/>
      <c r="Q78" s="169"/>
      <c r="R78" s="170"/>
      <c r="U78" s="165"/>
      <c r="V78" s="166"/>
    </row>
    <row r="79" spans="2:22" s="176" customFormat="1">
      <c r="B79" s="167" t="s">
        <v>230</v>
      </c>
      <c r="C79" s="168"/>
      <c r="D79" s="169"/>
      <c r="E79" s="169"/>
      <c r="F79" s="169"/>
      <c r="G79" s="169"/>
      <c r="H79" s="169"/>
      <c r="I79" s="169"/>
      <c r="J79" s="169"/>
      <c r="K79" s="169"/>
      <c r="L79" s="169"/>
      <c r="M79" s="169"/>
      <c r="N79" s="169"/>
      <c r="O79" s="169"/>
      <c r="P79" s="169"/>
      <c r="Q79" s="169"/>
      <c r="R79" s="170"/>
      <c r="S79" s="171"/>
      <c r="U79" s="165"/>
      <c r="V79" s="166"/>
    </row>
    <row r="80" spans="2:22" s="149" customFormat="1">
      <c r="B80" s="631" t="s">
        <v>67</v>
      </c>
      <c r="C80" s="627"/>
      <c r="D80" s="173"/>
      <c r="E80" s="173"/>
      <c r="F80" s="173"/>
      <c r="G80" s="173"/>
      <c r="H80" s="173"/>
      <c r="I80" s="173"/>
      <c r="J80" s="173"/>
      <c r="K80" s="174"/>
      <c r="L80" s="174"/>
      <c r="M80" s="174"/>
      <c r="N80" s="174"/>
      <c r="O80" s="174"/>
      <c r="P80" s="174"/>
      <c r="Q80" s="174"/>
      <c r="R80" s="175"/>
      <c r="U80" s="172"/>
      <c r="V80" s="166"/>
    </row>
    <row r="81" spans="2:22" s="176" customFormat="1">
      <c r="B81" s="167" t="s">
        <v>233</v>
      </c>
      <c r="C81" s="541"/>
      <c r="D81" s="169"/>
      <c r="E81" s="169"/>
      <c r="F81" s="169"/>
      <c r="G81" s="169"/>
      <c r="H81" s="169"/>
      <c r="I81" s="169"/>
      <c r="J81" s="169"/>
      <c r="K81" s="169"/>
      <c r="L81" s="169"/>
      <c r="M81" s="169"/>
      <c r="N81" s="169"/>
      <c r="O81" s="169"/>
      <c r="P81" s="169"/>
      <c r="Q81" s="169"/>
      <c r="R81" s="170"/>
      <c r="U81" s="165"/>
      <c r="V81" s="166"/>
    </row>
    <row r="82" spans="2:22" s="176" customFormat="1">
      <c r="B82" s="167" t="s">
        <v>232</v>
      </c>
      <c r="C82" s="168"/>
      <c r="D82" s="169"/>
      <c r="E82" s="169"/>
      <c r="F82" s="169"/>
      <c r="G82" s="169"/>
      <c r="H82" s="169"/>
      <c r="I82" s="169"/>
      <c r="J82" s="169"/>
      <c r="K82" s="169"/>
      <c r="L82" s="169"/>
      <c r="M82" s="169"/>
      <c r="N82" s="169"/>
      <c r="O82" s="169"/>
      <c r="P82" s="169"/>
      <c r="Q82" s="169"/>
      <c r="R82" s="170"/>
      <c r="S82" s="171"/>
      <c r="U82" s="165"/>
      <c r="V82" s="166"/>
    </row>
    <row r="83" spans="2:22" s="149" customFormat="1">
      <c r="B83" s="631" t="s">
        <v>67</v>
      </c>
      <c r="C83" s="627"/>
      <c r="D83" s="173"/>
      <c r="E83" s="173"/>
      <c r="F83" s="173"/>
      <c r="G83" s="173"/>
      <c r="H83" s="173"/>
      <c r="I83" s="173"/>
      <c r="J83" s="173"/>
      <c r="K83" s="174"/>
      <c r="L83" s="174"/>
      <c r="M83" s="174"/>
      <c r="N83" s="174"/>
      <c r="O83" s="174"/>
      <c r="P83" s="174"/>
      <c r="Q83" s="174"/>
      <c r="R83" s="175"/>
      <c r="U83" s="172"/>
      <c r="V83" s="166"/>
    </row>
    <row r="84" spans="2:22" s="30" customFormat="1">
      <c r="B84" s="628" t="s">
        <v>43</v>
      </c>
      <c r="C84" s="627"/>
      <c r="D84" s="684">
        <f>'6.  Carrying Charges'!I237</f>
        <v>10299.102433618413</v>
      </c>
      <c r="E84" s="684">
        <f>'6.  Carrying Charges'!J237</f>
        <v>6970.4416227476995</v>
      </c>
      <c r="F84" s="684">
        <f>'6.  Carrying Charges'!K237</f>
        <v>2557.8260142545346</v>
      </c>
      <c r="G84" s="684">
        <f>'6.  Carrying Charges'!L237</f>
        <v>1954.4843743759639</v>
      </c>
      <c r="H84" s="684">
        <f>'6.  Carrying Charges'!M237</f>
        <v>0</v>
      </c>
      <c r="I84" s="684">
        <f>'6.  Carrying Charges'!N237</f>
        <v>0</v>
      </c>
      <c r="J84" s="684">
        <f>'6.  Carrying Charges'!O237</f>
        <v>-874.37472369209672</v>
      </c>
      <c r="K84" s="684">
        <f>'6.  Carrying Charges'!P237</f>
        <v>0</v>
      </c>
      <c r="L84" s="684">
        <f>'6.  Carrying Charges'!Q237</f>
        <v>0</v>
      </c>
      <c r="M84" s="684">
        <f>'6.  Carrying Charges'!R237</f>
        <v>0</v>
      </c>
      <c r="N84" s="684">
        <f>'6.  Carrying Charges'!S237</f>
        <v>0</v>
      </c>
      <c r="O84" s="684">
        <f>'6.  Carrying Charges'!T237</f>
        <v>0</v>
      </c>
      <c r="P84" s="684">
        <f>'6.  Carrying Charges'!U237</f>
        <v>0</v>
      </c>
      <c r="Q84" s="684">
        <f>'6.  Carrying Charges'!V237</f>
        <v>0</v>
      </c>
      <c r="R84" s="685">
        <f>SUM(D84:Q84)</f>
        <v>20907.479721304509</v>
      </c>
      <c r="U84" s="165"/>
      <c r="V84" s="166"/>
    </row>
    <row r="85" spans="2:22" s="176" customFormat="1" ht="21.75" customHeight="1">
      <c r="B85" s="629" t="s">
        <v>240</v>
      </c>
      <c r="C85" s="630"/>
      <c r="D85" s="629">
        <f>SUM(D54:D80)+D84</f>
        <v>173700.01011871206</v>
      </c>
      <c r="E85" s="629">
        <f>SUM(E54:E80)+E84</f>
        <v>114462.4424380995</v>
      </c>
      <c r="F85" s="629">
        <f t="shared" ref="F85:Q85" si="2">SUM(F54:F80)+F84</f>
        <v>39113.566932664326</v>
      </c>
      <c r="G85" s="629">
        <f t="shared" si="2"/>
        <v>30619.462688391646</v>
      </c>
      <c r="H85" s="629">
        <f t="shared" si="2"/>
        <v>0</v>
      </c>
      <c r="I85" s="629">
        <f t="shared" si="2"/>
        <v>0</v>
      </c>
      <c r="J85" s="629">
        <f t="shared" si="2"/>
        <v>-12702.4814881113</v>
      </c>
      <c r="K85" s="629">
        <f t="shared" si="2"/>
        <v>0</v>
      </c>
      <c r="L85" s="629">
        <f t="shared" si="2"/>
        <v>0</v>
      </c>
      <c r="M85" s="629">
        <f t="shared" si="2"/>
        <v>0</v>
      </c>
      <c r="N85" s="629">
        <f t="shared" si="2"/>
        <v>0</v>
      </c>
      <c r="O85" s="629">
        <f t="shared" si="2"/>
        <v>0</v>
      </c>
      <c r="P85" s="629">
        <f t="shared" si="2"/>
        <v>0</v>
      </c>
      <c r="Q85" s="629">
        <f t="shared" si="2"/>
        <v>0</v>
      </c>
      <c r="R85" s="838">
        <f>SUM(R54:R80)+R84</f>
        <v>345193.00068975618</v>
      </c>
      <c r="U85" s="165"/>
      <c r="V85" s="166"/>
    </row>
    <row r="86" spans="2:22" ht="20.25" customHeight="1">
      <c r="B86" s="463" t="s">
        <v>535</v>
      </c>
      <c r="C86" s="608"/>
      <c r="D86" s="607"/>
      <c r="E86" s="607"/>
      <c r="F86" s="607"/>
      <c r="G86" s="607"/>
      <c r="H86" s="607"/>
      <c r="I86" s="607"/>
      <c r="J86" s="607"/>
      <c r="K86" s="607"/>
      <c r="L86" s="607"/>
      <c r="M86" s="607"/>
      <c r="N86" s="607"/>
      <c r="O86" s="607"/>
      <c r="P86" s="607"/>
      <c r="Q86" s="607"/>
      <c r="R86" s="607"/>
      <c r="V86" s="26"/>
    </row>
    <row r="87" spans="2:22" ht="20.25" customHeight="1">
      <c r="B87" s="626"/>
      <c r="C87" s="79"/>
      <c r="E87" s="22"/>
      <c r="V87" s="26"/>
    </row>
    <row r="88" spans="2:22" ht="14.4">
      <c r="E88" s="22"/>
    </row>
    <row r="89" spans="2:22" ht="21" hidden="1" customHeight="1">
      <c r="B89" s="131" t="s">
        <v>536</v>
      </c>
      <c r="F89" s="595"/>
    </row>
    <row r="90" spans="2:22" s="555" customFormat="1" ht="27.75" hidden="1" customHeight="1">
      <c r="B90" s="576" t="s">
        <v>556</v>
      </c>
      <c r="C90" s="572"/>
      <c r="D90" s="572"/>
      <c r="E90" s="579"/>
      <c r="F90" s="572"/>
      <c r="G90" s="572"/>
      <c r="H90" s="572"/>
      <c r="I90" s="572"/>
      <c r="J90" s="572"/>
      <c r="T90" s="556"/>
      <c r="U90" s="556"/>
    </row>
    <row r="91" spans="2:22" ht="11.25" hidden="1" customHeight="1">
      <c r="B91" s="123"/>
    </row>
    <row r="92" spans="2:22" s="568" customFormat="1" ht="25.5" hidden="1" customHeight="1">
      <c r="B92" s="570"/>
      <c r="C92" s="566">
        <v>2011</v>
      </c>
      <c r="D92" s="566">
        <v>2012</v>
      </c>
      <c r="E92" s="566">
        <v>2013</v>
      </c>
      <c r="F92" s="566">
        <v>2014</v>
      </c>
      <c r="G92" s="566">
        <v>2015</v>
      </c>
      <c r="H92" s="566">
        <v>2016</v>
      </c>
      <c r="I92" s="566">
        <v>2017</v>
      </c>
      <c r="J92" s="566">
        <v>2018</v>
      </c>
      <c r="K92" s="566">
        <v>2019</v>
      </c>
      <c r="L92" s="566">
        <v>2020</v>
      </c>
      <c r="M92" s="567" t="s">
        <v>26</v>
      </c>
      <c r="T92" s="569"/>
      <c r="U92" s="569"/>
    </row>
    <row r="93" spans="2:22" s="103" customFormat="1" ht="23.25" hidden="1" customHeight="1">
      <c r="B93" s="211">
        <v>2011</v>
      </c>
      <c r="C93" s="561">
        <f>'4.  2011-2014 LRAM'!AM131</f>
        <v>0</v>
      </c>
      <c r="D93" s="562">
        <f>SUM('4.  2011-2014 LRAM'!Y259:AL259)</f>
        <v>0</v>
      </c>
      <c r="E93" s="562">
        <f>SUM('4.  2011-2014 LRAM'!Y388:AL388)</f>
        <v>0</v>
      </c>
      <c r="F93" s="563">
        <f>SUM('4.  2011-2014 LRAM'!Y517:AL517)</f>
        <v>0</v>
      </c>
      <c r="G93" s="563">
        <f>SUM('5.  2015-2020 LRAM'!Y199:AL199)</f>
        <v>16148.015843705729</v>
      </c>
      <c r="H93" s="562">
        <f>SUM('5.  2015-2020 LRAM'!Y382:AL382)</f>
        <v>0</v>
      </c>
      <c r="I93" s="563">
        <f>SUM('5.  2015-2020 LRAM'!Y565:AL565)</f>
        <v>0</v>
      </c>
      <c r="J93" s="562">
        <f>SUM('5.  2015-2020 LRAM'!Y748:AL748)</f>
        <v>0</v>
      </c>
      <c r="K93" s="562">
        <f>SUM('5.  2015-2020 LRAM'!Y931:AL931)</f>
        <v>0</v>
      </c>
      <c r="L93" s="562">
        <f>SUM('5.  2015-2020 LRAM'!Y1114:AL1114)</f>
        <v>0</v>
      </c>
      <c r="M93" s="562">
        <f>SUM(C93:L93)</f>
        <v>16148.015843705729</v>
      </c>
      <c r="T93" s="210"/>
      <c r="U93" s="210"/>
    </row>
    <row r="94" spans="2:22" s="103" customFormat="1" ht="23.25" hidden="1" customHeight="1">
      <c r="B94" s="211">
        <v>2012</v>
      </c>
      <c r="C94" s="564"/>
      <c r="D94" s="563">
        <f>SUM('4.  2011-2014 LRAM'!Y260:AL260)</f>
        <v>0</v>
      </c>
      <c r="E94" s="562">
        <f>SUM('4.  2011-2014 LRAM'!Y389:AL389)</f>
        <v>0</v>
      </c>
      <c r="F94" s="563">
        <f>SUM('4.  2011-2014 LRAM'!Y518:AL518)</f>
        <v>0</v>
      </c>
      <c r="G94" s="563">
        <f>SUM('5.  2015-2020 LRAM'!Y200:AL200)</f>
        <v>15883.402843476162</v>
      </c>
      <c r="H94" s="562">
        <f>SUM('5.  2015-2020 LRAM'!Y383:AL383)</f>
        <v>0</v>
      </c>
      <c r="I94" s="563">
        <f>SUM('5.  2015-2020 LRAM'!Y566:AL566)</f>
        <v>0</v>
      </c>
      <c r="J94" s="562">
        <f>SUM('5.  2015-2020 LRAM'!Y749:AL749)</f>
        <v>0</v>
      </c>
      <c r="K94" s="562">
        <f>SUM('5.  2015-2020 LRAM'!Y932:AL932)</f>
        <v>0</v>
      </c>
      <c r="L94" s="562">
        <f>SUM('5.  2015-2020 LRAM'!Y1115:AL1115)</f>
        <v>0</v>
      </c>
      <c r="M94" s="562">
        <f>SUM(D94:L94)</f>
        <v>15883.402843476162</v>
      </c>
      <c r="T94" s="210"/>
      <c r="U94" s="210"/>
    </row>
    <row r="95" spans="2:22" s="103" customFormat="1" ht="23.25" hidden="1" customHeight="1">
      <c r="B95" s="211">
        <v>2013</v>
      </c>
      <c r="C95" s="565"/>
      <c r="D95" s="565"/>
      <c r="E95" s="563">
        <f>SUM('4.  2011-2014 LRAM'!Y390:AL390)</f>
        <v>0</v>
      </c>
      <c r="F95" s="563">
        <f>SUM('4.  2011-2014 LRAM'!Y519:AL519)</f>
        <v>0</v>
      </c>
      <c r="G95" s="563">
        <f>SUM('5.  2015-2020 LRAM'!Y201:AL201)</f>
        <v>18444.738270924394</v>
      </c>
      <c r="H95" s="562">
        <f>SUM('5.  2015-2020 LRAM'!Y384:AL384)</f>
        <v>0</v>
      </c>
      <c r="I95" s="563">
        <f>SUM('5.  2015-2020 LRAM'!Y567:AL567)</f>
        <v>0</v>
      </c>
      <c r="J95" s="562">
        <f>SUM('5.  2015-2020 LRAM'!Y750:AL750)</f>
        <v>0</v>
      </c>
      <c r="K95" s="562">
        <f>SUM('5.  2015-2020 LRAM'!Y933:AL933)</f>
        <v>0</v>
      </c>
      <c r="L95" s="562">
        <f>SUM('5.  2015-2020 LRAM'!Y1116:AL1116)</f>
        <v>0</v>
      </c>
      <c r="M95" s="562">
        <f>SUM(C95:L95)</f>
        <v>18444.738270924394</v>
      </c>
      <c r="T95" s="210"/>
      <c r="U95" s="210"/>
    </row>
    <row r="96" spans="2:22" s="103" customFormat="1" ht="23.25" hidden="1" customHeight="1">
      <c r="B96" s="211">
        <v>2014</v>
      </c>
      <c r="C96" s="565"/>
      <c r="D96" s="565"/>
      <c r="E96" s="565"/>
      <c r="F96" s="563">
        <f>SUM('4.  2011-2014 LRAM'!Y520:AL520)</f>
        <v>0</v>
      </c>
      <c r="G96" s="563">
        <f>SUM('5.  2015-2020 LRAM'!Y202:AL202)</f>
        <v>27923.198299988704</v>
      </c>
      <c r="H96" s="562">
        <f>SUM('5.  2015-2020 LRAM'!Y385:AL385)</f>
        <v>0</v>
      </c>
      <c r="I96" s="563">
        <f>SUM('5.  2015-2020 LRAM'!Y568:AL568)</f>
        <v>0</v>
      </c>
      <c r="J96" s="562">
        <f>SUM('5.  2015-2020 LRAM'!Y751:AL751)</f>
        <v>0</v>
      </c>
      <c r="K96" s="562">
        <f>SUM('5.  2015-2020 LRAM'!Y934:AL934)</f>
        <v>0</v>
      </c>
      <c r="L96" s="562">
        <f>SUM('5.  2015-2020 LRAM'!Y1117:AL1117)</f>
        <v>0</v>
      </c>
      <c r="M96" s="562">
        <f>SUM(F96:L96)</f>
        <v>27923.198299988704</v>
      </c>
      <c r="T96" s="210"/>
      <c r="U96" s="210"/>
    </row>
    <row r="97" spans="2:21" s="103" customFormat="1" ht="23.25" hidden="1" customHeight="1">
      <c r="B97" s="211">
        <v>2015</v>
      </c>
      <c r="C97" s="565"/>
      <c r="D97" s="565"/>
      <c r="E97" s="565"/>
      <c r="F97" s="565"/>
      <c r="G97" s="563">
        <f>SUM('5.  2015-2020 LRAM'!Y203:AL203)</f>
        <v>44924.846325331077</v>
      </c>
      <c r="H97" s="562">
        <f>SUM('5.  2015-2020 LRAM'!Y386:AL386)</f>
        <v>47125.150344772825</v>
      </c>
      <c r="I97" s="563">
        <f>SUM('5.  2015-2020 LRAM'!Y569:AL569)</f>
        <v>41595.726507498024</v>
      </c>
      <c r="J97" s="562">
        <f>SUM('5.  2015-2020 LRAM'!Y752:AL752)</f>
        <v>37976.295910600675</v>
      </c>
      <c r="K97" s="562">
        <f>SUM('5.  2015-2020 LRAM'!Y935:AL935)</f>
        <v>34219.127154383117</v>
      </c>
      <c r="L97" s="562">
        <f>SUM('5.  2015-2020 LRAM'!Y1118:AL1118)</f>
        <v>30679.444196893721</v>
      </c>
      <c r="M97" s="562">
        <f>SUM(G97:L97)</f>
        <v>236520.59043947945</v>
      </c>
      <c r="T97" s="210"/>
      <c r="U97" s="210"/>
    </row>
    <row r="98" spans="2:21" s="103" customFormat="1" ht="23.25" hidden="1" customHeight="1">
      <c r="B98" s="211">
        <v>2016</v>
      </c>
      <c r="C98" s="565"/>
      <c r="D98" s="565"/>
      <c r="E98" s="565"/>
      <c r="F98" s="565"/>
      <c r="G98" s="565"/>
      <c r="H98" s="562">
        <f>SUM('5.  2015-2020 LRAM'!Y387:AL387)</f>
        <v>56500.612749957138</v>
      </c>
      <c r="I98" s="563">
        <f>SUM('5.  2015-2020 LRAM'!Y570:AL570)</f>
        <v>30166.773673986787</v>
      </c>
      <c r="J98" s="562">
        <f>SUM('5.  2015-2020 LRAM'!Y753:AL753)</f>
        <v>21496.309235305318</v>
      </c>
      <c r="K98" s="562">
        <f>SUM('5.  2015-2020 LRAM'!Y936:AL936)</f>
        <v>12794.26778380508</v>
      </c>
      <c r="L98" s="562">
        <f>SUM('5.  2015-2020 LRAM'!Y1119:AL1119)</f>
        <v>9977.6047112730921</v>
      </c>
      <c r="M98" s="562">
        <f>SUM(H98:L98)</f>
        <v>130935.56815432741</v>
      </c>
      <c r="T98" s="210"/>
      <c r="U98" s="210"/>
    </row>
    <row r="99" spans="2:21" s="103" customFormat="1" ht="23.25" hidden="1" customHeight="1">
      <c r="B99" s="211">
        <v>2017</v>
      </c>
      <c r="C99" s="565"/>
      <c r="D99" s="565"/>
      <c r="E99" s="565"/>
      <c r="F99" s="565"/>
      <c r="G99" s="565"/>
      <c r="H99" s="565"/>
      <c r="I99" s="562">
        <f>SUM('5.  2015-2020 LRAM'!Y571:AL571)</f>
        <v>78225.54810028059</v>
      </c>
      <c r="J99" s="562">
        <f>SUM('5.  2015-2020 LRAM'!Y754:AL754)</f>
        <v>52390.38485239126</v>
      </c>
      <c r="K99" s="562">
        <f>SUM('5.  2015-2020 LRAM'!Y937:AL937)</f>
        <v>36493.771746516548</v>
      </c>
      <c r="L99" s="562">
        <f>SUM('5.  2015-2020 LRAM'!Y1120:AL1120)</f>
        <v>30107.25240381822</v>
      </c>
      <c r="M99" s="562">
        <f>SUM(I99:L99)</f>
        <v>197216.95710300663</v>
      </c>
      <c r="T99" s="210"/>
      <c r="U99" s="210"/>
    </row>
    <row r="100" spans="2:21" s="103" customFormat="1" ht="23.25" hidden="1" customHeight="1">
      <c r="B100" s="211">
        <v>2018</v>
      </c>
      <c r="C100" s="565"/>
      <c r="D100" s="565"/>
      <c r="E100" s="565"/>
      <c r="F100" s="565"/>
      <c r="G100" s="565"/>
      <c r="H100" s="565"/>
      <c r="I100" s="565"/>
      <c r="J100" s="562">
        <f>SUM('5.  2015-2020 LRAM'!Y755:AL755)</f>
        <v>18226.069010233045</v>
      </c>
      <c r="K100" s="562">
        <f>SUM('5.  2015-2020 LRAM'!Y938:AL938)</f>
        <v>13237.628566733492</v>
      </c>
      <c r="L100" s="562">
        <f>SUM('5.  2015-2020 LRAM'!Y1121:AL1121)</f>
        <v>11718.289242205266</v>
      </c>
      <c r="M100" s="562">
        <f>SUM(J100:L100)</f>
        <v>43181.986819171805</v>
      </c>
      <c r="T100" s="210"/>
      <c r="U100" s="210"/>
    </row>
    <row r="101" spans="2:21" s="103" customFormat="1" ht="23.25" hidden="1" customHeight="1">
      <c r="B101" s="211">
        <v>2019</v>
      </c>
      <c r="C101" s="565"/>
      <c r="D101" s="565"/>
      <c r="E101" s="565"/>
      <c r="F101" s="565"/>
      <c r="G101" s="565"/>
      <c r="H101" s="565"/>
      <c r="I101" s="565"/>
      <c r="J101" s="565"/>
      <c r="K101" s="562">
        <f>SUM('5.  2015-2020 LRAM'!Y939:AL939)</f>
        <v>1861.0930159347304</v>
      </c>
      <c r="L101" s="562">
        <f>SUM('5.  2015-2020 LRAM'!Y1122:AL1122)</f>
        <v>1880.6353781609346</v>
      </c>
      <c r="M101" s="562">
        <f>SUM(K101:L101)</f>
        <v>3741.728394095665</v>
      </c>
      <c r="T101" s="210"/>
      <c r="U101" s="210"/>
    </row>
    <row r="102" spans="2:21" s="103" customFormat="1" ht="23.25" hidden="1" customHeight="1">
      <c r="B102" s="211">
        <v>2020</v>
      </c>
      <c r="C102" s="565"/>
      <c r="D102" s="565"/>
      <c r="E102" s="565"/>
      <c r="F102" s="565"/>
      <c r="G102" s="565"/>
      <c r="H102" s="565"/>
      <c r="I102" s="565"/>
      <c r="J102" s="565"/>
      <c r="K102" s="565"/>
      <c r="L102" s="564">
        <f>SUM('5.  2015-2020 LRAM'!Y1123:AL1123)</f>
        <v>0</v>
      </c>
      <c r="M102" s="564">
        <f>L102</f>
        <v>0</v>
      </c>
      <c r="T102" s="210"/>
      <c r="U102" s="210"/>
    </row>
    <row r="103" spans="2:21" s="209" customFormat="1" ht="24" hidden="1" customHeight="1">
      <c r="B103" s="577" t="s">
        <v>518</v>
      </c>
      <c r="C103" s="561">
        <f>C93</f>
        <v>0</v>
      </c>
      <c r="D103" s="562">
        <f>D93+D94</f>
        <v>0</v>
      </c>
      <c r="E103" s="562">
        <f>E93+E94+E95</f>
        <v>0</v>
      </c>
      <c r="F103" s="562">
        <f>F93+F94+F95+F96</f>
        <v>0</v>
      </c>
      <c r="G103" s="562">
        <f>G93+G94+G95+G96+G97</f>
        <v>123324.20158342607</v>
      </c>
      <c r="H103" s="562">
        <f>H93+H94+H95+H96+H97+H98</f>
        <v>103625.76309472996</v>
      </c>
      <c r="I103" s="562">
        <f>I93+I94+I95+I96+I97+I98+I99</f>
        <v>149988.0482817654</v>
      </c>
      <c r="J103" s="562">
        <f>J93+J94+J95+J96+J97+J98+J99+J100</f>
        <v>130089.0590085303</v>
      </c>
      <c r="K103" s="562">
        <f>K93+K94+K95+K96+K97+K98+K99+K100+K101</f>
        <v>98605.888267372968</v>
      </c>
      <c r="L103" s="562">
        <f>SUM(L93:L102)</f>
        <v>84363.225932351241</v>
      </c>
      <c r="M103" s="562">
        <f>SUM(M93:M102)</f>
        <v>689996.18616817589</v>
      </c>
      <c r="T103" s="212"/>
      <c r="U103" s="212"/>
    </row>
    <row r="104" spans="2:21" s="40" customFormat="1" ht="24.75" hidden="1" customHeight="1">
      <c r="B104" s="578" t="s">
        <v>517</v>
      </c>
      <c r="C104" s="560">
        <f>'4.  2011-2014 LRAM'!AM132</f>
        <v>0</v>
      </c>
      <c r="D104" s="560">
        <f>'4.  2011-2014 LRAM'!AM262</f>
        <v>0</v>
      </c>
      <c r="E104" s="560">
        <f>'4.  2011-2014 LRAM'!AM392</f>
        <v>0</v>
      </c>
      <c r="F104" s="560">
        <f>'4.  2011-2014 LRAM'!AM522</f>
        <v>0</v>
      </c>
      <c r="G104" s="560">
        <f>'5.  2015-2020 LRAM'!AM205</f>
        <v>45221.8802</v>
      </c>
      <c r="H104" s="560">
        <f>'5.  2015-2020 LRAM'!AM389</f>
        <v>71146.349199999997</v>
      </c>
      <c r="I104" s="560">
        <f>'5.  2015-2020 LRAM'!AM573</f>
        <v>34154.2039</v>
      </c>
      <c r="J104" s="560">
        <f>'5.  2015-2020 LRAM'!AM757</f>
        <v>32219.117699999999</v>
      </c>
      <c r="K104" s="560">
        <f>'5.  2015-2020 LRAM'!AM941</f>
        <v>30273.3292</v>
      </c>
      <c r="L104" s="560">
        <f>'5.  2015-2020 LRAM'!AM1125</f>
        <v>0</v>
      </c>
      <c r="M104" s="562">
        <f>SUM(C104:L104)</f>
        <v>213014.88020000001</v>
      </c>
      <c r="T104" s="102"/>
      <c r="U104" s="102"/>
    </row>
    <row r="105" spans="2:21" ht="24.75" hidden="1" customHeight="1">
      <c r="B105" s="578" t="s">
        <v>43</v>
      </c>
      <c r="C105" s="560">
        <f>'6.  Carrying Charges'!W27</f>
        <v>0</v>
      </c>
      <c r="D105" s="560">
        <f>'6.  Carrying Charges'!W42</f>
        <v>0</v>
      </c>
      <c r="E105" s="560">
        <f>'6.  Carrying Charges'!W57</f>
        <v>0</v>
      </c>
      <c r="F105" s="560">
        <f>'6.  Carrying Charges'!W72</f>
        <v>0</v>
      </c>
      <c r="G105" s="560">
        <f>'6.  Carrying Charges'!W87</f>
        <v>399.78625758141214</v>
      </c>
      <c r="H105" s="560">
        <f>'6.  Carrying Charges'!W102</f>
        <v>1422.6621711850289</v>
      </c>
      <c r="I105" s="560">
        <f>'6.  Carrying Charges'!W117</f>
        <v>3430.1668302657736</v>
      </c>
      <c r="J105" s="560">
        <f>'6.  Carrying Charges'!W132</f>
        <v>8544.0942343822808</v>
      </c>
      <c r="K105" s="560">
        <f>'6.  Carrying Charges'!W147</f>
        <v>15832.411318148239</v>
      </c>
      <c r="L105" s="560">
        <f>'6.  Carrying Charges'!W162</f>
        <v>20291.337231464444</v>
      </c>
      <c r="M105" s="562">
        <f>SUM(C105:L105)</f>
        <v>49920.458043027174</v>
      </c>
    </row>
    <row r="106" spans="2:21" ht="23.25" hidden="1" customHeight="1">
      <c r="B106" s="577" t="s">
        <v>26</v>
      </c>
      <c r="C106" s="560">
        <f>C103-C104+C105</f>
        <v>0</v>
      </c>
      <c r="D106" s="560">
        <f t="shared" ref="D106:J106" si="3">D103-D104+D105</f>
        <v>0</v>
      </c>
      <c r="E106" s="560">
        <f t="shared" si="3"/>
        <v>0</v>
      </c>
      <c r="F106" s="560">
        <f t="shared" si="3"/>
        <v>0</v>
      </c>
      <c r="G106" s="560">
        <f t="shared" si="3"/>
        <v>78502.107641007475</v>
      </c>
      <c r="H106" s="560">
        <f t="shared" si="3"/>
        <v>33902.076065914996</v>
      </c>
      <c r="I106" s="560">
        <f t="shared" si="3"/>
        <v>119264.01121203118</v>
      </c>
      <c r="J106" s="560">
        <f t="shared" si="3"/>
        <v>106414.03554291258</v>
      </c>
      <c r="K106" s="560">
        <f>K103-K104+K105</f>
        <v>84164.970385521199</v>
      </c>
      <c r="L106" s="560">
        <f>L103-L104+L105</f>
        <v>104654.56316381568</v>
      </c>
      <c r="M106" s="560">
        <f>M103-M104+M105</f>
        <v>526901.76401120308</v>
      </c>
    </row>
    <row r="107" spans="2:21" hidden="1"/>
    <row r="108" spans="2:21" ht="16.2" thickBot="1">
      <c r="B108" s="595" t="s">
        <v>525</v>
      </c>
      <c r="D108" s="827">
        <v>2015</v>
      </c>
      <c r="E108" s="828">
        <v>2016</v>
      </c>
      <c r="F108" s="827">
        <v>2017</v>
      </c>
      <c r="G108" s="828">
        <v>2018</v>
      </c>
      <c r="H108" s="827">
        <v>2019</v>
      </c>
      <c r="I108" s="827"/>
    </row>
    <row r="109" spans="2:21" ht="15" thickBot="1">
      <c r="B109" s="870" t="s">
        <v>29</v>
      </c>
      <c r="C109" s="829" t="s">
        <v>823</v>
      </c>
      <c r="D109" s="826">
        <f>D66</f>
        <v>43857.091783347547</v>
      </c>
      <c r="E109" s="826">
        <f>D69</f>
        <v>40796.842299999997</v>
      </c>
      <c r="F109" s="826">
        <f>D72</f>
        <v>77876.822316610851</v>
      </c>
      <c r="G109" s="826">
        <f>D75</f>
        <v>45360.234685135263</v>
      </c>
      <c r="H109" s="826">
        <f>D78</f>
        <v>0</v>
      </c>
      <c r="I109" s="826">
        <f>SUM(D109:H110)</f>
        <v>163400.90768509364</v>
      </c>
    </row>
    <row r="110" spans="2:21" ht="15" thickBot="1">
      <c r="B110" s="871"/>
      <c r="C110" s="830" t="s">
        <v>824</v>
      </c>
      <c r="D110" s="826">
        <f>D67</f>
        <v>-28524.264300000003</v>
      </c>
      <c r="E110" s="826">
        <f>D70</f>
        <v>-7395.4226999999992</v>
      </c>
      <c r="F110" s="826">
        <f>D73</f>
        <v>-5460.1719000000003</v>
      </c>
      <c r="G110" s="826">
        <f>D76</f>
        <v>-3110.2244999999998</v>
      </c>
      <c r="H110" s="826">
        <f>D79</f>
        <v>0</v>
      </c>
      <c r="I110" s="826"/>
    </row>
    <row r="111" spans="2:21" ht="15" thickBot="1">
      <c r="B111" s="870" t="s">
        <v>825</v>
      </c>
      <c r="C111" s="830" t="s">
        <v>823</v>
      </c>
      <c r="D111" s="826">
        <f>E66</f>
        <v>30709.634040724584</v>
      </c>
      <c r="E111" s="826">
        <f>E69</f>
        <v>18249.907621619685</v>
      </c>
      <c r="F111" s="826">
        <f>E72</f>
        <v>31127.437422443632</v>
      </c>
      <c r="G111" s="826">
        <f>E75</f>
        <v>34883.287130563898</v>
      </c>
      <c r="H111" s="826">
        <f>E78</f>
        <v>0</v>
      </c>
      <c r="I111" s="826">
        <f>SUM(D111:H112)</f>
        <v>107492.00081535178</v>
      </c>
    </row>
    <row r="112" spans="2:21" ht="15" thickBot="1">
      <c r="B112" s="871"/>
      <c r="C112" s="830" t="s">
        <v>824</v>
      </c>
      <c r="D112" s="826">
        <f>E67</f>
        <v>-5261.5510000000004</v>
      </c>
      <c r="E112" s="826">
        <f>E70</f>
        <v>-703.95659999999998</v>
      </c>
      <c r="F112" s="826">
        <f>E73</f>
        <v>-748.89</v>
      </c>
      <c r="G112" s="826">
        <f>E76</f>
        <v>-763.8678000000001</v>
      </c>
      <c r="H112" s="826">
        <f>E79</f>
        <v>0</v>
      </c>
      <c r="I112" s="826"/>
    </row>
    <row r="113" spans="2:9" ht="15" thickBot="1">
      <c r="B113" s="870" t="s">
        <v>826</v>
      </c>
      <c r="C113" s="830" t="s">
        <v>823</v>
      </c>
      <c r="D113" s="826">
        <f>F66</f>
        <v>31335.532768911326</v>
      </c>
      <c r="E113" s="826">
        <f>F69</f>
        <v>8347.3554746442042</v>
      </c>
      <c r="F113" s="826">
        <f>F72</f>
        <v>19202.204739168679</v>
      </c>
      <c r="G113" s="826">
        <f>F75</f>
        <v>24093.610935685592</v>
      </c>
      <c r="H113" s="826">
        <f>F78</f>
        <v>0</v>
      </c>
      <c r="I113" s="826">
        <f>SUM(D113:H114)</f>
        <v>36555.740918409785</v>
      </c>
    </row>
    <row r="114" spans="2:9" ht="15" thickBot="1">
      <c r="B114" s="871"/>
      <c r="C114" s="830" t="s">
        <v>824</v>
      </c>
      <c r="D114" s="826">
        <f>F67</f>
        <v>-9522.9830000000002</v>
      </c>
      <c r="E114" s="826">
        <f>F70</f>
        <v>-11930.039200000001</v>
      </c>
      <c r="F114" s="826">
        <f>F73</f>
        <v>-12396.299200000001</v>
      </c>
      <c r="G114" s="826">
        <f>F76</f>
        <v>-12573.641600000001</v>
      </c>
      <c r="H114" s="826">
        <f>F79</f>
        <v>0</v>
      </c>
      <c r="I114" s="826"/>
    </row>
    <row r="115" spans="2:9" ht="15" thickBot="1">
      <c r="B115" s="870" t="s">
        <v>827</v>
      </c>
      <c r="C115" s="830" t="s">
        <v>823</v>
      </c>
      <c r="D115" s="826">
        <f>G66</f>
        <v>15584.974668130613</v>
      </c>
      <c r="E115" s="826">
        <f>G69</f>
        <v>9361.8166801716779</v>
      </c>
      <c r="F115" s="826">
        <f>G72</f>
        <v>15548.071634929449</v>
      </c>
      <c r="G115" s="826">
        <f>G75</f>
        <v>19285.805730783944</v>
      </c>
      <c r="H115" s="826">
        <f>G78</f>
        <v>0</v>
      </c>
      <c r="I115" s="826">
        <f>SUM(D115:H116)</f>
        <v>28664.978314015691</v>
      </c>
    </row>
    <row r="116" spans="2:9" ht="15" thickBot="1">
      <c r="B116" s="871"/>
      <c r="C116" s="830" t="s">
        <v>824</v>
      </c>
      <c r="D116" s="826">
        <f>G67</f>
        <v>-1913.0818999999999</v>
      </c>
      <c r="E116" s="826">
        <f>G70</f>
        <v>-9480.0380999999998</v>
      </c>
      <c r="F116" s="826">
        <f>G73</f>
        <v>-9791.1839999999993</v>
      </c>
      <c r="G116" s="826">
        <f>G76</f>
        <v>-9931.3863999999994</v>
      </c>
      <c r="H116" s="826">
        <f>G79</f>
        <v>0</v>
      </c>
      <c r="I116" s="826"/>
    </row>
    <row r="117" spans="2:9" ht="15" thickBot="1">
      <c r="B117" s="870" t="s">
        <v>775</v>
      </c>
      <c r="C117" s="830" t="s">
        <v>823</v>
      </c>
      <c r="D117" s="826">
        <f>H66</f>
        <v>0</v>
      </c>
      <c r="E117" s="826">
        <f>H69</f>
        <v>0</v>
      </c>
      <c r="F117" s="826">
        <f>H72</f>
        <v>0</v>
      </c>
      <c r="G117" s="826">
        <f>H75</f>
        <v>0</v>
      </c>
      <c r="H117" s="826">
        <f>H78</f>
        <v>0</v>
      </c>
      <c r="I117" s="826">
        <f>SUM(D117:H118)</f>
        <v>0</v>
      </c>
    </row>
    <row r="118" spans="2:9" ht="15" thickBot="1">
      <c r="B118" s="871"/>
      <c r="C118" s="830" t="s">
        <v>824</v>
      </c>
      <c r="D118" s="826">
        <f>H67</f>
        <v>0</v>
      </c>
      <c r="E118" s="826">
        <f>H70</f>
        <v>0</v>
      </c>
      <c r="F118" s="826">
        <f>H73</f>
        <v>0</v>
      </c>
      <c r="G118" s="826">
        <f>H76</f>
        <v>0</v>
      </c>
      <c r="H118" s="826">
        <f>H79</f>
        <v>0</v>
      </c>
      <c r="I118" s="826"/>
    </row>
    <row r="119" spans="2:9" ht="15" thickBot="1">
      <c r="B119" s="870" t="s">
        <v>828</v>
      </c>
      <c r="C119" s="830" t="s">
        <v>823</v>
      </c>
      <c r="D119" s="826">
        <f>I66</f>
        <v>0</v>
      </c>
      <c r="E119" s="826">
        <f>I69</f>
        <v>0</v>
      </c>
      <c r="F119" s="826">
        <f>I72</f>
        <v>0</v>
      </c>
      <c r="G119" s="826">
        <f>I75</f>
        <v>0</v>
      </c>
      <c r="H119" s="826">
        <f>I78</f>
        <v>0</v>
      </c>
      <c r="I119" s="826">
        <f>SUM(D119:H120)</f>
        <v>0</v>
      </c>
    </row>
    <row r="120" spans="2:9" ht="15" thickBot="1">
      <c r="B120" s="871"/>
      <c r="C120" s="830" t="s">
        <v>824</v>
      </c>
      <c r="D120" s="826">
        <f>I67</f>
        <v>0</v>
      </c>
      <c r="E120" s="826">
        <f>I70</f>
        <v>0</v>
      </c>
      <c r="F120" s="826">
        <f>I73</f>
        <v>0</v>
      </c>
      <c r="G120" s="826">
        <f>I76</f>
        <v>0</v>
      </c>
      <c r="H120" s="826">
        <f>I79</f>
        <v>0</v>
      </c>
      <c r="I120" s="826"/>
    </row>
    <row r="121" spans="2:9" ht="15" thickBot="1">
      <c r="B121" s="870" t="s">
        <v>31</v>
      </c>
      <c r="C121" s="830" t="s">
        <v>823</v>
      </c>
      <c r="D121" s="826">
        <f>J66</f>
        <v>1836.9683223119964</v>
      </c>
      <c r="E121" s="826">
        <f>J69</f>
        <v>26869.841018294399</v>
      </c>
      <c r="F121" s="826">
        <f>J72</f>
        <v>6233.5121686128005</v>
      </c>
      <c r="G121" s="826">
        <f>J75</f>
        <v>6466.1205263616012</v>
      </c>
      <c r="H121" s="826">
        <f>J78</f>
        <v>0</v>
      </c>
      <c r="I121" s="826">
        <f>SUM(D121:H122)</f>
        <v>-11828.106764419204</v>
      </c>
    </row>
    <row r="122" spans="2:9" ht="15" thickBot="1">
      <c r="B122" s="872"/>
      <c r="C122" s="831" t="s">
        <v>824</v>
      </c>
      <c r="D122" s="826">
        <f>J67</f>
        <v>0</v>
      </c>
      <c r="E122" s="826">
        <f>J70</f>
        <v>-41636.892599999999</v>
      </c>
      <c r="F122" s="826">
        <f>J73</f>
        <v>-5757.6588000000002</v>
      </c>
      <c r="G122" s="826">
        <f>J76</f>
        <v>-5839.9974000000002</v>
      </c>
      <c r="H122" s="826">
        <f>J79</f>
        <v>0</v>
      </c>
      <c r="I122" s="826"/>
    </row>
    <row r="123" spans="2:9" thickTop="1" thickBot="1">
      <c r="B123" s="873" t="s">
        <v>26</v>
      </c>
      <c r="C123" s="830" t="s">
        <v>823</v>
      </c>
      <c r="D123" s="826">
        <f>D109+D111+D113+D115+D117+D119+D121</f>
        <v>123324.20158342605</v>
      </c>
      <c r="E123" s="826">
        <f t="shared" ref="E123:H123" si="4">E109+E111+E113+E115+E117+E119+E121</f>
        <v>103625.76309472995</v>
      </c>
      <c r="F123" s="826">
        <f t="shared" si="4"/>
        <v>149988.0482817654</v>
      </c>
      <c r="G123" s="826">
        <f t="shared" si="4"/>
        <v>130089.0590085303</v>
      </c>
      <c r="H123" s="826">
        <f t="shared" si="4"/>
        <v>0</v>
      </c>
      <c r="I123" s="826">
        <f>SUM(D123:H124)</f>
        <v>324285.52096845163</v>
      </c>
    </row>
    <row r="124" spans="2:9" ht="15" thickBot="1">
      <c r="B124" s="872"/>
      <c r="C124" s="831" t="s">
        <v>824</v>
      </c>
      <c r="D124" s="826">
        <f>D110+D112+D114+D116+D118+D120+D122</f>
        <v>-45221.8802</v>
      </c>
      <c r="E124" s="826">
        <f t="shared" ref="E124:H124" si="5">E110+E112+E114+E116+E118+E120+E122</f>
        <v>-71146.349199999997</v>
      </c>
      <c r="F124" s="826">
        <f t="shared" si="5"/>
        <v>-34154.2039</v>
      </c>
      <c r="G124" s="826">
        <f t="shared" si="5"/>
        <v>-32219.117699999999</v>
      </c>
      <c r="H124" s="826">
        <f t="shared" si="5"/>
        <v>0</v>
      </c>
      <c r="I124" s="826"/>
    </row>
    <row r="125" spans="2:9" ht="16.8" thickTop="1" thickBot="1">
      <c r="D125" s="825"/>
      <c r="I125" s="825"/>
    </row>
    <row r="126" spans="2:9" ht="15" thickBot="1">
      <c r="C126" s="832" t="s">
        <v>829</v>
      </c>
      <c r="D126" s="833" t="s">
        <v>41</v>
      </c>
      <c r="E126" s="833" t="s">
        <v>830</v>
      </c>
      <c r="F126" s="833" t="s">
        <v>43</v>
      </c>
      <c r="G126" s="833" t="s">
        <v>831</v>
      </c>
      <c r="H126" s="833" t="s">
        <v>832</v>
      </c>
      <c r="I126" s="833" t="s">
        <v>833</v>
      </c>
    </row>
    <row r="127" spans="2:9" ht="15" thickBot="1">
      <c r="C127" s="834" t="s">
        <v>29</v>
      </c>
      <c r="D127" s="830" t="s">
        <v>27</v>
      </c>
      <c r="E127" s="835">
        <f>I109</f>
        <v>163400.90768509364</v>
      </c>
      <c r="F127" s="835">
        <f>D84</f>
        <v>10299.102433618413</v>
      </c>
      <c r="G127" s="835">
        <f>E127+F127</f>
        <v>173700.01011871206</v>
      </c>
      <c r="H127" s="841">
        <v>20851.915728518619</v>
      </c>
      <c r="I127" s="840">
        <f>G127/H127/12/2</f>
        <v>0.34709043120265748</v>
      </c>
    </row>
    <row r="128" spans="2:9" ht="15" thickBot="1">
      <c r="C128" s="834" t="s">
        <v>825</v>
      </c>
      <c r="D128" s="830" t="s">
        <v>27</v>
      </c>
      <c r="E128" s="835">
        <f>I111</f>
        <v>107492.00081535178</v>
      </c>
      <c r="F128" s="835">
        <f>E84</f>
        <v>6970.4416227476995</v>
      </c>
      <c r="G128" s="835">
        <f t="shared" ref="G128:G134" si="6">E128+F128</f>
        <v>114462.44243809949</v>
      </c>
      <c r="H128" s="841">
        <v>50332121</v>
      </c>
      <c r="I128" s="840">
        <f>G128/H128/2</f>
        <v>1.1370715177897975E-3</v>
      </c>
    </row>
    <row r="129" spans="3:9" ht="15" thickBot="1">
      <c r="C129" s="834" t="s">
        <v>773</v>
      </c>
      <c r="D129" s="830" t="s">
        <v>28</v>
      </c>
      <c r="E129" s="835">
        <f>I113</f>
        <v>36555.740918409785</v>
      </c>
      <c r="F129" s="835">
        <f>F84</f>
        <v>2557.8260142545346</v>
      </c>
      <c r="G129" s="835">
        <f t="shared" si="6"/>
        <v>39113.566932664318</v>
      </c>
      <c r="H129" s="842">
        <v>411666</v>
      </c>
      <c r="I129" s="840">
        <f t="shared" ref="I129:I133" si="7">G129/H129/2</f>
        <v>4.750643353187331E-2</v>
      </c>
    </row>
    <row r="130" spans="3:9" ht="15" thickBot="1">
      <c r="C130" s="834" t="s">
        <v>827</v>
      </c>
      <c r="D130" s="830" t="s">
        <v>28</v>
      </c>
      <c r="E130" s="835">
        <f>I115</f>
        <v>28664.978314015691</v>
      </c>
      <c r="F130" s="835">
        <f>G84</f>
        <v>1954.4843743759639</v>
      </c>
      <c r="G130" s="835">
        <f t="shared" si="6"/>
        <v>30619.462688391654</v>
      </c>
      <c r="H130" s="843">
        <v>193029</v>
      </c>
      <c r="I130" s="840">
        <f t="shared" si="7"/>
        <v>7.931311535673824E-2</v>
      </c>
    </row>
    <row r="131" spans="3:9" ht="15" thickBot="1">
      <c r="C131" s="834" t="s">
        <v>775</v>
      </c>
      <c r="D131" s="830" t="s">
        <v>27</v>
      </c>
      <c r="E131" s="835">
        <f>I117</f>
        <v>0</v>
      </c>
      <c r="F131" s="835">
        <f>H84</f>
        <v>0</v>
      </c>
      <c r="G131" s="835">
        <f t="shared" si="6"/>
        <v>0</v>
      </c>
      <c r="H131" s="841">
        <v>962029.40999999968</v>
      </c>
      <c r="I131" s="840">
        <f t="shared" si="7"/>
        <v>0</v>
      </c>
    </row>
    <row r="132" spans="3:9" ht="15" thickBot="1">
      <c r="C132" s="834" t="s">
        <v>30</v>
      </c>
      <c r="D132" s="830" t="s">
        <v>28</v>
      </c>
      <c r="E132" s="835">
        <f>I119</f>
        <v>0</v>
      </c>
      <c r="F132" s="835">
        <f>I84</f>
        <v>0</v>
      </c>
      <c r="G132" s="835">
        <f t="shared" si="6"/>
        <v>0</v>
      </c>
      <c r="H132" s="841">
        <v>679.7399999999999</v>
      </c>
      <c r="I132" s="840">
        <f t="shared" si="7"/>
        <v>0</v>
      </c>
    </row>
    <row r="133" spans="3:9" ht="15" thickBot="1">
      <c r="C133" s="834" t="s">
        <v>31</v>
      </c>
      <c r="D133" s="830" t="s">
        <v>28</v>
      </c>
      <c r="E133" s="835">
        <f>I121</f>
        <v>-11828.106764419204</v>
      </c>
      <c r="F133" s="835">
        <f>J84</f>
        <v>-874.37472369209672</v>
      </c>
      <c r="G133" s="835">
        <f t="shared" si="6"/>
        <v>-12702.481488111302</v>
      </c>
      <c r="H133" s="842">
        <v>3105</v>
      </c>
      <c r="I133" s="840">
        <f t="shared" si="7"/>
        <v>-2.0454881623367633</v>
      </c>
    </row>
    <row r="134" spans="3:9" ht="15" thickBot="1">
      <c r="C134" s="834" t="s">
        <v>26</v>
      </c>
      <c r="D134" s="830"/>
      <c r="E134" s="835">
        <f>I123</f>
        <v>324285.52096845163</v>
      </c>
      <c r="F134" s="835">
        <f>R84</f>
        <v>20907.479721304509</v>
      </c>
      <c r="G134" s="835">
        <f t="shared" si="6"/>
        <v>345193.00068975613</v>
      </c>
      <c r="H134" s="836"/>
      <c r="I134" s="837"/>
    </row>
    <row r="135" spans="3:9">
      <c r="D135" s="825"/>
    </row>
    <row r="136" spans="3:9">
      <c r="D136" s="825"/>
    </row>
    <row r="137" spans="3:9">
      <c r="D137" s="825"/>
    </row>
    <row r="138" spans="3:9">
      <c r="D138" s="825"/>
    </row>
    <row r="157" spans="4:4">
      <c r="D157" s="854"/>
    </row>
  </sheetData>
  <mergeCells count="28">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 ref="B119:B120"/>
    <mergeCell ref="B121:B122"/>
    <mergeCell ref="B123:B124"/>
    <mergeCell ref="B109:B110"/>
    <mergeCell ref="B111:B112"/>
    <mergeCell ref="B113:B114"/>
    <mergeCell ref="B115:B116"/>
    <mergeCell ref="B117:B118"/>
  </mergeCells>
  <hyperlinks>
    <hyperlink ref="B84" location="'6.  Carrying Charges'!A1" display="Carrying Charges"/>
    <hyperlink ref="B108" location="'1.  LRAMVA Summary'!A1" display="Return to top"/>
  </hyperlinks>
  <pageMargins left="0.70866141732283505" right="0.70866141732283505" top="0.74803149606299202" bottom="0.74803149606299202" header="0.31496062992126" footer="0.31496062992126"/>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Line="0" autoPict="0">
                <anchor moveWithCells="1">
                  <from>
                    <xdr:col>2</xdr:col>
                    <xdr:colOff>960120</xdr:colOff>
                    <xdr:row>68</xdr:row>
                    <xdr:rowOff>38100</xdr:rowOff>
                  </from>
                  <to>
                    <xdr:col>2</xdr:col>
                    <xdr:colOff>1379220</xdr:colOff>
                    <xdr:row>70</xdr:row>
                    <xdr:rowOff>0</xdr:rowOff>
                  </to>
                </anchor>
              </controlPr>
            </control>
          </mc:Choice>
        </mc:AlternateContent>
        <mc:AlternateContent xmlns:mc="http://schemas.openxmlformats.org/markup-compatibility/2006">
          <mc:Choice Requires="x14">
            <control shapeId="3105" r:id="rId10" name="Check Box 33">
              <controlPr defaultSize="0" autoLine="0" autoPict="0">
                <anchor moveWithCells="1">
                  <from>
                    <xdr:col>2</xdr:col>
                    <xdr:colOff>960120</xdr:colOff>
                    <xdr:row>71</xdr:row>
                    <xdr:rowOff>38100</xdr:rowOff>
                  </from>
                  <to>
                    <xdr:col>2</xdr:col>
                    <xdr:colOff>1379220</xdr:colOff>
                    <xdr:row>73</xdr:row>
                    <xdr:rowOff>0</xdr:rowOff>
                  </to>
                </anchor>
              </controlPr>
            </control>
          </mc:Choice>
        </mc:AlternateContent>
        <mc:AlternateContent xmlns:mc="http://schemas.openxmlformats.org/markup-compatibility/2006">
          <mc:Choice Requires="x14">
            <control shapeId="3106" r:id="rId11" name="Check Box 34">
              <controlPr defaultSize="0" autoLine="0" autoPict="0">
                <anchor moveWithCells="1">
                  <from>
                    <xdr:col>2</xdr:col>
                    <xdr:colOff>952500</xdr:colOff>
                    <xdr:row>74</xdr:row>
                    <xdr:rowOff>38100</xdr:rowOff>
                  </from>
                  <to>
                    <xdr:col>2</xdr:col>
                    <xdr:colOff>1371600</xdr:colOff>
                    <xdr:row>75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157"/>
  <sheetViews>
    <sheetView topLeftCell="A22" zoomScale="80" zoomScaleNormal="80" workbookViewId="0">
      <selection activeCell="G46" sqref="G46:H46"/>
    </sheetView>
  </sheetViews>
  <sheetFormatPr defaultColWidth="9" defaultRowHeight="14.4"/>
  <cols>
    <col min="1" max="1" width="5.44140625" style="25" customWidth="1"/>
    <col min="2" max="2" width="27" style="25" customWidth="1"/>
    <col min="3" max="3" width="24.44140625" style="25" customWidth="1"/>
    <col min="4" max="4" width="27.109375" style="25" customWidth="1"/>
    <col min="5" max="5" width="28.5546875" style="25" customWidth="1"/>
    <col min="6" max="6" width="44" style="25" customWidth="1"/>
    <col min="7" max="7" width="72.5546875" style="25" customWidth="1"/>
    <col min="8" max="16384" width="9" style="25"/>
  </cols>
  <sheetData>
    <row r="13" spans="2:3" ht="15" thickBot="1"/>
    <row r="14" spans="2:3" ht="26.25" customHeight="1" thickBot="1">
      <c r="B14" s="543" t="s">
        <v>171</v>
      </c>
      <c r="C14" s="139" t="s">
        <v>175</v>
      </c>
    </row>
    <row r="15" spans="2:3" ht="26.25" customHeight="1" thickBot="1">
      <c r="C15" s="141" t="s">
        <v>406</v>
      </c>
    </row>
    <row r="16" spans="2:3" ht="27" customHeight="1" thickBot="1">
      <c r="C16" s="575" t="s">
        <v>550</v>
      </c>
    </row>
    <row r="19" spans="2:8" ht="15.6">
      <c r="B19" s="543" t="s">
        <v>614</v>
      </c>
    </row>
    <row r="20" spans="2:8" ht="13.5" customHeight="1"/>
    <row r="21" spans="2:8" ht="41.1" customHeight="1">
      <c r="B21" s="876" t="s">
        <v>677</v>
      </c>
      <c r="C21" s="876"/>
      <c r="D21" s="876"/>
      <c r="E21" s="876"/>
      <c r="F21" s="876"/>
      <c r="G21" s="876"/>
      <c r="H21" s="876"/>
    </row>
    <row r="23" spans="2:8" s="615" customFormat="1" ht="15.6">
      <c r="B23" s="625" t="s">
        <v>545</v>
      </c>
      <c r="C23" s="625" t="s">
        <v>560</v>
      </c>
      <c r="D23" s="625" t="s">
        <v>544</v>
      </c>
      <c r="E23" s="885" t="s">
        <v>34</v>
      </c>
      <c r="F23" s="886"/>
      <c r="G23" s="885" t="s">
        <v>543</v>
      </c>
      <c r="H23" s="886"/>
    </row>
    <row r="24" spans="2:8">
      <c r="B24" s="614">
        <v>1</v>
      </c>
      <c r="C24" s="649" t="s">
        <v>369</v>
      </c>
      <c r="D24" s="613"/>
      <c r="E24" s="881" t="s">
        <v>821</v>
      </c>
      <c r="F24" s="882"/>
      <c r="G24" s="883" t="s">
        <v>822</v>
      </c>
      <c r="H24" s="884"/>
    </row>
    <row r="25" spans="2:8">
      <c r="B25" s="614">
        <v>2</v>
      </c>
      <c r="C25" s="649" t="s">
        <v>557</v>
      </c>
      <c r="D25" s="613"/>
      <c r="E25" s="881" t="s">
        <v>819</v>
      </c>
      <c r="F25" s="882"/>
      <c r="G25" s="883" t="s">
        <v>820</v>
      </c>
      <c r="H25" s="884"/>
    </row>
    <row r="26" spans="2:8">
      <c r="B26" s="614">
        <v>3</v>
      </c>
      <c r="C26" s="649" t="s">
        <v>370</v>
      </c>
      <c r="D26" s="613"/>
      <c r="E26" s="881" t="s">
        <v>817</v>
      </c>
      <c r="F26" s="882"/>
      <c r="G26" s="883" t="s">
        <v>818</v>
      </c>
      <c r="H26" s="884"/>
    </row>
    <row r="27" spans="2:8">
      <c r="B27" s="614">
        <v>4</v>
      </c>
      <c r="C27" s="649"/>
      <c r="D27" s="613"/>
      <c r="E27" s="881"/>
      <c r="F27" s="882"/>
      <c r="G27" s="883"/>
      <c r="H27" s="884"/>
    </row>
    <row r="28" spans="2:8">
      <c r="B28" s="614">
        <v>5</v>
      </c>
      <c r="C28" s="649"/>
      <c r="D28" s="613"/>
      <c r="E28" s="881"/>
      <c r="F28" s="882"/>
      <c r="G28" s="883"/>
      <c r="H28" s="884"/>
    </row>
    <row r="29" spans="2:8">
      <c r="B29" s="614">
        <v>6</v>
      </c>
      <c r="C29" s="649"/>
      <c r="D29" s="613"/>
      <c r="E29" s="881"/>
      <c r="F29" s="882"/>
      <c r="G29" s="883"/>
      <c r="H29" s="884"/>
    </row>
    <row r="30" spans="2:8">
      <c r="B30" s="614">
        <v>7</v>
      </c>
      <c r="C30" s="649"/>
      <c r="D30" s="613"/>
      <c r="E30" s="881"/>
      <c r="F30" s="882"/>
      <c r="G30" s="883"/>
      <c r="H30" s="884"/>
    </row>
    <row r="31" spans="2:8">
      <c r="B31" s="614">
        <v>8</v>
      </c>
      <c r="C31" s="649"/>
      <c r="D31" s="613"/>
      <c r="E31" s="881"/>
      <c r="F31" s="882"/>
      <c r="G31" s="883"/>
      <c r="H31" s="884"/>
    </row>
    <row r="32" spans="2:8">
      <c r="B32" s="614">
        <v>9</v>
      </c>
      <c r="C32" s="649"/>
      <c r="D32" s="613"/>
      <c r="E32" s="881"/>
      <c r="F32" s="882"/>
      <c r="G32" s="883"/>
      <c r="H32" s="884"/>
    </row>
    <row r="33" spans="2:8">
      <c r="B33" s="614">
        <v>10</v>
      </c>
      <c r="C33" s="649"/>
      <c r="D33" s="613"/>
      <c r="E33" s="881"/>
      <c r="F33" s="882"/>
      <c r="G33" s="883"/>
      <c r="H33" s="884"/>
    </row>
    <row r="34" spans="2:8">
      <c r="B34" s="614" t="s">
        <v>479</v>
      </c>
      <c r="C34" s="649"/>
      <c r="D34" s="613"/>
      <c r="E34" s="881"/>
      <c r="F34" s="882"/>
      <c r="G34" s="883"/>
      <c r="H34" s="884"/>
    </row>
    <row r="36" spans="2:8" ht="30.75" customHeight="1">
      <c r="B36" s="543" t="s">
        <v>610</v>
      </c>
    </row>
    <row r="37" spans="2:8" ht="23.25" customHeight="1">
      <c r="B37" s="574" t="s">
        <v>615</v>
      </c>
      <c r="C37" s="611"/>
      <c r="D37" s="611"/>
      <c r="E37" s="611"/>
      <c r="F37" s="611"/>
      <c r="G37" s="611"/>
      <c r="H37" s="611"/>
    </row>
    <row r="39" spans="2:8" s="103" customFormat="1" ht="15.6">
      <c r="B39" s="625" t="s">
        <v>545</v>
      </c>
      <c r="C39" s="625" t="s">
        <v>560</v>
      </c>
      <c r="D39" s="625" t="s">
        <v>544</v>
      </c>
      <c r="E39" s="885" t="s">
        <v>34</v>
      </c>
      <c r="F39" s="886"/>
      <c r="G39" s="885" t="s">
        <v>543</v>
      </c>
      <c r="H39" s="886"/>
    </row>
    <row r="40" spans="2:8">
      <c r="B40" s="614">
        <v>1</v>
      </c>
      <c r="C40" s="649" t="s">
        <v>835</v>
      </c>
      <c r="D40" s="613" t="s">
        <v>836</v>
      </c>
      <c r="E40" s="881" t="s">
        <v>837</v>
      </c>
      <c r="F40" s="882"/>
      <c r="G40" s="883" t="s">
        <v>838</v>
      </c>
      <c r="H40" s="884"/>
    </row>
    <row r="41" spans="2:8">
      <c r="B41" s="614">
        <v>2</v>
      </c>
      <c r="C41" s="649" t="s">
        <v>835</v>
      </c>
      <c r="D41" s="613" t="s">
        <v>853</v>
      </c>
      <c r="E41" s="881" t="s">
        <v>854</v>
      </c>
      <c r="F41" s="882"/>
      <c r="G41" s="883" t="s">
        <v>855</v>
      </c>
      <c r="H41" s="884"/>
    </row>
    <row r="42" spans="2:8">
      <c r="B42" s="614">
        <v>3</v>
      </c>
      <c r="C42" s="649" t="s">
        <v>369</v>
      </c>
      <c r="D42" s="613" t="s">
        <v>856</v>
      </c>
      <c r="E42" s="881" t="s">
        <v>857</v>
      </c>
      <c r="F42" s="882"/>
      <c r="G42" s="883" t="s">
        <v>858</v>
      </c>
      <c r="H42" s="884"/>
    </row>
    <row r="43" spans="2:8">
      <c r="B43" s="614">
        <v>4</v>
      </c>
      <c r="C43" s="649" t="s">
        <v>557</v>
      </c>
      <c r="D43" s="613" t="s">
        <v>859</v>
      </c>
      <c r="E43" s="881" t="s">
        <v>860</v>
      </c>
      <c r="F43" s="882"/>
      <c r="G43" s="883" t="s">
        <v>861</v>
      </c>
      <c r="H43" s="884"/>
    </row>
    <row r="44" spans="2:8">
      <c r="B44" s="614">
        <v>5</v>
      </c>
      <c r="C44" s="649" t="s">
        <v>369</v>
      </c>
      <c r="D44" s="613" t="s">
        <v>862</v>
      </c>
      <c r="E44" s="881" t="s">
        <v>865</v>
      </c>
      <c r="F44" s="882"/>
      <c r="G44" s="883" t="str">
        <f>G43</f>
        <v>Not originally included in LRAMVA calculation</v>
      </c>
      <c r="H44" s="884"/>
    </row>
    <row r="45" spans="2:8">
      <c r="B45" s="614">
        <v>6</v>
      </c>
      <c r="C45" s="649" t="str">
        <f>C44</f>
        <v>5.  2015-2020 LRAM</v>
      </c>
      <c r="D45" s="613" t="s">
        <v>863</v>
      </c>
      <c r="E45" s="881" t="s">
        <v>864</v>
      </c>
      <c r="F45" s="882"/>
      <c r="G45" s="883" t="str">
        <f>G44</f>
        <v>Not originally included in LRAMVA calculation</v>
      </c>
      <c r="H45" s="884"/>
    </row>
    <row r="46" spans="2:8">
      <c r="B46" s="614">
        <v>7</v>
      </c>
      <c r="C46" s="649"/>
      <c r="D46" s="613"/>
      <c r="E46" s="881"/>
      <c r="F46" s="882"/>
      <c r="G46" s="883"/>
      <c r="H46" s="884"/>
    </row>
    <row r="47" spans="2:8">
      <c r="B47" s="614">
        <v>8</v>
      </c>
      <c r="C47" s="649"/>
      <c r="D47" s="613"/>
      <c r="E47" s="881"/>
      <c r="F47" s="882"/>
      <c r="G47" s="883"/>
      <c r="H47" s="884"/>
    </row>
    <row r="48" spans="2:8">
      <c r="B48" s="614">
        <v>9</v>
      </c>
      <c r="C48" s="649"/>
      <c r="D48" s="613"/>
      <c r="E48" s="881"/>
      <c r="F48" s="882"/>
      <c r="G48" s="883"/>
      <c r="H48" s="884"/>
    </row>
    <row r="49" spans="2:8">
      <c r="B49" s="614">
        <v>10</v>
      </c>
      <c r="C49" s="649"/>
      <c r="D49" s="613"/>
      <c r="E49" s="881"/>
      <c r="F49" s="882"/>
      <c r="G49" s="883"/>
      <c r="H49" s="884"/>
    </row>
    <row r="50" spans="2:8">
      <c r="B50" s="614" t="s">
        <v>479</v>
      </c>
      <c r="C50" s="649"/>
      <c r="D50" s="613"/>
      <c r="E50" s="881"/>
      <c r="F50" s="882"/>
      <c r="G50" s="883"/>
      <c r="H50" s="884"/>
    </row>
    <row r="157" spans="4:4">
      <c r="D157" s="85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505" right="0.70866141732283505" top="0.74803149606299202" bottom="0.74803149606299202" header="0.31496062992126" footer="0.31496062992126"/>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C42:C50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157"/>
  <sheetViews>
    <sheetView topLeftCell="A46" zoomScale="70" zoomScaleNormal="70" workbookViewId="0">
      <selection activeCell="D157" sqref="D157"/>
    </sheetView>
  </sheetViews>
  <sheetFormatPr defaultColWidth="9" defaultRowHeight="14.4"/>
  <cols>
    <col min="1" max="1" width="5.44140625" style="25" customWidth="1"/>
    <col min="2" max="2" width="27.44140625" style="23" customWidth="1"/>
    <col min="3" max="3" width="23" style="23" customWidth="1"/>
    <col min="4" max="4" width="32.44140625" style="25" customWidth="1"/>
    <col min="5" max="5" width="26.44140625" style="25" customWidth="1"/>
    <col min="6" max="6" width="24" style="25" customWidth="1"/>
    <col min="7" max="7" width="21.44140625" style="25" customWidth="1"/>
    <col min="8" max="8" width="24" style="25" customWidth="1"/>
    <col min="9" max="13" width="22" style="25" customWidth="1"/>
    <col min="14" max="14" width="26" style="25" customWidth="1"/>
    <col min="15" max="16" width="22" style="25" customWidth="1"/>
    <col min="17" max="17" width="16.44140625" style="25" customWidth="1"/>
    <col min="18" max="18" width="13.5546875" style="25" customWidth="1"/>
    <col min="19" max="19" width="14" style="25" customWidth="1"/>
    <col min="20" max="20" width="20" style="25" customWidth="1"/>
    <col min="21" max="21" width="10" style="25" customWidth="1"/>
    <col min="22" max="30" width="14" style="25" customWidth="1"/>
    <col min="31" max="16384" width="9" style="25"/>
  </cols>
  <sheetData>
    <row r="1" spans="2:17" ht="151.5" customHeight="1"/>
    <row r="2" spans="2:17" ht="21.75" customHeight="1">
      <c r="B2" s="105"/>
      <c r="C2" s="105"/>
      <c r="D2" s="105"/>
      <c r="E2" s="105"/>
      <c r="F2" s="105"/>
      <c r="G2" s="105"/>
      <c r="H2" s="105"/>
      <c r="I2" s="105"/>
      <c r="J2" s="113"/>
      <c r="K2" s="113"/>
      <c r="L2" s="113"/>
      <c r="M2" s="113"/>
      <c r="N2" s="113"/>
      <c r="O2" s="113"/>
      <c r="P2" s="113"/>
      <c r="Q2" s="105"/>
    </row>
    <row r="3" spans="2:17" ht="22.5" customHeight="1" thickBot="1">
      <c r="B3" s="62"/>
      <c r="C3" s="42"/>
      <c r="D3" s="30"/>
      <c r="E3" s="178"/>
      <c r="F3" s="30"/>
      <c r="G3" s="30"/>
      <c r="H3" s="80"/>
      <c r="I3" s="178"/>
      <c r="J3" s="178"/>
      <c r="K3" s="178"/>
      <c r="L3" s="178"/>
      <c r="M3" s="178"/>
      <c r="N3" s="178"/>
      <c r="O3" s="178"/>
      <c r="P3" s="178"/>
      <c r="Q3" s="178"/>
    </row>
    <row r="4" spans="2:17" s="15" customFormat="1" ht="27" customHeight="1" thickBot="1">
      <c r="B4" s="286" t="s">
        <v>171</v>
      </c>
      <c r="C4" s="466"/>
      <c r="D4" s="270" t="s">
        <v>175</v>
      </c>
      <c r="E4" s="448"/>
      <c r="F4" s="448"/>
      <c r="G4" s="448"/>
      <c r="H4" s="448"/>
      <c r="I4" s="448"/>
      <c r="J4" s="448"/>
      <c r="K4" s="448"/>
      <c r="L4" s="448"/>
      <c r="M4" s="448"/>
      <c r="N4" s="448"/>
      <c r="O4" s="448"/>
      <c r="P4" s="448"/>
      <c r="Q4" s="467"/>
    </row>
    <row r="5" spans="2:17" s="15" customFormat="1" ht="24" customHeight="1" thickBot="1">
      <c r="B5" s="468"/>
      <c r="C5" s="466"/>
      <c r="D5" s="469" t="s">
        <v>406</v>
      </c>
      <c r="F5" s="448"/>
      <c r="G5" s="448"/>
      <c r="H5" s="448"/>
      <c r="I5" s="448"/>
      <c r="J5" s="448"/>
      <c r="K5" s="448"/>
      <c r="L5" s="448"/>
      <c r="M5" s="448"/>
      <c r="N5" s="448"/>
      <c r="O5" s="448"/>
      <c r="P5" s="448"/>
      <c r="Q5" s="467"/>
    </row>
    <row r="6" spans="2:17" s="15" customFormat="1" ht="28.5" customHeight="1" thickBot="1">
      <c r="B6" s="468"/>
      <c r="C6" s="466"/>
      <c r="D6" s="274" t="s">
        <v>172</v>
      </c>
      <c r="E6" s="448"/>
      <c r="F6" s="448"/>
      <c r="G6" s="448"/>
      <c r="H6" s="448"/>
      <c r="I6" s="448"/>
      <c r="J6" s="448"/>
      <c r="K6" s="448"/>
      <c r="L6" s="448"/>
      <c r="M6" s="448"/>
      <c r="N6" s="448"/>
      <c r="O6" s="448"/>
      <c r="P6" s="448"/>
      <c r="Q6" s="467"/>
    </row>
    <row r="7" spans="2:17" s="117" customFormat="1" ht="29.25" customHeight="1" thickBot="1">
      <c r="D7" s="575" t="s">
        <v>550</v>
      </c>
      <c r="P7" s="118"/>
      <c r="Q7" s="118"/>
    </row>
    <row r="8" spans="2:17" s="117" customFormat="1" ht="30" customHeight="1">
      <c r="D8" s="580"/>
      <c r="P8" s="118"/>
      <c r="Q8" s="118"/>
    </row>
    <row r="9" spans="2:17" s="15" customFormat="1" ht="24.75" customHeight="1">
      <c r="B9" s="131" t="s">
        <v>411</v>
      </c>
      <c r="C9" s="30"/>
      <c r="D9" s="465">
        <v>2016</v>
      </c>
    </row>
    <row r="10" spans="2:17" s="30" customFormat="1" ht="16.5" customHeight="1"/>
    <row r="11" spans="2:17" s="30" customFormat="1" ht="36.75" customHeight="1">
      <c r="B11" s="887" t="s">
        <v>742</v>
      </c>
      <c r="C11" s="887"/>
      <c r="D11" s="887"/>
      <c r="E11" s="887"/>
      <c r="F11" s="887"/>
      <c r="G11" s="887"/>
      <c r="H11" s="887"/>
      <c r="I11" s="887"/>
      <c r="J11" s="887"/>
      <c r="K11" s="887"/>
      <c r="L11" s="887"/>
      <c r="M11" s="887"/>
      <c r="N11" s="620"/>
      <c r="O11" s="620"/>
      <c r="P11" s="620"/>
      <c r="Q11" s="620"/>
    </row>
    <row r="12" spans="2:17" s="15" customFormat="1" ht="15.75" customHeight="1">
      <c r="D12" s="33"/>
    </row>
    <row r="13" spans="2:17" s="30" customFormat="1" ht="48" customHeight="1">
      <c r="C13" s="256" t="str">
        <f>'1.  LRAMVA Summary'!R52</f>
        <v>Total</v>
      </c>
      <c r="D13" s="256" t="str">
        <f>'1.  LRAMVA Summary'!D52</f>
        <v>Residential</v>
      </c>
      <c r="E13" s="256" t="str">
        <f>'1.  LRAMVA Summary'!E52</f>
        <v>GS&lt;50 kW</v>
      </c>
      <c r="F13" s="256" t="str">
        <f>'1.  LRAMVA Summary'!F52</f>
        <v>GS 50 - 999 kW</v>
      </c>
      <c r="G13" s="256" t="str">
        <f>'1.  LRAMVA Summary'!G52</f>
        <v>GS 1,000 - 4,999 kW</v>
      </c>
      <c r="H13" s="256" t="str">
        <f>'1.  LRAMVA Summary'!H52</f>
        <v>USL</v>
      </c>
      <c r="I13" s="256" t="str">
        <f>'1.  LRAMVA Summary'!I52</f>
        <v>Sentinel Lighting</v>
      </c>
      <c r="J13" s="256" t="str">
        <f>'1.  LRAMVA Summary'!J52</f>
        <v>Street Lighting</v>
      </c>
      <c r="K13" s="256" t="str">
        <f>'1.  LRAMVA Summary'!K52</f>
        <v/>
      </c>
      <c r="L13" s="256" t="str">
        <f>'1.  LRAMVA Summary'!L52</f>
        <v/>
      </c>
      <c r="M13" s="256" t="str">
        <f>'1.  LRAMVA Summary'!M52</f>
        <v/>
      </c>
      <c r="N13" s="256" t="str">
        <f>'1.  LRAMVA Summary'!N52</f>
        <v/>
      </c>
      <c r="O13" s="256" t="str">
        <f>'1.  LRAMVA Summary'!O52</f>
        <v/>
      </c>
      <c r="P13" s="256" t="str">
        <f>'1.  LRAMVA Summary'!P52</f>
        <v/>
      </c>
      <c r="Q13" s="256" t="str">
        <f>'1.  LRAMVA Summary'!Q52</f>
        <v/>
      </c>
    </row>
    <row r="14" spans="2:17" s="15" customFormat="1" ht="15.75" customHeight="1">
      <c r="B14" s="95"/>
      <c r="C14" s="584"/>
      <c r="D14" s="585" t="str">
        <f>'1.  LRAMVA Summary'!D53</f>
        <v>kWh</v>
      </c>
      <c r="E14" s="585" t="str">
        <f>'1.  LRAMVA Summary'!E53</f>
        <v>kWh</v>
      </c>
      <c r="F14" s="585" t="str">
        <f>'1.  LRAMVA Summary'!F53</f>
        <v>kW</v>
      </c>
      <c r="G14" s="585" t="str">
        <f>'1.  LRAMVA Summary'!G53</f>
        <v>kW</v>
      </c>
      <c r="H14" s="585" t="str">
        <f>'1.  LRAMVA Summary'!H53</f>
        <v>kWh</v>
      </c>
      <c r="I14" s="585" t="str">
        <f>'1.  LRAMVA Summary'!I53</f>
        <v>kW</v>
      </c>
      <c r="J14" s="585" t="str">
        <f>'1.  LRAMVA Summary'!J53</f>
        <v>kW</v>
      </c>
      <c r="K14" s="585">
        <f>'1.  LRAMVA Summary'!K53</f>
        <v>0</v>
      </c>
      <c r="L14" s="585">
        <f>'1.  LRAMVA Summary'!L53</f>
        <v>0</v>
      </c>
      <c r="M14" s="585">
        <f>'1.  LRAMVA Summary'!M53</f>
        <v>0</v>
      </c>
      <c r="N14" s="585">
        <f>'1.  LRAMVA Summary'!N53</f>
        <v>0</v>
      </c>
      <c r="O14" s="585">
        <f>'1.  LRAMVA Summary'!O53</f>
        <v>0</v>
      </c>
      <c r="P14" s="585">
        <f>'1.  LRAMVA Summary'!P53</f>
        <v>0</v>
      </c>
      <c r="Q14" s="586">
        <f>'1.  LRAMVA Summary'!Q53</f>
        <v>0</v>
      </c>
    </row>
    <row r="15" spans="2:17" s="466" customFormat="1" ht="15.75" customHeight="1">
      <c r="B15" s="471" t="s">
        <v>27</v>
      </c>
      <c r="C15" s="632">
        <f>SUM(D15:Q15)</f>
        <v>4420000</v>
      </c>
      <c r="D15" s="755">
        <v>691161</v>
      </c>
      <c r="E15" s="755">
        <v>74889</v>
      </c>
      <c r="F15" s="755">
        <v>1234311</v>
      </c>
      <c r="G15" s="755">
        <v>1064997</v>
      </c>
      <c r="H15" s="755"/>
      <c r="I15" s="755"/>
      <c r="J15" s="755">
        <v>1354642</v>
      </c>
      <c r="K15" s="461"/>
      <c r="L15" s="461"/>
      <c r="M15" s="461"/>
      <c r="N15" s="461"/>
      <c r="O15" s="461"/>
      <c r="P15" s="462"/>
      <c r="Q15" s="462"/>
    </row>
    <row r="16" spans="2:17" s="466" customFormat="1" ht="15.75" customHeight="1">
      <c r="B16" s="471" t="s">
        <v>28</v>
      </c>
      <c r="C16" s="632">
        <f>SUM(D16:Q16)</f>
        <v>9922</v>
      </c>
      <c r="D16" s="756"/>
      <c r="E16" s="756"/>
      <c r="F16" s="756">
        <v>3272</v>
      </c>
      <c r="G16" s="756">
        <v>2873</v>
      </c>
      <c r="H16" s="756"/>
      <c r="I16" s="756"/>
      <c r="J16" s="756">
        <v>3777</v>
      </c>
      <c r="K16" s="462"/>
      <c r="L16" s="462"/>
      <c r="M16" s="462"/>
      <c r="N16" s="462"/>
      <c r="O16" s="462"/>
      <c r="P16" s="462"/>
      <c r="Q16" s="462"/>
    </row>
    <row r="17" spans="2:17" s="30" customFormat="1" ht="15.75" customHeight="1"/>
    <row r="18" spans="2:17" s="38" customFormat="1" ht="15.75" customHeight="1">
      <c r="B18" s="204" t="s">
        <v>450</v>
      </c>
      <c r="C18" s="205"/>
      <c r="D18" s="205">
        <f t="shared" ref="D18:E18" si="0">IF(D14="kw",HLOOKUP(D14,D14:D16,3,FALSE),HLOOKUP(D14,D14:D16,2,FALSE))</f>
        <v>691161</v>
      </c>
      <c r="E18" s="205">
        <f t="shared" si="0"/>
        <v>74889</v>
      </c>
      <c r="F18" s="205">
        <f>IF(F14="kw",HLOOKUP(F14,F14:F16,3,FALSE),HLOOKUP(F14,F14:F16,2,FALSE))</f>
        <v>3272</v>
      </c>
      <c r="G18" s="205">
        <f t="shared" ref="G18:Q18" si="1">IF(G14="kw",HLOOKUP(G14,G14:G16,3,FALSE),HLOOKUP(G14,G14:G16,2,FALSE))</f>
        <v>2873</v>
      </c>
      <c r="H18" s="205">
        <f t="shared" si="1"/>
        <v>0</v>
      </c>
      <c r="I18" s="205">
        <f t="shared" si="1"/>
        <v>0</v>
      </c>
      <c r="J18" s="205">
        <f t="shared" si="1"/>
        <v>3777</v>
      </c>
      <c r="K18" s="205">
        <f t="shared" si="1"/>
        <v>0</v>
      </c>
      <c r="L18" s="205">
        <f t="shared" si="1"/>
        <v>0</v>
      </c>
      <c r="M18" s="205">
        <f t="shared" si="1"/>
        <v>0</v>
      </c>
      <c r="N18" s="205">
        <f t="shared" si="1"/>
        <v>0</v>
      </c>
      <c r="O18" s="205">
        <f t="shared" si="1"/>
        <v>0</v>
      </c>
      <c r="P18" s="205">
        <f t="shared" si="1"/>
        <v>0</v>
      </c>
      <c r="Q18" s="205">
        <f t="shared" si="1"/>
        <v>0</v>
      </c>
    </row>
    <row r="19" spans="2:17" s="15" customFormat="1" ht="15.75" customHeight="1">
      <c r="B19" s="108"/>
      <c r="C19" s="106"/>
      <c r="D19" s="106"/>
      <c r="E19" s="106"/>
      <c r="F19" s="106"/>
      <c r="G19" s="106"/>
      <c r="H19" s="106"/>
      <c r="I19" s="106"/>
      <c r="J19" s="106"/>
      <c r="K19" s="106"/>
      <c r="L19" s="106"/>
      <c r="M19" s="106"/>
      <c r="N19" s="106"/>
      <c r="O19" s="106"/>
      <c r="P19" s="106"/>
      <c r="Q19" s="106"/>
    </row>
    <row r="20" spans="2:17" s="448" customFormat="1" ht="21" customHeight="1">
      <c r="B20" s="470" t="s">
        <v>671</v>
      </c>
      <c r="C20" s="380" t="s">
        <v>776</v>
      </c>
      <c r="D20" s="464"/>
    </row>
    <row r="21" spans="2:17" s="448" customFormat="1" ht="21" customHeight="1">
      <c r="B21" s="470" t="s">
        <v>366</v>
      </c>
      <c r="C21" s="380" t="s">
        <v>777</v>
      </c>
      <c r="D21" s="464"/>
      <c r="E21" s="448" t="s">
        <v>778</v>
      </c>
    </row>
    <row r="22" spans="2:17" s="30" customFormat="1" ht="15.75" customHeight="1">
      <c r="B22" s="179"/>
      <c r="C22" s="180"/>
      <c r="D22" s="176"/>
      <c r="E22" s="30" t="s">
        <v>779</v>
      </c>
    </row>
    <row r="23" spans="2:17" s="30" customFormat="1" ht="23.25" customHeight="1">
      <c r="B23" s="181"/>
      <c r="C23" s="181"/>
      <c r="D23" s="176"/>
    </row>
    <row r="24" spans="2:17" s="30" customFormat="1" ht="22.5" customHeight="1">
      <c r="B24" s="131" t="s">
        <v>412</v>
      </c>
      <c r="C24" s="131"/>
      <c r="D24" s="465">
        <v>2012</v>
      </c>
    </row>
    <row r="25" spans="2:17" s="15" customFormat="1" ht="15.75" customHeight="1">
      <c r="D25" s="33"/>
    </row>
    <row r="26" spans="2:17" s="15" customFormat="1" ht="42" customHeight="1">
      <c r="B26" s="887" t="s">
        <v>742</v>
      </c>
      <c r="C26" s="887"/>
      <c r="D26" s="887"/>
      <c r="E26" s="887"/>
      <c r="F26" s="887"/>
      <c r="G26" s="887"/>
      <c r="H26" s="887"/>
      <c r="I26" s="887"/>
      <c r="J26" s="887"/>
      <c r="K26" s="887"/>
      <c r="L26" s="887"/>
      <c r="M26" s="887"/>
      <c r="N26" s="620"/>
      <c r="O26" s="620"/>
      <c r="P26" s="620"/>
      <c r="Q26" s="620"/>
    </row>
    <row r="27" spans="2:17" s="15" customFormat="1" ht="15.75" customHeight="1">
      <c r="D27" s="33"/>
    </row>
    <row r="28" spans="2:17" s="30" customFormat="1" ht="44.25" customHeight="1">
      <c r="C28" s="256" t="str">
        <f>'1.  LRAMVA Summary'!R52</f>
        <v>Total</v>
      </c>
      <c r="D28" s="256" t="str">
        <f>'1.  LRAMVA Summary'!D52</f>
        <v>Residential</v>
      </c>
      <c r="E28" s="256" t="str">
        <f>'1.  LRAMVA Summary'!E52</f>
        <v>GS&lt;50 kW</v>
      </c>
      <c r="F28" s="256" t="str">
        <f>'1.  LRAMVA Summary'!F52</f>
        <v>GS 50 - 999 kW</v>
      </c>
      <c r="G28" s="256" t="str">
        <f>'1.  LRAMVA Summary'!G52</f>
        <v>GS 1,000 - 4,999 kW</v>
      </c>
      <c r="H28" s="256" t="str">
        <f>'1.  LRAMVA Summary'!H52</f>
        <v>USL</v>
      </c>
      <c r="I28" s="256" t="str">
        <f>'1.  LRAMVA Summary'!I52</f>
        <v>Sentinel Lighting</v>
      </c>
      <c r="J28" s="256" t="str">
        <f>'1.  LRAMVA Summary'!J52</f>
        <v>Street Lighting</v>
      </c>
      <c r="K28" s="256" t="str">
        <f>'1.  LRAMVA Summary'!K52</f>
        <v/>
      </c>
      <c r="L28" s="256" t="str">
        <f>'1.  LRAMVA Summary'!L52</f>
        <v/>
      </c>
      <c r="M28" s="256" t="str">
        <f>'1.  LRAMVA Summary'!M52</f>
        <v/>
      </c>
      <c r="N28" s="256" t="str">
        <f>'1.  LRAMVA Summary'!N52</f>
        <v/>
      </c>
      <c r="O28" s="256" t="str">
        <f>'1.  LRAMVA Summary'!O52</f>
        <v/>
      </c>
      <c r="P28" s="256" t="str">
        <f>'1.  LRAMVA Summary'!P52</f>
        <v/>
      </c>
      <c r="Q28" s="256" t="str">
        <f>'1.  LRAMVA Summary'!Q52</f>
        <v/>
      </c>
    </row>
    <row r="29" spans="2:17" s="15" customFormat="1" ht="15.75" customHeight="1">
      <c r="B29" s="95"/>
      <c r="C29" s="584"/>
      <c r="D29" s="585" t="str">
        <f>'1.  LRAMVA Summary'!D53</f>
        <v>kWh</v>
      </c>
      <c r="E29" s="585" t="str">
        <f>'1.  LRAMVA Summary'!E53</f>
        <v>kWh</v>
      </c>
      <c r="F29" s="585" t="str">
        <f>'1.  LRAMVA Summary'!F53</f>
        <v>kW</v>
      </c>
      <c r="G29" s="585" t="str">
        <f>'1.  LRAMVA Summary'!G53</f>
        <v>kW</v>
      </c>
      <c r="H29" s="585" t="str">
        <f>'1.  LRAMVA Summary'!H53</f>
        <v>kWh</v>
      </c>
      <c r="I29" s="585" t="str">
        <f>'1.  LRAMVA Summary'!I53</f>
        <v>kW</v>
      </c>
      <c r="J29" s="585" t="str">
        <f>'1.  LRAMVA Summary'!J53</f>
        <v>kW</v>
      </c>
      <c r="K29" s="585">
        <f>'1.  LRAMVA Summary'!K53</f>
        <v>0</v>
      </c>
      <c r="L29" s="585">
        <f>'1.  LRAMVA Summary'!L53</f>
        <v>0</v>
      </c>
      <c r="M29" s="585">
        <f>'1.  LRAMVA Summary'!M53</f>
        <v>0</v>
      </c>
      <c r="N29" s="585">
        <f>'1.  LRAMVA Summary'!N53</f>
        <v>0</v>
      </c>
      <c r="O29" s="585">
        <f>'1.  LRAMVA Summary'!O53</f>
        <v>0</v>
      </c>
      <c r="P29" s="585">
        <f>'1.  LRAMVA Summary'!P53</f>
        <v>0</v>
      </c>
      <c r="Q29" s="586">
        <f>'1.  LRAMVA Summary'!Q53</f>
        <v>0</v>
      </c>
    </row>
    <row r="30" spans="2:17" s="466" customFormat="1" ht="15.75" customHeight="1">
      <c r="B30" s="471" t="s">
        <v>27</v>
      </c>
      <c r="C30" s="632">
        <f>SUM(D30:Q30)</f>
        <v>4229656</v>
      </c>
      <c r="D30" s="757">
        <v>2396997</v>
      </c>
      <c r="E30" s="757">
        <v>619006</v>
      </c>
      <c r="F30" s="757">
        <v>990030</v>
      </c>
      <c r="G30" s="757">
        <v>223623</v>
      </c>
      <c r="H30" s="472"/>
      <c r="I30" s="472"/>
      <c r="J30" s="472"/>
      <c r="K30" s="472"/>
      <c r="L30" s="472"/>
      <c r="M30" s="472"/>
      <c r="N30" s="472"/>
      <c r="O30" s="472"/>
      <c r="P30" s="472"/>
      <c r="Q30" s="462"/>
    </row>
    <row r="31" spans="2:17" s="473" customFormat="1" ht="15" customHeight="1">
      <c r="B31" s="471" t="s">
        <v>28</v>
      </c>
      <c r="C31" s="632">
        <f>SUM(D31:Q31)</f>
        <v>3377</v>
      </c>
      <c r="D31" s="756"/>
      <c r="E31" s="756"/>
      <c r="F31" s="756">
        <v>2770</v>
      </c>
      <c r="G31" s="756">
        <v>607</v>
      </c>
      <c r="H31" s="460"/>
      <c r="I31" s="460"/>
      <c r="J31" s="460"/>
      <c r="K31" s="462"/>
      <c r="L31" s="462"/>
      <c r="M31" s="462"/>
      <c r="N31" s="462"/>
      <c r="O31" s="462"/>
      <c r="P31" s="462"/>
      <c r="Q31" s="462"/>
    </row>
    <row r="32" spans="2:17" s="30" customFormat="1" ht="15.75" customHeight="1"/>
    <row r="33" spans="2:32" s="38" customFormat="1" ht="15.75" customHeight="1">
      <c r="B33" s="204" t="s">
        <v>450</v>
      </c>
      <c r="C33" s="205"/>
      <c r="D33" s="205">
        <f>IF(D29="kw",HLOOKUP(D29,D29:D31,3,FALSE),HLOOKUP(D29,D29:D31,2,FALSE))</f>
        <v>2396997</v>
      </c>
      <c r="E33" s="205">
        <f>IF(E29="kw",HLOOKUP(E29,E29:E31,3,FALSE),HLOOKUP(E29,E29:E31,2,FALSE))</f>
        <v>619006</v>
      </c>
      <c r="F33" s="205">
        <f>IF(F29="kw",HLOOKUP(F29,F29:F31,3,FALSE),HLOOKUP(F29,F29:F31,2,FALSE))</f>
        <v>2770</v>
      </c>
      <c r="G33" s="205">
        <f>IF(G29="kw",HLOOKUP(G29,G29:G31,3,FALSE),HLOOKUP(G29,G29:G31,2,FALSE))</f>
        <v>607</v>
      </c>
      <c r="H33" s="205">
        <f t="shared" ref="H33:Q33" si="2">IF(H29="kw",HLOOKUP(H29,H29:H31,3,FALSE),HLOOKUP(H29,H29:H31,2,FALSE))</f>
        <v>0</v>
      </c>
      <c r="I33" s="205">
        <f t="shared" si="2"/>
        <v>0</v>
      </c>
      <c r="J33" s="205">
        <f t="shared" si="2"/>
        <v>0</v>
      </c>
      <c r="K33" s="205">
        <f t="shared" si="2"/>
        <v>0</v>
      </c>
      <c r="L33" s="205">
        <f t="shared" si="2"/>
        <v>0</v>
      </c>
      <c r="M33" s="205">
        <f t="shared" si="2"/>
        <v>0</v>
      </c>
      <c r="N33" s="205">
        <f t="shared" si="2"/>
        <v>0</v>
      </c>
      <c r="O33" s="205">
        <f t="shared" si="2"/>
        <v>0</v>
      </c>
      <c r="P33" s="205">
        <f t="shared" si="2"/>
        <v>0</v>
      </c>
      <c r="Q33" s="205">
        <f t="shared" si="2"/>
        <v>0</v>
      </c>
    </row>
    <row r="34" spans="2:32" s="33" customFormat="1" ht="15.75" customHeight="1">
      <c r="B34" s="106"/>
      <c r="C34" s="106"/>
      <c r="D34" s="106"/>
      <c r="E34" s="106"/>
      <c r="F34" s="106"/>
      <c r="G34" s="106"/>
      <c r="H34" s="106"/>
      <c r="I34" s="106"/>
      <c r="J34" s="106"/>
      <c r="K34" s="106"/>
      <c r="L34" s="106"/>
      <c r="M34" s="106"/>
      <c r="N34" s="106"/>
      <c r="O34" s="106"/>
      <c r="P34" s="106"/>
      <c r="Q34" s="106"/>
    </row>
    <row r="35" spans="2:32" s="33" customFormat="1" ht="15.75" customHeight="1">
      <c r="B35" s="470" t="s">
        <v>671</v>
      </c>
      <c r="C35" s="380" t="s">
        <v>780</v>
      </c>
      <c r="D35" s="464"/>
      <c r="E35" s="106"/>
      <c r="F35" s="106"/>
      <c r="G35" s="106"/>
      <c r="H35" s="106"/>
      <c r="I35" s="106"/>
      <c r="J35" s="106"/>
      <c r="K35" s="106"/>
      <c r="L35" s="106"/>
      <c r="M35" s="106"/>
      <c r="N35" s="106"/>
      <c r="O35" s="106"/>
      <c r="P35" s="106"/>
      <c r="Q35" s="106"/>
    </row>
    <row r="36" spans="2:32" s="448" customFormat="1" ht="21" customHeight="1">
      <c r="B36" s="470" t="s">
        <v>366</v>
      </c>
      <c r="C36" s="380" t="s">
        <v>781</v>
      </c>
      <c r="D36" s="464"/>
    </row>
    <row r="37" spans="2:32" s="30" customFormat="1" ht="15.75" customHeight="1">
      <c r="B37" s="179"/>
      <c r="C37" s="180"/>
      <c r="D37" s="176"/>
      <c r="R37" s="176"/>
    </row>
    <row r="38" spans="2:32" s="30" customFormat="1" ht="15.75" customHeight="1">
      <c r="B38" s="179"/>
      <c r="C38" s="179"/>
      <c r="D38" s="176"/>
      <c r="R38" s="176"/>
    </row>
    <row r="39" spans="2:32" s="33" customFormat="1" ht="15.6">
      <c r="B39" s="131" t="s">
        <v>452</v>
      </c>
      <c r="C39" s="48"/>
      <c r="D39" s="47"/>
      <c r="E39" s="52"/>
      <c r="F39" s="53"/>
    </row>
    <row r="40" spans="2:32" s="83" customFormat="1" ht="39" customHeight="1">
      <c r="B40" s="887" t="s">
        <v>608</v>
      </c>
      <c r="C40" s="887"/>
      <c r="D40" s="887"/>
      <c r="E40" s="887"/>
      <c r="F40" s="887"/>
      <c r="G40" s="887"/>
      <c r="H40" s="887"/>
      <c r="I40" s="887"/>
      <c r="J40" s="887"/>
      <c r="K40" s="887"/>
      <c r="L40" s="887"/>
      <c r="M40" s="887"/>
      <c r="N40" s="620"/>
      <c r="O40" s="620"/>
      <c r="P40" s="620"/>
      <c r="Q40" s="620"/>
    </row>
    <row r="41" spans="2:32" s="15" customFormat="1" ht="16.5" customHeight="1">
      <c r="B41" s="23"/>
      <c r="C41" s="23"/>
      <c r="D41" s="35"/>
      <c r="E41" s="33"/>
      <c r="F41" s="33"/>
      <c r="G41" s="33"/>
      <c r="R41" s="33"/>
    </row>
    <row r="42" spans="2:32" s="30" customFormat="1" ht="56.25" customHeight="1">
      <c r="B42" s="256" t="s">
        <v>234</v>
      </c>
      <c r="C42" s="256" t="s">
        <v>605</v>
      </c>
      <c r="D42" s="256" t="str">
        <f>'1.  LRAMVA Summary'!D52</f>
        <v>Residential</v>
      </c>
      <c r="E42" s="256" t="str">
        <f>'1.  LRAMVA Summary'!E52</f>
        <v>GS&lt;50 kW</v>
      </c>
      <c r="F42" s="256" t="str">
        <f>'1.  LRAMVA Summary'!F52</f>
        <v>GS 50 - 999 kW</v>
      </c>
      <c r="G42" s="256" t="str">
        <f>'1.  LRAMVA Summary'!G52</f>
        <v>GS 1,000 - 4,999 kW</v>
      </c>
      <c r="H42" s="256" t="str">
        <f>'1.  LRAMVA Summary'!H52</f>
        <v>USL</v>
      </c>
      <c r="I42" s="256" t="str">
        <f>'1.  LRAMVA Summary'!I52</f>
        <v>Sentinel Lighting</v>
      </c>
      <c r="J42" s="256" t="str">
        <f>'1.  LRAMVA Summary'!J52</f>
        <v>Street Lighting</v>
      </c>
      <c r="K42" s="256" t="str">
        <f>'1.  LRAMVA Summary'!K52</f>
        <v/>
      </c>
      <c r="L42" s="256" t="str">
        <f>'1.  LRAMVA Summary'!L52</f>
        <v/>
      </c>
      <c r="M42" s="256" t="str">
        <f>'1.  LRAMVA Summary'!M52</f>
        <v/>
      </c>
      <c r="N42" s="256" t="str">
        <f>'1.  LRAMVA Summary'!N52</f>
        <v/>
      </c>
      <c r="O42" s="256" t="str">
        <f>'1.  LRAMVA Summary'!O52</f>
        <v/>
      </c>
      <c r="P42" s="256" t="str">
        <f>'1.  LRAMVA Summary'!P52</f>
        <v/>
      </c>
      <c r="Q42" s="256" t="str">
        <f>'1.  LRAMVA Summary'!Q52</f>
        <v/>
      </c>
      <c r="R42" s="206"/>
    </row>
    <row r="43" spans="2:32" s="159" customFormat="1" ht="18" customHeight="1">
      <c r="B43" s="587"/>
      <c r="C43" s="588"/>
      <c r="D43" s="589" t="str">
        <f>'1.  LRAMVA Summary'!D53</f>
        <v>kWh</v>
      </c>
      <c r="E43" s="589" t="str">
        <f>'1.  LRAMVA Summary'!E53</f>
        <v>kWh</v>
      </c>
      <c r="F43" s="589" t="str">
        <f>'1.  LRAMVA Summary'!F53</f>
        <v>kW</v>
      </c>
      <c r="G43" s="589" t="str">
        <f>'1.  LRAMVA Summary'!G53</f>
        <v>kW</v>
      </c>
      <c r="H43" s="589" t="str">
        <f>'1.  LRAMVA Summary'!H53</f>
        <v>kWh</v>
      </c>
      <c r="I43" s="589" t="str">
        <f>'1.  LRAMVA Summary'!I53</f>
        <v>kW</v>
      </c>
      <c r="J43" s="589" t="str">
        <f>'1.  LRAMVA Summary'!J53</f>
        <v>kW</v>
      </c>
      <c r="K43" s="589">
        <f>'1.  LRAMVA Summary'!K53</f>
        <v>0</v>
      </c>
      <c r="L43" s="589">
        <f>'1.  LRAMVA Summary'!L53</f>
        <v>0</v>
      </c>
      <c r="M43" s="589">
        <f>'1.  LRAMVA Summary'!M53</f>
        <v>0</v>
      </c>
      <c r="N43" s="589">
        <f>'1.  LRAMVA Summary'!N53</f>
        <v>0</v>
      </c>
      <c r="O43" s="589">
        <f>'1.  LRAMVA Summary'!O53</f>
        <v>0</v>
      </c>
      <c r="P43" s="589">
        <f>'1.  LRAMVA Summary'!P53</f>
        <v>0</v>
      </c>
      <c r="Q43" s="590">
        <f>'1.  LRAMVA Summary'!Q53</f>
        <v>0</v>
      </c>
      <c r="R43" s="182"/>
    </row>
    <row r="44" spans="2:32" s="30" customFormat="1" ht="15.6">
      <c r="B44" s="183">
        <v>2011</v>
      </c>
      <c r="C44" s="540"/>
      <c r="D44" s="203">
        <f t="shared" ref="D44:Q44" si="3">IF(ISBLANK($C$44),0,IF($C44=$D$9,HLOOKUP(D43,D14:D18,5,FALSE),HLOOKUP(D43,D29:D33,5,FALSE)))</f>
        <v>0</v>
      </c>
      <c r="E44" s="203">
        <f>IF(ISBLANK($C$44),0,IF($C44=$D$9,HLOOKUP(E43,E14:E18,5,FALSE),HLOOKUP(E43,E29:E33,5,FALSE)))</f>
        <v>0</v>
      </c>
      <c r="F44" s="203">
        <f t="shared" si="3"/>
        <v>0</v>
      </c>
      <c r="G44" s="203">
        <f t="shared" si="3"/>
        <v>0</v>
      </c>
      <c r="H44" s="203">
        <f t="shared" si="3"/>
        <v>0</v>
      </c>
      <c r="I44" s="203">
        <f t="shared" si="3"/>
        <v>0</v>
      </c>
      <c r="J44" s="203">
        <f t="shared" si="3"/>
        <v>0</v>
      </c>
      <c r="K44" s="203">
        <f t="shared" si="3"/>
        <v>0</v>
      </c>
      <c r="L44" s="203">
        <f t="shared" si="3"/>
        <v>0</v>
      </c>
      <c r="M44" s="203">
        <f t="shared" si="3"/>
        <v>0</v>
      </c>
      <c r="N44" s="203">
        <f t="shared" si="3"/>
        <v>0</v>
      </c>
      <c r="O44" s="203">
        <f t="shared" si="3"/>
        <v>0</v>
      </c>
      <c r="P44" s="203">
        <f t="shared" si="3"/>
        <v>0</v>
      </c>
      <c r="Q44" s="203">
        <f t="shared" si="3"/>
        <v>0</v>
      </c>
      <c r="R44" s="207"/>
    </row>
    <row r="45" spans="2:32" s="30" customFormat="1" ht="15.6">
      <c r="B45" s="183">
        <v>2012</v>
      </c>
      <c r="C45" s="540"/>
      <c r="D45" s="203">
        <f t="shared" ref="D45:Q45" si="4">IF(ISBLANK($C$45),0,IF($C$45=$D$9,HLOOKUP(D43,D14:D18,5,FALSE),HLOOKUP(D43,D29:D33,5,FALSE)))</f>
        <v>0</v>
      </c>
      <c r="E45" s="203">
        <f t="shared" si="4"/>
        <v>0</v>
      </c>
      <c r="F45" s="203">
        <f t="shared" si="4"/>
        <v>0</v>
      </c>
      <c r="G45" s="203">
        <f t="shared" si="4"/>
        <v>0</v>
      </c>
      <c r="H45" s="203">
        <f t="shared" si="4"/>
        <v>0</v>
      </c>
      <c r="I45" s="203">
        <f t="shared" si="4"/>
        <v>0</v>
      </c>
      <c r="J45" s="203">
        <f t="shared" si="4"/>
        <v>0</v>
      </c>
      <c r="K45" s="203">
        <f t="shared" si="4"/>
        <v>0</v>
      </c>
      <c r="L45" s="203">
        <f t="shared" si="4"/>
        <v>0</v>
      </c>
      <c r="M45" s="203">
        <f t="shared" si="4"/>
        <v>0</v>
      </c>
      <c r="N45" s="203">
        <f t="shared" si="4"/>
        <v>0</v>
      </c>
      <c r="O45" s="203">
        <f t="shared" si="4"/>
        <v>0</v>
      </c>
      <c r="P45" s="203">
        <f t="shared" si="4"/>
        <v>0</v>
      </c>
      <c r="Q45" s="203">
        <f t="shared" si="4"/>
        <v>0</v>
      </c>
      <c r="R45" s="176"/>
    </row>
    <row r="46" spans="2:32" s="30" customFormat="1" ht="15.6">
      <c r="B46" s="184">
        <v>2013</v>
      </c>
      <c r="C46" s="540"/>
      <c r="D46" s="203">
        <f t="shared" ref="D46:Q46" si="5">IF(ISBLANK($C$46),0,IF($C$46=$D$9,HLOOKUP(D43,D14:D18,5,FALSE),HLOOKUP(D43,D29:D33,5,FALSE)))</f>
        <v>0</v>
      </c>
      <c r="E46" s="203">
        <f t="shared" si="5"/>
        <v>0</v>
      </c>
      <c r="F46" s="203">
        <f t="shared" si="5"/>
        <v>0</v>
      </c>
      <c r="G46" s="203">
        <f t="shared" si="5"/>
        <v>0</v>
      </c>
      <c r="H46" s="203">
        <f t="shared" si="5"/>
        <v>0</v>
      </c>
      <c r="I46" s="203">
        <f t="shared" si="5"/>
        <v>0</v>
      </c>
      <c r="J46" s="203">
        <f t="shared" si="5"/>
        <v>0</v>
      </c>
      <c r="K46" s="203">
        <f t="shared" si="5"/>
        <v>0</v>
      </c>
      <c r="L46" s="203">
        <f t="shared" si="5"/>
        <v>0</v>
      </c>
      <c r="M46" s="203">
        <f t="shared" si="5"/>
        <v>0</v>
      </c>
      <c r="N46" s="203">
        <f t="shared" si="5"/>
        <v>0</v>
      </c>
      <c r="O46" s="203">
        <f t="shared" si="5"/>
        <v>0</v>
      </c>
      <c r="P46" s="203">
        <f t="shared" si="5"/>
        <v>0</v>
      </c>
      <c r="Q46" s="203">
        <f t="shared" si="5"/>
        <v>0</v>
      </c>
      <c r="R46" s="176"/>
    </row>
    <row r="47" spans="2:32" s="30" customFormat="1" ht="15.6">
      <c r="B47" s="184">
        <v>2014</v>
      </c>
      <c r="C47" s="540"/>
      <c r="D47" s="203">
        <f t="shared" ref="D47:Q47" si="6">IF(ISBLANK($C$47),0,IF($C$47=$D$9,HLOOKUP(D43,D14:D18,5,FALSE),HLOOKUP(D43,D29:D33,5,FALSE)))</f>
        <v>0</v>
      </c>
      <c r="E47" s="203">
        <f t="shared" si="6"/>
        <v>0</v>
      </c>
      <c r="F47" s="203">
        <f t="shared" si="6"/>
        <v>0</v>
      </c>
      <c r="G47" s="203">
        <f t="shared" si="6"/>
        <v>0</v>
      </c>
      <c r="H47" s="203">
        <f t="shared" si="6"/>
        <v>0</v>
      </c>
      <c r="I47" s="203">
        <f t="shared" si="6"/>
        <v>0</v>
      </c>
      <c r="J47" s="203">
        <f t="shared" si="6"/>
        <v>0</v>
      </c>
      <c r="K47" s="203">
        <f t="shared" si="6"/>
        <v>0</v>
      </c>
      <c r="L47" s="203">
        <f t="shared" si="6"/>
        <v>0</v>
      </c>
      <c r="M47" s="203">
        <f t="shared" si="6"/>
        <v>0</v>
      </c>
      <c r="N47" s="203">
        <f t="shared" si="6"/>
        <v>0</v>
      </c>
      <c r="O47" s="203">
        <f t="shared" si="6"/>
        <v>0</v>
      </c>
      <c r="P47" s="203">
        <f t="shared" si="6"/>
        <v>0</v>
      </c>
      <c r="Q47" s="203">
        <f t="shared" si="6"/>
        <v>0</v>
      </c>
      <c r="R47" s="176"/>
    </row>
    <row r="48" spans="2:32" s="30" customFormat="1" ht="15.6">
      <c r="B48" s="184">
        <v>2015</v>
      </c>
      <c r="C48" s="540">
        <v>2012</v>
      </c>
      <c r="D48" s="203">
        <f t="shared" ref="D48:Q48" si="7">IF(ISBLANK($C$48),0,IF($C$48=$D$9,HLOOKUP(D43,D14:D18,5,FALSE),HLOOKUP(D43,D29:D33,5,FALSE)))</f>
        <v>2396997</v>
      </c>
      <c r="E48" s="203">
        <f t="shared" si="7"/>
        <v>619006</v>
      </c>
      <c r="F48" s="203">
        <f t="shared" si="7"/>
        <v>2770</v>
      </c>
      <c r="G48" s="203">
        <f t="shared" si="7"/>
        <v>607</v>
      </c>
      <c r="H48" s="203">
        <f t="shared" si="7"/>
        <v>0</v>
      </c>
      <c r="I48" s="203">
        <f t="shared" si="7"/>
        <v>0</v>
      </c>
      <c r="J48" s="203">
        <f t="shared" si="7"/>
        <v>0</v>
      </c>
      <c r="K48" s="203">
        <f t="shared" si="7"/>
        <v>0</v>
      </c>
      <c r="L48" s="203">
        <f t="shared" si="7"/>
        <v>0</v>
      </c>
      <c r="M48" s="203">
        <f t="shared" si="7"/>
        <v>0</v>
      </c>
      <c r="N48" s="203">
        <f t="shared" si="7"/>
        <v>0</v>
      </c>
      <c r="O48" s="203">
        <f t="shared" si="7"/>
        <v>0</v>
      </c>
      <c r="P48" s="203">
        <f t="shared" si="7"/>
        <v>0</v>
      </c>
      <c r="Q48" s="203">
        <f t="shared" si="7"/>
        <v>0</v>
      </c>
      <c r="R48" s="176"/>
      <c r="AF48" s="176"/>
    </row>
    <row r="49" spans="2:32" s="30" customFormat="1" ht="15.6">
      <c r="B49" s="184">
        <v>2016</v>
      </c>
      <c r="C49" s="540">
        <v>2016</v>
      </c>
      <c r="D49" s="203">
        <f t="shared" ref="D49:Q49" si="8">IF(ISBLANK($C$49),0,IF($C$49=$D$9,HLOOKUP(D43,D14:D18,5,FALSE),HLOOKUP(D43,D29:D33,5,FALSE)))</f>
        <v>691161</v>
      </c>
      <c r="E49" s="203">
        <f t="shared" si="8"/>
        <v>74889</v>
      </c>
      <c r="F49" s="203">
        <f t="shared" si="8"/>
        <v>3272</v>
      </c>
      <c r="G49" s="203">
        <f t="shared" si="8"/>
        <v>2873</v>
      </c>
      <c r="H49" s="203">
        <f t="shared" si="8"/>
        <v>0</v>
      </c>
      <c r="I49" s="203">
        <f t="shared" si="8"/>
        <v>0</v>
      </c>
      <c r="J49" s="203">
        <f t="shared" si="8"/>
        <v>3777</v>
      </c>
      <c r="K49" s="203">
        <f t="shared" si="8"/>
        <v>0</v>
      </c>
      <c r="L49" s="203">
        <f t="shared" si="8"/>
        <v>0</v>
      </c>
      <c r="M49" s="203">
        <f t="shared" si="8"/>
        <v>0</v>
      </c>
      <c r="N49" s="203">
        <f t="shared" si="8"/>
        <v>0</v>
      </c>
      <c r="O49" s="203">
        <f t="shared" si="8"/>
        <v>0</v>
      </c>
      <c r="P49" s="203">
        <f t="shared" si="8"/>
        <v>0</v>
      </c>
      <c r="Q49" s="203">
        <f t="shared" si="8"/>
        <v>0</v>
      </c>
      <c r="R49" s="176"/>
      <c r="AF49" s="176"/>
    </row>
    <row r="50" spans="2:32" s="30" customFormat="1" ht="15.6">
      <c r="B50" s="184">
        <v>2017</v>
      </c>
      <c r="C50" s="540">
        <v>2016</v>
      </c>
      <c r="D50" s="203">
        <f t="shared" ref="D50:I50" si="9">IF(ISBLANK($C$50),0,IF($C$50=$D$9,HLOOKUP(D43,D14:D18,5,FALSE),HLOOKUP(D43,D29:D33,5,FALSE)))</f>
        <v>691161</v>
      </c>
      <c r="E50" s="203">
        <f t="shared" si="9"/>
        <v>74889</v>
      </c>
      <c r="F50" s="203">
        <f t="shared" si="9"/>
        <v>3272</v>
      </c>
      <c r="G50" s="203">
        <f t="shared" si="9"/>
        <v>2873</v>
      </c>
      <c r="H50" s="203">
        <f t="shared" si="9"/>
        <v>0</v>
      </c>
      <c r="I50" s="203">
        <f t="shared" si="9"/>
        <v>0</v>
      </c>
      <c r="J50" s="203">
        <f t="shared" ref="J50:Q50" si="10">IF(ISBLANK($C$50),0,IF($C$50=$D$9,HLOOKUP(J43,J14:J18,5,FALSE),HLOOKUP(J43,J29:J33,5,FALSE)))</f>
        <v>3777</v>
      </c>
      <c r="K50" s="203">
        <f t="shared" si="10"/>
        <v>0</v>
      </c>
      <c r="L50" s="203">
        <f t="shared" si="10"/>
        <v>0</v>
      </c>
      <c r="M50" s="203">
        <f t="shared" si="10"/>
        <v>0</v>
      </c>
      <c r="N50" s="203">
        <f t="shared" si="10"/>
        <v>0</v>
      </c>
      <c r="O50" s="203">
        <f t="shared" si="10"/>
        <v>0</v>
      </c>
      <c r="P50" s="203">
        <f t="shared" si="10"/>
        <v>0</v>
      </c>
      <c r="Q50" s="203">
        <f t="shared" si="10"/>
        <v>0</v>
      </c>
      <c r="R50" s="176"/>
      <c r="AF50" s="176"/>
    </row>
    <row r="51" spans="2:32" s="30" customFormat="1" ht="15.6">
      <c r="B51" s="184">
        <v>2018</v>
      </c>
      <c r="C51" s="540">
        <v>2016</v>
      </c>
      <c r="D51" s="203">
        <f t="shared" ref="D51:Q51" si="11">IF(ISBLANK($C$51),0,IF($C$51=$D$9,HLOOKUP(D43,D14:D18,5,FALSE),HLOOKUP(D43,D29:D33,5,FALSE)))</f>
        <v>691161</v>
      </c>
      <c r="E51" s="203">
        <f t="shared" si="11"/>
        <v>74889</v>
      </c>
      <c r="F51" s="203">
        <f t="shared" si="11"/>
        <v>3272</v>
      </c>
      <c r="G51" s="203">
        <f t="shared" si="11"/>
        <v>2873</v>
      </c>
      <c r="H51" s="203">
        <f t="shared" si="11"/>
        <v>0</v>
      </c>
      <c r="I51" s="203">
        <f t="shared" si="11"/>
        <v>0</v>
      </c>
      <c r="J51" s="203">
        <f t="shared" si="11"/>
        <v>3777</v>
      </c>
      <c r="K51" s="203">
        <f t="shared" si="11"/>
        <v>0</v>
      </c>
      <c r="L51" s="203">
        <f t="shared" si="11"/>
        <v>0</v>
      </c>
      <c r="M51" s="203">
        <f t="shared" si="11"/>
        <v>0</v>
      </c>
      <c r="N51" s="203">
        <f t="shared" si="11"/>
        <v>0</v>
      </c>
      <c r="O51" s="203">
        <f t="shared" si="11"/>
        <v>0</v>
      </c>
      <c r="P51" s="203">
        <f t="shared" si="11"/>
        <v>0</v>
      </c>
      <c r="Q51" s="203">
        <f t="shared" si="11"/>
        <v>0</v>
      </c>
      <c r="R51" s="176"/>
      <c r="AF51" s="176"/>
    </row>
    <row r="52" spans="2:32" s="30" customFormat="1" ht="15.6">
      <c r="B52" s="184">
        <v>2019</v>
      </c>
      <c r="C52" s="540">
        <v>2016</v>
      </c>
      <c r="D52" s="203">
        <f t="shared" ref="D52:Q52" si="12">IF(ISBLANK($C$52),0,IF($C$52=$D$9,HLOOKUP(D43,D14:D18,5,FALSE),HLOOKUP(D43,D29:D33,5,FALSE)))</f>
        <v>691161</v>
      </c>
      <c r="E52" s="203">
        <f t="shared" si="12"/>
        <v>74889</v>
      </c>
      <c r="F52" s="203">
        <f t="shared" si="12"/>
        <v>3272</v>
      </c>
      <c r="G52" s="203">
        <f t="shared" si="12"/>
        <v>2873</v>
      </c>
      <c r="H52" s="203">
        <f t="shared" si="12"/>
        <v>0</v>
      </c>
      <c r="I52" s="203">
        <f t="shared" si="12"/>
        <v>0</v>
      </c>
      <c r="J52" s="203">
        <f t="shared" si="12"/>
        <v>3777</v>
      </c>
      <c r="K52" s="203">
        <f t="shared" si="12"/>
        <v>0</v>
      </c>
      <c r="L52" s="203">
        <f t="shared" si="12"/>
        <v>0</v>
      </c>
      <c r="M52" s="203">
        <f t="shared" si="12"/>
        <v>0</v>
      </c>
      <c r="N52" s="203">
        <f t="shared" si="12"/>
        <v>0</v>
      </c>
      <c r="O52" s="203">
        <f t="shared" si="12"/>
        <v>0</v>
      </c>
      <c r="P52" s="203">
        <f t="shared" si="12"/>
        <v>0</v>
      </c>
      <c r="Q52" s="203">
        <f t="shared" si="12"/>
        <v>0</v>
      </c>
      <c r="R52" s="176"/>
      <c r="AF52" s="176"/>
    </row>
    <row r="53" spans="2:32" s="30" customFormat="1" ht="15.6">
      <c r="B53" s="184">
        <v>2020</v>
      </c>
      <c r="C53" s="540"/>
      <c r="D53" s="203">
        <f t="shared" ref="D53:Q53" si="13">IF(ISBLANK($C$53),0,IF($C$53=$D$9,HLOOKUP(D43,D14:D18,5,FALSE),HLOOKUP(D43,D29:D33,5,FALSE)))</f>
        <v>0</v>
      </c>
      <c r="E53" s="203">
        <f t="shared" si="13"/>
        <v>0</v>
      </c>
      <c r="F53" s="203">
        <f t="shared" si="13"/>
        <v>0</v>
      </c>
      <c r="G53" s="203">
        <f t="shared" si="13"/>
        <v>0</v>
      </c>
      <c r="H53" s="203">
        <f t="shared" si="13"/>
        <v>0</v>
      </c>
      <c r="I53" s="203">
        <f t="shared" si="13"/>
        <v>0</v>
      </c>
      <c r="J53" s="203">
        <f t="shared" si="13"/>
        <v>0</v>
      </c>
      <c r="K53" s="203">
        <f t="shared" si="13"/>
        <v>0</v>
      </c>
      <c r="L53" s="203">
        <f t="shared" si="13"/>
        <v>0</v>
      </c>
      <c r="M53" s="203">
        <f t="shared" si="13"/>
        <v>0</v>
      </c>
      <c r="N53" s="203">
        <f t="shared" si="13"/>
        <v>0</v>
      </c>
      <c r="O53" s="203">
        <f t="shared" si="13"/>
        <v>0</v>
      </c>
      <c r="P53" s="203">
        <f t="shared" si="13"/>
        <v>0</v>
      </c>
      <c r="Q53" s="203">
        <f t="shared" si="13"/>
        <v>0</v>
      </c>
      <c r="R53" s="176"/>
      <c r="AF53" s="176"/>
    </row>
    <row r="54" spans="2:32" s="448" customFormat="1" ht="15.6">
      <c r="B54" s="463" t="s">
        <v>535</v>
      </c>
      <c r="C54" s="474"/>
      <c r="D54" s="475"/>
      <c r="E54" s="476"/>
      <c r="F54" s="476"/>
      <c r="G54" s="476"/>
      <c r="H54" s="476"/>
      <c r="I54" s="476"/>
      <c r="J54" s="476"/>
      <c r="K54" s="476"/>
      <c r="L54" s="476"/>
      <c r="M54" s="476"/>
      <c r="N54" s="476"/>
      <c r="O54" s="476"/>
      <c r="P54" s="476"/>
      <c r="Q54" s="475"/>
      <c r="R54" s="467"/>
    </row>
    <row r="55" spans="2:32" s="30" customFormat="1" ht="15.75" customHeight="1">
      <c r="B55" s="181"/>
      <c r="C55" s="181"/>
      <c r="D55" s="176"/>
    </row>
    <row r="56" spans="2:32" s="30" customFormat="1" ht="15.75" customHeight="1">
      <c r="B56" s="181"/>
      <c r="C56" s="181"/>
      <c r="D56" s="176"/>
    </row>
    <row r="57" spans="2:32" s="15" customFormat="1" ht="15.75" customHeight="1">
      <c r="B57" s="95"/>
      <c r="C57" s="95"/>
      <c r="D57" s="33"/>
    </row>
    <row r="58" spans="2:32" s="15" customFormat="1" ht="15.75" customHeight="1">
      <c r="B58" s="95"/>
      <c r="C58" s="95"/>
      <c r="D58" s="33"/>
    </row>
    <row r="59" spans="2:32" s="15" customFormat="1" ht="15.75" customHeight="1">
      <c r="B59" s="95"/>
      <c r="C59" s="95"/>
      <c r="D59" s="33"/>
    </row>
    <row r="60" spans="2:32" s="15" customFormat="1" ht="15.75" customHeight="1">
      <c r="B60" s="95"/>
      <c r="C60" s="95"/>
      <c r="D60" s="33"/>
    </row>
    <row r="61" spans="2:32" s="15" customFormat="1" ht="15.75" customHeight="1">
      <c r="B61" s="95"/>
      <c r="C61" s="95"/>
      <c r="D61" s="33"/>
    </row>
    <row r="62" spans="2:32" s="15" customFormat="1" ht="15.75" customHeight="1">
      <c r="B62" s="95"/>
      <c r="C62" s="95"/>
      <c r="D62" s="33"/>
    </row>
    <row r="63" spans="2:32" s="22" customFormat="1">
      <c r="B63" s="39"/>
      <c r="C63" s="39"/>
    </row>
    <row r="64" spans="2:32" s="22" customFormat="1">
      <c r="B64" s="39"/>
      <c r="C64" s="39"/>
    </row>
    <row r="65" spans="2:3" s="22" customFormat="1">
      <c r="B65" s="39"/>
      <c r="C65" s="39"/>
    </row>
    <row r="66" spans="2:3" s="22" customFormat="1">
      <c r="B66" s="39"/>
      <c r="C66" s="39"/>
    </row>
    <row r="67" spans="2:3" s="22" customFormat="1">
      <c r="B67" s="39"/>
      <c r="C67" s="39"/>
    </row>
    <row r="68" spans="2:3" s="22" customFormat="1">
      <c r="B68" s="39"/>
      <c r="C68" s="39"/>
    </row>
    <row r="69" spans="2:3" s="22" customFormat="1">
      <c r="B69" s="39"/>
      <c r="C69" s="39"/>
    </row>
    <row r="70" spans="2:3" s="22" customFormat="1">
      <c r="B70" s="39"/>
      <c r="C70" s="39"/>
    </row>
    <row r="71" spans="2:3" s="22" customFormat="1">
      <c r="B71" s="39"/>
      <c r="C71" s="39"/>
    </row>
    <row r="72" spans="2:3" s="22" customFormat="1">
      <c r="B72" s="39"/>
      <c r="C72" s="39"/>
    </row>
    <row r="73" spans="2:3" s="22" customFormat="1">
      <c r="B73" s="39"/>
      <c r="C73" s="39"/>
    </row>
    <row r="74" spans="2:3" s="22" customFormat="1">
      <c r="B74" s="39"/>
      <c r="C74" s="39"/>
    </row>
    <row r="75" spans="2:3" s="22" customFormat="1">
      <c r="B75" s="39"/>
      <c r="C75" s="39"/>
    </row>
    <row r="76" spans="2:3" s="22" customFormat="1">
      <c r="B76" s="39"/>
      <c r="C76" s="39"/>
    </row>
    <row r="77" spans="2:3" s="22" customFormat="1">
      <c r="B77" s="39"/>
      <c r="C77" s="39"/>
    </row>
    <row r="78" spans="2:3" s="22" customFormat="1">
      <c r="B78" s="39"/>
      <c r="C78" s="39"/>
    </row>
    <row r="79" spans="2:3" s="22" customFormat="1">
      <c r="B79" s="39"/>
      <c r="C79" s="39"/>
    </row>
    <row r="80" spans="2:3" s="22" customFormat="1">
      <c r="B80" s="39"/>
      <c r="C80" s="39"/>
    </row>
    <row r="81" spans="2:3" s="22" customFormat="1">
      <c r="B81" s="39"/>
      <c r="C81" s="39"/>
    </row>
    <row r="82" spans="2:3" s="22" customFormat="1">
      <c r="B82" s="39"/>
      <c r="C82" s="39"/>
    </row>
    <row r="83" spans="2:3" s="22" customFormat="1">
      <c r="B83" s="39"/>
      <c r="C83" s="39"/>
    </row>
    <row r="84" spans="2:3" s="22" customFormat="1">
      <c r="B84" s="39"/>
      <c r="C84" s="39"/>
    </row>
    <row r="85" spans="2:3" s="22" customFormat="1">
      <c r="B85" s="39"/>
      <c r="C85" s="39"/>
    </row>
    <row r="86" spans="2:3" s="22" customFormat="1">
      <c r="B86" s="39"/>
      <c r="C86" s="39"/>
    </row>
    <row r="87" spans="2:3" s="22" customFormat="1">
      <c r="B87" s="39"/>
      <c r="C87" s="39"/>
    </row>
    <row r="88" spans="2:3" s="22" customFormat="1">
      <c r="B88" s="39"/>
      <c r="C88" s="39"/>
    </row>
    <row r="89" spans="2:3" s="22" customFormat="1">
      <c r="B89" s="39"/>
      <c r="C89" s="39"/>
    </row>
    <row r="90" spans="2:3" s="22" customFormat="1">
      <c r="B90" s="39"/>
      <c r="C90" s="39"/>
    </row>
    <row r="91" spans="2:3" s="22" customFormat="1">
      <c r="B91" s="39"/>
      <c r="C91" s="39"/>
    </row>
    <row r="92" spans="2:3" s="22" customFormat="1">
      <c r="B92" s="39"/>
      <c r="C92" s="39"/>
    </row>
    <row r="93" spans="2:3" s="22" customFormat="1">
      <c r="B93" s="39"/>
      <c r="C93" s="39"/>
    </row>
    <row r="94" spans="2:3" s="22" customFormat="1">
      <c r="B94" s="39"/>
      <c r="C94" s="39"/>
    </row>
    <row r="95" spans="2:3" s="22" customFormat="1">
      <c r="B95" s="39"/>
      <c r="C95" s="39"/>
    </row>
    <row r="96" spans="2:3" s="22" customFormat="1">
      <c r="B96" s="39"/>
      <c r="C96" s="39"/>
    </row>
    <row r="157" spans="4:4">
      <c r="D157" s="853"/>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505" right="0.70866141732283505" top="0.74803149606299202" bottom="0.74803149606299202" header="0.31496062992126" footer="0.31496062992126"/>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D9 D24</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57"/>
  <sheetViews>
    <sheetView zoomScale="80" zoomScaleNormal="80" workbookViewId="0">
      <pane ySplit="14" topLeftCell="A15" activePane="bottomLeft" state="frozen"/>
      <selection activeCell="D157" sqref="D157"/>
      <selection pane="bottomLeft" activeCell="D157" sqref="D157"/>
    </sheetView>
  </sheetViews>
  <sheetFormatPr defaultColWidth="9" defaultRowHeight="14.4" outlineLevelRow="1"/>
  <cols>
    <col min="1" max="1" width="6.5546875" style="17" customWidth="1"/>
    <col min="2" max="2" width="36.5546875" style="18" customWidth="1"/>
    <col min="3" max="3" width="17" style="91" customWidth="1"/>
    <col min="4" max="5" width="18" style="18" customWidth="1"/>
    <col min="6" max="6" width="18.5546875" style="18" customWidth="1"/>
    <col min="7" max="8" width="15.44140625" style="18" customWidth="1"/>
    <col min="9" max="9" width="17.44140625" style="18" customWidth="1"/>
    <col min="10" max="13" width="16" style="18" customWidth="1"/>
    <col min="14" max="14" width="19" style="18" customWidth="1"/>
    <col min="15" max="15" width="16.5546875" style="18" customWidth="1"/>
    <col min="16" max="16" width="17" style="18" customWidth="1"/>
    <col min="17" max="16384" width="9" style="18"/>
  </cols>
  <sheetData>
    <row r="1" spans="1:26" ht="143.25" customHeight="1">
      <c r="B1" s="31"/>
    </row>
    <row r="2" spans="1:26" s="31" customFormat="1" ht="14.25" customHeight="1">
      <c r="A2" s="17"/>
      <c r="B2" s="97"/>
      <c r="C2" s="97"/>
      <c r="D2" s="97"/>
      <c r="E2" s="97"/>
      <c r="F2" s="97"/>
      <c r="G2" s="97"/>
      <c r="H2" s="97"/>
      <c r="I2" s="97"/>
      <c r="J2" s="97"/>
      <c r="K2" s="97"/>
      <c r="L2" s="97"/>
      <c r="M2" s="97"/>
      <c r="N2" s="97"/>
      <c r="O2" s="97"/>
    </row>
    <row r="3" spans="1:26" s="31" customFormat="1" ht="16.5" hidden="1" customHeight="1" outlineLevel="1" thickBot="1">
      <c r="A3" s="17"/>
      <c r="B3" s="60"/>
      <c r="C3" s="92"/>
      <c r="D3" s="60"/>
      <c r="E3" s="60"/>
      <c r="F3" s="60"/>
      <c r="G3" s="60"/>
      <c r="H3" s="60"/>
      <c r="I3" s="60"/>
      <c r="J3" s="60"/>
      <c r="K3" s="60"/>
    </row>
    <row r="4" spans="1:26" s="31" customFormat="1" ht="26.25" hidden="1" customHeight="1" outlineLevel="1" thickBot="1">
      <c r="A4" s="17"/>
      <c r="B4" s="893" t="s">
        <v>171</v>
      </c>
      <c r="C4" s="98" t="s">
        <v>175</v>
      </c>
      <c r="D4" s="98"/>
      <c r="E4" s="62"/>
    </row>
    <row r="5" spans="1:26" s="31" customFormat="1" ht="26.25" hidden="1" customHeight="1" outlineLevel="1" thickBot="1">
      <c r="A5" s="17"/>
      <c r="B5" s="893"/>
      <c r="C5" s="99" t="s">
        <v>172</v>
      </c>
      <c r="D5" s="99"/>
      <c r="E5" s="62"/>
    </row>
    <row r="6" spans="1:26" ht="26.25" hidden="1" customHeight="1" outlineLevel="1" thickBot="1">
      <c r="B6" s="893"/>
      <c r="C6" s="896" t="s">
        <v>550</v>
      </c>
      <c r="D6" s="897"/>
      <c r="F6" s="31"/>
      <c r="M6" s="19"/>
      <c r="N6" s="19"/>
      <c r="O6" s="19"/>
      <c r="P6" s="19"/>
      <c r="Q6" s="19"/>
      <c r="R6" s="19"/>
      <c r="S6" s="19"/>
      <c r="T6" s="19"/>
      <c r="U6" s="19"/>
      <c r="V6" s="19"/>
      <c r="W6" s="19"/>
      <c r="X6" s="19"/>
      <c r="Y6" s="19"/>
      <c r="Z6" s="19"/>
    </row>
    <row r="7" spans="1:26" s="31" customFormat="1" ht="26.25" hidden="1" customHeight="1" outlineLevel="1">
      <c r="A7" s="17"/>
      <c r="B7" s="546"/>
      <c r="M7" s="19"/>
      <c r="N7" s="19"/>
      <c r="O7" s="19"/>
      <c r="P7" s="19"/>
      <c r="Q7" s="19"/>
      <c r="R7" s="19"/>
      <c r="S7" s="19"/>
      <c r="T7" s="19"/>
      <c r="U7" s="19"/>
      <c r="V7" s="19"/>
      <c r="W7" s="19"/>
      <c r="X7" s="19"/>
      <c r="Y7" s="19"/>
      <c r="Z7" s="19"/>
    </row>
    <row r="8" spans="1:26" s="31" customFormat="1" ht="19.5" hidden="1" customHeight="1" outlineLevel="1">
      <c r="A8" s="17"/>
      <c r="B8" s="546" t="s">
        <v>526</v>
      </c>
      <c r="C8" s="600" t="s">
        <v>481</v>
      </c>
      <c r="D8" s="599"/>
      <c r="M8" s="19"/>
      <c r="N8" s="19"/>
      <c r="O8" s="19"/>
      <c r="P8" s="19"/>
      <c r="Q8" s="19"/>
      <c r="R8" s="19"/>
      <c r="S8" s="19"/>
      <c r="T8" s="19"/>
      <c r="U8" s="19"/>
      <c r="V8" s="19"/>
      <c r="W8" s="19"/>
      <c r="X8" s="19"/>
      <c r="Y8" s="19"/>
      <c r="Z8" s="19"/>
    </row>
    <row r="9" spans="1:26" s="31" customFormat="1" ht="19.5" hidden="1" customHeight="1" outlineLevel="1">
      <c r="A9" s="17"/>
      <c r="B9" s="546"/>
      <c r="C9" s="600" t="s">
        <v>527</v>
      </c>
      <c r="D9" s="599"/>
      <c r="M9" s="19"/>
      <c r="N9" s="19"/>
      <c r="O9" s="19"/>
      <c r="P9" s="19"/>
      <c r="Q9" s="19"/>
      <c r="R9" s="19"/>
      <c r="S9" s="19"/>
      <c r="T9" s="19"/>
      <c r="U9" s="19"/>
      <c r="V9" s="19"/>
      <c r="W9" s="19"/>
      <c r="X9" s="19"/>
      <c r="Y9" s="19"/>
      <c r="Z9" s="19"/>
    </row>
    <row r="10" spans="1:26" s="31" customFormat="1" hidden="1" outlineLevel="1">
      <c r="A10" s="17"/>
      <c r="B10" s="114"/>
      <c r="C10" s="100"/>
      <c r="D10" s="100"/>
      <c r="E10" s="100"/>
      <c r="M10" s="19"/>
      <c r="N10" s="19"/>
      <c r="O10" s="19"/>
      <c r="P10" s="19"/>
      <c r="Q10" s="19"/>
      <c r="R10" s="19"/>
      <c r="S10" s="19"/>
      <c r="T10" s="19"/>
      <c r="U10" s="19"/>
      <c r="V10" s="19"/>
      <c r="W10" s="19"/>
      <c r="X10" s="19"/>
      <c r="Y10" s="19"/>
      <c r="Z10" s="19"/>
    </row>
    <row r="11" spans="1:26" s="31" customFormat="1" ht="32.25" customHeight="1" collapsed="1">
      <c r="A11" s="28"/>
      <c r="B11" s="131" t="s">
        <v>482</v>
      </c>
      <c r="O11" s="558"/>
    </row>
    <row r="12" spans="1:26" ht="58.5" customHeight="1">
      <c r="B12" s="891" t="s">
        <v>616</v>
      </c>
      <c r="C12" s="891"/>
      <c r="D12" s="891"/>
      <c r="E12" s="891"/>
      <c r="F12" s="891"/>
      <c r="G12" s="891"/>
      <c r="H12" s="891"/>
      <c r="I12" s="891"/>
      <c r="J12" s="891"/>
      <c r="K12" s="891"/>
      <c r="L12" s="891"/>
      <c r="M12" s="891"/>
      <c r="N12" s="891"/>
      <c r="O12" s="891"/>
    </row>
    <row r="13" spans="1:26" s="27" customFormat="1" ht="15.75" customHeight="1">
      <c r="A13" s="54"/>
      <c r="O13" s="31"/>
      <c r="P13" s="20"/>
      <c r="Q13" s="54"/>
      <c r="R13" s="54"/>
      <c r="S13" s="54"/>
      <c r="T13" s="54"/>
      <c r="U13" s="54"/>
      <c r="V13" s="54"/>
      <c r="W13" s="54"/>
      <c r="X13" s="54"/>
      <c r="Y13" s="54"/>
      <c r="Z13" s="54"/>
    </row>
    <row r="14" spans="1:26" s="67" customFormat="1" ht="46.5" customHeight="1">
      <c r="A14" s="66"/>
      <c r="B14" s="559"/>
      <c r="C14" s="478" t="s">
        <v>41</v>
      </c>
      <c r="D14" s="479" t="s">
        <v>562</v>
      </c>
      <c r="E14" s="479" t="s">
        <v>563</v>
      </c>
      <c r="F14" s="479" t="s">
        <v>564</v>
      </c>
      <c r="G14" s="479" t="s">
        <v>565</v>
      </c>
      <c r="H14" s="479" t="s">
        <v>782</v>
      </c>
      <c r="I14" s="479" t="s">
        <v>783</v>
      </c>
      <c r="J14" s="479" t="s">
        <v>784</v>
      </c>
      <c r="K14" s="479" t="s">
        <v>785</v>
      </c>
      <c r="L14" s="479" t="s">
        <v>786</v>
      </c>
      <c r="M14" s="479" t="s">
        <v>787</v>
      </c>
      <c r="N14" s="479" t="s">
        <v>788</v>
      </c>
      <c r="O14" s="479" t="s">
        <v>566</v>
      </c>
      <c r="P14" s="20"/>
    </row>
    <row r="15" spans="1:26" s="20" customFormat="1" ht="18.75" customHeight="1">
      <c r="B15" s="480" t="s">
        <v>188</v>
      </c>
      <c r="C15" s="894"/>
      <c r="D15" s="481">
        <v>2010</v>
      </c>
      <c r="E15" s="481">
        <v>2011</v>
      </c>
      <c r="F15" s="481">
        <v>2012</v>
      </c>
      <c r="G15" s="481">
        <v>2013</v>
      </c>
      <c r="H15" s="481">
        <v>2014</v>
      </c>
      <c r="I15" s="481">
        <v>2015</v>
      </c>
      <c r="J15" s="481">
        <v>2016</v>
      </c>
      <c r="K15" s="481">
        <v>2017</v>
      </c>
      <c r="L15" s="481">
        <v>2018</v>
      </c>
      <c r="M15" s="481">
        <v>2019</v>
      </c>
      <c r="N15" s="481">
        <v>2020</v>
      </c>
      <c r="O15" s="482">
        <v>2021</v>
      </c>
    </row>
    <row r="16" spans="1:26" s="124" customFormat="1" ht="18" customHeight="1">
      <c r="B16" s="483" t="s">
        <v>558</v>
      </c>
      <c r="C16" s="889"/>
      <c r="D16" s="484"/>
      <c r="E16" s="484"/>
      <c r="F16" s="484"/>
      <c r="G16" s="484"/>
      <c r="H16" s="484">
        <v>4</v>
      </c>
      <c r="I16" s="484">
        <v>4</v>
      </c>
      <c r="J16" s="484">
        <v>4</v>
      </c>
      <c r="K16" s="484">
        <v>4</v>
      </c>
      <c r="L16" s="484">
        <v>4</v>
      </c>
      <c r="M16" s="484">
        <v>4</v>
      </c>
      <c r="N16" s="484">
        <v>4</v>
      </c>
      <c r="O16" s="485"/>
    </row>
    <row r="17" spans="1:15" s="124" customFormat="1" ht="17.25" customHeight="1">
      <c r="B17" s="486" t="s">
        <v>559</v>
      </c>
      <c r="C17" s="895"/>
      <c r="D17" s="125">
        <f>12-D16</f>
        <v>12</v>
      </c>
      <c r="E17" s="125">
        <f>12-E16</f>
        <v>12</v>
      </c>
      <c r="F17" s="125">
        <f t="shared" ref="F17:K17" si="0">12-F16</f>
        <v>12</v>
      </c>
      <c r="G17" s="125">
        <f t="shared" si="0"/>
        <v>12</v>
      </c>
      <c r="H17" s="125">
        <f t="shared" si="0"/>
        <v>8</v>
      </c>
      <c r="I17" s="125">
        <f t="shared" si="0"/>
        <v>8</v>
      </c>
      <c r="J17" s="125">
        <f t="shared" si="0"/>
        <v>8</v>
      </c>
      <c r="K17" s="125">
        <f t="shared" si="0"/>
        <v>8</v>
      </c>
      <c r="L17" s="125">
        <f t="shared" ref="L17:O17" si="1">12-L16</f>
        <v>8</v>
      </c>
      <c r="M17" s="125">
        <f t="shared" si="1"/>
        <v>8</v>
      </c>
      <c r="N17" s="125">
        <f t="shared" si="1"/>
        <v>8</v>
      </c>
      <c r="O17" s="126">
        <f t="shared" si="1"/>
        <v>12</v>
      </c>
    </row>
    <row r="18" spans="1:15" s="20" customFormat="1" ht="17.25" customHeight="1">
      <c r="B18" s="487" t="str">
        <f>'1.  LRAMVA Summary'!B29</f>
        <v>Residential</v>
      </c>
      <c r="C18" s="888" t="str">
        <f>'2. LRAMVA Threshold'!D43</f>
        <v>kWh</v>
      </c>
      <c r="D18" s="59"/>
      <c r="E18" s="59"/>
      <c r="F18" s="59"/>
      <c r="G18" s="59"/>
      <c r="H18" s="59">
        <v>1.18E-2</v>
      </c>
      <c r="I18" s="59">
        <v>1.2E-2</v>
      </c>
      <c r="J18" s="59">
        <v>0.01</v>
      </c>
      <c r="K18" s="59">
        <v>6.7999999999999996E-3</v>
      </c>
      <c r="L18" s="59">
        <v>3.3999999999999998E-3</v>
      </c>
      <c r="M18" s="59">
        <v>0</v>
      </c>
      <c r="N18" s="59" t="s">
        <v>789</v>
      </c>
      <c r="O18" s="82"/>
    </row>
    <row r="19" spans="1:15" s="20" customFormat="1" ht="15" hidden="1" customHeight="1" outlineLevel="1">
      <c r="B19" s="542" t="s">
        <v>510</v>
      </c>
      <c r="C19" s="889"/>
      <c r="D19" s="59"/>
      <c r="E19" s="59"/>
      <c r="F19" s="59"/>
      <c r="G19" s="59"/>
      <c r="H19" s="59"/>
      <c r="I19" s="59"/>
      <c r="J19" s="59"/>
      <c r="K19" s="59"/>
      <c r="L19" s="59"/>
      <c r="M19" s="59"/>
      <c r="N19" s="59"/>
      <c r="O19" s="82"/>
    </row>
    <row r="20" spans="1:15" s="20" customFormat="1" ht="15" hidden="1" customHeight="1" outlineLevel="1">
      <c r="B20" s="542" t="s">
        <v>511</v>
      </c>
      <c r="C20" s="889"/>
      <c r="D20" s="59"/>
      <c r="E20" s="59"/>
      <c r="F20" s="59"/>
      <c r="G20" s="59"/>
      <c r="H20" s="59"/>
      <c r="I20" s="59"/>
      <c r="J20" s="59"/>
      <c r="K20" s="59"/>
      <c r="L20" s="59"/>
      <c r="M20" s="59"/>
      <c r="N20" s="59"/>
      <c r="O20" s="82"/>
    </row>
    <row r="21" spans="1:15" s="20" customFormat="1" ht="15" hidden="1" customHeight="1" outlineLevel="1">
      <c r="B21" s="542" t="s">
        <v>489</v>
      </c>
      <c r="C21" s="889"/>
      <c r="D21" s="59"/>
      <c r="E21" s="59"/>
      <c r="F21" s="59"/>
      <c r="G21" s="59"/>
      <c r="H21" s="59"/>
      <c r="I21" s="59"/>
      <c r="J21" s="59"/>
      <c r="K21" s="59"/>
      <c r="L21" s="59"/>
      <c r="M21" s="59"/>
      <c r="N21" s="59"/>
      <c r="O21" s="82"/>
    </row>
    <row r="22" spans="1:15" s="20" customFormat="1" ht="14.25" customHeight="1" collapsed="1">
      <c r="B22" s="542" t="s">
        <v>512</v>
      </c>
      <c r="C22" s="890"/>
      <c r="D22" s="78">
        <f>SUM(D18:D21)</f>
        <v>0</v>
      </c>
      <c r="E22" s="78">
        <f>SUM(E18:E21)</f>
        <v>0</v>
      </c>
      <c r="F22" s="78">
        <f>SUM(F18:F21)</f>
        <v>0</v>
      </c>
      <c r="G22" s="78">
        <f t="shared" ref="G22:N22" si="2">SUM(G18:G21)</f>
        <v>0</v>
      </c>
      <c r="H22" s="78">
        <f t="shared" si="2"/>
        <v>1.18E-2</v>
      </c>
      <c r="I22" s="78">
        <f t="shared" si="2"/>
        <v>1.2E-2</v>
      </c>
      <c r="J22" s="78">
        <f t="shared" si="2"/>
        <v>0.01</v>
      </c>
      <c r="K22" s="78">
        <f t="shared" si="2"/>
        <v>6.7999999999999996E-3</v>
      </c>
      <c r="L22" s="78">
        <f t="shared" si="2"/>
        <v>3.3999999999999998E-3</v>
      </c>
      <c r="M22" s="78">
        <f t="shared" si="2"/>
        <v>0</v>
      </c>
      <c r="N22" s="78">
        <f t="shared" si="2"/>
        <v>0</v>
      </c>
      <c r="O22" s="89"/>
    </row>
    <row r="23" spans="1:15" s="76" customFormat="1">
      <c r="A23" s="75"/>
      <c r="B23" s="499" t="s">
        <v>513</v>
      </c>
      <c r="C23" s="489"/>
      <c r="D23" s="490"/>
      <c r="E23" s="491">
        <f>ROUND(SUM(D22*E16+E22*E17)/12,4)</f>
        <v>0</v>
      </c>
      <c r="F23" s="491">
        <f>ROUND(SUM(E22*F16+F22*F17)/12,4)</f>
        <v>0</v>
      </c>
      <c r="G23" s="491">
        <f>ROUND(SUM(F22*G16+G22*G17)/12,4)</f>
        <v>0</v>
      </c>
      <c r="H23" s="491">
        <f>ROUND(SUM(G22*H16+H22*H17)/12,4)</f>
        <v>7.9000000000000008E-3</v>
      </c>
      <c r="I23" s="491">
        <f>ROUND(SUM(H22*I16+I22*I17)/12,4)</f>
        <v>1.1900000000000001E-2</v>
      </c>
      <c r="J23" s="491">
        <f t="shared" ref="J23:N23" si="3">ROUND(SUM(I22*J16+J22*J17)/12,4)</f>
        <v>1.0699999999999999E-2</v>
      </c>
      <c r="K23" s="491">
        <f t="shared" si="3"/>
        <v>7.9000000000000008E-3</v>
      </c>
      <c r="L23" s="491">
        <f t="shared" si="3"/>
        <v>4.4999999999999997E-3</v>
      </c>
      <c r="M23" s="491">
        <f t="shared" si="3"/>
        <v>1.1000000000000001E-3</v>
      </c>
      <c r="N23" s="491">
        <f t="shared" si="3"/>
        <v>0</v>
      </c>
      <c r="O23" s="492"/>
    </row>
    <row r="24" spans="1:15" s="76" customFormat="1">
      <c r="A24" s="75"/>
      <c r="B24" s="488"/>
      <c r="C24" s="493"/>
      <c r="D24" s="490"/>
      <c r="E24" s="491"/>
      <c r="F24" s="491"/>
      <c r="G24" s="491"/>
      <c r="H24" s="491"/>
      <c r="I24" s="491"/>
      <c r="J24" s="491"/>
      <c r="K24" s="491"/>
      <c r="L24" s="494"/>
      <c r="M24" s="494"/>
      <c r="N24" s="494"/>
      <c r="O24" s="492"/>
    </row>
    <row r="25" spans="1:15" s="76" customFormat="1" ht="15.75" customHeight="1">
      <c r="A25" s="75"/>
      <c r="B25" s="610" t="str">
        <f>'1.  LRAMVA Summary'!B30</f>
        <v>GS&lt;50 kW</v>
      </c>
      <c r="C25" s="888" t="str">
        <f>'2. LRAMVA Threshold'!E43</f>
        <v>kWh</v>
      </c>
      <c r="D25" s="59"/>
      <c r="E25" s="59"/>
      <c r="F25" s="59"/>
      <c r="G25" s="59"/>
      <c r="H25" s="59">
        <v>8.3999999999999995E-3</v>
      </c>
      <c r="I25" s="59">
        <v>8.5000000000000006E-3</v>
      </c>
      <c r="J25" s="59">
        <v>9.9000000000000008E-3</v>
      </c>
      <c r="K25" s="59">
        <v>1.01E-2</v>
      </c>
      <c r="L25" s="59">
        <v>1.0200000000000001E-2</v>
      </c>
      <c r="M25" s="59">
        <v>1.04E-2</v>
      </c>
      <c r="N25" s="59">
        <v>1.06E-2</v>
      </c>
      <c r="O25" s="82"/>
    </row>
    <row r="26" spans="1:15" s="31" customFormat="1" hidden="1" outlineLevel="1">
      <c r="A26" s="17"/>
      <c r="B26" s="542" t="s">
        <v>510</v>
      </c>
      <c r="C26" s="889"/>
      <c r="D26" s="59"/>
      <c r="E26" s="59"/>
      <c r="F26" s="59"/>
      <c r="G26" s="59"/>
      <c r="H26" s="59"/>
      <c r="I26" s="59"/>
      <c r="J26" s="59"/>
      <c r="K26" s="59"/>
      <c r="L26" s="59"/>
      <c r="M26" s="59"/>
      <c r="N26" s="59"/>
      <c r="O26" s="82"/>
    </row>
    <row r="27" spans="1:15" s="31" customFormat="1" hidden="1" outlineLevel="1">
      <c r="A27" s="17"/>
      <c r="B27" s="542" t="s">
        <v>511</v>
      </c>
      <c r="C27" s="889"/>
      <c r="D27" s="59"/>
      <c r="E27" s="59"/>
      <c r="F27" s="59"/>
      <c r="G27" s="59"/>
      <c r="H27" s="59"/>
      <c r="I27" s="59"/>
      <c r="J27" s="59"/>
      <c r="K27" s="59"/>
      <c r="L27" s="59"/>
      <c r="M27" s="59"/>
      <c r="N27" s="59"/>
      <c r="O27" s="82"/>
    </row>
    <row r="28" spans="1:15" s="31" customFormat="1" hidden="1" outlineLevel="1">
      <c r="A28" s="17"/>
      <c r="B28" s="542" t="s">
        <v>489</v>
      </c>
      <c r="C28" s="889"/>
      <c r="D28" s="59"/>
      <c r="E28" s="59"/>
      <c r="F28" s="59"/>
      <c r="G28" s="59"/>
      <c r="H28" s="59"/>
      <c r="I28" s="59"/>
      <c r="J28" s="59"/>
      <c r="K28" s="59"/>
      <c r="L28" s="59"/>
      <c r="M28" s="59"/>
      <c r="N28" s="59"/>
      <c r="O28" s="82"/>
    </row>
    <row r="29" spans="1:15" s="31" customFormat="1" collapsed="1">
      <c r="A29" s="17"/>
      <c r="B29" s="542" t="s">
        <v>512</v>
      </c>
      <c r="C29" s="890"/>
      <c r="D29" s="78">
        <f>SUM(D25:D28)</f>
        <v>0</v>
      </c>
      <c r="E29" s="78">
        <f t="shared" ref="E29:N29" si="4">SUM(E25:E28)</f>
        <v>0</v>
      </c>
      <c r="F29" s="78">
        <f t="shared" si="4"/>
        <v>0</v>
      </c>
      <c r="G29" s="78">
        <f t="shared" si="4"/>
        <v>0</v>
      </c>
      <c r="H29" s="78">
        <f t="shared" si="4"/>
        <v>8.3999999999999995E-3</v>
      </c>
      <c r="I29" s="78">
        <f t="shared" si="4"/>
        <v>8.5000000000000006E-3</v>
      </c>
      <c r="J29" s="78">
        <f t="shared" si="4"/>
        <v>9.9000000000000008E-3</v>
      </c>
      <c r="K29" s="78">
        <f t="shared" si="4"/>
        <v>1.01E-2</v>
      </c>
      <c r="L29" s="78">
        <f t="shared" si="4"/>
        <v>1.0200000000000001E-2</v>
      </c>
      <c r="M29" s="78">
        <f t="shared" si="4"/>
        <v>1.04E-2</v>
      </c>
      <c r="N29" s="78">
        <f t="shared" si="4"/>
        <v>1.06E-2</v>
      </c>
      <c r="O29" s="89"/>
    </row>
    <row r="30" spans="1:15" s="31" customFormat="1">
      <c r="A30" s="17"/>
      <c r="B30" s="499" t="s">
        <v>513</v>
      </c>
      <c r="C30" s="495"/>
      <c r="D30" s="84"/>
      <c r="E30" s="491">
        <f>ROUND(SUM(D29*E16+E29*E17)/12,4)</f>
        <v>0</v>
      </c>
      <c r="F30" s="491">
        <f t="shared" ref="F30:N30" si="5">ROUND(SUM(E29*F16+F29*F17)/12,4)</f>
        <v>0</v>
      </c>
      <c r="G30" s="491">
        <f t="shared" si="5"/>
        <v>0</v>
      </c>
      <c r="H30" s="491">
        <f t="shared" si="5"/>
        <v>5.5999999999999999E-3</v>
      </c>
      <c r="I30" s="491">
        <f t="shared" si="5"/>
        <v>8.5000000000000006E-3</v>
      </c>
      <c r="J30" s="491">
        <f>ROUND(SUM(I29*J16+J29*J17)/12,4)</f>
        <v>9.4000000000000004E-3</v>
      </c>
      <c r="K30" s="491">
        <f t="shared" si="5"/>
        <v>0.01</v>
      </c>
      <c r="L30" s="491">
        <f t="shared" si="5"/>
        <v>1.0200000000000001E-2</v>
      </c>
      <c r="M30" s="491">
        <f t="shared" si="5"/>
        <v>1.03E-2</v>
      </c>
      <c r="N30" s="491">
        <f t="shared" si="5"/>
        <v>1.0500000000000001E-2</v>
      </c>
      <c r="O30" s="496"/>
    </row>
    <row r="31" spans="1:15" s="31" customFormat="1">
      <c r="A31" s="17"/>
      <c r="B31" s="488"/>
      <c r="C31" s="497"/>
      <c r="D31" s="498"/>
      <c r="E31" s="498"/>
      <c r="F31" s="498"/>
      <c r="G31" s="498"/>
      <c r="H31" s="498"/>
      <c r="I31" s="498"/>
      <c r="J31" s="498"/>
      <c r="K31" s="498"/>
      <c r="L31" s="498"/>
      <c r="M31" s="498"/>
      <c r="N31" s="494"/>
      <c r="O31" s="496"/>
    </row>
    <row r="32" spans="1:15" s="77" customFormat="1">
      <c r="B32" s="610" t="str">
        <f>'1.  LRAMVA Summary'!B31</f>
        <v>GS 50 - 999 kW</v>
      </c>
      <c r="C32" s="888" t="str">
        <f>'2. LRAMVA Threshold'!F43</f>
        <v>kW</v>
      </c>
      <c r="D32" s="59"/>
      <c r="E32" s="59"/>
      <c r="F32" s="59"/>
      <c r="G32" s="59"/>
      <c r="H32" s="59">
        <v>3.4016000000000002</v>
      </c>
      <c r="I32" s="59">
        <v>3.456</v>
      </c>
      <c r="J32" s="59">
        <v>3.7412000000000001</v>
      </c>
      <c r="K32" s="59">
        <v>3.8123</v>
      </c>
      <c r="L32" s="59">
        <v>3.8580000000000001</v>
      </c>
      <c r="M32" s="59">
        <v>3.9159000000000002</v>
      </c>
      <c r="N32" s="59">
        <v>3.9942000000000002</v>
      </c>
      <c r="O32" s="82"/>
    </row>
    <row r="33" spans="1:15" s="31" customFormat="1" hidden="1" outlineLevel="1">
      <c r="A33" s="17"/>
      <c r="B33" s="542" t="s">
        <v>510</v>
      </c>
      <c r="C33" s="889"/>
      <c r="D33" s="59"/>
      <c r="E33" s="59"/>
      <c r="F33" s="59"/>
      <c r="G33" s="59"/>
      <c r="H33" s="59"/>
      <c r="I33" s="59"/>
      <c r="J33" s="59"/>
      <c r="K33" s="59"/>
      <c r="L33" s="59"/>
      <c r="M33" s="59"/>
      <c r="N33" s="59"/>
      <c r="O33" s="82"/>
    </row>
    <row r="34" spans="1:15" s="31" customFormat="1" hidden="1" outlineLevel="1">
      <c r="A34" s="17"/>
      <c r="B34" s="542" t="s">
        <v>511</v>
      </c>
      <c r="C34" s="889"/>
      <c r="D34" s="59"/>
      <c r="E34" s="59"/>
      <c r="F34" s="59"/>
      <c r="G34" s="59"/>
      <c r="H34" s="59"/>
      <c r="I34" s="59"/>
      <c r="J34" s="59"/>
      <c r="K34" s="59"/>
      <c r="L34" s="59"/>
      <c r="M34" s="59"/>
      <c r="N34" s="59"/>
      <c r="O34" s="82"/>
    </row>
    <row r="35" spans="1:15" s="31" customFormat="1" hidden="1" outlineLevel="1">
      <c r="A35" s="17"/>
      <c r="B35" s="542" t="s">
        <v>489</v>
      </c>
      <c r="C35" s="889"/>
      <c r="D35" s="59"/>
      <c r="E35" s="59"/>
      <c r="F35" s="59"/>
      <c r="G35" s="59"/>
      <c r="H35" s="59"/>
      <c r="I35" s="59"/>
      <c r="J35" s="59"/>
      <c r="K35" s="59"/>
      <c r="L35" s="59"/>
      <c r="M35" s="59"/>
      <c r="N35" s="59"/>
      <c r="O35" s="82"/>
    </row>
    <row r="36" spans="1:15" s="31" customFormat="1" collapsed="1">
      <c r="A36" s="17"/>
      <c r="B36" s="542" t="s">
        <v>512</v>
      </c>
      <c r="C36" s="890"/>
      <c r="D36" s="78">
        <f>SUM(D32:D35)</f>
        <v>0</v>
      </c>
      <c r="E36" s="78">
        <f>SUM(E32:E35)</f>
        <v>0</v>
      </c>
      <c r="F36" s="78">
        <f t="shared" ref="F36:M36" si="6">SUM(F32:F35)</f>
        <v>0</v>
      </c>
      <c r="G36" s="78">
        <f t="shared" si="6"/>
        <v>0</v>
      </c>
      <c r="H36" s="78">
        <f t="shared" si="6"/>
        <v>3.4016000000000002</v>
      </c>
      <c r="I36" s="78">
        <f t="shared" si="6"/>
        <v>3.456</v>
      </c>
      <c r="J36" s="78">
        <f t="shared" si="6"/>
        <v>3.7412000000000001</v>
      </c>
      <c r="K36" s="78">
        <f t="shared" si="6"/>
        <v>3.8123</v>
      </c>
      <c r="L36" s="78">
        <f t="shared" si="6"/>
        <v>3.8580000000000001</v>
      </c>
      <c r="M36" s="78">
        <f t="shared" si="6"/>
        <v>3.9159000000000002</v>
      </c>
      <c r="N36" s="78">
        <f>SUM(N32:N35)</f>
        <v>3.9942000000000002</v>
      </c>
      <c r="O36" s="89"/>
    </row>
    <row r="37" spans="1:15" s="31" customFormat="1">
      <c r="A37" s="17"/>
      <c r="B37" s="499" t="s">
        <v>513</v>
      </c>
      <c r="C37" s="495"/>
      <c r="D37" s="84"/>
      <c r="E37" s="491">
        <f t="shared" ref="E37:N37" si="7">ROUND(SUM(D36*E16+E36*E17)/12,4)</f>
        <v>0</v>
      </c>
      <c r="F37" s="491">
        <f t="shared" si="7"/>
        <v>0</v>
      </c>
      <c r="G37" s="491">
        <f t="shared" si="7"/>
        <v>0</v>
      </c>
      <c r="H37" s="491">
        <f t="shared" si="7"/>
        <v>2.2677</v>
      </c>
      <c r="I37" s="491">
        <f t="shared" si="7"/>
        <v>3.4379</v>
      </c>
      <c r="J37" s="491">
        <f t="shared" si="7"/>
        <v>3.6461000000000001</v>
      </c>
      <c r="K37" s="491">
        <f t="shared" si="7"/>
        <v>3.7886000000000002</v>
      </c>
      <c r="L37" s="491">
        <f t="shared" si="7"/>
        <v>3.8428</v>
      </c>
      <c r="M37" s="491">
        <f t="shared" si="7"/>
        <v>3.8965999999999998</v>
      </c>
      <c r="N37" s="491">
        <f t="shared" si="7"/>
        <v>3.9681000000000002</v>
      </c>
      <c r="O37" s="496"/>
    </row>
    <row r="38" spans="1:15" s="83" customFormat="1" ht="15.75" customHeight="1">
      <c r="B38" s="499"/>
      <c r="C38" s="495"/>
      <c r="D38" s="84"/>
      <c r="E38" s="84"/>
      <c r="F38" s="84"/>
      <c r="G38" s="84"/>
      <c r="H38" s="84"/>
      <c r="I38" s="84"/>
      <c r="J38" s="84"/>
      <c r="K38" s="84"/>
      <c r="L38" s="494"/>
      <c r="M38" s="494"/>
      <c r="N38" s="494"/>
      <c r="O38" s="500"/>
    </row>
    <row r="39" spans="1:15" s="77" customFormat="1">
      <c r="A39" s="75"/>
      <c r="B39" s="610" t="str">
        <f>'1.  LRAMVA Summary'!B32</f>
        <v>GS 1,000 - 4,999 kW</v>
      </c>
      <c r="C39" s="888" t="str">
        <f>'2. LRAMVA Threshold'!G43</f>
        <v>kW</v>
      </c>
      <c r="D39" s="59"/>
      <c r="E39" s="59"/>
      <c r="F39" s="59"/>
      <c r="G39" s="59"/>
      <c r="H39" s="59">
        <v>3.1183999999999998</v>
      </c>
      <c r="I39" s="59">
        <v>3.1682999999999999</v>
      </c>
      <c r="J39" s="59">
        <v>3.3654000000000002</v>
      </c>
      <c r="K39" s="59">
        <v>3.4293</v>
      </c>
      <c r="L39" s="59">
        <v>3.4704999999999999</v>
      </c>
      <c r="M39" s="59">
        <v>3.5226000000000002</v>
      </c>
      <c r="N39" s="59">
        <v>3.5931000000000002</v>
      </c>
      <c r="O39" s="82"/>
    </row>
    <row r="40" spans="1:15" s="31" customFormat="1" hidden="1" outlineLevel="1">
      <c r="A40" s="17"/>
      <c r="B40" s="542" t="s">
        <v>510</v>
      </c>
      <c r="C40" s="889"/>
      <c r="D40" s="59"/>
      <c r="E40" s="59"/>
      <c r="F40" s="59"/>
      <c r="G40" s="59"/>
      <c r="H40" s="59"/>
      <c r="I40" s="59"/>
      <c r="J40" s="59"/>
      <c r="K40" s="59"/>
      <c r="L40" s="59"/>
      <c r="M40" s="59"/>
      <c r="N40" s="59"/>
      <c r="O40" s="82"/>
    </row>
    <row r="41" spans="1:15" s="31" customFormat="1" hidden="1" outlineLevel="1">
      <c r="A41" s="17"/>
      <c r="B41" s="542" t="s">
        <v>511</v>
      </c>
      <c r="C41" s="889"/>
      <c r="D41" s="59"/>
      <c r="E41" s="59"/>
      <c r="F41" s="59"/>
      <c r="G41" s="59"/>
      <c r="H41" s="59"/>
      <c r="I41" s="59"/>
      <c r="J41" s="59"/>
      <c r="K41" s="59"/>
      <c r="L41" s="59"/>
      <c r="M41" s="59"/>
      <c r="N41" s="59"/>
      <c r="O41" s="82"/>
    </row>
    <row r="42" spans="1:15" s="31" customFormat="1" hidden="1" outlineLevel="1">
      <c r="A42" s="17"/>
      <c r="B42" s="542" t="s">
        <v>489</v>
      </c>
      <c r="C42" s="889"/>
      <c r="D42" s="59"/>
      <c r="E42" s="59"/>
      <c r="F42" s="59"/>
      <c r="G42" s="59"/>
      <c r="H42" s="59"/>
      <c r="I42" s="59"/>
      <c r="J42" s="59"/>
      <c r="K42" s="59"/>
      <c r="L42" s="59"/>
      <c r="M42" s="59"/>
      <c r="N42" s="59"/>
      <c r="O42" s="82"/>
    </row>
    <row r="43" spans="1:15" s="31" customFormat="1" collapsed="1">
      <c r="A43" s="17"/>
      <c r="B43" s="542" t="s">
        <v>512</v>
      </c>
      <c r="C43" s="890"/>
      <c r="D43" s="78">
        <f>SUM(D39:D42)</f>
        <v>0</v>
      </c>
      <c r="E43" s="78">
        <f t="shared" ref="E43:N43" si="8">SUM(E39:E42)</f>
        <v>0</v>
      </c>
      <c r="F43" s="78">
        <f t="shared" si="8"/>
        <v>0</v>
      </c>
      <c r="G43" s="78">
        <f t="shared" si="8"/>
        <v>0</v>
      </c>
      <c r="H43" s="78">
        <f t="shared" si="8"/>
        <v>3.1183999999999998</v>
      </c>
      <c r="I43" s="78">
        <f t="shared" si="8"/>
        <v>3.1682999999999999</v>
      </c>
      <c r="J43" s="78">
        <f t="shared" si="8"/>
        <v>3.3654000000000002</v>
      </c>
      <c r="K43" s="78">
        <f t="shared" si="8"/>
        <v>3.4293</v>
      </c>
      <c r="L43" s="78">
        <f t="shared" si="8"/>
        <v>3.4704999999999999</v>
      </c>
      <c r="M43" s="78">
        <f t="shared" si="8"/>
        <v>3.5226000000000002</v>
      </c>
      <c r="N43" s="78">
        <f t="shared" si="8"/>
        <v>3.5931000000000002</v>
      </c>
      <c r="O43" s="89"/>
    </row>
    <row r="44" spans="1:15" s="27" customFormat="1">
      <c r="A44" s="85"/>
      <c r="B44" s="499" t="s">
        <v>513</v>
      </c>
      <c r="C44" s="495"/>
      <c r="D44" s="84"/>
      <c r="E44" s="491">
        <f t="shared" ref="E44:N44" si="9">ROUND(SUM(D43*E16+E43*E17)/12,4)</f>
        <v>0</v>
      </c>
      <c r="F44" s="491">
        <f t="shared" si="9"/>
        <v>0</v>
      </c>
      <c r="G44" s="491">
        <f t="shared" si="9"/>
        <v>0</v>
      </c>
      <c r="H44" s="491">
        <f t="shared" si="9"/>
        <v>2.0789</v>
      </c>
      <c r="I44" s="491">
        <f t="shared" si="9"/>
        <v>3.1516999999999999</v>
      </c>
      <c r="J44" s="491">
        <f t="shared" si="9"/>
        <v>3.2997000000000001</v>
      </c>
      <c r="K44" s="491">
        <f t="shared" si="9"/>
        <v>3.4079999999999999</v>
      </c>
      <c r="L44" s="491">
        <f t="shared" si="9"/>
        <v>3.4567999999999999</v>
      </c>
      <c r="M44" s="491">
        <f t="shared" si="9"/>
        <v>3.5051999999999999</v>
      </c>
      <c r="N44" s="491">
        <f t="shared" si="9"/>
        <v>3.5695999999999999</v>
      </c>
      <c r="O44" s="496"/>
    </row>
    <row r="45" spans="1:15" s="83" customFormat="1">
      <c r="A45" s="85"/>
      <c r="B45" s="499"/>
      <c r="C45" s="495"/>
      <c r="D45" s="84"/>
      <c r="E45" s="84"/>
      <c r="F45" s="84"/>
      <c r="G45" s="84"/>
      <c r="H45" s="84"/>
      <c r="I45" s="84"/>
      <c r="J45" s="84"/>
      <c r="K45" s="84"/>
      <c r="L45" s="494"/>
      <c r="M45" s="494"/>
      <c r="N45" s="494"/>
      <c r="O45" s="500"/>
    </row>
    <row r="46" spans="1:15" s="77" customFormat="1">
      <c r="A46" s="75"/>
      <c r="B46" s="610" t="str">
        <f>'1.  LRAMVA Summary'!B33</f>
        <v>USL</v>
      </c>
      <c r="C46" s="888" t="str">
        <f>'2. LRAMVA Threshold'!H43</f>
        <v>kWh</v>
      </c>
      <c r="D46" s="59"/>
      <c r="E46" s="59"/>
      <c r="F46" s="59"/>
      <c r="G46" s="59"/>
      <c r="H46" s="59">
        <v>4.4000000000000003E-3</v>
      </c>
      <c r="I46" s="59">
        <v>4.4999999999999997E-3</v>
      </c>
      <c r="J46" s="59">
        <v>5.1999999999999998E-3</v>
      </c>
      <c r="K46" s="59">
        <v>5.3E-3</v>
      </c>
      <c r="L46" s="59">
        <v>5.4000000000000003E-3</v>
      </c>
      <c r="M46" s="59">
        <v>5.4999999999999997E-3</v>
      </c>
      <c r="N46" s="59">
        <v>5.5999999999999999E-3</v>
      </c>
      <c r="O46" s="82"/>
    </row>
    <row r="47" spans="1:15" s="31" customFormat="1" hidden="1" outlineLevel="1">
      <c r="A47" s="17"/>
      <c r="B47" s="542" t="s">
        <v>510</v>
      </c>
      <c r="C47" s="889"/>
      <c r="D47" s="59"/>
      <c r="E47" s="59"/>
      <c r="F47" s="59"/>
      <c r="G47" s="59"/>
      <c r="H47" s="59"/>
      <c r="I47" s="59"/>
      <c r="J47" s="59"/>
      <c r="K47" s="59"/>
      <c r="L47" s="59"/>
      <c r="M47" s="59"/>
      <c r="N47" s="59"/>
      <c r="O47" s="82"/>
    </row>
    <row r="48" spans="1:15" s="31" customFormat="1" hidden="1" outlineLevel="1">
      <c r="A48" s="17"/>
      <c r="B48" s="542" t="s">
        <v>511</v>
      </c>
      <c r="C48" s="889"/>
      <c r="D48" s="59"/>
      <c r="E48" s="59"/>
      <c r="F48" s="59"/>
      <c r="G48" s="59"/>
      <c r="H48" s="59"/>
      <c r="I48" s="59"/>
      <c r="J48" s="59"/>
      <c r="K48" s="59"/>
      <c r="L48" s="59"/>
      <c r="M48" s="59"/>
      <c r="N48" s="59"/>
      <c r="O48" s="82"/>
    </row>
    <row r="49" spans="1:15" s="31" customFormat="1" hidden="1" outlineLevel="1">
      <c r="A49" s="17"/>
      <c r="B49" s="542" t="s">
        <v>489</v>
      </c>
      <c r="C49" s="889"/>
      <c r="D49" s="59"/>
      <c r="E49" s="59"/>
      <c r="F49" s="59"/>
      <c r="G49" s="59"/>
      <c r="H49" s="59"/>
      <c r="I49" s="59"/>
      <c r="J49" s="59"/>
      <c r="K49" s="59"/>
      <c r="L49" s="59"/>
      <c r="M49" s="59"/>
      <c r="N49" s="59"/>
      <c r="O49" s="82"/>
    </row>
    <row r="50" spans="1:15" s="31" customFormat="1" collapsed="1">
      <c r="A50" s="17"/>
      <c r="B50" s="542" t="s">
        <v>512</v>
      </c>
      <c r="C50" s="890"/>
      <c r="D50" s="78">
        <f>SUM(D46:D49)</f>
        <v>0</v>
      </c>
      <c r="E50" s="78">
        <f t="shared" ref="E50:N50" si="10">SUM(E46:E49)</f>
        <v>0</v>
      </c>
      <c r="F50" s="78">
        <f t="shared" si="10"/>
        <v>0</v>
      </c>
      <c r="G50" s="78">
        <f t="shared" si="10"/>
        <v>0</v>
      </c>
      <c r="H50" s="78">
        <f t="shared" si="10"/>
        <v>4.4000000000000003E-3</v>
      </c>
      <c r="I50" s="78">
        <f t="shared" si="10"/>
        <v>4.4999999999999997E-3</v>
      </c>
      <c r="J50" s="78">
        <f t="shared" si="10"/>
        <v>5.1999999999999998E-3</v>
      </c>
      <c r="K50" s="78">
        <f t="shared" si="10"/>
        <v>5.3E-3</v>
      </c>
      <c r="L50" s="78">
        <f t="shared" si="10"/>
        <v>5.4000000000000003E-3</v>
      </c>
      <c r="M50" s="78">
        <f t="shared" si="10"/>
        <v>5.4999999999999997E-3</v>
      </c>
      <c r="N50" s="78">
        <f t="shared" si="10"/>
        <v>5.5999999999999999E-3</v>
      </c>
      <c r="O50" s="89"/>
    </row>
    <row r="51" spans="1:15" s="27" customFormat="1">
      <c r="A51" s="85"/>
      <c r="B51" s="499" t="s">
        <v>513</v>
      </c>
      <c r="C51" s="495"/>
      <c r="D51" s="84"/>
      <c r="E51" s="491">
        <f t="shared" ref="E51:N51" si="11">ROUND(SUM(D50*E16+E50*E17)/12,4)</f>
        <v>0</v>
      </c>
      <c r="F51" s="491">
        <f t="shared" si="11"/>
        <v>0</v>
      </c>
      <c r="G51" s="491">
        <f t="shared" si="11"/>
        <v>0</v>
      </c>
      <c r="H51" s="491">
        <f t="shared" si="11"/>
        <v>2.8999999999999998E-3</v>
      </c>
      <c r="I51" s="491">
        <f t="shared" si="11"/>
        <v>4.4999999999999997E-3</v>
      </c>
      <c r="J51" s="491">
        <f t="shared" si="11"/>
        <v>5.0000000000000001E-3</v>
      </c>
      <c r="K51" s="491">
        <f t="shared" si="11"/>
        <v>5.3E-3</v>
      </c>
      <c r="L51" s="491">
        <f t="shared" si="11"/>
        <v>5.4000000000000003E-3</v>
      </c>
      <c r="M51" s="491">
        <f t="shared" si="11"/>
        <v>5.4999999999999997E-3</v>
      </c>
      <c r="N51" s="491">
        <f t="shared" si="11"/>
        <v>5.5999999999999999E-3</v>
      </c>
      <c r="O51" s="496"/>
    </row>
    <row r="52" spans="1:15" s="83" customFormat="1">
      <c r="A52" s="85"/>
      <c r="B52" s="499"/>
      <c r="C52" s="495"/>
      <c r="D52" s="84"/>
      <c r="E52" s="84"/>
      <c r="F52" s="84"/>
      <c r="G52" s="84"/>
      <c r="H52" s="84"/>
      <c r="I52" s="84"/>
      <c r="J52" s="84"/>
      <c r="K52" s="84"/>
      <c r="L52" s="501"/>
      <c r="M52" s="501"/>
      <c r="N52" s="501"/>
      <c r="O52" s="500"/>
    </row>
    <row r="53" spans="1:15" s="77" customFormat="1">
      <c r="A53" s="75"/>
      <c r="B53" s="610" t="str">
        <f>'1.  LRAMVA Summary'!B34</f>
        <v>Sentinel Lighting</v>
      </c>
      <c r="C53" s="888" t="str">
        <f>'2. LRAMVA Threshold'!I43</f>
        <v>kW</v>
      </c>
      <c r="D53" s="59"/>
      <c r="E53" s="59"/>
      <c r="F53" s="59"/>
      <c r="G53" s="59"/>
      <c r="H53" s="59">
        <v>18.8596</v>
      </c>
      <c r="I53" s="59">
        <v>19.1614</v>
      </c>
      <c r="J53" s="59">
        <v>34.817700000000002</v>
      </c>
      <c r="K53" s="59">
        <v>35.479199999999999</v>
      </c>
      <c r="L53" s="59">
        <v>35.905000000000001</v>
      </c>
      <c r="M53" s="59">
        <v>36.443600000000004</v>
      </c>
      <c r="N53" s="59">
        <v>37.172499999999999</v>
      </c>
      <c r="O53" s="82"/>
    </row>
    <row r="54" spans="1:15" s="31" customFormat="1" hidden="1" outlineLevel="1">
      <c r="A54" s="17"/>
      <c r="B54" s="542" t="s">
        <v>510</v>
      </c>
      <c r="C54" s="889"/>
      <c r="D54" s="59"/>
      <c r="E54" s="59"/>
      <c r="F54" s="59"/>
      <c r="G54" s="59"/>
      <c r="H54" s="59"/>
      <c r="I54" s="59"/>
      <c r="J54" s="59"/>
      <c r="K54" s="59"/>
      <c r="L54" s="59"/>
      <c r="M54" s="59"/>
      <c r="N54" s="59"/>
      <c r="O54" s="82"/>
    </row>
    <row r="55" spans="1:15" s="31" customFormat="1" hidden="1" outlineLevel="1">
      <c r="A55" s="17"/>
      <c r="B55" s="542" t="s">
        <v>511</v>
      </c>
      <c r="C55" s="889"/>
      <c r="D55" s="59"/>
      <c r="E55" s="59"/>
      <c r="F55" s="59"/>
      <c r="G55" s="59"/>
      <c r="H55" s="59"/>
      <c r="I55" s="59"/>
      <c r="J55" s="59"/>
      <c r="K55" s="59"/>
      <c r="L55" s="59"/>
      <c r="M55" s="59"/>
      <c r="N55" s="59"/>
      <c r="O55" s="82"/>
    </row>
    <row r="56" spans="1:15" s="31" customFormat="1" hidden="1" outlineLevel="1">
      <c r="A56" s="17"/>
      <c r="B56" s="542" t="s">
        <v>489</v>
      </c>
      <c r="C56" s="889"/>
      <c r="D56" s="59"/>
      <c r="E56" s="59"/>
      <c r="F56" s="59"/>
      <c r="G56" s="59"/>
      <c r="H56" s="59"/>
      <c r="I56" s="59"/>
      <c r="J56" s="59"/>
      <c r="K56" s="59"/>
      <c r="L56" s="59"/>
      <c r="M56" s="59"/>
      <c r="N56" s="59"/>
      <c r="O56" s="82"/>
    </row>
    <row r="57" spans="1:15" s="31" customFormat="1" collapsed="1">
      <c r="A57" s="17"/>
      <c r="B57" s="542" t="s">
        <v>512</v>
      </c>
      <c r="C57" s="890"/>
      <c r="D57" s="78">
        <f>SUM(D53:D56)</f>
        <v>0</v>
      </c>
      <c r="E57" s="78">
        <f t="shared" ref="E57:N57" si="12">SUM(E53:E56)</f>
        <v>0</v>
      </c>
      <c r="F57" s="78">
        <f t="shared" si="12"/>
        <v>0</v>
      </c>
      <c r="G57" s="78">
        <f t="shared" si="12"/>
        <v>0</v>
      </c>
      <c r="H57" s="78">
        <f t="shared" si="12"/>
        <v>18.8596</v>
      </c>
      <c r="I57" s="78">
        <f t="shared" si="12"/>
        <v>19.1614</v>
      </c>
      <c r="J57" s="78">
        <f t="shared" si="12"/>
        <v>34.817700000000002</v>
      </c>
      <c r="K57" s="78">
        <f t="shared" si="12"/>
        <v>35.479199999999999</v>
      </c>
      <c r="L57" s="78">
        <f t="shared" si="12"/>
        <v>35.905000000000001</v>
      </c>
      <c r="M57" s="78">
        <f t="shared" si="12"/>
        <v>36.443600000000004</v>
      </c>
      <c r="N57" s="78">
        <f t="shared" si="12"/>
        <v>37.172499999999999</v>
      </c>
      <c r="O57" s="90"/>
    </row>
    <row r="58" spans="1:15" s="27" customFormat="1">
      <c r="A58" s="85"/>
      <c r="B58" s="499" t="s">
        <v>513</v>
      </c>
      <c r="C58" s="495"/>
      <c r="D58" s="84"/>
      <c r="E58" s="491">
        <f t="shared" ref="E58:N58" si="13">ROUND(SUM(D57*E16+E57*E17)/12,4)</f>
        <v>0</v>
      </c>
      <c r="F58" s="491">
        <f t="shared" si="13"/>
        <v>0</v>
      </c>
      <c r="G58" s="491">
        <f t="shared" si="13"/>
        <v>0</v>
      </c>
      <c r="H58" s="491">
        <f t="shared" si="13"/>
        <v>12.5731</v>
      </c>
      <c r="I58" s="491">
        <f t="shared" si="13"/>
        <v>19.0608</v>
      </c>
      <c r="J58" s="491">
        <f t="shared" si="13"/>
        <v>29.5989</v>
      </c>
      <c r="K58" s="491">
        <f t="shared" si="13"/>
        <v>35.258699999999997</v>
      </c>
      <c r="L58" s="491">
        <f t="shared" si="13"/>
        <v>35.763100000000001</v>
      </c>
      <c r="M58" s="491">
        <f t="shared" si="13"/>
        <v>36.264099999999999</v>
      </c>
      <c r="N58" s="491">
        <f t="shared" si="13"/>
        <v>36.929499999999997</v>
      </c>
      <c r="O58" s="496"/>
    </row>
    <row r="59" spans="1:15" s="83" customFormat="1">
      <c r="A59" s="85"/>
      <c r="B59" s="499"/>
      <c r="C59" s="495"/>
      <c r="D59" s="84"/>
      <c r="E59" s="84"/>
      <c r="F59" s="84"/>
      <c r="G59" s="84"/>
      <c r="H59" s="84"/>
      <c r="I59" s="84"/>
      <c r="J59" s="84"/>
      <c r="K59" s="84"/>
      <c r="L59" s="501"/>
      <c r="M59" s="501"/>
      <c r="N59" s="501"/>
      <c r="O59" s="500"/>
    </row>
    <row r="60" spans="1:15" s="77" customFormat="1">
      <c r="A60" s="75"/>
      <c r="B60" s="610" t="str">
        <f>'1.  LRAMVA Summary'!B35</f>
        <v>Street Lighting</v>
      </c>
      <c r="C60" s="888" t="str">
        <f>'2. LRAMVA Threshold'!J43</f>
        <v>kW</v>
      </c>
      <c r="D60" s="59"/>
      <c r="E60" s="59"/>
      <c r="F60" s="59"/>
      <c r="G60" s="59"/>
      <c r="H60" s="59">
        <v>29.587399999999999</v>
      </c>
      <c r="I60" s="59">
        <v>30.0608</v>
      </c>
      <c r="J60" s="59">
        <v>1.5053000000000001</v>
      </c>
      <c r="K60" s="59">
        <v>1.5339</v>
      </c>
      <c r="L60" s="59">
        <v>1.5523</v>
      </c>
      <c r="M60" s="59">
        <v>1.5755999999999999</v>
      </c>
      <c r="N60" s="59">
        <v>1.6071</v>
      </c>
      <c r="O60" s="82"/>
    </row>
    <row r="61" spans="1:15" s="31" customFormat="1" hidden="1" outlineLevel="1">
      <c r="A61" s="17"/>
      <c r="B61" s="542" t="s">
        <v>510</v>
      </c>
      <c r="C61" s="889"/>
      <c r="D61" s="59"/>
      <c r="E61" s="59"/>
      <c r="F61" s="59"/>
      <c r="G61" s="59"/>
      <c r="H61" s="59"/>
      <c r="I61" s="59"/>
      <c r="J61" s="59"/>
      <c r="K61" s="59"/>
      <c r="L61" s="59"/>
      <c r="M61" s="59"/>
      <c r="N61" s="59"/>
      <c r="O61" s="82"/>
    </row>
    <row r="62" spans="1:15" s="31" customFormat="1" hidden="1" outlineLevel="1">
      <c r="A62" s="17"/>
      <c r="B62" s="542" t="s">
        <v>511</v>
      </c>
      <c r="C62" s="889"/>
      <c r="D62" s="59"/>
      <c r="E62" s="59"/>
      <c r="F62" s="59"/>
      <c r="G62" s="59"/>
      <c r="H62" s="59"/>
      <c r="I62" s="59"/>
      <c r="J62" s="59"/>
      <c r="K62" s="59"/>
      <c r="L62" s="59"/>
      <c r="M62" s="59"/>
      <c r="N62" s="59"/>
      <c r="O62" s="82"/>
    </row>
    <row r="63" spans="1:15" s="31" customFormat="1" hidden="1" outlineLevel="1">
      <c r="A63" s="17"/>
      <c r="B63" s="542" t="s">
        <v>489</v>
      </c>
      <c r="C63" s="889"/>
      <c r="D63" s="59"/>
      <c r="E63" s="59"/>
      <c r="F63" s="59"/>
      <c r="G63" s="59"/>
      <c r="H63" s="59"/>
      <c r="I63" s="59"/>
      <c r="J63" s="59"/>
      <c r="K63" s="59"/>
      <c r="L63" s="59"/>
      <c r="M63" s="59"/>
      <c r="N63" s="59"/>
      <c r="O63" s="82"/>
    </row>
    <row r="64" spans="1:15" s="31" customFormat="1" collapsed="1">
      <c r="A64" s="17"/>
      <c r="B64" s="542" t="s">
        <v>512</v>
      </c>
      <c r="C64" s="890"/>
      <c r="D64" s="78">
        <f>SUM(D60:D63)</f>
        <v>0</v>
      </c>
      <c r="E64" s="78">
        <f t="shared" ref="E64:N64" si="14">SUM(E60:E63)</f>
        <v>0</v>
      </c>
      <c r="F64" s="78">
        <f t="shared" si="14"/>
        <v>0</v>
      </c>
      <c r="G64" s="78">
        <f t="shared" si="14"/>
        <v>0</v>
      </c>
      <c r="H64" s="78">
        <f t="shared" si="14"/>
        <v>29.587399999999999</v>
      </c>
      <c r="I64" s="78">
        <f t="shared" si="14"/>
        <v>30.0608</v>
      </c>
      <c r="J64" s="78">
        <f t="shared" si="14"/>
        <v>1.5053000000000001</v>
      </c>
      <c r="K64" s="78">
        <f t="shared" si="14"/>
        <v>1.5339</v>
      </c>
      <c r="L64" s="78">
        <f t="shared" si="14"/>
        <v>1.5523</v>
      </c>
      <c r="M64" s="78">
        <f t="shared" si="14"/>
        <v>1.5755999999999999</v>
      </c>
      <c r="N64" s="78">
        <f t="shared" si="14"/>
        <v>1.6071</v>
      </c>
      <c r="O64" s="90"/>
    </row>
    <row r="65" spans="1:15" s="27" customFormat="1">
      <c r="A65" s="85"/>
      <c r="B65" s="499" t="s">
        <v>513</v>
      </c>
      <c r="C65" s="495"/>
      <c r="D65" s="84"/>
      <c r="E65" s="491">
        <f t="shared" ref="E65:N65" si="15">ROUND(SUM(D64*E16+E64*E17)/12,4)</f>
        <v>0</v>
      </c>
      <c r="F65" s="491">
        <f t="shared" si="15"/>
        <v>0</v>
      </c>
      <c r="G65" s="491">
        <f t="shared" si="15"/>
        <v>0</v>
      </c>
      <c r="H65" s="491">
        <f t="shared" si="15"/>
        <v>19.724900000000002</v>
      </c>
      <c r="I65" s="491">
        <f>ROUND(SUM(H64*I16+I64*I17)/12,4)</f>
        <v>29.902999999999999</v>
      </c>
      <c r="J65" s="491">
        <f t="shared" si="15"/>
        <v>11.0238</v>
      </c>
      <c r="K65" s="491">
        <f t="shared" si="15"/>
        <v>1.5244</v>
      </c>
      <c r="L65" s="491">
        <f t="shared" si="15"/>
        <v>1.5462</v>
      </c>
      <c r="M65" s="491">
        <f t="shared" si="15"/>
        <v>1.5678000000000001</v>
      </c>
      <c r="N65" s="491">
        <f t="shared" si="15"/>
        <v>1.5966</v>
      </c>
      <c r="O65" s="496"/>
    </row>
    <row r="66" spans="1:15" s="27" customFormat="1">
      <c r="A66" s="85"/>
      <c r="B66" s="86"/>
      <c r="C66" s="93"/>
      <c r="D66" s="84"/>
      <c r="E66" s="84"/>
      <c r="F66" s="84"/>
      <c r="G66" s="84"/>
      <c r="H66" s="84"/>
      <c r="I66" s="84"/>
      <c r="J66" s="84"/>
      <c r="K66" s="84"/>
      <c r="L66" s="494"/>
      <c r="M66" s="494"/>
      <c r="N66" s="494"/>
      <c r="O66" s="496"/>
    </row>
    <row r="67" spans="1:15" s="77" customFormat="1">
      <c r="A67" s="75"/>
      <c r="B67" s="610">
        <f>'1.  LRAMVA Summary'!B36</f>
        <v>0</v>
      </c>
      <c r="C67" s="888">
        <f>'2. LRAMVA Threshold'!K43</f>
        <v>0</v>
      </c>
      <c r="D67" s="59"/>
      <c r="E67" s="59"/>
      <c r="F67" s="59"/>
      <c r="G67" s="59"/>
      <c r="H67" s="59"/>
      <c r="I67" s="59"/>
      <c r="J67" s="59"/>
      <c r="K67" s="59"/>
      <c r="L67" s="59"/>
      <c r="M67" s="59"/>
      <c r="N67" s="59"/>
      <c r="O67" s="82"/>
    </row>
    <row r="68" spans="1:15" s="31" customFormat="1" hidden="1" outlineLevel="1">
      <c r="A68" s="17"/>
      <c r="B68" s="542" t="s">
        <v>510</v>
      </c>
      <c r="C68" s="889"/>
      <c r="D68" s="59"/>
      <c r="E68" s="59"/>
      <c r="F68" s="59"/>
      <c r="G68" s="59"/>
      <c r="H68" s="59"/>
      <c r="I68" s="59"/>
      <c r="J68" s="59"/>
      <c r="K68" s="59"/>
      <c r="L68" s="59"/>
      <c r="M68" s="59"/>
      <c r="N68" s="59"/>
      <c r="O68" s="82"/>
    </row>
    <row r="69" spans="1:15" s="31" customFormat="1" hidden="1" outlineLevel="1">
      <c r="A69" s="17"/>
      <c r="B69" s="542" t="s">
        <v>511</v>
      </c>
      <c r="C69" s="889"/>
      <c r="D69" s="59"/>
      <c r="E69" s="59"/>
      <c r="F69" s="59"/>
      <c r="G69" s="59"/>
      <c r="H69" s="59"/>
      <c r="I69" s="59"/>
      <c r="J69" s="59"/>
      <c r="K69" s="59"/>
      <c r="L69" s="59"/>
      <c r="M69" s="59"/>
      <c r="N69" s="59"/>
      <c r="O69" s="82"/>
    </row>
    <row r="70" spans="1:15" s="31" customFormat="1" hidden="1" outlineLevel="1">
      <c r="A70" s="17"/>
      <c r="B70" s="542" t="s">
        <v>489</v>
      </c>
      <c r="C70" s="889"/>
      <c r="D70" s="59"/>
      <c r="E70" s="59"/>
      <c r="F70" s="59"/>
      <c r="G70" s="59"/>
      <c r="H70" s="59"/>
      <c r="I70" s="59"/>
      <c r="J70" s="59"/>
      <c r="K70" s="59"/>
      <c r="L70" s="59"/>
      <c r="M70" s="59"/>
      <c r="N70" s="59"/>
      <c r="O70" s="82"/>
    </row>
    <row r="71" spans="1:15" s="31" customFormat="1" collapsed="1">
      <c r="A71" s="17"/>
      <c r="B71" s="542" t="s">
        <v>512</v>
      </c>
      <c r="C71" s="890"/>
      <c r="D71" s="78">
        <f>SUM(D67:D70)</f>
        <v>0</v>
      </c>
      <c r="E71" s="78">
        <f t="shared" ref="E71:N71" si="16">SUM(E67:E70)</f>
        <v>0</v>
      </c>
      <c r="F71" s="78">
        <f>SUM(F67:F70)</f>
        <v>0</v>
      </c>
      <c r="G71" s="78">
        <f t="shared" si="16"/>
        <v>0</v>
      </c>
      <c r="H71" s="78">
        <f t="shared" si="16"/>
        <v>0</v>
      </c>
      <c r="I71" s="78">
        <f t="shared" si="16"/>
        <v>0</v>
      </c>
      <c r="J71" s="78">
        <f t="shared" si="16"/>
        <v>0</v>
      </c>
      <c r="K71" s="78">
        <f t="shared" si="16"/>
        <v>0</v>
      </c>
      <c r="L71" s="78">
        <f t="shared" si="16"/>
        <v>0</v>
      </c>
      <c r="M71" s="78">
        <f t="shared" si="16"/>
        <v>0</v>
      </c>
      <c r="N71" s="78">
        <f t="shared" si="16"/>
        <v>0</v>
      </c>
      <c r="O71" s="90"/>
    </row>
    <row r="72" spans="1:15" s="27" customFormat="1">
      <c r="A72" s="85"/>
      <c r="B72" s="499" t="s">
        <v>513</v>
      </c>
      <c r="C72" s="495"/>
      <c r="D72" s="84"/>
      <c r="E72" s="491">
        <f t="shared" ref="E72:N72" si="17">ROUND(SUM(D71*E16+E71*E17)/12,4)</f>
        <v>0</v>
      </c>
      <c r="F72" s="491">
        <f t="shared" si="17"/>
        <v>0</v>
      </c>
      <c r="G72" s="491">
        <f t="shared" si="17"/>
        <v>0</v>
      </c>
      <c r="H72" s="491">
        <f t="shared" si="17"/>
        <v>0</v>
      </c>
      <c r="I72" s="491">
        <f t="shared" si="17"/>
        <v>0</v>
      </c>
      <c r="J72" s="491">
        <f t="shared" si="17"/>
        <v>0</v>
      </c>
      <c r="K72" s="491">
        <f t="shared" si="17"/>
        <v>0</v>
      </c>
      <c r="L72" s="491">
        <f t="shared" si="17"/>
        <v>0</v>
      </c>
      <c r="M72" s="491">
        <f t="shared" si="17"/>
        <v>0</v>
      </c>
      <c r="N72" s="491">
        <f t="shared" si="17"/>
        <v>0</v>
      </c>
      <c r="O72" s="496"/>
    </row>
    <row r="73" spans="1:15" s="27" customFormat="1">
      <c r="A73" s="85"/>
      <c r="B73" s="488"/>
      <c r="C73" s="495"/>
      <c r="D73" s="84"/>
      <c r="E73" s="491"/>
      <c r="F73" s="491"/>
      <c r="G73" s="491"/>
      <c r="H73" s="491"/>
      <c r="I73" s="491"/>
      <c r="J73" s="491"/>
      <c r="K73" s="491"/>
      <c r="L73" s="491"/>
      <c r="M73" s="491"/>
      <c r="N73" s="491"/>
      <c r="O73" s="496"/>
    </row>
    <row r="74" spans="1:15" s="77" customFormat="1">
      <c r="A74" s="75"/>
      <c r="B74" s="610">
        <f>'1.  LRAMVA Summary'!B37</f>
        <v>0</v>
      </c>
      <c r="C74" s="888">
        <f>'2. LRAMVA Threshold'!L43</f>
        <v>0</v>
      </c>
      <c r="D74" s="59"/>
      <c r="E74" s="59"/>
      <c r="F74" s="59"/>
      <c r="G74" s="59"/>
      <c r="H74" s="59"/>
      <c r="I74" s="59"/>
      <c r="J74" s="59"/>
      <c r="K74" s="59"/>
      <c r="L74" s="59"/>
      <c r="M74" s="59"/>
      <c r="N74" s="59"/>
      <c r="O74" s="82"/>
    </row>
    <row r="75" spans="1:15" s="31" customFormat="1" hidden="1" outlineLevel="1">
      <c r="A75" s="17"/>
      <c r="B75" s="542" t="s">
        <v>510</v>
      </c>
      <c r="C75" s="889"/>
      <c r="D75" s="59"/>
      <c r="E75" s="59"/>
      <c r="F75" s="59"/>
      <c r="G75" s="59"/>
      <c r="H75" s="59"/>
      <c r="I75" s="59"/>
      <c r="J75" s="59"/>
      <c r="K75" s="59"/>
      <c r="L75" s="59"/>
      <c r="M75" s="59"/>
      <c r="N75" s="59"/>
      <c r="O75" s="82"/>
    </row>
    <row r="76" spans="1:15" s="31" customFormat="1" hidden="1" outlineLevel="1">
      <c r="A76" s="17"/>
      <c r="B76" s="542" t="s">
        <v>511</v>
      </c>
      <c r="C76" s="889"/>
      <c r="D76" s="59"/>
      <c r="E76" s="59"/>
      <c r="F76" s="59"/>
      <c r="G76" s="59"/>
      <c r="H76" s="59"/>
      <c r="I76" s="59"/>
      <c r="J76" s="59"/>
      <c r="K76" s="59"/>
      <c r="L76" s="59"/>
      <c r="M76" s="59"/>
      <c r="N76" s="59"/>
      <c r="O76" s="82"/>
    </row>
    <row r="77" spans="1:15" s="31" customFormat="1" hidden="1" outlineLevel="1">
      <c r="A77" s="17"/>
      <c r="B77" s="542" t="s">
        <v>489</v>
      </c>
      <c r="C77" s="889"/>
      <c r="D77" s="59"/>
      <c r="E77" s="59"/>
      <c r="F77" s="59"/>
      <c r="G77" s="59"/>
      <c r="H77" s="59"/>
      <c r="I77" s="59"/>
      <c r="J77" s="59"/>
      <c r="K77" s="59"/>
      <c r="L77" s="59"/>
      <c r="M77" s="59"/>
      <c r="N77" s="59"/>
      <c r="O77" s="82"/>
    </row>
    <row r="78" spans="1:15" s="31" customFormat="1" collapsed="1">
      <c r="A78" s="17"/>
      <c r="B78" s="542" t="s">
        <v>512</v>
      </c>
      <c r="C78" s="890"/>
      <c r="D78" s="78">
        <f>SUM(D74:D77)</f>
        <v>0</v>
      </c>
      <c r="E78" s="78">
        <f>SUM(E74:E77)</f>
        <v>0</v>
      </c>
      <c r="F78" s="78">
        <f t="shared" ref="F78:N78" si="18">SUM(F74:F77)</f>
        <v>0</v>
      </c>
      <c r="G78" s="78">
        <f t="shared" si="18"/>
        <v>0</v>
      </c>
      <c r="H78" s="78">
        <f t="shared" si="18"/>
        <v>0</v>
      </c>
      <c r="I78" s="78">
        <f t="shared" si="18"/>
        <v>0</v>
      </c>
      <c r="J78" s="78">
        <f t="shared" si="18"/>
        <v>0</v>
      </c>
      <c r="K78" s="78">
        <f t="shared" si="18"/>
        <v>0</v>
      </c>
      <c r="L78" s="78">
        <f t="shared" si="18"/>
        <v>0</v>
      </c>
      <c r="M78" s="78">
        <f t="shared" si="18"/>
        <v>0</v>
      </c>
      <c r="N78" s="78">
        <f t="shared" si="18"/>
        <v>0</v>
      </c>
      <c r="O78" s="90"/>
    </row>
    <row r="79" spans="1:15" s="27" customFormat="1">
      <c r="A79" s="85"/>
      <c r="B79" s="499" t="s">
        <v>513</v>
      </c>
      <c r="C79" s="495"/>
      <c r="D79" s="84"/>
      <c r="E79" s="491">
        <f t="shared" ref="E79:N79" si="19">ROUND(SUM(D78*E16+E78*E17)/12,4)</f>
        <v>0</v>
      </c>
      <c r="F79" s="491">
        <f t="shared" si="19"/>
        <v>0</v>
      </c>
      <c r="G79" s="491">
        <f t="shared" si="19"/>
        <v>0</v>
      </c>
      <c r="H79" s="491">
        <f t="shared" si="19"/>
        <v>0</v>
      </c>
      <c r="I79" s="491">
        <f t="shared" si="19"/>
        <v>0</v>
      </c>
      <c r="J79" s="491">
        <f t="shared" si="19"/>
        <v>0</v>
      </c>
      <c r="K79" s="491">
        <f t="shared" si="19"/>
        <v>0</v>
      </c>
      <c r="L79" s="491">
        <f t="shared" si="19"/>
        <v>0</v>
      </c>
      <c r="M79" s="491">
        <f t="shared" si="19"/>
        <v>0</v>
      </c>
      <c r="N79" s="491">
        <f t="shared" si="19"/>
        <v>0</v>
      </c>
      <c r="O79" s="496"/>
    </row>
    <row r="80" spans="1:15" s="27" customFormat="1">
      <c r="A80" s="85"/>
      <c r="B80" s="488"/>
      <c r="C80" s="495"/>
      <c r="D80" s="84"/>
      <c r="E80" s="491"/>
      <c r="F80" s="491"/>
      <c r="G80" s="491"/>
      <c r="H80" s="491"/>
      <c r="I80" s="491"/>
      <c r="J80" s="491"/>
      <c r="K80" s="491"/>
      <c r="L80" s="491"/>
      <c r="M80" s="491"/>
      <c r="N80" s="491"/>
      <c r="O80" s="496"/>
    </row>
    <row r="81" spans="1:15" s="77" customFormat="1">
      <c r="A81" s="75"/>
      <c r="B81" s="610">
        <f>'1.  LRAMVA Summary'!B38</f>
        <v>0</v>
      </c>
      <c r="C81" s="888">
        <f>'2. LRAMVA Threshold'!M43</f>
        <v>0</v>
      </c>
      <c r="D81" s="59"/>
      <c r="E81" s="59"/>
      <c r="F81" s="59"/>
      <c r="G81" s="59"/>
      <c r="H81" s="59"/>
      <c r="I81" s="59"/>
      <c r="J81" s="59"/>
      <c r="K81" s="59"/>
      <c r="L81" s="59"/>
      <c r="M81" s="59"/>
      <c r="N81" s="59"/>
      <c r="O81" s="82"/>
    </row>
    <row r="82" spans="1:15" s="31" customFormat="1" hidden="1" outlineLevel="1">
      <c r="A82" s="17"/>
      <c r="B82" s="542" t="s">
        <v>510</v>
      </c>
      <c r="C82" s="889"/>
      <c r="D82" s="59"/>
      <c r="E82" s="59"/>
      <c r="F82" s="59"/>
      <c r="G82" s="59"/>
      <c r="H82" s="59"/>
      <c r="I82" s="59"/>
      <c r="J82" s="59"/>
      <c r="K82" s="59"/>
      <c r="L82" s="59"/>
      <c r="M82" s="59"/>
      <c r="N82" s="59"/>
      <c r="O82" s="82"/>
    </row>
    <row r="83" spans="1:15" s="31" customFormat="1" hidden="1" outlineLevel="1">
      <c r="A83" s="17"/>
      <c r="B83" s="542" t="s">
        <v>511</v>
      </c>
      <c r="C83" s="889"/>
      <c r="D83" s="59"/>
      <c r="E83" s="59"/>
      <c r="F83" s="59"/>
      <c r="G83" s="59"/>
      <c r="H83" s="59"/>
      <c r="I83" s="59"/>
      <c r="J83" s="59"/>
      <c r="K83" s="59"/>
      <c r="L83" s="59"/>
      <c r="M83" s="59"/>
      <c r="N83" s="59"/>
      <c r="O83" s="82"/>
    </row>
    <row r="84" spans="1:15" s="31" customFormat="1" hidden="1" outlineLevel="1">
      <c r="A84" s="17"/>
      <c r="B84" s="542" t="s">
        <v>489</v>
      </c>
      <c r="C84" s="889"/>
      <c r="D84" s="59"/>
      <c r="E84" s="59"/>
      <c r="F84" s="59"/>
      <c r="G84" s="59"/>
      <c r="H84" s="59"/>
      <c r="I84" s="59"/>
      <c r="J84" s="59"/>
      <c r="K84" s="59"/>
      <c r="L84" s="59"/>
      <c r="M84" s="59"/>
      <c r="N84" s="59"/>
      <c r="O84" s="82"/>
    </row>
    <row r="85" spans="1:15" s="31" customFormat="1" collapsed="1">
      <c r="A85" s="17"/>
      <c r="B85" s="542" t="s">
        <v>512</v>
      </c>
      <c r="C85" s="890"/>
      <c r="D85" s="78">
        <f>SUM(D81:D84)</f>
        <v>0</v>
      </c>
      <c r="E85" s="78">
        <f>SUM(E81:E84)</f>
        <v>0</v>
      </c>
      <c r="F85" s="78">
        <f t="shared" ref="F85:N85" si="20">SUM(F81:F84)</f>
        <v>0</v>
      </c>
      <c r="G85" s="78">
        <f t="shared" si="20"/>
        <v>0</v>
      </c>
      <c r="H85" s="78">
        <f t="shared" si="20"/>
        <v>0</v>
      </c>
      <c r="I85" s="78">
        <f t="shared" si="20"/>
        <v>0</v>
      </c>
      <c r="J85" s="78">
        <f t="shared" si="20"/>
        <v>0</v>
      </c>
      <c r="K85" s="78">
        <f t="shared" si="20"/>
        <v>0</v>
      </c>
      <c r="L85" s="78">
        <f t="shared" si="20"/>
        <v>0</v>
      </c>
      <c r="M85" s="78">
        <f t="shared" si="20"/>
        <v>0</v>
      </c>
      <c r="N85" s="78">
        <f t="shared" si="20"/>
        <v>0</v>
      </c>
      <c r="O85" s="90"/>
    </row>
    <row r="86" spans="1:15" s="27" customFormat="1">
      <c r="A86" s="85"/>
      <c r="B86" s="499" t="s">
        <v>513</v>
      </c>
      <c r="C86" s="495"/>
      <c r="D86" s="84"/>
      <c r="E86" s="491">
        <f t="shared" ref="E86:N86" si="21">ROUND(SUM(D85*E16+E85*E17)/12,4)</f>
        <v>0</v>
      </c>
      <c r="F86" s="491">
        <f t="shared" si="21"/>
        <v>0</v>
      </c>
      <c r="G86" s="491">
        <f t="shared" si="21"/>
        <v>0</v>
      </c>
      <c r="H86" s="491">
        <f t="shared" si="21"/>
        <v>0</v>
      </c>
      <c r="I86" s="491">
        <f t="shared" si="21"/>
        <v>0</v>
      </c>
      <c r="J86" s="491">
        <f t="shared" si="21"/>
        <v>0</v>
      </c>
      <c r="K86" s="491">
        <f t="shared" si="21"/>
        <v>0</v>
      </c>
      <c r="L86" s="491">
        <f t="shared" si="21"/>
        <v>0</v>
      </c>
      <c r="M86" s="491">
        <f t="shared" si="21"/>
        <v>0</v>
      </c>
      <c r="N86" s="491">
        <f t="shared" si="21"/>
        <v>0</v>
      </c>
      <c r="O86" s="496"/>
    </row>
    <row r="87" spans="1:15" s="27" customFormat="1">
      <c r="A87" s="85"/>
      <c r="B87" s="488"/>
      <c r="C87" s="495"/>
      <c r="D87" s="84"/>
      <c r="E87" s="491"/>
      <c r="F87" s="491"/>
      <c r="G87" s="491"/>
      <c r="H87" s="491"/>
      <c r="I87" s="491"/>
      <c r="J87" s="491"/>
      <c r="K87" s="491"/>
      <c r="L87" s="491"/>
      <c r="M87" s="491"/>
      <c r="N87" s="491"/>
      <c r="O87" s="496"/>
    </row>
    <row r="88" spans="1:15" s="77" customFormat="1">
      <c r="A88" s="75"/>
      <c r="B88" s="610">
        <f>'1.  LRAMVA Summary'!B39</f>
        <v>0</v>
      </c>
      <c r="C88" s="888">
        <f>'2. LRAMVA Threshold'!N43</f>
        <v>0</v>
      </c>
      <c r="D88" s="59"/>
      <c r="E88" s="59"/>
      <c r="F88" s="59"/>
      <c r="G88" s="59"/>
      <c r="H88" s="59"/>
      <c r="I88" s="59"/>
      <c r="J88" s="59"/>
      <c r="K88" s="59"/>
      <c r="L88" s="59"/>
      <c r="M88" s="59"/>
      <c r="N88" s="59"/>
      <c r="O88" s="82"/>
    </row>
    <row r="89" spans="1:15" s="31" customFormat="1" hidden="1" outlineLevel="1">
      <c r="A89" s="17"/>
      <c r="B89" s="542" t="s">
        <v>510</v>
      </c>
      <c r="C89" s="889"/>
      <c r="D89" s="59"/>
      <c r="E89" s="59"/>
      <c r="F89" s="59"/>
      <c r="G89" s="59"/>
      <c r="H89" s="59"/>
      <c r="I89" s="59"/>
      <c r="J89" s="59"/>
      <c r="K89" s="59"/>
      <c r="L89" s="59"/>
      <c r="M89" s="59"/>
      <c r="N89" s="59"/>
      <c r="O89" s="82"/>
    </row>
    <row r="90" spans="1:15" s="31" customFormat="1" hidden="1" outlineLevel="1">
      <c r="A90" s="17"/>
      <c r="B90" s="542" t="s">
        <v>511</v>
      </c>
      <c r="C90" s="889"/>
      <c r="D90" s="59"/>
      <c r="E90" s="59"/>
      <c r="F90" s="59"/>
      <c r="G90" s="59"/>
      <c r="H90" s="59"/>
      <c r="I90" s="59"/>
      <c r="J90" s="59"/>
      <c r="K90" s="59"/>
      <c r="L90" s="59"/>
      <c r="M90" s="59"/>
      <c r="N90" s="59"/>
      <c r="O90" s="82"/>
    </row>
    <row r="91" spans="1:15" s="31" customFormat="1" hidden="1" outlineLevel="1">
      <c r="A91" s="17"/>
      <c r="B91" s="542" t="s">
        <v>489</v>
      </c>
      <c r="C91" s="889"/>
      <c r="D91" s="59"/>
      <c r="E91" s="59"/>
      <c r="F91" s="59"/>
      <c r="G91" s="59"/>
      <c r="H91" s="59"/>
      <c r="I91" s="59"/>
      <c r="J91" s="59"/>
      <c r="K91" s="59"/>
      <c r="L91" s="59"/>
      <c r="M91" s="59"/>
      <c r="N91" s="59"/>
      <c r="O91" s="82"/>
    </row>
    <row r="92" spans="1:15" s="31" customFormat="1" collapsed="1">
      <c r="A92" s="17"/>
      <c r="B92" s="542" t="s">
        <v>512</v>
      </c>
      <c r="C92" s="890"/>
      <c r="D92" s="78">
        <f>SUM(D88:D91)</f>
        <v>0</v>
      </c>
      <c r="E92" s="78">
        <f>SUM(E88:E91)</f>
        <v>0</v>
      </c>
      <c r="F92" s="78">
        <f t="shared" ref="F92:N92" si="22">SUM(F88:F91)</f>
        <v>0</v>
      </c>
      <c r="G92" s="78">
        <f t="shared" si="22"/>
        <v>0</v>
      </c>
      <c r="H92" s="78">
        <f t="shared" si="22"/>
        <v>0</v>
      </c>
      <c r="I92" s="78">
        <f t="shared" si="22"/>
        <v>0</v>
      </c>
      <c r="J92" s="78">
        <f t="shared" si="22"/>
        <v>0</v>
      </c>
      <c r="K92" s="78">
        <f t="shared" si="22"/>
        <v>0</v>
      </c>
      <c r="L92" s="78">
        <f t="shared" si="22"/>
        <v>0</v>
      </c>
      <c r="M92" s="78">
        <f t="shared" si="22"/>
        <v>0</v>
      </c>
      <c r="N92" s="78">
        <f t="shared" si="22"/>
        <v>0</v>
      </c>
      <c r="O92" s="90"/>
    </row>
    <row r="93" spans="1:15" s="27" customFormat="1">
      <c r="A93" s="85"/>
      <c r="B93" s="499" t="s">
        <v>513</v>
      </c>
      <c r="C93" s="495"/>
      <c r="D93" s="84"/>
      <c r="E93" s="491">
        <f t="shared" ref="E93:N93" si="23">ROUND(SUM(D92*E16+E92*E17)/12,4)</f>
        <v>0</v>
      </c>
      <c r="F93" s="491">
        <f t="shared" si="23"/>
        <v>0</v>
      </c>
      <c r="G93" s="491">
        <f t="shared" si="23"/>
        <v>0</v>
      </c>
      <c r="H93" s="491">
        <f t="shared" si="23"/>
        <v>0</v>
      </c>
      <c r="I93" s="491">
        <f t="shared" si="23"/>
        <v>0</v>
      </c>
      <c r="J93" s="491">
        <f t="shared" si="23"/>
        <v>0</v>
      </c>
      <c r="K93" s="491">
        <f t="shared" si="23"/>
        <v>0</v>
      </c>
      <c r="L93" s="491">
        <f t="shared" si="23"/>
        <v>0</v>
      </c>
      <c r="M93" s="491">
        <f t="shared" si="23"/>
        <v>0</v>
      </c>
      <c r="N93" s="491">
        <f t="shared" si="23"/>
        <v>0</v>
      </c>
      <c r="O93" s="496"/>
    </row>
    <row r="94" spans="1:15" s="27" customFormat="1">
      <c r="A94" s="85"/>
      <c r="B94" s="488"/>
      <c r="C94" s="495"/>
      <c r="D94" s="84"/>
      <c r="E94" s="491"/>
      <c r="F94" s="491"/>
      <c r="G94" s="491"/>
      <c r="H94" s="491"/>
      <c r="I94" s="491"/>
      <c r="J94" s="491"/>
      <c r="K94" s="491"/>
      <c r="L94" s="491"/>
      <c r="M94" s="491"/>
      <c r="N94" s="491"/>
      <c r="O94" s="496"/>
    </row>
    <row r="95" spans="1:15" s="77" customFormat="1">
      <c r="A95" s="75"/>
      <c r="B95" s="610">
        <f>'1.  LRAMVA Summary'!B40</f>
        <v>0</v>
      </c>
      <c r="C95" s="888">
        <f>'2. LRAMVA Threshold'!O43</f>
        <v>0</v>
      </c>
      <c r="D95" s="59"/>
      <c r="E95" s="59"/>
      <c r="F95" s="59"/>
      <c r="G95" s="59"/>
      <c r="H95" s="59"/>
      <c r="I95" s="59"/>
      <c r="J95" s="59"/>
      <c r="K95" s="59"/>
      <c r="L95" s="59"/>
      <c r="M95" s="59"/>
      <c r="N95" s="59"/>
      <c r="O95" s="82"/>
    </row>
    <row r="96" spans="1:15" s="31" customFormat="1" hidden="1" outlineLevel="1">
      <c r="A96" s="17"/>
      <c r="B96" s="542" t="s">
        <v>510</v>
      </c>
      <c r="C96" s="889"/>
      <c r="D96" s="59"/>
      <c r="E96" s="59"/>
      <c r="F96" s="59"/>
      <c r="G96" s="59"/>
      <c r="H96" s="59"/>
      <c r="I96" s="59"/>
      <c r="J96" s="59"/>
      <c r="K96" s="59"/>
      <c r="L96" s="59"/>
      <c r="M96" s="59"/>
      <c r="N96" s="59"/>
      <c r="O96" s="82"/>
    </row>
    <row r="97" spans="1:15" s="31" customFormat="1" hidden="1" outlineLevel="1">
      <c r="A97" s="17"/>
      <c r="B97" s="542" t="s">
        <v>511</v>
      </c>
      <c r="C97" s="889"/>
      <c r="D97" s="59"/>
      <c r="E97" s="59"/>
      <c r="F97" s="59"/>
      <c r="G97" s="59"/>
      <c r="H97" s="59"/>
      <c r="I97" s="59"/>
      <c r="J97" s="59"/>
      <c r="K97" s="59"/>
      <c r="L97" s="59"/>
      <c r="M97" s="59"/>
      <c r="N97" s="59"/>
      <c r="O97" s="82"/>
    </row>
    <row r="98" spans="1:15" s="31" customFormat="1" hidden="1" outlineLevel="1">
      <c r="A98" s="17"/>
      <c r="B98" s="542" t="s">
        <v>489</v>
      </c>
      <c r="C98" s="889"/>
      <c r="D98" s="59"/>
      <c r="E98" s="59"/>
      <c r="F98" s="59"/>
      <c r="G98" s="59"/>
      <c r="H98" s="59"/>
      <c r="I98" s="59"/>
      <c r="J98" s="59"/>
      <c r="K98" s="59"/>
      <c r="L98" s="59"/>
      <c r="M98" s="59"/>
      <c r="N98" s="59"/>
      <c r="O98" s="82"/>
    </row>
    <row r="99" spans="1:15" s="31" customFormat="1" collapsed="1">
      <c r="A99" s="17"/>
      <c r="B99" s="542" t="s">
        <v>512</v>
      </c>
      <c r="C99" s="890"/>
      <c r="D99" s="78">
        <f>SUM(D95:D98)</f>
        <v>0</v>
      </c>
      <c r="E99" s="78">
        <f>SUM(E95:E98)</f>
        <v>0</v>
      </c>
      <c r="F99" s="78">
        <f t="shared" ref="F99:N99" si="24">SUM(F95:F98)</f>
        <v>0</v>
      </c>
      <c r="G99" s="78">
        <f t="shared" si="24"/>
        <v>0</v>
      </c>
      <c r="H99" s="78">
        <f t="shared" si="24"/>
        <v>0</v>
      </c>
      <c r="I99" s="78">
        <f t="shared" si="24"/>
        <v>0</v>
      </c>
      <c r="J99" s="78">
        <f t="shared" si="24"/>
        <v>0</v>
      </c>
      <c r="K99" s="78">
        <f t="shared" si="24"/>
        <v>0</v>
      </c>
      <c r="L99" s="78">
        <f t="shared" si="24"/>
        <v>0</v>
      </c>
      <c r="M99" s="78">
        <f t="shared" si="24"/>
        <v>0</v>
      </c>
      <c r="N99" s="78">
        <f t="shared" si="24"/>
        <v>0</v>
      </c>
      <c r="O99" s="90"/>
    </row>
    <row r="100" spans="1:15" s="27" customFormat="1">
      <c r="A100" s="85"/>
      <c r="B100" s="499" t="s">
        <v>513</v>
      </c>
      <c r="C100" s="495"/>
      <c r="D100" s="84"/>
      <c r="E100" s="491">
        <f t="shared" ref="E100:N100" si="25">ROUND(SUM(D99*E16+E99*E17)/12,4)</f>
        <v>0</v>
      </c>
      <c r="F100" s="491">
        <f t="shared" si="25"/>
        <v>0</v>
      </c>
      <c r="G100" s="491">
        <f t="shared" si="25"/>
        <v>0</v>
      </c>
      <c r="H100" s="491">
        <f t="shared" si="25"/>
        <v>0</v>
      </c>
      <c r="I100" s="491">
        <f t="shared" si="25"/>
        <v>0</v>
      </c>
      <c r="J100" s="491">
        <f t="shared" si="25"/>
        <v>0</v>
      </c>
      <c r="K100" s="491">
        <f t="shared" si="25"/>
        <v>0</v>
      </c>
      <c r="L100" s="491">
        <f t="shared" si="25"/>
        <v>0</v>
      </c>
      <c r="M100" s="491">
        <f t="shared" si="25"/>
        <v>0</v>
      </c>
      <c r="N100" s="491">
        <f t="shared" si="25"/>
        <v>0</v>
      </c>
      <c r="O100" s="496"/>
    </row>
    <row r="101" spans="1:15" s="27" customFormat="1">
      <c r="A101" s="85"/>
      <c r="B101" s="488"/>
      <c r="C101" s="495"/>
      <c r="D101" s="84"/>
      <c r="E101" s="491"/>
      <c r="F101" s="491"/>
      <c r="G101" s="491"/>
      <c r="H101" s="491"/>
      <c r="I101" s="491"/>
      <c r="J101" s="491"/>
      <c r="K101" s="491"/>
      <c r="L101" s="491"/>
      <c r="M101" s="491"/>
      <c r="N101" s="491"/>
      <c r="O101" s="496"/>
    </row>
    <row r="102" spans="1:15" s="77" customFormat="1">
      <c r="A102" s="75"/>
      <c r="B102" s="610">
        <f>'1.  LRAMVA Summary'!B41</f>
        <v>0</v>
      </c>
      <c r="C102" s="888">
        <f>'2. LRAMVA Threshold'!P43</f>
        <v>0</v>
      </c>
      <c r="D102" s="59"/>
      <c r="E102" s="59"/>
      <c r="F102" s="59"/>
      <c r="G102" s="59"/>
      <c r="H102" s="59"/>
      <c r="I102" s="59"/>
      <c r="J102" s="59"/>
      <c r="K102" s="59"/>
      <c r="L102" s="59"/>
      <c r="M102" s="59"/>
      <c r="N102" s="59"/>
      <c r="O102" s="82"/>
    </row>
    <row r="103" spans="1:15" s="31" customFormat="1" hidden="1" outlineLevel="1">
      <c r="A103" s="17"/>
      <c r="B103" s="542" t="s">
        <v>510</v>
      </c>
      <c r="C103" s="889"/>
      <c r="D103" s="59"/>
      <c r="E103" s="59"/>
      <c r="F103" s="59"/>
      <c r="G103" s="59"/>
      <c r="H103" s="59"/>
      <c r="I103" s="59"/>
      <c r="J103" s="59"/>
      <c r="K103" s="59"/>
      <c r="L103" s="59"/>
      <c r="M103" s="59"/>
      <c r="N103" s="59"/>
      <c r="O103" s="82"/>
    </row>
    <row r="104" spans="1:15" s="31" customFormat="1" hidden="1" outlineLevel="1">
      <c r="A104" s="17"/>
      <c r="B104" s="542" t="s">
        <v>511</v>
      </c>
      <c r="C104" s="889"/>
      <c r="D104" s="59"/>
      <c r="E104" s="59"/>
      <c r="F104" s="59"/>
      <c r="G104" s="59"/>
      <c r="H104" s="59"/>
      <c r="I104" s="59"/>
      <c r="J104" s="59"/>
      <c r="K104" s="59"/>
      <c r="L104" s="59"/>
      <c r="M104" s="59"/>
      <c r="N104" s="59"/>
      <c r="O104" s="82"/>
    </row>
    <row r="105" spans="1:15" s="31" customFormat="1" hidden="1" outlineLevel="1">
      <c r="A105" s="17"/>
      <c r="B105" s="542" t="s">
        <v>489</v>
      </c>
      <c r="C105" s="889"/>
      <c r="D105" s="59"/>
      <c r="E105" s="59"/>
      <c r="F105" s="59"/>
      <c r="G105" s="59"/>
      <c r="H105" s="59"/>
      <c r="I105" s="59"/>
      <c r="J105" s="59"/>
      <c r="K105" s="59"/>
      <c r="L105" s="59"/>
      <c r="M105" s="59"/>
      <c r="N105" s="59"/>
      <c r="O105" s="82"/>
    </row>
    <row r="106" spans="1:15" s="31" customFormat="1" collapsed="1">
      <c r="A106" s="17"/>
      <c r="B106" s="542" t="s">
        <v>512</v>
      </c>
      <c r="C106" s="890"/>
      <c r="D106" s="78">
        <f>SUM(D102:D105)</f>
        <v>0</v>
      </c>
      <c r="E106" s="78">
        <f>SUM(E102:E105)</f>
        <v>0</v>
      </c>
      <c r="F106" s="78">
        <f>SUM(F102:F105)</f>
        <v>0</v>
      </c>
      <c r="G106" s="78">
        <f t="shared" ref="G106:N106" si="26">SUM(G102:G105)</f>
        <v>0</v>
      </c>
      <c r="H106" s="78">
        <f t="shared" si="26"/>
        <v>0</v>
      </c>
      <c r="I106" s="78">
        <f t="shared" si="26"/>
        <v>0</v>
      </c>
      <c r="J106" s="78">
        <f t="shared" si="26"/>
        <v>0</v>
      </c>
      <c r="K106" s="78">
        <f t="shared" si="26"/>
        <v>0</v>
      </c>
      <c r="L106" s="78">
        <f t="shared" si="26"/>
        <v>0</v>
      </c>
      <c r="M106" s="78">
        <f t="shared" si="26"/>
        <v>0</v>
      </c>
      <c r="N106" s="78">
        <f t="shared" si="26"/>
        <v>0</v>
      </c>
      <c r="O106" s="90"/>
    </row>
    <row r="107" spans="1:15" s="27" customFormat="1">
      <c r="A107" s="85"/>
      <c r="B107" s="499" t="s">
        <v>513</v>
      </c>
      <c r="C107" s="495"/>
      <c r="D107" s="84"/>
      <c r="E107" s="491">
        <f t="shared" ref="E107:N107" si="27">ROUND(SUM(D106*E16+E106*E17)/12,4)</f>
        <v>0</v>
      </c>
      <c r="F107" s="491">
        <f t="shared" si="27"/>
        <v>0</v>
      </c>
      <c r="G107" s="491">
        <f t="shared" si="27"/>
        <v>0</v>
      </c>
      <c r="H107" s="491">
        <f t="shared" si="27"/>
        <v>0</v>
      </c>
      <c r="I107" s="491">
        <f t="shared" si="27"/>
        <v>0</v>
      </c>
      <c r="J107" s="491">
        <f t="shared" si="27"/>
        <v>0</v>
      </c>
      <c r="K107" s="491">
        <f t="shared" si="27"/>
        <v>0</v>
      </c>
      <c r="L107" s="491">
        <f t="shared" si="27"/>
        <v>0</v>
      </c>
      <c r="M107" s="491">
        <f t="shared" si="27"/>
        <v>0</v>
      </c>
      <c r="N107" s="491">
        <f t="shared" si="27"/>
        <v>0</v>
      </c>
      <c r="O107" s="496"/>
    </row>
    <row r="108" spans="1:15" s="27" customFormat="1">
      <c r="A108" s="85"/>
      <c r="B108" s="488"/>
      <c r="C108" s="495"/>
      <c r="D108" s="84"/>
      <c r="E108" s="491"/>
      <c r="F108" s="491"/>
      <c r="G108" s="491"/>
      <c r="H108" s="491"/>
      <c r="I108" s="491"/>
      <c r="J108" s="491"/>
      <c r="K108" s="491"/>
      <c r="L108" s="491"/>
      <c r="M108" s="491"/>
      <c r="N108" s="491"/>
      <c r="O108" s="496"/>
    </row>
    <row r="109" spans="1:15" s="77" customFormat="1">
      <c r="A109" s="75"/>
      <c r="B109" s="610">
        <f>'1.  LRAMVA Summary'!B42</f>
        <v>0</v>
      </c>
      <c r="C109" s="888">
        <f>'2. LRAMVA Threshold'!Q43</f>
        <v>0</v>
      </c>
      <c r="D109" s="59"/>
      <c r="E109" s="59"/>
      <c r="F109" s="59"/>
      <c r="G109" s="59"/>
      <c r="H109" s="59"/>
      <c r="I109" s="59"/>
      <c r="J109" s="59"/>
      <c r="K109" s="59"/>
      <c r="L109" s="59"/>
      <c r="M109" s="59"/>
      <c r="N109" s="59"/>
      <c r="O109" s="82"/>
    </row>
    <row r="110" spans="1:15" s="31" customFormat="1" hidden="1" outlineLevel="1">
      <c r="A110" s="17"/>
      <c r="B110" s="542" t="s">
        <v>510</v>
      </c>
      <c r="C110" s="889"/>
      <c r="D110" s="59"/>
      <c r="E110" s="59"/>
      <c r="F110" s="59"/>
      <c r="G110" s="59"/>
      <c r="H110" s="59"/>
      <c r="I110" s="59"/>
      <c r="J110" s="59"/>
      <c r="K110" s="59"/>
      <c r="L110" s="59"/>
      <c r="M110" s="59"/>
      <c r="N110" s="59"/>
      <c r="O110" s="82"/>
    </row>
    <row r="111" spans="1:15" s="31" customFormat="1" hidden="1" outlineLevel="1">
      <c r="A111" s="17"/>
      <c r="B111" s="542" t="s">
        <v>511</v>
      </c>
      <c r="C111" s="889"/>
      <c r="D111" s="59"/>
      <c r="E111" s="59"/>
      <c r="F111" s="59"/>
      <c r="G111" s="59"/>
      <c r="H111" s="59"/>
      <c r="I111" s="59"/>
      <c r="J111" s="59"/>
      <c r="K111" s="59"/>
      <c r="L111" s="59"/>
      <c r="M111" s="59"/>
      <c r="N111" s="59"/>
      <c r="O111" s="82"/>
    </row>
    <row r="112" spans="1:15" s="31" customFormat="1" hidden="1" outlineLevel="1">
      <c r="A112" s="17"/>
      <c r="B112" s="542" t="s">
        <v>489</v>
      </c>
      <c r="C112" s="889"/>
      <c r="D112" s="59"/>
      <c r="E112" s="59"/>
      <c r="F112" s="59"/>
      <c r="G112" s="59"/>
      <c r="H112" s="59"/>
      <c r="I112" s="59"/>
      <c r="J112" s="59"/>
      <c r="K112" s="59"/>
      <c r="L112" s="59"/>
      <c r="M112" s="59"/>
      <c r="N112" s="59"/>
      <c r="O112" s="82"/>
    </row>
    <row r="113" spans="1:17" s="31" customFormat="1" collapsed="1">
      <c r="A113" s="17"/>
      <c r="B113" s="542" t="s">
        <v>512</v>
      </c>
      <c r="C113" s="890"/>
      <c r="D113" s="78">
        <f>SUM(D109:D112)</f>
        <v>0</v>
      </c>
      <c r="E113" s="78">
        <f>SUM(E109:E112)</f>
        <v>0</v>
      </c>
      <c r="F113" s="78">
        <f>SUM(F109:F112)</f>
        <v>0</v>
      </c>
      <c r="G113" s="78">
        <f>SUM(G109:G112)</f>
        <v>0</v>
      </c>
      <c r="H113" s="78">
        <f t="shared" ref="H113:N113" si="28">SUM(H109:H112)</f>
        <v>0</v>
      </c>
      <c r="I113" s="78">
        <f t="shared" si="28"/>
        <v>0</v>
      </c>
      <c r="J113" s="78">
        <f t="shared" si="28"/>
        <v>0</v>
      </c>
      <c r="K113" s="78">
        <f t="shared" si="28"/>
        <v>0</v>
      </c>
      <c r="L113" s="78">
        <f t="shared" si="28"/>
        <v>0</v>
      </c>
      <c r="M113" s="78">
        <f t="shared" si="28"/>
        <v>0</v>
      </c>
      <c r="N113" s="78">
        <f t="shared" si="28"/>
        <v>0</v>
      </c>
      <c r="O113" s="90"/>
    </row>
    <row r="114" spans="1:17" s="27" customFormat="1">
      <c r="A114" s="85"/>
      <c r="B114" s="499" t="s">
        <v>513</v>
      </c>
      <c r="C114" s="495"/>
      <c r="D114" s="84"/>
      <c r="E114" s="491">
        <f t="shared" ref="E114:N114" si="29">ROUND(SUM(D113*E16+E113*E17)/12,4)</f>
        <v>0</v>
      </c>
      <c r="F114" s="491">
        <f t="shared" si="29"/>
        <v>0</v>
      </c>
      <c r="G114" s="491">
        <f t="shared" si="29"/>
        <v>0</v>
      </c>
      <c r="H114" s="491">
        <f t="shared" si="29"/>
        <v>0</v>
      </c>
      <c r="I114" s="491">
        <f t="shared" si="29"/>
        <v>0</v>
      </c>
      <c r="J114" s="491">
        <f t="shared" si="29"/>
        <v>0</v>
      </c>
      <c r="K114" s="491">
        <f t="shared" si="29"/>
        <v>0</v>
      </c>
      <c r="L114" s="491">
        <f t="shared" si="29"/>
        <v>0</v>
      </c>
      <c r="M114" s="491">
        <f t="shared" si="29"/>
        <v>0</v>
      </c>
      <c r="N114" s="491">
        <f t="shared" si="29"/>
        <v>0</v>
      </c>
      <c r="O114" s="496"/>
    </row>
    <row r="115" spans="1:17" s="83" customFormat="1">
      <c r="A115" s="85"/>
      <c r="B115" s="87"/>
      <c r="C115" s="94"/>
      <c r="D115" s="88"/>
      <c r="E115" s="88"/>
      <c r="F115" s="88"/>
      <c r="G115" s="88"/>
      <c r="H115" s="88"/>
      <c r="I115" s="88"/>
      <c r="J115" s="88"/>
      <c r="K115" s="502"/>
      <c r="L115" s="503"/>
      <c r="M115" s="503"/>
      <c r="N115" s="503"/>
      <c r="O115" s="504"/>
    </row>
    <row r="116" spans="1:17" s="16" customFormat="1" ht="21" customHeight="1">
      <c r="A116" s="17"/>
      <c r="B116" s="505" t="s">
        <v>612</v>
      </c>
      <c r="C116" s="111"/>
      <c r="D116" s="506"/>
      <c r="E116" s="506"/>
      <c r="F116" s="506"/>
      <c r="G116" s="506"/>
      <c r="H116" s="506"/>
      <c r="I116" s="506"/>
      <c r="J116" s="506"/>
      <c r="K116" s="506"/>
      <c r="L116" s="506"/>
      <c r="M116" s="506"/>
      <c r="N116" s="506"/>
      <c r="O116" s="506"/>
    </row>
    <row r="119" spans="1:17" ht="15.6">
      <c r="B119" s="131" t="s">
        <v>483</v>
      </c>
      <c r="J119" s="31"/>
    </row>
    <row r="120" spans="1:17" s="27" customFormat="1" ht="75.75" customHeight="1">
      <c r="A120" s="85"/>
      <c r="B120" s="892" t="s">
        <v>673</v>
      </c>
      <c r="C120" s="892"/>
      <c r="D120" s="892"/>
      <c r="E120" s="892"/>
      <c r="F120" s="892"/>
      <c r="G120" s="892"/>
      <c r="H120" s="892"/>
      <c r="I120" s="892"/>
      <c r="J120" s="892"/>
      <c r="K120" s="892"/>
      <c r="L120" s="892"/>
      <c r="M120" s="892"/>
      <c r="N120" s="892"/>
      <c r="O120" s="892"/>
      <c r="P120" s="892"/>
    </row>
    <row r="121" spans="1:17" s="31" customFormat="1" ht="9" customHeight="1">
      <c r="A121" s="17"/>
      <c r="B121" s="131"/>
      <c r="C121" s="91"/>
    </row>
    <row r="122" spans="1:17" ht="63.75" customHeight="1">
      <c r="B122" s="257" t="s">
        <v>234</v>
      </c>
      <c r="C122" s="257" t="str">
        <f>'1.  LRAMVA Summary'!D52</f>
        <v>Residential</v>
      </c>
      <c r="D122" s="257" t="str">
        <f>'1.  LRAMVA Summary'!E52</f>
        <v>GS&lt;50 kW</v>
      </c>
      <c r="E122" s="257" t="str">
        <f>'1.  LRAMVA Summary'!F52</f>
        <v>GS 50 - 999 kW</v>
      </c>
      <c r="F122" s="257" t="str">
        <f>'1.  LRAMVA Summary'!G52</f>
        <v>GS 1,000 - 4,999 kW</v>
      </c>
      <c r="G122" s="257" t="str">
        <f>'1.  LRAMVA Summary'!H52</f>
        <v>USL</v>
      </c>
      <c r="H122" s="257" t="str">
        <f>'1.  LRAMVA Summary'!I52</f>
        <v>Sentinel Lighting</v>
      </c>
      <c r="I122" s="257" t="str">
        <f>'1.  LRAMVA Summary'!J52</f>
        <v>Street Lighting</v>
      </c>
      <c r="J122" s="257" t="str">
        <f>'1.  LRAMVA Summary'!K52</f>
        <v/>
      </c>
      <c r="K122" s="257" t="str">
        <f>'1.  LRAMVA Summary'!L52</f>
        <v/>
      </c>
      <c r="L122" s="257" t="str">
        <f>'1.  LRAMVA Summary'!M52</f>
        <v/>
      </c>
      <c r="M122" s="257" t="str">
        <f>'1.  LRAMVA Summary'!N52</f>
        <v/>
      </c>
      <c r="N122" s="257" t="str">
        <f>'1.  LRAMVA Summary'!O52</f>
        <v/>
      </c>
      <c r="O122" s="257" t="str">
        <f>'1.  LRAMVA Summary'!P52</f>
        <v/>
      </c>
      <c r="P122" s="257" t="str">
        <f>'1.  LRAMVA Summary'!Q52</f>
        <v/>
      </c>
      <c r="Q122" s="31"/>
    </row>
    <row r="123" spans="1:17" s="31" customFormat="1">
      <c r="A123" s="104"/>
      <c r="B123" s="591"/>
      <c r="C123" s="592" t="str">
        <f>'1.  LRAMVA Summary'!D53</f>
        <v>kWh</v>
      </c>
      <c r="D123" s="592" t="str">
        <f>'1.  LRAMVA Summary'!E53</f>
        <v>kWh</v>
      </c>
      <c r="E123" s="592" t="str">
        <f>'1.  LRAMVA Summary'!F53</f>
        <v>kW</v>
      </c>
      <c r="F123" s="592" t="str">
        <f>'1.  LRAMVA Summary'!G53</f>
        <v>kW</v>
      </c>
      <c r="G123" s="592" t="str">
        <f>'1.  LRAMVA Summary'!H53</f>
        <v>kWh</v>
      </c>
      <c r="H123" s="592" t="str">
        <f>'1.  LRAMVA Summary'!I53</f>
        <v>kW</v>
      </c>
      <c r="I123" s="592" t="str">
        <f>'1.  LRAMVA Summary'!J53</f>
        <v>kW</v>
      </c>
      <c r="J123" s="592">
        <f>'1.  LRAMVA Summary'!K53</f>
        <v>0</v>
      </c>
      <c r="K123" s="592">
        <f>'1.  LRAMVA Summary'!L53</f>
        <v>0</v>
      </c>
      <c r="L123" s="592">
        <f>'1.  LRAMVA Summary'!M53</f>
        <v>0</v>
      </c>
      <c r="M123" s="592">
        <f>'1.  LRAMVA Summary'!N53</f>
        <v>0</v>
      </c>
      <c r="N123" s="592">
        <f>'1.  LRAMVA Summary'!O53</f>
        <v>0</v>
      </c>
      <c r="O123" s="592">
        <f>'1.  LRAMVA Summary'!P53</f>
        <v>0</v>
      </c>
      <c r="P123" s="593">
        <f>'1.  LRAMVA Summary'!Q53</f>
        <v>0</v>
      </c>
    </row>
    <row r="124" spans="1:17">
      <c r="B124" s="507">
        <v>2011</v>
      </c>
      <c r="C124" s="686">
        <f t="shared" ref="C124:C129" si="30">HLOOKUP(B124,$E$15:$O$114,9,FALSE)</f>
        <v>0</v>
      </c>
      <c r="D124" s="687">
        <f>HLOOKUP(B124,$E$15:$O$114,16,FALSE)</f>
        <v>0</v>
      </c>
      <c r="E124" s="688">
        <f>HLOOKUP(B124,$E$15:$O$114,23,FALSE)</f>
        <v>0</v>
      </c>
      <c r="F124" s="687">
        <f>HLOOKUP(B124,$E$15:$O$114,30,FALSE)</f>
        <v>0</v>
      </c>
      <c r="G124" s="688">
        <f>HLOOKUP(B124,$E$15:$O$114,37,FALSE)</f>
        <v>0</v>
      </c>
      <c r="H124" s="687">
        <f>HLOOKUP(B124,$E$15:$O$114,44,FALSE)</f>
        <v>0</v>
      </c>
      <c r="I124" s="688">
        <f>HLOOKUP(B124,$E$15:$O$114,51,FALSE)</f>
        <v>0</v>
      </c>
      <c r="J124" s="688">
        <f>HLOOKUP(B124,$E$15:$O$114,58,FALSE)</f>
        <v>0</v>
      </c>
      <c r="K124" s="688">
        <f>HLOOKUP(B124,$E$15:$O$114,65,FALSE)</f>
        <v>0</v>
      </c>
      <c r="L124" s="688">
        <f>HLOOKUP(B124,$E$15:$O$114,72,FALSE)</f>
        <v>0</v>
      </c>
      <c r="M124" s="688">
        <f>HLOOKUP(B124,$E$15:$O$114,79,FALSE)</f>
        <v>0</v>
      </c>
      <c r="N124" s="688">
        <f>HLOOKUP(B124,$E$15:$O$114,86,FALSE)</f>
        <v>0</v>
      </c>
      <c r="O124" s="688">
        <f>HLOOKUP(B124,$E$15:$O$114,93,FALSE)</f>
        <v>0</v>
      </c>
      <c r="P124" s="688">
        <f>HLOOKUP(B124,$E$15:$O$114,100,FALSE)</f>
        <v>0</v>
      </c>
    </row>
    <row r="125" spans="1:17">
      <c r="B125" s="508">
        <v>2012</v>
      </c>
      <c r="C125" s="689">
        <f t="shared" si="30"/>
        <v>0</v>
      </c>
      <c r="D125" s="690">
        <f>HLOOKUP(B125,$E$15:$O$114,16,FALSE)</f>
        <v>0</v>
      </c>
      <c r="E125" s="691">
        <f>HLOOKUP(B125,$E$15:$O$114,23,FALSE)</f>
        <v>0</v>
      </c>
      <c r="F125" s="690">
        <f>HLOOKUP(B125,$E$15:$O$114,30,FALSE)</f>
        <v>0</v>
      </c>
      <c r="G125" s="691">
        <f>HLOOKUP(B125,$E$15:$O$114,37,FALSE)</f>
        <v>0</v>
      </c>
      <c r="H125" s="690">
        <f>HLOOKUP(B125,$E$15:$O$114,44,FALSE)</f>
        <v>0</v>
      </c>
      <c r="I125" s="691">
        <f>HLOOKUP(B125,$E$15:$O$114,51,FALSE)</f>
        <v>0</v>
      </c>
      <c r="J125" s="691">
        <f>HLOOKUP(B125,$E$15:$O$114,58,FALSE)</f>
        <v>0</v>
      </c>
      <c r="K125" s="691">
        <f>HLOOKUP(B125,$E$15:$O$114,65,FALSE)</f>
        <v>0</v>
      </c>
      <c r="L125" s="691">
        <f>HLOOKUP(B125,$E$15:$O$114,72,FALSE)</f>
        <v>0</v>
      </c>
      <c r="M125" s="691">
        <f>HLOOKUP(B125,$E$15:$O$114,79,FALSE)</f>
        <v>0</v>
      </c>
      <c r="N125" s="691">
        <f>HLOOKUP(B125,$E$15:$O$114,86,FALSE)</f>
        <v>0</v>
      </c>
      <c r="O125" s="691">
        <f>HLOOKUP(B125,$E$15:$O$114,93,FALSE)</f>
        <v>0</v>
      </c>
      <c r="P125" s="691">
        <f t="shared" ref="P125:P133" si="31">HLOOKUP(B125,$E$15:$O$114,100,FALSE)</f>
        <v>0</v>
      </c>
    </row>
    <row r="126" spans="1:17">
      <c r="B126" s="508">
        <v>2013</v>
      </c>
      <c r="C126" s="689">
        <f t="shared" si="30"/>
        <v>0</v>
      </c>
      <c r="D126" s="690">
        <f t="shared" ref="D126:D133" si="32">HLOOKUP(B126,$E$15:$O$114,16,FALSE)</f>
        <v>0</v>
      </c>
      <c r="E126" s="691">
        <f t="shared" ref="E126:E133" si="33">HLOOKUP(B126,$E$15:$O$114,23,FALSE)</f>
        <v>0</v>
      </c>
      <c r="F126" s="690">
        <f t="shared" ref="F126:F133" si="34">HLOOKUP(B126,$E$15:$O$114,30,FALSE)</f>
        <v>0</v>
      </c>
      <c r="G126" s="691">
        <f t="shared" ref="G126:G132" si="35">HLOOKUP(B126,$E$15:$O$114,37,FALSE)</f>
        <v>0</v>
      </c>
      <c r="H126" s="690">
        <f t="shared" ref="H126:H133" si="36">HLOOKUP(B126,$E$15:$O$114,44,FALSE)</f>
        <v>0</v>
      </c>
      <c r="I126" s="691">
        <f t="shared" ref="I126:I133" si="37">HLOOKUP(B126,$E$15:$O$114,51,FALSE)</f>
        <v>0</v>
      </c>
      <c r="J126" s="691">
        <f t="shared" ref="J126:J133" si="38">HLOOKUP(B126,$E$15:$O$114,58,FALSE)</f>
        <v>0</v>
      </c>
      <c r="K126" s="691">
        <f t="shared" ref="K126:K133" si="39">HLOOKUP(B126,$E$15:$O$114,65,FALSE)</f>
        <v>0</v>
      </c>
      <c r="L126" s="691">
        <f>HLOOKUP(B126,$E$15:$O$114,72,FALSE)</f>
        <v>0</v>
      </c>
      <c r="M126" s="691">
        <f t="shared" ref="M126:M133" si="40">HLOOKUP(B126,$E$15:$O$114,79,FALSE)</f>
        <v>0</v>
      </c>
      <c r="N126" s="691">
        <f t="shared" ref="N126:N133" si="41">HLOOKUP(B126,$E$15:$O$114,86,FALSE)</f>
        <v>0</v>
      </c>
      <c r="O126" s="691">
        <f t="shared" ref="O126:O133" si="42">HLOOKUP(B126,$E$15:$O$114,93,FALSE)</f>
        <v>0</v>
      </c>
      <c r="P126" s="691">
        <f t="shared" si="31"/>
        <v>0</v>
      </c>
    </row>
    <row r="127" spans="1:17">
      <c r="B127" s="508">
        <v>2014</v>
      </c>
      <c r="C127" s="689">
        <f t="shared" si="30"/>
        <v>7.9000000000000008E-3</v>
      </c>
      <c r="D127" s="690">
        <f>HLOOKUP(B127,$E$15:$O$114,16,FALSE)</f>
        <v>5.5999999999999999E-3</v>
      </c>
      <c r="E127" s="691">
        <f>HLOOKUP(B127,$E$15:$O$114,23,FALSE)</f>
        <v>2.2677</v>
      </c>
      <c r="F127" s="690">
        <f>HLOOKUP(B127,$E$15:$O$114,30,FALSE)</f>
        <v>2.0789</v>
      </c>
      <c r="G127" s="691">
        <f>HLOOKUP(B127,$E$15:$O$114,37,FALSE)</f>
        <v>2.8999999999999998E-3</v>
      </c>
      <c r="H127" s="690">
        <f>HLOOKUP(B127,$E$15:$O$114,44,FALSE)</f>
        <v>12.5731</v>
      </c>
      <c r="I127" s="691">
        <f>HLOOKUP(B127,$E$15:$O$114,51,FALSE)</f>
        <v>19.724900000000002</v>
      </c>
      <c r="J127" s="691">
        <f>HLOOKUP(B127,$E$15:$O$114,58,FALSE)</f>
        <v>0</v>
      </c>
      <c r="K127" s="691">
        <f>HLOOKUP(B127,$E$15:$O$114,65,FALSE)</f>
        <v>0</v>
      </c>
      <c r="L127" s="691">
        <f>HLOOKUP(B127,$E$15:$O$114,72,FALSE)</f>
        <v>0</v>
      </c>
      <c r="M127" s="691">
        <f>HLOOKUP(B127,$E$15:$O$114,79,FALSE)</f>
        <v>0</v>
      </c>
      <c r="N127" s="691">
        <f>HLOOKUP(B127,$E$15:$O$114,86,FALSE)</f>
        <v>0</v>
      </c>
      <c r="O127" s="691">
        <f>HLOOKUP(B127,$E$15:$O$114,93,FALSE)</f>
        <v>0</v>
      </c>
      <c r="P127" s="691">
        <f>HLOOKUP(B127,$E$15:$O$114,100,FALSE)</f>
        <v>0</v>
      </c>
    </row>
    <row r="128" spans="1:17">
      <c r="B128" s="508">
        <v>2015</v>
      </c>
      <c r="C128" s="689">
        <f t="shared" si="30"/>
        <v>1.1900000000000001E-2</v>
      </c>
      <c r="D128" s="690">
        <f t="shared" si="32"/>
        <v>8.5000000000000006E-3</v>
      </c>
      <c r="E128" s="691">
        <f t="shared" si="33"/>
        <v>3.4379</v>
      </c>
      <c r="F128" s="690">
        <f t="shared" si="34"/>
        <v>3.1516999999999999</v>
      </c>
      <c r="G128" s="691">
        <f t="shared" si="35"/>
        <v>4.4999999999999997E-3</v>
      </c>
      <c r="H128" s="690">
        <f t="shared" si="36"/>
        <v>19.0608</v>
      </c>
      <c r="I128" s="691">
        <f t="shared" si="37"/>
        <v>29.902999999999999</v>
      </c>
      <c r="J128" s="691">
        <f t="shared" si="38"/>
        <v>0</v>
      </c>
      <c r="K128" s="691">
        <f t="shared" si="39"/>
        <v>0</v>
      </c>
      <c r="L128" s="691">
        <f t="shared" ref="L128:L133" si="43">HLOOKUP(B128,$E$15:$O$114,72,FALSE)</f>
        <v>0</v>
      </c>
      <c r="M128" s="691">
        <f t="shared" si="40"/>
        <v>0</v>
      </c>
      <c r="N128" s="691">
        <f t="shared" si="41"/>
        <v>0</v>
      </c>
      <c r="O128" s="691">
        <f t="shared" si="42"/>
        <v>0</v>
      </c>
      <c r="P128" s="691">
        <f t="shared" si="31"/>
        <v>0</v>
      </c>
    </row>
    <row r="129" spans="2:16">
      <c r="B129" s="508">
        <v>2016</v>
      </c>
      <c r="C129" s="689">
        <f t="shared" si="30"/>
        <v>1.0699999999999999E-2</v>
      </c>
      <c r="D129" s="690">
        <f t="shared" si="32"/>
        <v>9.4000000000000004E-3</v>
      </c>
      <c r="E129" s="691">
        <f t="shared" si="33"/>
        <v>3.6461000000000001</v>
      </c>
      <c r="F129" s="690">
        <f t="shared" si="34"/>
        <v>3.2997000000000001</v>
      </c>
      <c r="G129" s="691">
        <f t="shared" si="35"/>
        <v>5.0000000000000001E-3</v>
      </c>
      <c r="H129" s="690">
        <f t="shared" si="36"/>
        <v>29.5989</v>
      </c>
      <c r="I129" s="691">
        <f t="shared" si="37"/>
        <v>11.0238</v>
      </c>
      <c r="J129" s="691">
        <f t="shared" si="38"/>
        <v>0</v>
      </c>
      <c r="K129" s="691">
        <f t="shared" si="39"/>
        <v>0</v>
      </c>
      <c r="L129" s="691">
        <f t="shared" si="43"/>
        <v>0</v>
      </c>
      <c r="M129" s="691">
        <f t="shared" si="40"/>
        <v>0</v>
      </c>
      <c r="N129" s="691">
        <f t="shared" si="41"/>
        <v>0</v>
      </c>
      <c r="O129" s="691">
        <f t="shared" si="42"/>
        <v>0</v>
      </c>
      <c r="P129" s="691">
        <f t="shared" si="31"/>
        <v>0</v>
      </c>
    </row>
    <row r="130" spans="2:16">
      <c r="B130" s="508">
        <v>2017</v>
      </c>
      <c r="C130" s="689">
        <f>HLOOKUP(B130,$E$15:$O$114,9,FALSE)</f>
        <v>7.9000000000000008E-3</v>
      </c>
      <c r="D130" s="690">
        <f t="shared" si="32"/>
        <v>0.01</v>
      </c>
      <c r="E130" s="691">
        <f t="shared" si="33"/>
        <v>3.7886000000000002</v>
      </c>
      <c r="F130" s="690">
        <f t="shared" si="34"/>
        <v>3.4079999999999999</v>
      </c>
      <c r="G130" s="691">
        <f t="shared" si="35"/>
        <v>5.3E-3</v>
      </c>
      <c r="H130" s="690">
        <f t="shared" si="36"/>
        <v>35.258699999999997</v>
      </c>
      <c r="I130" s="691">
        <f t="shared" si="37"/>
        <v>1.5244</v>
      </c>
      <c r="J130" s="691">
        <f t="shared" si="38"/>
        <v>0</v>
      </c>
      <c r="K130" s="691">
        <f t="shared" si="39"/>
        <v>0</v>
      </c>
      <c r="L130" s="691">
        <f t="shared" si="43"/>
        <v>0</v>
      </c>
      <c r="M130" s="691">
        <f t="shared" si="40"/>
        <v>0</v>
      </c>
      <c r="N130" s="691">
        <f t="shared" si="41"/>
        <v>0</v>
      </c>
      <c r="O130" s="691">
        <f t="shared" si="42"/>
        <v>0</v>
      </c>
      <c r="P130" s="691">
        <f t="shared" si="31"/>
        <v>0</v>
      </c>
    </row>
    <row r="131" spans="2:16">
      <c r="B131" s="508">
        <v>2018</v>
      </c>
      <c r="C131" s="689">
        <f t="shared" ref="C131:C133" si="44">HLOOKUP(B131,$E$15:$O$114,9,FALSE)</f>
        <v>4.4999999999999997E-3</v>
      </c>
      <c r="D131" s="690">
        <f t="shared" si="32"/>
        <v>1.0200000000000001E-2</v>
      </c>
      <c r="E131" s="691">
        <f t="shared" si="33"/>
        <v>3.8428</v>
      </c>
      <c r="F131" s="690">
        <f t="shared" si="34"/>
        <v>3.4567999999999999</v>
      </c>
      <c r="G131" s="691">
        <f t="shared" si="35"/>
        <v>5.4000000000000003E-3</v>
      </c>
      <c r="H131" s="690">
        <f t="shared" si="36"/>
        <v>35.763100000000001</v>
      </c>
      <c r="I131" s="691">
        <f t="shared" si="37"/>
        <v>1.5462</v>
      </c>
      <c r="J131" s="691">
        <f t="shared" si="38"/>
        <v>0</v>
      </c>
      <c r="K131" s="691">
        <f t="shared" si="39"/>
        <v>0</v>
      </c>
      <c r="L131" s="691">
        <f t="shared" si="43"/>
        <v>0</v>
      </c>
      <c r="M131" s="691">
        <f t="shared" si="40"/>
        <v>0</v>
      </c>
      <c r="N131" s="691">
        <f t="shared" si="41"/>
        <v>0</v>
      </c>
      <c r="O131" s="691">
        <f t="shared" si="42"/>
        <v>0</v>
      </c>
      <c r="P131" s="691">
        <f t="shared" si="31"/>
        <v>0</v>
      </c>
    </row>
    <row r="132" spans="2:16">
      <c r="B132" s="508">
        <v>2019</v>
      </c>
      <c r="C132" s="689">
        <f t="shared" si="44"/>
        <v>1.1000000000000001E-3</v>
      </c>
      <c r="D132" s="690">
        <f t="shared" si="32"/>
        <v>1.03E-2</v>
      </c>
      <c r="E132" s="691">
        <f t="shared" si="33"/>
        <v>3.8965999999999998</v>
      </c>
      <c r="F132" s="690">
        <f t="shared" si="34"/>
        <v>3.5051999999999999</v>
      </c>
      <c r="G132" s="691">
        <f t="shared" si="35"/>
        <v>5.4999999999999997E-3</v>
      </c>
      <c r="H132" s="690">
        <f t="shared" si="36"/>
        <v>36.264099999999999</v>
      </c>
      <c r="I132" s="691">
        <f t="shared" si="37"/>
        <v>1.5678000000000001</v>
      </c>
      <c r="J132" s="691">
        <f t="shared" si="38"/>
        <v>0</v>
      </c>
      <c r="K132" s="691">
        <f t="shared" si="39"/>
        <v>0</v>
      </c>
      <c r="L132" s="691">
        <f t="shared" si="43"/>
        <v>0</v>
      </c>
      <c r="M132" s="691">
        <f t="shared" si="40"/>
        <v>0</v>
      </c>
      <c r="N132" s="691">
        <f t="shared" si="41"/>
        <v>0</v>
      </c>
      <c r="O132" s="691">
        <f t="shared" si="42"/>
        <v>0</v>
      </c>
      <c r="P132" s="691">
        <f t="shared" si="31"/>
        <v>0</v>
      </c>
    </row>
    <row r="133" spans="2:16" hidden="1">
      <c r="B133" s="509">
        <v>2020</v>
      </c>
      <c r="C133" s="692">
        <f t="shared" si="44"/>
        <v>0</v>
      </c>
      <c r="D133" s="693">
        <f t="shared" si="32"/>
        <v>1.0500000000000001E-2</v>
      </c>
      <c r="E133" s="694">
        <f t="shared" si="33"/>
        <v>3.9681000000000002</v>
      </c>
      <c r="F133" s="693">
        <f t="shared" si="34"/>
        <v>3.5695999999999999</v>
      </c>
      <c r="G133" s="694">
        <f>HLOOKUP(B133,$E$15:$O$114,37,FALSE)</f>
        <v>5.5999999999999999E-3</v>
      </c>
      <c r="H133" s="693">
        <f t="shared" si="36"/>
        <v>36.929499999999997</v>
      </c>
      <c r="I133" s="694">
        <f t="shared" si="37"/>
        <v>1.5966</v>
      </c>
      <c r="J133" s="694">
        <f t="shared" si="38"/>
        <v>0</v>
      </c>
      <c r="K133" s="694">
        <f t="shared" si="39"/>
        <v>0</v>
      </c>
      <c r="L133" s="694">
        <f t="shared" si="43"/>
        <v>0</v>
      </c>
      <c r="M133" s="694">
        <f t="shared" si="40"/>
        <v>0</v>
      </c>
      <c r="N133" s="694">
        <f t="shared" si="41"/>
        <v>0</v>
      </c>
      <c r="O133" s="694">
        <f t="shared" si="42"/>
        <v>0</v>
      </c>
      <c r="P133" s="694">
        <f t="shared" si="31"/>
        <v>0</v>
      </c>
    </row>
    <row r="134" spans="2:16" ht="18.75" customHeight="1">
      <c r="B134" s="505" t="s">
        <v>629</v>
      </c>
      <c r="C134" s="604"/>
      <c r="D134" s="605"/>
      <c r="E134" s="606"/>
      <c r="F134" s="605"/>
      <c r="G134" s="605"/>
      <c r="H134" s="605"/>
      <c r="I134" s="605"/>
      <c r="J134" s="605"/>
      <c r="K134" s="605"/>
      <c r="L134" s="605"/>
      <c r="M134" s="605"/>
      <c r="N134" s="605"/>
      <c r="O134" s="605"/>
      <c r="P134" s="605"/>
    </row>
    <row r="136" spans="2:16">
      <c r="B136" s="598" t="s">
        <v>525</v>
      </c>
    </row>
    <row r="157" spans="4:4">
      <c r="D157" s="856"/>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157"/>
  <sheetViews>
    <sheetView topLeftCell="A121" zoomScale="90" zoomScaleNormal="90" workbookViewId="0">
      <selection activeCell="D157" sqref="D157"/>
    </sheetView>
  </sheetViews>
  <sheetFormatPr defaultColWidth="9" defaultRowHeight="14.4"/>
  <cols>
    <col min="1" max="3" width="9" style="25"/>
    <col min="4" max="4" width="3.109375" style="25" customWidth="1"/>
    <col min="5" max="9" width="14.88671875" style="25" customWidth="1"/>
    <col min="10" max="16384" width="9" style="25"/>
  </cols>
  <sheetData>
    <row r="14" spans="2:24" ht="15.6">
      <c r="B14" s="594" t="s">
        <v>504</v>
      </c>
    </row>
    <row r="15" spans="2:24" ht="15.6">
      <c r="B15" s="594"/>
    </row>
    <row r="16" spans="2:24" s="673" customFormat="1" ht="28.5" customHeight="1">
      <c r="B16" s="898" t="s">
        <v>632</v>
      </c>
      <c r="C16" s="898"/>
      <c r="D16" s="898"/>
      <c r="E16" s="898"/>
      <c r="F16" s="898"/>
      <c r="G16" s="898"/>
      <c r="H16" s="898"/>
      <c r="I16" s="898"/>
      <c r="J16" s="898"/>
      <c r="K16" s="898"/>
      <c r="L16" s="898"/>
      <c r="M16" s="898"/>
      <c r="N16" s="898"/>
      <c r="O16" s="898"/>
      <c r="P16" s="898"/>
      <c r="Q16" s="898"/>
      <c r="R16" s="898"/>
      <c r="S16" s="898"/>
      <c r="T16" s="898"/>
      <c r="U16" s="898"/>
      <c r="V16" s="898"/>
      <c r="W16" s="898"/>
      <c r="X16" s="898"/>
    </row>
    <row r="19" spans="2:9">
      <c r="B19" s="25" t="s">
        <v>22</v>
      </c>
      <c r="E19" s="25" t="s">
        <v>790</v>
      </c>
    </row>
    <row r="20" spans="2:9">
      <c r="C20" s="758" t="s">
        <v>234</v>
      </c>
      <c r="D20" s="758"/>
      <c r="E20" s="758" t="s">
        <v>26</v>
      </c>
      <c r="F20" s="758" t="s">
        <v>791</v>
      </c>
      <c r="G20" s="758" t="s">
        <v>792</v>
      </c>
      <c r="H20" s="758" t="s">
        <v>793</v>
      </c>
      <c r="I20" s="758" t="s">
        <v>794</v>
      </c>
    </row>
    <row r="21" spans="2:9">
      <c r="C21" s="758">
        <v>2011</v>
      </c>
      <c r="D21" s="758"/>
      <c r="E21" s="759">
        <v>417327.10000000003</v>
      </c>
      <c r="F21" s="759">
        <v>123681.60000000001</v>
      </c>
      <c r="G21" s="759">
        <v>293645.5</v>
      </c>
      <c r="H21" s="759">
        <v>0</v>
      </c>
      <c r="I21" s="759">
        <v>0</v>
      </c>
    </row>
    <row r="22" spans="2:9">
      <c r="C22" s="758">
        <v>2012</v>
      </c>
      <c r="D22" s="758"/>
      <c r="E22" s="759">
        <v>1375694.9</v>
      </c>
      <c r="F22" s="759">
        <v>173968.30000000002</v>
      </c>
      <c r="G22" s="759">
        <v>464151.2</v>
      </c>
      <c r="H22" s="759">
        <v>737575.39999999991</v>
      </c>
      <c r="I22" s="759">
        <v>0</v>
      </c>
    </row>
    <row r="23" spans="2:9">
      <c r="C23" s="758">
        <v>2013</v>
      </c>
      <c r="D23" s="758"/>
      <c r="E23" s="759">
        <v>380402.50000000006</v>
      </c>
      <c r="F23" s="759">
        <v>174097.40000000002</v>
      </c>
      <c r="G23" s="759">
        <v>142325.9</v>
      </c>
      <c r="H23" s="759">
        <v>63979.200000000004</v>
      </c>
      <c r="I23" s="759">
        <v>0</v>
      </c>
    </row>
    <row r="24" spans="2:9">
      <c r="C24" s="758">
        <v>2014</v>
      </c>
      <c r="D24" s="758"/>
      <c r="E24" s="759">
        <v>1124514.5</v>
      </c>
      <c r="F24" s="759">
        <v>289527.39999999997</v>
      </c>
      <c r="G24" s="759">
        <v>742007.1</v>
      </c>
      <c r="H24" s="759">
        <v>92980</v>
      </c>
      <c r="I24" s="759">
        <v>0</v>
      </c>
    </row>
    <row r="25" spans="2:9">
      <c r="C25" s="758">
        <v>2015</v>
      </c>
      <c r="D25" s="758"/>
      <c r="E25" s="759">
        <v>5176014.4000000004</v>
      </c>
      <c r="F25" s="759">
        <v>660047.20000000007</v>
      </c>
      <c r="G25" s="759">
        <v>1200170.3</v>
      </c>
      <c r="H25" s="759">
        <v>3315796.9</v>
      </c>
      <c r="I25" s="759">
        <v>0</v>
      </c>
    </row>
    <row r="26" spans="2:9">
      <c r="C26" s="758">
        <v>2016</v>
      </c>
      <c r="D26" s="758"/>
      <c r="E26" s="759">
        <v>4407530.5</v>
      </c>
      <c r="F26" s="759">
        <v>272266.09999999998</v>
      </c>
      <c r="G26" s="759">
        <v>314134.30000000005</v>
      </c>
      <c r="H26" s="759">
        <v>1578337.1</v>
      </c>
      <c r="I26" s="759">
        <v>2242793</v>
      </c>
    </row>
    <row r="27" spans="2:9">
      <c r="C27" s="758">
        <v>2017</v>
      </c>
      <c r="D27" s="758"/>
      <c r="E27" s="759">
        <v>2397345</v>
      </c>
      <c r="F27" s="759">
        <v>906490</v>
      </c>
      <c r="G27" s="759">
        <v>865770.3</v>
      </c>
      <c r="H27" s="759">
        <v>625084.69999999995</v>
      </c>
      <c r="I27" s="759">
        <v>0</v>
      </c>
    </row>
    <row r="28" spans="2:9">
      <c r="C28" s="758">
        <v>2018</v>
      </c>
      <c r="D28" s="758"/>
      <c r="E28" s="759">
        <v>1644868.0999999999</v>
      </c>
      <c r="F28" s="759">
        <v>297939.19999999995</v>
      </c>
      <c r="G28" s="759">
        <v>737930.2</v>
      </c>
      <c r="H28" s="759">
        <v>580382.69999999995</v>
      </c>
      <c r="I28" s="759">
        <v>28616</v>
      </c>
    </row>
    <row r="30" spans="2:9">
      <c r="C30" s="758" t="s">
        <v>234</v>
      </c>
      <c r="D30" s="758"/>
      <c r="E30" s="758" t="s">
        <v>26</v>
      </c>
      <c r="F30" s="758" t="s">
        <v>791</v>
      </c>
      <c r="G30" s="758" t="s">
        <v>792</v>
      </c>
      <c r="H30" s="758" t="s">
        <v>793</v>
      </c>
      <c r="I30" s="758" t="s">
        <v>794</v>
      </c>
    </row>
    <row r="31" spans="2:9">
      <c r="C31" s="760">
        <f>C21</f>
        <v>2011</v>
      </c>
      <c r="D31" s="758"/>
      <c r="E31" s="759"/>
      <c r="F31" s="761">
        <f>F21/$E21</f>
        <v>0.29636608789604124</v>
      </c>
      <c r="G31" s="761">
        <f t="shared" ref="G31:I31" si="0">G21/$E21</f>
        <v>0.70363391210395865</v>
      </c>
      <c r="H31" s="761">
        <f t="shared" si="0"/>
        <v>0</v>
      </c>
      <c r="I31" s="761">
        <f t="shared" si="0"/>
        <v>0</v>
      </c>
    </row>
    <row r="32" spans="2:9">
      <c r="C32" s="760">
        <f t="shared" ref="C32:C38" si="1">C22</f>
        <v>2012</v>
      </c>
      <c r="D32" s="758"/>
      <c r="E32" s="758"/>
      <c r="F32" s="761">
        <f t="shared" ref="F32:I38" si="2">F22/$E22</f>
        <v>0.12645849017830918</v>
      </c>
      <c r="G32" s="761">
        <f t="shared" si="2"/>
        <v>0.33739399629961558</v>
      </c>
      <c r="H32" s="761">
        <f t="shared" si="2"/>
        <v>0.53614751352207524</v>
      </c>
      <c r="I32" s="761">
        <f t="shared" si="2"/>
        <v>0</v>
      </c>
    </row>
    <row r="33" spans="3:9">
      <c r="C33" s="760">
        <f t="shared" si="1"/>
        <v>2013</v>
      </c>
      <c r="D33" s="758"/>
      <c r="E33" s="758"/>
      <c r="F33" s="761">
        <f t="shared" si="2"/>
        <v>0.45766628768212614</v>
      </c>
      <c r="G33" s="761">
        <f t="shared" si="2"/>
        <v>0.37414554320752352</v>
      </c>
      <c r="H33" s="761">
        <f t="shared" si="2"/>
        <v>0.1681881691103502</v>
      </c>
      <c r="I33" s="761">
        <f t="shared" si="2"/>
        <v>0</v>
      </c>
    </row>
    <row r="34" spans="3:9">
      <c r="C34" s="760">
        <f t="shared" si="1"/>
        <v>2014</v>
      </c>
      <c r="D34" s="758"/>
      <c r="E34" s="758"/>
      <c r="F34" s="761">
        <f t="shared" si="2"/>
        <v>0.25746880098033414</v>
      </c>
      <c r="G34" s="761">
        <f t="shared" si="2"/>
        <v>0.65984662714442543</v>
      </c>
      <c r="H34" s="761">
        <f t="shared" si="2"/>
        <v>8.2684571875240379E-2</v>
      </c>
      <c r="I34" s="761">
        <f t="shared" si="2"/>
        <v>0</v>
      </c>
    </row>
    <row r="35" spans="3:9">
      <c r="C35" s="760">
        <f t="shared" si="1"/>
        <v>2015</v>
      </c>
      <c r="D35" s="758"/>
      <c r="E35" s="762"/>
      <c r="F35" s="761">
        <f t="shared" si="2"/>
        <v>0.12752035620302757</v>
      </c>
      <c r="G35" s="761">
        <f t="shared" si="2"/>
        <v>0.23187151488604824</v>
      </c>
      <c r="H35" s="761">
        <f t="shared" si="2"/>
        <v>0.64060812891092411</v>
      </c>
      <c r="I35" s="761">
        <f t="shared" si="2"/>
        <v>0</v>
      </c>
    </row>
    <row r="36" spans="3:9">
      <c r="C36" s="760">
        <f t="shared" si="1"/>
        <v>2016</v>
      </c>
      <c r="D36" s="758"/>
      <c r="E36" s="762"/>
      <c r="F36" s="761">
        <f t="shared" si="2"/>
        <v>6.1772936114679176E-2</v>
      </c>
      <c r="G36" s="761">
        <f t="shared" si="2"/>
        <v>7.127217837743835E-2</v>
      </c>
      <c r="H36" s="761">
        <f t="shared" si="2"/>
        <v>0.35810009709518748</v>
      </c>
      <c r="I36" s="761">
        <f t="shared" si="2"/>
        <v>0.50885478841269505</v>
      </c>
    </row>
    <row r="37" spans="3:9">
      <c r="C37" s="760">
        <f t="shared" si="1"/>
        <v>2017</v>
      </c>
      <c r="D37" s="758"/>
      <c r="E37" s="758"/>
      <c r="F37" s="761">
        <f t="shared" si="2"/>
        <v>0.37812246464317817</v>
      </c>
      <c r="G37" s="761">
        <f t="shared" si="2"/>
        <v>0.36113713295332966</v>
      </c>
      <c r="H37" s="761">
        <f t="shared" si="2"/>
        <v>0.26074040240349217</v>
      </c>
      <c r="I37" s="761">
        <f t="shared" si="2"/>
        <v>0</v>
      </c>
    </row>
    <row r="38" spans="3:9">
      <c r="C38" s="760">
        <f t="shared" si="1"/>
        <v>2018</v>
      </c>
      <c r="D38" s="758"/>
      <c r="E38" s="758"/>
      <c r="F38" s="761">
        <f t="shared" si="2"/>
        <v>0.18113257835081123</v>
      </c>
      <c r="G38" s="761">
        <f t="shared" si="2"/>
        <v>0.44862575911101932</v>
      </c>
      <c r="H38" s="761">
        <f t="shared" si="2"/>
        <v>0.35284452291341778</v>
      </c>
      <c r="I38" s="761">
        <f t="shared" si="2"/>
        <v>1.7397139624751676E-2</v>
      </c>
    </row>
    <row r="157" spans="4:4">
      <c r="D157" s="853"/>
    </row>
  </sheetData>
  <mergeCells count="1">
    <mergeCell ref="B16:X16"/>
  </mergeCells>
  <pageMargins left="0.7" right="0.7" top="0.75" bottom="0.75" header="0.3" footer="0.3"/>
  <pageSetup orientation="portrait"/>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15</vt:i4>
      </vt:variant>
      <vt:variant>
        <vt:lpstr>Named Ranges</vt:lpstr>
      </vt:variant>
      <vt:variant>
        <vt:i4>23</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Streetlight Details</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2017-05-24T00:43:43Z</cp:lastPrinted>
  <dcterms:created xsi:type="dcterms:W3CDTF">2012-03-05T18:56:04Z</dcterms:created>
  <dcterms:modified xsi:type="dcterms:W3CDTF">2021-03-23T13:34:50Z</dcterms:modified>
  <cp:category/>
</cp:coreProperties>
</file>