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OEB\OEB Rate Applications\2021 CoS Rate Application_Working File\32. Settlement Conference\B. Evidence for Filing\"/>
    </mc:Choice>
  </mc:AlternateContent>
  <bookViews>
    <workbookView xWindow="0" yWindow="0" windowWidth="23040" windowHeight="10320" tabRatio="835"/>
  </bookViews>
  <sheets>
    <sheet name="1. Summary" sheetId="24" r:id="rId1"/>
    <sheet name="2. Power Purchased Model " sheetId="18" r:id="rId2"/>
    <sheet name="3a. Rate Class Energy Model" sheetId="21" r:id="rId3"/>
    <sheet name="3b. Rate Class Customer Model" sheetId="22" r:id="rId4"/>
    <sheet name="3c. Rate Class Load Model" sheetId="23" r:id="rId5"/>
    <sheet name="4a. Streetlights LED Conv" sheetId="29" r:id="rId6"/>
    <sheet name="4b. OEB App 2-I_CDM" sheetId="27" r:id="rId7"/>
    <sheet name="5a. Variable Sources" sheetId="15" r:id="rId8"/>
    <sheet name="5b. Variables" sheetId="1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Order1" hidden="1">255</definedName>
    <definedName name="_Sort" hidden="1">[1]Sheet1!$G$40:$K$40</definedName>
    <definedName name="AllVariables">'[2]5.Variables'!$B$114:$B$120</definedName>
    <definedName name="BI_LDCLIST">'[3]3. Rate Class Selection'!$B$19:$B$21</definedName>
    <definedName name="BridgeYear">'[4]LDC Info'!$E$26</definedName>
    <definedName name="CAfile">[5]Refs!$B$2</definedName>
    <definedName name="CArevReq">[5]Refs!$B$6</definedName>
    <definedName name="ClassRange1">[5]Refs!$B$3</definedName>
    <definedName name="ClassRange2">[5]Refs!$B$4</definedName>
    <definedName name="contactf">#REF!</definedName>
    <definedName name="CustomerAdministration">[4]lists!$Z$1:$Z$36</definedName>
    <definedName name="EBNUMBER">'[4]LDC Info'!$E$16</definedName>
    <definedName name="Fixed_Charges">[4]lists!$I$1:$I$212</definedName>
    <definedName name="FolderPath">[5]Menu!$C$8</definedName>
    <definedName name="histdate">[6]Financials!$E$76</definedName>
    <definedName name="Incr2000">#REF!</definedName>
    <definedName name="LDC_LIST">[7]lists!$AM$1:$AM$80</definedName>
    <definedName name="LIMIT">#REF!</definedName>
    <definedName name="LossFactors">[4]lists!$L$2:$L$15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ewRevReq">[5]Refs!$B$8</definedName>
    <definedName name="NonPayment">[4]lists!$AA$1:$AA$71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AGE11">#REF!</definedName>
    <definedName name="PAGE2">[1]Sheet1!$A$1:$I$40</definedName>
    <definedName name="PAGE3">#REF!</definedName>
    <definedName name="PAGE4">#REF!</definedName>
    <definedName name="PAGE7">#REF!</definedName>
    <definedName name="PAGE9">#REF!</definedName>
    <definedName name="_xlnm.Print_Area" localSheetId="1">'2. Power Purchased Model '!$V$1:$AD$48</definedName>
    <definedName name="print_end">#REF!</definedName>
    <definedName name="Rate_Class">[4]lists!$A$1:$A$104</definedName>
    <definedName name="ratedescription">[8]hidden1!$D$1:$D$122</definedName>
    <definedName name="RebaseYear">'[4]LDC Info'!$E$28</definedName>
    <definedName name="RevReqLookupKey">[5]Refs!$B$5</definedName>
    <definedName name="RevReqRange">[5]Refs!$B$7</definedName>
    <definedName name="SALBENF">#REF!</definedName>
    <definedName name="salreg">#REF!</definedName>
    <definedName name="SALREGF">#REF!</definedName>
    <definedName name="TEMPA">#REF!</definedName>
    <definedName name="TestYear">'[4]LDC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[4]lists!$N$2:$N$5</definedName>
    <definedName name="Utility">[6]Financials!$A$1</definedName>
    <definedName name="utitliy1">[9]Financials!$A$1</definedName>
    <definedName name="Variable1">'[2]5.Variables'!$B$10</definedName>
    <definedName name="Variable2">'[2]5.Variables'!$B$33</definedName>
    <definedName name="Variable3">'[2]5.Variables'!$B$56</definedName>
    <definedName name="Variable5">'[2]5.Variables'!$B$84</definedName>
    <definedName name="Variable6">'[2]5.Variables'!$B$98</definedName>
    <definedName name="Variable7">'[10]5.Variables'!$B$118</definedName>
    <definedName name="WAGBENF">#REF!</definedName>
    <definedName name="wagdob">#REF!</definedName>
    <definedName name="wagdobf">#REF!</definedName>
    <definedName name="wagreg">#REF!</definedName>
    <definedName name="wagregf">#REF!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23" l="1"/>
  <c r="E14" i="23"/>
  <c r="R135" i="14" l="1"/>
  <c r="R136" i="14"/>
  <c r="R137" i="14"/>
  <c r="R138" i="14"/>
  <c r="R139" i="14"/>
  <c r="R140" i="14"/>
  <c r="R141" i="14"/>
  <c r="R142" i="14"/>
  <c r="R143" i="14"/>
  <c r="R144" i="14"/>
  <c r="R145" i="14"/>
  <c r="R134" i="14"/>
  <c r="R123" i="14"/>
  <c r="R124" i="14"/>
  <c r="R125" i="14"/>
  <c r="R126" i="14"/>
  <c r="R127" i="14"/>
  <c r="R128" i="14"/>
  <c r="R129" i="14"/>
  <c r="R130" i="14"/>
  <c r="R131" i="14"/>
  <c r="R132" i="14"/>
  <c r="R133" i="14"/>
  <c r="R122" i="14"/>
  <c r="U121" i="14" l="1"/>
  <c r="U109" i="14"/>
  <c r="U97" i="14"/>
  <c r="U85" i="14"/>
  <c r="U73" i="14"/>
  <c r="U61" i="14"/>
  <c r="U49" i="14"/>
  <c r="U37" i="14"/>
  <c r="U25" i="14"/>
  <c r="U13" i="14"/>
  <c r="B74" i="29" l="1"/>
  <c r="C74" i="29"/>
  <c r="D74" i="29"/>
  <c r="B75" i="29"/>
  <c r="C75" i="29"/>
  <c r="D75" i="29"/>
  <c r="B76" i="29"/>
  <c r="C76" i="29"/>
  <c r="D76" i="29"/>
  <c r="B77" i="29"/>
  <c r="C77" i="29"/>
  <c r="D77" i="29"/>
  <c r="B78" i="29"/>
  <c r="C78" i="29"/>
  <c r="D78" i="29"/>
  <c r="B79" i="29"/>
  <c r="C79" i="29"/>
  <c r="D79" i="29"/>
  <c r="B80" i="29"/>
  <c r="C80" i="29"/>
  <c r="D80" i="29"/>
  <c r="B81" i="29"/>
  <c r="C81" i="29"/>
  <c r="D81" i="29"/>
  <c r="B82" i="29"/>
  <c r="E82" i="29" s="1"/>
  <c r="C82" i="29"/>
  <c r="D82" i="29"/>
  <c r="B83" i="29"/>
  <c r="C83" i="29"/>
  <c r="D83" i="29"/>
  <c r="E83" i="29" s="1"/>
  <c r="B84" i="29"/>
  <c r="C84" i="29"/>
  <c r="D84" i="29"/>
  <c r="C73" i="29"/>
  <c r="D73" i="29"/>
  <c r="B73" i="29"/>
  <c r="E81" i="29"/>
  <c r="E75" i="29"/>
  <c r="E74" i="29"/>
  <c r="G74" i="29"/>
  <c r="H74" i="29"/>
  <c r="J74" i="29" s="1"/>
  <c r="I74" i="29"/>
  <c r="G75" i="29"/>
  <c r="H75" i="29"/>
  <c r="I75" i="29"/>
  <c r="G76" i="29"/>
  <c r="H76" i="29"/>
  <c r="I76" i="29"/>
  <c r="G77" i="29"/>
  <c r="J77" i="29" s="1"/>
  <c r="H77" i="29"/>
  <c r="I77" i="29"/>
  <c r="G78" i="29"/>
  <c r="H78" i="29"/>
  <c r="I78" i="29"/>
  <c r="G79" i="29"/>
  <c r="J79" i="29" s="1"/>
  <c r="H79" i="29"/>
  <c r="I79" i="29"/>
  <c r="G80" i="29"/>
  <c r="H80" i="29"/>
  <c r="I80" i="29"/>
  <c r="G81" i="29"/>
  <c r="H81" i="29"/>
  <c r="I81" i="29"/>
  <c r="G82" i="29"/>
  <c r="H82" i="29"/>
  <c r="I82" i="29"/>
  <c r="G83" i="29"/>
  <c r="H83" i="29"/>
  <c r="I83" i="29"/>
  <c r="J83" i="29" s="1"/>
  <c r="G84" i="29"/>
  <c r="H84" i="29"/>
  <c r="I84" i="29"/>
  <c r="H73" i="29"/>
  <c r="I73" i="29"/>
  <c r="G73" i="29"/>
  <c r="J82" i="29"/>
  <c r="J75" i="29"/>
  <c r="C108" i="29"/>
  <c r="E108" i="29"/>
  <c r="G108" i="29"/>
  <c r="C109" i="29"/>
  <c r="E109" i="29"/>
  <c r="G109" i="29"/>
  <c r="C110" i="29"/>
  <c r="E110" i="29"/>
  <c r="G110" i="29"/>
  <c r="C111" i="29"/>
  <c r="E111" i="29"/>
  <c r="G111" i="29"/>
  <c r="C112" i="29"/>
  <c r="E112" i="29"/>
  <c r="G112" i="29"/>
  <c r="C113" i="29"/>
  <c r="E113" i="29"/>
  <c r="G113" i="29"/>
  <c r="C114" i="29"/>
  <c r="E114" i="29"/>
  <c r="G114" i="29"/>
  <c r="C115" i="29"/>
  <c r="E115" i="29"/>
  <c r="G115" i="29"/>
  <c r="C116" i="29"/>
  <c r="E116" i="29"/>
  <c r="G116" i="29"/>
  <c r="C117" i="29"/>
  <c r="E117" i="29"/>
  <c r="G117" i="29"/>
  <c r="C118" i="29"/>
  <c r="E118" i="29"/>
  <c r="G118" i="29"/>
  <c r="G107" i="29"/>
  <c r="E107" i="29"/>
  <c r="C107" i="29"/>
  <c r="F91" i="29"/>
  <c r="G91" i="29"/>
  <c r="F92" i="29"/>
  <c r="G92" i="29"/>
  <c r="F93" i="29"/>
  <c r="G93" i="29"/>
  <c r="F94" i="29"/>
  <c r="G94" i="29"/>
  <c r="F95" i="29"/>
  <c r="G95" i="29"/>
  <c r="F96" i="29"/>
  <c r="G96" i="29"/>
  <c r="F97" i="29"/>
  <c r="G97" i="29"/>
  <c r="F98" i="29"/>
  <c r="G98" i="29"/>
  <c r="F99" i="29"/>
  <c r="G99" i="29"/>
  <c r="F100" i="29"/>
  <c r="G100" i="29"/>
  <c r="F101" i="29"/>
  <c r="G101" i="29"/>
  <c r="G90" i="29"/>
  <c r="F90" i="29"/>
  <c r="D91" i="29"/>
  <c r="E91" i="29"/>
  <c r="D92" i="29"/>
  <c r="E92" i="29"/>
  <c r="D93" i="29"/>
  <c r="E93" i="29"/>
  <c r="D94" i="29"/>
  <c r="E94" i="29"/>
  <c r="D95" i="29"/>
  <c r="E95" i="29"/>
  <c r="D96" i="29"/>
  <c r="E96" i="29"/>
  <c r="D97" i="29"/>
  <c r="E97" i="29"/>
  <c r="D98" i="29"/>
  <c r="E98" i="29"/>
  <c r="D99" i="29"/>
  <c r="E99" i="29"/>
  <c r="D100" i="29"/>
  <c r="E100" i="29"/>
  <c r="D101" i="29"/>
  <c r="H101" i="29" s="1"/>
  <c r="E101" i="29"/>
  <c r="E90" i="29"/>
  <c r="D90" i="29"/>
  <c r="B91" i="29"/>
  <c r="H91" i="29" s="1"/>
  <c r="C91" i="29"/>
  <c r="B92" i="29"/>
  <c r="C92" i="29"/>
  <c r="I92" i="29" s="1"/>
  <c r="B93" i="29"/>
  <c r="H93" i="29" s="1"/>
  <c r="C93" i="29"/>
  <c r="B94" i="29"/>
  <c r="C94" i="29"/>
  <c r="I94" i="29" s="1"/>
  <c r="B95" i="29"/>
  <c r="H95" i="29" s="1"/>
  <c r="C95" i="29"/>
  <c r="B96" i="29"/>
  <c r="C96" i="29"/>
  <c r="I96" i="29" s="1"/>
  <c r="B97" i="29"/>
  <c r="H97" i="29" s="1"/>
  <c r="C97" i="29"/>
  <c r="I97" i="29" s="1"/>
  <c r="B98" i="29"/>
  <c r="C98" i="29"/>
  <c r="I98" i="29" s="1"/>
  <c r="B99" i="29"/>
  <c r="H99" i="29" s="1"/>
  <c r="C99" i="29"/>
  <c r="C100" i="29"/>
  <c r="I100" i="29" s="1"/>
  <c r="I101" i="29"/>
  <c r="C90" i="29"/>
  <c r="B90" i="29"/>
  <c r="H90" i="29" s="1"/>
  <c r="J84" i="29" l="1"/>
  <c r="G85" i="29"/>
  <c r="E79" i="29"/>
  <c r="E84" i="29"/>
  <c r="J78" i="29"/>
  <c r="J81" i="29"/>
  <c r="E76" i="29"/>
  <c r="J80" i="29"/>
  <c r="E78" i="29"/>
  <c r="E80" i="29"/>
  <c r="E77" i="29"/>
  <c r="B85" i="29"/>
  <c r="E73" i="29"/>
  <c r="J76" i="29"/>
  <c r="J73" i="29"/>
  <c r="I93" i="29"/>
  <c r="H100" i="29"/>
  <c r="H96" i="29"/>
  <c r="H92" i="29"/>
  <c r="I99" i="29"/>
  <c r="I95" i="29"/>
  <c r="I91" i="29"/>
  <c r="D102" i="29"/>
  <c r="F102" i="29"/>
  <c r="C102" i="29"/>
  <c r="E102" i="29"/>
  <c r="H98" i="29"/>
  <c r="H94" i="29"/>
  <c r="G102" i="29"/>
  <c r="I115" i="29"/>
  <c r="I118" i="29"/>
  <c r="I112" i="29"/>
  <c r="I110" i="29"/>
  <c r="I90" i="29"/>
  <c r="I113" i="29"/>
  <c r="B102" i="29"/>
  <c r="I117" i="29"/>
  <c r="I111" i="29"/>
  <c r="I109" i="29"/>
  <c r="I116" i="29"/>
  <c r="I114" i="29"/>
  <c r="I108" i="29"/>
  <c r="C119" i="29"/>
  <c r="E119" i="29"/>
  <c r="G119" i="29"/>
  <c r="I107" i="29"/>
  <c r="J85" i="29" l="1"/>
  <c r="E85" i="29"/>
  <c r="H102" i="29"/>
  <c r="I102" i="29"/>
  <c r="I119" i="29"/>
  <c r="G90" i="27" l="1"/>
  <c r="I65" i="21" l="1"/>
  <c r="I64" i="21"/>
  <c r="G2" i="18" l="1"/>
  <c r="H2" i="18"/>
  <c r="I2" i="18"/>
  <c r="J2" i="18"/>
  <c r="K2" i="18"/>
  <c r="L2" i="18"/>
  <c r="G3" i="18"/>
  <c r="H3" i="18"/>
  <c r="I3" i="18"/>
  <c r="J3" i="18"/>
  <c r="K3" i="18"/>
  <c r="L3" i="18"/>
  <c r="G4" i="18"/>
  <c r="H4" i="18"/>
  <c r="I4" i="18"/>
  <c r="J4" i="18"/>
  <c r="K4" i="18"/>
  <c r="L4" i="18"/>
  <c r="G5" i="18"/>
  <c r="H5" i="18"/>
  <c r="I5" i="18"/>
  <c r="J5" i="18"/>
  <c r="K5" i="18"/>
  <c r="L5" i="18"/>
  <c r="G6" i="18"/>
  <c r="H6" i="18"/>
  <c r="I6" i="18"/>
  <c r="J6" i="18"/>
  <c r="K6" i="18"/>
  <c r="L6" i="18"/>
  <c r="G7" i="18"/>
  <c r="H7" i="18"/>
  <c r="I7" i="18"/>
  <c r="J7" i="18"/>
  <c r="K7" i="18"/>
  <c r="L7" i="18"/>
  <c r="G8" i="18"/>
  <c r="H8" i="18"/>
  <c r="I8" i="18"/>
  <c r="J8" i="18"/>
  <c r="K8" i="18"/>
  <c r="L8" i="18"/>
  <c r="G9" i="18"/>
  <c r="H9" i="18"/>
  <c r="I9" i="18"/>
  <c r="J9" i="18"/>
  <c r="K9" i="18"/>
  <c r="L9" i="18"/>
  <c r="G10" i="18"/>
  <c r="H10" i="18"/>
  <c r="I10" i="18"/>
  <c r="J10" i="18"/>
  <c r="K10" i="18"/>
  <c r="L10" i="18"/>
  <c r="G11" i="18"/>
  <c r="H11" i="18"/>
  <c r="I11" i="18"/>
  <c r="J11" i="18"/>
  <c r="K11" i="18"/>
  <c r="L11" i="18"/>
  <c r="G12" i="18"/>
  <c r="H12" i="18"/>
  <c r="I12" i="18"/>
  <c r="J12" i="18"/>
  <c r="K12" i="18"/>
  <c r="L12" i="18"/>
  <c r="G13" i="18"/>
  <c r="H13" i="18"/>
  <c r="I13" i="18"/>
  <c r="J13" i="18"/>
  <c r="K13" i="18"/>
  <c r="L13" i="18"/>
  <c r="G14" i="18"/>
  <c r="H14" i="18"/>
  <c r="I14" i="18"/>
  <c r="J14" i="18"/>
  <c r="K14" i="18"/>
  <c r="L14" i="18"/>
  <c r="G15" i="18"/>
  <c r="H15" i="18"/>
  <c r="I15" i="18"/>
  <c r="J15" i="18"/>
  <c r="K15" i="18"/>
  <c r="L15" i="18"/>
  <c r="G16" i="18"/>
  <c r="H16" i="18"/>
  <c r="I16" i="18"/>
  <c r="J16" i="18"/>
  <c r="K16" i="18"/>
  <c r="L16" i="18"/>
  <c r="G17" i="18"/>
  <c r="H17" i="18"/>
  <c r="I17" i="18"/>
  <c r="J17" i="18"/>
  <c r="K17" i="18"/>
  <c r="L17" i="18"/>
  <c r="G18" i="18"/>
  <c r="H18" i="18"/>
  <c r="I18" i="18"/>
  <c r="J18" i="18"/>
  <c r="K18" i="18"/>
  <c r="L18" i="18"/>
  <c r="G19" i="18"/>
  <c r="H19" i="18"/>
  <c r="I19" i="18"/>
  <c r="J19" i="18"/>
  <c r="K19" i="18"/>
  <c r="L19" i="18"/>
  <c r="G20" i="18"/>
  <c r="H20" i="18"/>
  <c r="I20" i="18"/>
  <c r="J20" i="18"/>
  <c r="K20" i="18"/>
  <c r="L20" i="18"/>
  <c r="G21" i="18"/>
  <c r="H21" i="18"/>
  <c r="I21" i="18"/>
  <c r="J21" i="18"/>
  <c r="K21" i="18"/>
  <c r="L21" i="18"/>
  <c r="G22" i="18"/>
  <c r="H22" i="18"/>
  <c r="I22" i="18"/>
  <c r="J22" i="18"/>
  <c r="K22" i="18"/>
  <c r="L22" i="18"/>
  <c r="G23" i="18"/>
  <c r="H23" i="18"/>
  <c r="I23" i="18"/>
  <c r="J23" i="18"/>
  <c r="K23" i="18"/>
  <c r="L23" i="18"/>
  <c r="G24" i="18"/>
  <c r="H24" i="18"/>
  <c r="I24" i="18"/>
  <c r="J24" i="18"/>
  <c r="K24" i="18"/>
  <c r="L24" i="18"/>
  <c r="G25" i="18"/>
  <c r="H25" i="18"/>
  <c r="I25" i="18"/>
  <c r="J25" i="18"/>
  <c r="K25" i="18"/>
  <c r="L25" i="18"/>
  <c r="G26" i="18"/>
  <c r="H26" i="18"/>
  <c r="I26" i="18"/>
  <c r="J26" i="18"/>
  <c r="K26" i="18"/>
  <c r="L26" i="18"/>
  <c r="G27" i="18"/>
  <c r="H27" i="18"/>
  <c r="I27" i="18"/>
  <c r="J27" i="18"/>
  <c r="K27" i="18"/>
  <c r="L27" i="18"/>
  <c r="G28" i="18"/>
  <c r="H28" i="18"/>
  <c r="I28" i="18"/>
  <c r="J28" i="18"/>
  <c r="K28" i="18"/>
  <c r="L28" i="18"/>
  <c r="G29" i="18"/>
  <c r="H29" i="18"/>
  <c r="I29" i="18"/>
  <c r="J29" i="18"/>
  <c r="K29" i="18"/>
  <c r="L29" i="18"/>
  <c r="G30" i="18"/>
  <c r="H30" i="18"/>
  <c r="I30" i="18"/>
  <c r="J30" i="18"/>
  <c r="K30" i="18"/>
  <c r="L30" i="18"/>
  <c r="G31" i="18"/>
  <c r="H31" i="18"/>
  <c r="I31" i="18"/>
  <c r="J31" i="18"/>
  <c r="K31" i="18"/>
  <c r="L31" i="18"/>
  <c r="G32" i="18"/>
  <c r="H32" i="18"/>
  <c r="I32" i="18"/>
  <c r="J32" i="18"/>
  <c r="K32" i="18"/>
  <c r="L32" i="18"/>
  <c r="G33" i="18"/>
  <c r="H33" i="18"/>
  <c r="I33" i="18"/>
  <c r="J33" i="18"/>
  <c r="K33" i="18"/>
  <c r="L33" i="18"/>
  <c r="G34" i="18"/>
  <c r="H34" i="18"/>
  <c r="I34" i="18"/>
  <c r="J34" i="18"/>
  <c r="K34" i="18"/>
  <c r="L34" i="18"/>
  <c r="G35" i="18"/>
  <c r="H35" i="18"/>
  <c r="I35" i="18"/>
  <c r="J35" i="18"/>
  <c r="K35" i="18"/>
  <c r="L35" i="18"/>
  <c r="G36" i="18"/>
  <c r="H36" i="18"/>
  <c r="I36" i="18"/>
  <c r="J36" i="18"/>
  <c r="K36" i="18"/>
  <c r="L36" i="18"/>
  <c r="G37" i="18"/>
  <c r="H37" i="18"/>
  <c r="I37" i="18"/>
  <c r="J37" i="18"/>
  <c r="K37" i="18"/>
  <c r="L37" i="18"/>
  <c r="G38" i="18"/>
  <c r="H38" i="18"/>
  <c r="I38" i="18"/>
  <c r="J38" i="18"/>
  <c r="K38" i="18"/>
  <c r="L38" i="18"/>
  <c r="G39" i="18"/>
  <c r="H39" i="18"/>
  <c r="I39" i="18"/>
  <c r="J39" i="18"/>
  <c r="K39" i="18"/>
  <c r="L39" i="18"/>
  <c r="G40" i="18"/>
  <c r="H40" i="18"/>
  <c r="I40" i="18"/>
  <c r="J40" i="18"/>
  <c r="K40" i="18"/>
  <c r="L40" i="18"/>
  <c r="G41" i="18"/>
  <c r="H41" i="18"/>
  <c r="I41" i="18"/>
  <c r="J41" i="18"/>
  <c r="K41" i="18"/>
  <c r="L41" i="18"/>
  <c r="G42" i="18"/>
  <c r="H42" i="18"/>
  <c r="I42" i="18"/>
  <c r="J42" i="18"/>
  <c r="K42" i="18"/>
  <c r="L42" i="18"/>
  <c r="G43" i="18"/>
  <c r="H43" i="18"/>
  <c r="I43" i="18"/>
  <c r="J43" i="18"/>
  <c r="K43" i="18"/>
  <c r="L43" i="18"/>
  <c r="G44" i="18"/>
  <c r="H44" i="18"/>
  <c r="I44" i="18"/>
  <c r="J44" i="18"/>
  <c r="K44" i="18"/>
  <c r="L44" i="18"/>
  <c r="G45" i="18"/>
  <c r="H45" i="18"/>
  <c r="I45" i="18"/>
  <c r="J45" i="18"/>
  <c r="K45" i="18"/>
  <c r="L45" i="18"/>
  <c r="G46" i="18"/>
  <c r="H46" i="18"/>
  <c r="I46" i="18"/>
  <c r="J46" i="18"/>
  <c r="K46" i="18"/>
  <c r="L46" i="18"/>
  <c r="G47" i="18"/>
  <c r="H47" i="18"/>
  <c r="I47" i="18"/>
  <c r="J47" i="18"/>
  <c r="K47" i="18"/>
  <c r="L47" i="18"/>
  <c r="G48" i="18"/>
  <c r="H48" i="18"/>
  <c r="I48" i="18"/>
  <c r="J48" i="18"/>
  <c r="K48" i="18"/>
  <c r="L48" i="18"/>
  <c r="G49" i="18"/>
  <c r="H49" i="18"/>
  <c r="I49" i="18"/>
  <c r="J49" i="18"/>
  <c r="K49" i="18"/>
  <c r="L49" i="18"/>
  <c r="G50" i="18"/>
  <c r="H50" i="18"/>
  <c r="I50" i="18"/>
  <c r="J50" i="18"/>
  <c r="K50" i="18"/>
  <c r="L50" i="18"/>
  <c r="G51" i="18"/>
  <c r="H51" i="18"/>
  <c r="I51" i="18"/>
  <c r="J51" i="18"/>
  <c r="K51" i="18"/>
  <c r="L51" i="18"/>
  <c r="G52" i="18"/>
  <c r="H52" i="18"/>
  <c r="I52" i="18"/>
  <c r="J52" i="18"/>
  <c r="K52" i="18"/>
  <c r="L52" i="18"/>
  <c r="G53" i="18"/>
  <c r="H53" i="18"/>
  <c r="I53" i="18"/>
  <c r="J53" i="18"/>
  <c r="K53" i="18"/>
  <c r="L53" i="18"/>
  <c r="G54" i="18"/>
  <c r="H54" i="18"/>
  <c r="I54" i="18"/>
  <c r="J54" i="18"/>
  <c r="K54" i="18"/>
  <c r="L54" i="18"/>
  <c r="G55" i="18"/>
  <c r="H55" i="18"/>
  <c r="I55" i="18"/>
  <c r="J55" i="18"/>
  <c r="K55" i="18"/>
  <c r="L55" i="18"/>
  <c r="G56" i="18"/>
  <c r="H56" i="18"/>
  <c r="I56" i="18"/>
  <c r="J56" i="18"/>
  <c r="K56" i="18"/>
  <c r="L56" i="18"/>
  <c r="G57" i="18"/>
  <c r="H57" i="18"/>
  <c r="I57" i="18"/>
  <c r="J57" i="18"/>
  <c r="K57" i="18"/>
  <c r="L57" i="18"/>
  <c r="G58" i="18"/>
  <c r="H58" i="18"/>
  <c r="I58" i="18"/>
  <c r="J58" i="18"/>
  <c r="K58" i="18"/>
  <c r="L58" i="18"/>
  <c r="G59" i="18"/>
  <c r="H59" i="18"/>
  <c r="I59" i="18"/>
  <c r="J59" i="18"/>
  <c r="K59" i="18"/>
  <c r="L59" i="18"/>
  <c r="G60" i="18"/>
  <c r="H60" i="18"/>
  <c r="I60" i="18"/>
  <c r="J60" i="18"/>
  <c r="K60" i="18"/>
  <c r="L60" i="18"/>
  <c r="G61" i="18"/>
  <c r="H61" i="18"/>
  <c r="I61" i="18"/>
  <c r="J61" i="18"/>
  <c r="K61" i="18"/>
  <c r="L61" i="18"/>
  <c r="G62" i="18"/>
  <c r="H62" i="18"/>
  <c r="I62" i="18"/>
  <c r="J62" i="18"/>
  <c r="K62" i="18"/>
  <c r="L62" i="18"/>
  <c r="G63" i="18"/>
  <c r="H63" i="18"/>
  <c r="I63" i="18"/>
  <c r="J63" i="18"/>
  <c r="K63" i="18"/>
  <c r="L63" i="18"/>
  <c r="G64" i="18"/>
  <c r="H64" i="18"/>
  <c r="I64" i="18"/>
  <c r="J64" i="18"/>
  <c r="K64" i="18"/>
  <c r="L64" i="18"/>
  <c r="G65" i="18"/>
  <c r="H65" i="18"/>
  <c r="I65" i="18"/>
  <c r="J65" i="18"/>
  <c r="K65" i="18"/>
  <c r="L65" i="18"/>
  <c r="G66" i="18"/>
  <c r="H66" i="18"/>
  <c r="I66" i="18"/>
  <c r="J66" i="18"/>
  <c r="K66" i="18"/>
  <c r="L66" i="18"/>
  <c r="G67" i="18"/>
  <c r="H67" i="18"/>
  <c r="I67" i="18"/>
  <c r="J67" i="18"/>
  <c r="K67" i="18"/>
  <c r="L67" i="18"/>
  <c r="G68" i="18"/>
  <c r="H68" i="18"/>
  <c r="I68" i="18"/>
  <c r="J68" i="18"/>
  <c r="K68" i="18"/>
  <c r="L68" i="18"/>
  <c r="G69" i="18"/>
  <c r="H69" i="18"/>
  <c r="I69" i="18"/>
  <c r="J69" i="18"/>
  <c r="K69" i="18"/>
  <c r="L69" i="18"/>
  <c r="G70" i="18"/>
  <c r="H70" i="18"/>
  <c r="I70" i="18"/>
  <c r="J70" i="18"/>
  <c r="K70" i="18"/>
  <c r="L70" i="18"/>
  <c r="G71" i="18"/>
  <c r="H71" i="18"/>
  <c r="I71" i="18"/>
  <c r="J71" i="18"/>
  <c r="K71" i="18"/>
  <c r="L71" i="18"/>
  <c r="G72" i="18"/>
  <c r="H72" i="18"/>
  <c r="I72" i="18"/>
  <c r="J72" i="18"/>
  <c r="K72" i="18"/>
  <c r="L72" i="18"/>
  <c r="G73" i="18"/>
  <c r="H73" i="18"/>
  <c r="I73" i="18"/>
  <c r="J73" i="18"/>
  <c r="K73" i="18"/>
  <c r="L73" i="18"/>
  <c r="G74" i="18"/>
  <c r="H74" i="18"/>
  <c r="I74" i="18"/>
  <c r="J74" i="18"/>
  <c r="K74" i="18"/>
  <c r="L74" i="18"/>
  <c r="G75" i="18"/>
  <c r="H75" i="18"/>
  <c r="I75" i="18"/>
  <c r="J75" i="18"/>
  <c r="K75" i="18"/>
  <c r="L75" i="18"/>
  <c r="G76" i="18"/>
  <c r="H76" i="18"/>
  <c r="I76" i="18"/>
  <c r="J76" i="18"/>
  <c r="K76" i="18"/>
  <c r="L76" i="18"/>
  <c r="G77" i="18"/>
  <c r="H77" i="18"/>
  <c r="I77" i="18"/>
  <c r="J77" i="18"/>
  <c r="K77" i="18"/>
  <c r="L77" i="18"/>
  <c r="G78" i="18"/>
  <c r="H78" i="18"/>
  <c r="I78" i="18"/>
  <c r="J78" i="18"/>
  <c r="K78" i="18"/>
  <c r="L78" i="18"/>
  <c r="G79" i="18"/>
  <c r="H79" i="18"/>
  <c r="I79" i="18"/>
  <c r="J79" i="18"/>
  <c r="K79" i="18"/>
  <c r="L79" i="18"/>
  <c r="G80" i="18"/>
  <c r="H80" i="18"/>
  <c r="I80" i="18"/>
  <c r="J80" i="18"/>
  <c r="K80" i="18"/>
  <c r="L80" i="18"/>
  <c r="G81" i="18"/>
  <c r="H81" i="18"/>
  <c r="I81" i="18"/>
  <c r="J81" i="18"/>
  <c r="K81" i="18"/>
  <c r="L81" i="18"/>
  <c r="G82" i="18"/>
  <c r="H82" i="18"/>
  <c r="I82" i="18"/>
  <c r="J82" i="18"/>
  <c r="K82" i="18"/>
  <c r="L82" i="18"/>
  <c r="G83" i="18"/>
  <c r="H83" i="18"/>
  <c r="I83" i="18"/>
  <c r="J83" i="18"/>
  <c r="K83" i="18"/>
  <c r="L83" i="18"/>
  <c r="G84" i="18"/>
  <c r="H84" i="18"/>
  <c r="I84" i="18"/>
  <c r="J84" i="18"/>
  <c r="K84" i="18"/>
  <c r="L84" i="18"/>
  <c r="G85" i="18"/>
  <c r="H85" i="18"/>
  <c r="I85" i="18"/>
  <c r="J85" i="18"/>
  <c r="K85" i="18"/>
  <c r="L85" i="18"/>
  <c r="C159" i="18"/>
  <c r="G86" i="18"/>
  <c r="H86" i="18"/>
  <c r="I86" i="18"/>
  <c r="J86" i="18"/>
  <c r="K86" i="18"/>
  <c r="L86" i="18"/>
  <c r="G87" i="18"/>
  <c r="H87" i="18"/>
  <c r="I87" i="18"/>
  <c r="J87" i="18"/>
  <c r="K87" i="18"/>
  <c r="L87" i="18"/>
  <c r="G88" i="18"/>
  <c r="H88" i="18"/>
  <c r="I88" i="18"/>
  <c r="J88" i="18"/>
  <c r="K88" i="18"/>
  <c r="L88" i="18"/>
  <c r="G89" i="18"/>
  <c r="H89" i="18"/>
  <c r="I89" i="18"/>
  <c r="J89" i="18"/>
  <c r="K89" i="18"/>
  <c r="L89" i="18"/>
  <c r="G90" i="18"/>
  <c r="H90" i="18"/>
  <c r="I90" i="18"/>
  <c r="J90" i="18"/>
  <c r="K90" i="18"/>
  <c r="L90" i="18"/>
  <c r="G91" i="18"/>
  <c r="H91" i="18"/>
  <c r="I91" i="18"/>
  <c r="J91" i="18"/>
  <c r="K91" i="18"/>
  <c r="L91" i="18"/>
  <c r="G92" i="18"/>
  <c r="H92" i="18"/>
  <c r="I92" i="18"/>
  <c r="J92" i="18"/>
  <c r="K92" i="18"/>
  <c r="L92" i="18"/>
  <c r="G93" i="18"/>
  <c r="H93" i="18"/>
  <c r="I93" i="18"/>
  <c r="J93" i="18"/>
  <c r="K93" i="18"/>
  <c r="L93" i="18"/>
  <c r="G94" i="18"/>
  <c r="H94" i="18"/>
  <c r="I94" i="18"/>
  <c r="J94" i="18"/>
  <c r="K94" i="18"/>
  <c r="L94" i="18"/>
  <c r="G95" i="18"/>
  <c r="H95" i="18"/>
  <c r="I95" i="18"/>
  <c r="J95" i="18"/>
  <c r="K95" i="18"/>
  <c r="L95" i="18"/>
  <c r="G96" i="18"/>
  <c r="H96" i="18"/>
  <c r="I96" i="18"/>
  <c r="J96" i="18"/>
  <c r="K96" i="18"/>
  <c r="L96" i="18"/>
  <c r="G97" i="18"/>
  <c r="H97" i="18"/>
  <c r="I97" i="18"/>
  <c r="J97" i="18"/>
  <c r="K97" i="18"/>
  <c r="L97" i="18"/>
  <c r="G98" i="18"/>
  <c r="H98" i="18"/>
  <c r="I98" i="18"/>
  <c r="J98" i="18"/>
  <c r="K98" i="18"/>
  <c r="L98" i="18"/>
  <c r="G99" i="18"/>
  <c r="H99" i="18"/>
  <c r="I99" i="18"/>
  <c r="J99" i="18"/>
  <c r="K99" i="18"/>
  <c r="L99" i="18"/>
  <c r="G100" i="18"/>
  <c r="H100" i="18"/>
  <c r="I100" i="18"/>
  <c r="J100" i="18"/>
  <c r="K100" i="18"/>
  <c r="L100" i="18"/>
  <c r="G101" i="18"/>
  <c r="H101" i="18"/>
  <c r="I101" i="18"/>
  <c r="J101" i="18"/>
  <c r="K101" i="18"/>
  <c r="L101" i="18"/>
  <c r="G102" i="18"/>
  <c r="H102" i="18"/>
  <c r="I102" i="18"/>
  <c r="J102" i="18"/>
  <c r="K102" i="18"/>
  <c r="L102" i="18"/>
  <c r="G103" i="18"/>
  <c r="H103" i="18"/>
  <c r="I103" i="18"/>
  <c r="J103" i="18"/>
  <c r="K103" i="18"/>
  <c r="L103" i="18"/>
  <c r="G104" i="18"/>
  <c r="H104" i="18"/>
  <c r="I104" i="18"/>
  <c r="J104" i="18"/>
  <c r="K104" i="18"/>
  <c r="L104" i="18"/>
  <c r="G105" i="18"/>
  <c r="H105" i="18"/>
  <c r="I105" i="18"/>
  <c r="J105" i="18"/>
  <c r="K105" i="18"/>
  <c r="L105" i="18"/>
  <c r="G106" i="18"/>
  <c r="H106" i="18"/>
  <c r="I106" i="18"/>
  <c r="J106" i="18"/>
  <c r="K106" i="18"/>
  <c r="L106" i="18"/>
  <c r="G107" i="18"/>
  <c r="H107" i="18"/>
  <c r="I107" i="18"/>
  <c r="J107" i="18"/>
  <c r="K107" i="18"/>
  <c r="L107" i="18"/>
  <c r="G108" i="18"/>
  <c r="H108" i="18"/>
  <c r="I108" i="18"/>
  <c r="J108" i="18"/>
  <c r="K108" i="18"/>
  <c r="L108" i="18"/>
  <c r="G109" i="18"/>
  <c r="H109" i="18"/>
  <c r="I109" i="18"/>
  <c r="J109" i="18"/>
  <c r="K109" i="18"/>
  <c r="L109" i="18"/>
  <c r="G110" i="18"/>
  <c r="H110" i="18"/>
  <c r="I110" i="18"/>
  <c r="J110" i="18"/>
  <c r="K110" i="18"/>
  <c r="L110" i="18"/>
  <c r="G111" i="18"/>
  <c r="H111" i="18"/>
  <c r="I111" i="18"/>
  <c r="J111" i="18"/>
  <c r="K111" i="18"/>
  <c r="L111" i="18"/>
  <c r="G112" i="18"/>
  <c r="H112" i="18"/>
  <c r="I112" i="18"/>
  <c r="J112" i="18"/>
  <c r="K112" i="18"/>
  <c r="L112" i="18"/>
  <c r="G113" i="18"/>
  <c r="H113" i="18"/>
  <c r="I113" i="18"/>
  <c r="J113" i="18"/>
  <c r="K113" i="18"/>
  <c r="L113" i="18"/>
  <c r="G114" i="18"/>
  <c r="H114" i="18"/>
  <c r="I114" i="18"/>
  <c r="J114" i="18"/>
  <c r="K114" i="18"/>
  <c r="L114" i="18"/>
  <c r="G115" i="18"/>
  <c r="H115" i="18"/>
  <c r="I115" i="18"/>
  <c r="J115" i="18"/>
  <c r="K115" i="18"/>
  <c r="L115" i="18"/>
  <c r="G116" i="18"/>
  <c r="H116" i="18"/>
  <c r="I116" i="18"/>
  <c r="J116" i="18"/>
  <c r="K116" i="18"/>
  <c r="L116" i="18"/>
  <c r="G117" i="18"/>
  <c r="H117" i="18"/>
  <c r="I117" i="18"/>
  <c r="J117" i="18"/>
  <c r="K117" i="18"/>
  <c r="L117" i="18"/>
  <c r="G118" i="18"/>
  <c r="H118" i="18"/>
  <c r="I118" i="18"/>
  <c r="J118" i="18"/>
  <c r="K118" i="18"/>
  <c r="L118" i="18"/>
  <c r="G119" i="18"/>
  <c r="H119" i="18"/>
  <c r="I119" i="18"/>
  <c r="J119" i="18"/>
  <c r="K119" i="18"/>
  <c r="L119" i="18"/>
  <c r="G120" i="18"/>
  <c r="H120" i="18"/>
  <c r="I120" i="18"/>
  <c r="J120" i="18"/>
  <c r="K120" i="18"/>
  <c r="L120" i="18"/>
  <c r="G121" i="18"/>
  <c r="H121" i="18"/>
  <c r="I121" i="18"/>
  <c r="J121" i="18"/>
  <c r="K121" i="18"/>
  <c r="L121" i="18"/>
  <c r="I122" i="18"/>
  <c r="K122" i="18"/>
  <c r="L122" i="18"/>
  <c r="I123" i="18"/>
  <c r="K123" i="18"/>
  <c r="L123" i="18"/>
  <c r="I124" i="18"/>
  <c r="K124" i="18"/>
  <c r="L124" i="18"/>
  <c r="I125" i="18"/>
  <c r="K125" i="18"/>
  <c r="L125" i="18"/>
  <c r="I126" i="18"/>
  <c r="K126" i="18"/>
  <c r="L126" i="18"/>
  <c r="I127" i="18"/>
  <c r="K127" i="18"/>
  <c r="L127" i="18"/>
  <c r="I128" i="18"/>
  <c r="K128" i="18"/>
  <c r="L128" i="18"/>
  <c r="I129" i="18"/>
  <c r="K129" i="18"/>
  <c r="L129" i="18"/>
  <c r="I130" i="18"/>
  <c r="K130" i="18"/>
  <c r="L130" i="18"/>
  <c r="I131" i="18"/>
  <c r="K131" i="18"/>
  <c r="L131" i="18"/>
  <c r="I132" i="18"/>
  <c r="K132" i="18"/>
  <c r="L132" i="18"/>
  <c r="I133" i="18"/>
  <c r="K133" i="18"/>
  <c r="L133" i="18"/>
  <c r="I134" i="18"/>
  <c r="K134" i="18"/>
  <c r="I135" i="18"/>
  <c r="K135" i="18"/>
  <c r="I136" i="18"/>
  <c r="K136" i="18"/>
  <c r="I137" i="18"/>
  <c r="K137" i="18"/>
  <c r="I138" i="18"/>
  <c r="K138" i="18"/>
  <c r="I139" i="18"/>
  <c r="K139" i="18"/>
  <c r="I140" i="18"/>
  <c r="K140" i="18"/>
  <c r="I141" i="18"/>
  <c r="K141" i="18"/>
  <c r="I142" i="18"/>
  <c r="K142" i="18"/>
  <c r="I143" i="18"/>
  <c r="K143" i="18"/>
  <c r="I144" i="18"/>
  <c r="K144" i="18"/>
  <c r="I145" i="18"/>
  <c r="K145" i="18"/>
  <c r="C157" i="18"/>
  <c r="D159" i="18"/>
  <c r="Q64" i="18" l="1"/>
  <c r="Q8" i="18"/>
  <c r="Q69" i="18"/>
  <c r="R69" i="18" s="1"/>
  <c r="S69" i="18" s="1"/>
  <c r="T69" i="18" s="1"/>
  <c r="Q44" i="18"/>
  <c r="R44" i="18" s="1"/>
  <c r="S44" i="18" s="1"/>
  <c r="T44" i="18" s="1"/>
  <c r="Q3" i="18"/>
  <c r="R3" i="18" s="1"/>
  <c r="S3" i="18" s="1"/>
  <c r="T3" i="18" s="1"/>
  <c r="Q30" i="18"/>
  <c r="R30" i="18" s="1"/>
  <c r="S30" i="18" s="1"/>
  <c r="T30" i="18" s="1"/>
  <c r="Q59" i="18"/>
  <c r="R59" i="18" s="1"/>
  <c r="S59" i="18" s="1"/>
  <c r="T59" i="18" s="1"/>
  <c r="Q48" i="18"/>
  <c r="R48" i="18" s="1"/>
  <c r="S48" i="18" s="1"/>
  <c r="T48" i="18" s="1"/>
  <c r="Q37" i="18"/>
  <c r="R37" i="18" s="1"/>
  <c r="S37" i="18" s="1"/>
  <c r="T37" i="18" s="1"/>
  <c r="Q36" i="18"/>
  <c r="R36" i="18" s="1"/>
  <c r="S36" i="18" s="1"/>
  <c r="T36" i="18" s="1"/>
  <c r="Q29" i="18"/>
  <c r="Q18" i="18"/>
  <c r="Q16" i="18"/>
  <c r="Q19" i="18"/>
  <c r="R19" i="18" s="1"/>
  <c r="S19" i="18" s="1"/>
  <c r="T19" i="18" s="1"/>
  <c r="Q11" i="18"/>
  <c r="R11" i="18" s="1"/>
  <c r="S11" i="18" s="1"/>
  <c r="T11" i="18" s="1"/>
  <c r="Q121" i="18"/>
  <c r="R121" i="18" s="1"/>
  <c r="S121" i="18" s="1"/>
  <c r="T121" i="18" s="1"/>
  <c r="Q115" i="18"/>
  <c r="R115" i="18" s="1"/>
  <c r="S115" i="18" s="1"/>
  <c r="T115" i="18" s="1"/>
  <c r="Q112" i="18"/>
  <c r="R112" i="18" s="1"/>
  <c r="S112" i="18" s="1"/>
  <c r="T112" i="18" s="1"/>
  <c r="Q101" i="18"/>
  <c r="Q102" i="18"/>
  <c r="R102" i="18" s="1"/>
  <c r="S102" i="18" s="1"/>
  <c r="T102" i="18" s="1"/>
  <c r="Q106" i="18"/>
  <c r="Q93" i="18"/>
  <c r="R93" i="18" s="1"/>
  <c r="S93" i="18" s="1"/>
  <c r="T93" i="18" s="1"/>
  <c r="Q85" i="18"/>
  <c r="R85" i="18" s="1"/>
  <c r="S85" i="18" s="1"/>
  <c r="T85" i="18" s="1"/>
  <c r="Q72" i="18"/>
  <c r="R72" i="18" s="1"/>
  <c r="S72" i="18" s="1"/>
  <c r="T72" i="18" s="1"/>
  <c r="D155" i="18"/>
  <c r="Q117" i="18"/>
  <c r="R117" i="18" s="1"/>
  <c r="S117" i="18" s="1"/>
  <c r="T117" i="18" s="1"/>
  <c r="Q83" i="18"/>
  <c r="R83" i="18" s="1"/>
  <c r="S83" i="18" s="1"/>
  <c r="T83" i="18" s="1"/>
  <c r="R18" i="18"/>
  <c r="S18" i="18" s="1"/>
  <c r="T18" i="18" s="1"/>
  <c r="Q91" i="18"/>
  <c r="R91" i="18" s="1"/>
  <c r="S91" i="18" s="1"/>
  <c r="T91" i="18" s="1"/>
  <c r="D158" i="18"/>
  <c r="Q74" i="18"/>
  <c r="D154" i="18"/>
  <c r="Q6" i="18"/>
  <c r="R6" i="18" s="1"/>
  <c r="S6" i="18" s="1"/>
  <c r="T6" i="18" s="1"/>
  <c r="Q4" i="18"/>
  <c r="R4" i="18" s="1"/>
  <c r="S4" i="18" s="1"/>
  <c r="T4" i="18" s="1"/>
  <c r="D157" i="18"/>
  <c r="C155" i="18"/>
  <c r="Q120" i="18"/>
  <c r="D153" i="18"/>
  <c r="Q105" i="18"/>
  <c r="R105" i="18" s="1"/>
  <c r="S105" i="18" s="1"/>
  <c r="T105" i="18" s="1"/>
  <c r="Q96" i="18"/>
  <c r="R96" i="18" s="1"/>
  <c r="S96" i="18" s="1"/>
  <c r="T96" i="18" s="1"/>
  <c r="Q58" i="18"/>
  <c r="R58" i="18" s="1"/>
  <c r="S58" i="18" s="1"/>
  <c r="T58" i="18" s="1"/>
  <c r="Q35" i="18"/>
  <c r="E154" i="18"/>
  <c r="Q26" i="18"/>
  <c r="R26" i="18" s="1"/>
  <c r="S26" i="18" s="1"/>
  <c r="T26" i="18" s="1"/>
  <c r="Q14" i="18"/>
  <c r="R14" i="18" s="1"/>
  <c r="S14" i="18" s="1"/>
  <c r="T14" i="18" s="1"/>
  <c r="R8" i="18"/>
  <c r="S8" i="18" s="1"/>
  <c r="T8" i="18" s="1"/>
  <c r="D152" i="18"/>
  <c r="Q114" i="18"/>
  <c r="Q104" i="18"/>
  <c r="R104" i="18" s="1"/>
  <c r="S104" i="18" s="1"/>
  <c r="T104" i="18" s="1"/>
  <c r="Q88" i="18"/>
  <c r="R88" i="18" s="1"/>
  <c r="S88" i="18" s="1"/>
  <c r="T88" i="18" s="1"/>
  <c r="Q87" i="18"/>
  <c r="R87" i="18" s="1"/>
  <c r="S87" i="18" s="1"/>
  <c r="T87" i="18" s="1"/>
  <c r="Q82" i="18"/>
  <c r="Q75" i="18"/>
  <c r="R75" i="18" s="1"/>
  <c r="S75" i="18" s="1"/>
  <c r="T75" i="18" s="1"/>
  <c r="Q61" i="18"/>
  <c r="Q43" i="18"/>
  <c r="R43" i="18" s="1"/>
  <c r="S43" i="18" s="1"/>
  <c r="T43" i="18" s="1"/>
  <c r="W33" i="18"/>
  <c r="W32" i="18"/>
  <c r="D160" i="18"/>
  <c r="Q113" i="18"/>
  <c r="R113" i="18" s="1"/>
  <c r="S113" i="18" s="1"/>
  <c r="T113" i="18" s="1"/>
  <c r="Q67" i="18"/>
  <c r="R67" i="18" s="1"/>
  <c r="S67" i="18" s="1"/>
  <c r="T67" i="18" s="1"/>
  <c r="Q55" i="18"/>
  <c r="R55" i="18" s="1"/>
  <c r="S55" i="18" s="1"/>
  <c r="T55" i="18" s="1"/>
  <c r="Q47" i="18"/>
  <c r="Q27" i="18"/>
  <c r="R27" i="18" s="1"/>
  <c r="S27" i="18" s="1"/>
  <c r="T27" i="18" s="1"/>
  <c r="C154" i="18"/>
  <c r="Q22" i="18"/>
  <c r="R22" i="18" s="1"/>
  <c r="S22" i="18" s="1"/>
  <c r="T22" i="18" s="1"/>
  <c r="D161" i="18"/>
  <c r="Q90" i="18"/>
  <c r="R90" i="18" s="1"/>
  <c r="S90" i="18" s="1"/>
  <c r="T90" i="18" s="1"/>
  <c r="D156" i="18"/>
  <c r="Q110" i="18"/>
  <c r="R110" i="18" s="1"/>
  <c r="S110" i="18" s="1"/>
  <c r="T110" i="18" s="1"/>
  <c r="Q98" i="18"/>
  <c r="W38" i="18"/>
  <c r="Q77" i="18"/>
  <c r="R77" i="18" s="1"/>
  <c r="S77" i="18" s="1"/>
  <c r="T77" i="18" s="1"/>
  <c r="Q62" i="18"/>
  <c r="R62" i="18" s="1"/>
  <c r="S62" i="18" s="1"/>
  <c r="T62" i="18" s="1"/>
  <c r="Q56" i="18"/>
  <c r="R56" i="18" s="1"/>
  <c r="S56" i="18" s="1"/>
  <c r="T56" i="18" s="1"/>
  <c r="C156" i="18"/>
  <c r="Q51" i="18"/>
  <c r="R51" i="18" s="1"/>
  <c r="S51" i="18" s="1"/>
  <c r="T51" i="18" s="1"/>
  <c r="Q109" i="18"/>
  <c r="R109" i="18" s="1"/>
  <c r="S109" i="18" s="1"/>
  <c r="T109" i="18" s="1"/>
  <c r="Q99" i="18"/>
  <c r="C153" i="18"/>
  <c r="Q116" i="18"/>
  <c r="R116" i="18" s="1"/>
  <c r="S116" i="18" s="1"/>
  <c r="T116" i="18" s="1"/>
  <c r="C152" i="18"/>
  <c r="Q118" i="18"/>
  <c r="R118" i="18" s="1"/>
  <c r="S118" i="18" s="1"/>
  <c r="T118" i="18" s="1"/>
  <c r="C160" i="18"/>
  <c r="Q24" i="18"/>
  <c r="R24" i="18" s="1"/>
  <c r="S24" i="18" s="1"/>
  <c r="T24" i="18" s="1"/>
  <c r="E152" i="18"/>
  <c r="C158" i="18"/>
  <c r="E153" i="18"/>
  <c r="Q53" i="18"/>
  <c r="R53" i="18" s="1"/>
  <c r="S53" i="18" s="1"/>
  <c r="T53" i="18" s="1"/>
  <c r="Q107" i="18"/>
  <c r="R107" i="18" s="1"/>
  <c r="S107" i="18" s="1"/>
  <c r="T107" i="18" s="1"/>
  <c r="C161" i="18"/>
  <c r="Q80" i="18"/>
  <c r="R80" i="18" s="1"/>
  <c r="S80" i="18" s="1"/>
  <c r="T80" i="18" s="1"/>
  <c r="Q84" i="18"/>
  <c r="Q81" i="18"/>
  <c r="R81" i="18" s="1"/>
  <c r="S81" i="18" s="1"/>
  <c r="T81" i="18" s="1"/>
  <c r="Q78" i="18"/>
  <c r="R78" i="18" s="1"/>
  <c r="S78" i="18" s="1"/>
  <c r="T78" i="18" s="1"/>
  <c r="Q34" i="18"/>
  <c r="R34" i="18" s="1"/>
  <c r="S34" i="18" s="1"/>
  <c r="T34" i="18" s="1"/>
  <c r="Q32" i="18"/>
  <c r="R32" i="18" s="1"/>
  <c r="S32" i="18" s="1"/>
  <c r="T32" i="18" s="1"/>
  <c r="Q7" i="18"/>
  <c r="R7" i="18" s="1"/>
  <c r="S7" i="18" s="1"/>
  <c r="T7" i="18" s="1"/>
  <c r="Q111" i="18"/>
  <c r="R111" i="18" s="1"/>
  <c r="S111" i="18" s="1"/>
  <c r="T111" i="18" s="1"/>
  <c r="E159" i="18"/>
  <c r="Q89" i="18"/>
  <c r="R89" i="18" s="1"/>
  <c r="S89" i="18" s="1"/>
  <c r="T89" i="18" s="1"/>
  <c r="Q86" i="18"/>
  <c r="Q57" i="18"/>
  <c r="R57" i="18" s="1"/>
  <c r="S57" i="18" s="1"/>
  <c r="T57" i="18" s="1"/>
  <c r="E155" i="18"/>
  <c r="Q28" i="18"/>
  <c r="R28" i="18" s="1"/>
  <c r="S28" i="18" s="1"/>
  <c r="T28" i="18" s="1"/>
  <c r="Q17" i="18"/>
  <c r="R17" i="18" s="1"/>
  <c r="S17" i="18" s="1"/>
  <c r="T17" i="18" s="1"/>
  <c r="Q13" i="18"/>
  <c r="R13" i="18" s="1"/>
  <c r="S13" i="18" s="1"/>
  <c r="T13" i="18" s="1"/>
  <c r="Q2" i="18"/>
  <c r="Q54" i="18"/>
  <c r="R54" i="18" s="1"/>
  <c r="S54" i="18" s="1"/>
  <c r="T54" i="18" s="1"/>
  <c r="Q60" i="18"/>
  <c r="R60" i="18" s="1"/>
  <c r="S60" i="18" s="1"/>
  <c r="T60" i="18" s="1"/>
  <c r="W35" i="18"/>
  <c r="Q49" i="18"/>
  <c r="R49" i="18" s="1"/>
  <c r="S49" i="18" s="1"/>
  <c r="T49" i="18" s="1"/>
  <c r="Q45" i="18"/>
  <c r="R45" i="18" s="1"/>
  <c r="S45" i="18" s="1"/>
  <c r="T45" i="18" s="1"/>
  <c r="Q33" i="18"/>
  <c r="R33" i="18" s="1"/>
  <c r="S33" i="18" s="1"/>
  <c r="T33" i="18" s="1"/>
  <c r="Q31" i="18"/>
  <c r="R31" i="18" s="1"/>
  <c r="S31" i="18" s="1"/>
  <c r="T31" i="18" s="1"/>
  <c r="Q20" i="18"/>
  <c r="R20" i="18" s="1"/>
  <c r="S20" i="18" s="1"/>
  <c r="T20" i="18" s="1"/>
  <c r="Q10" i="18"/>
  <c r="R10" i="18" s="1"/>
  <c r="S10" i="18" s="1"/>
  <c r="T10" i="18" s="1"/>
  <c r="W40" i="18"/>
  <c r="Q95" i="18"/>
  <c r="R95" i="18" s="1"/>
  <c r="S95" i="18" s="1"/>
  <c r="T95" i="18" s="1"/>
  <c r="Q42" i="18"/>
  <c r="R42" i="18" s="1"/>
  <c r="S42" i="18" s="1"/>
  <c r="T42" i="18" s="1"/>
  <c r="Q38" i="18"/>
  <c r="Q25" i="18"/>
  <c r="R25" i="18" s="1"/>
  <c r="S25" i="18" s="1"/>
  <c r="T25" i="18" s="1"/>
  <c r="Q103" i="18"/>
  <c r="R103" i="18" s="1"/>
  <c r="S103" i="18" s="1"/>
  <c r="T103" i="18" s="1"/>
  <c r="Q79" i="18"/>
  <c r="Q119" i="18"/>
  <c r="R119" i="18" s="1"/>
  <c r="S119" i="18" s="1"/>
  <c r="T119" i="18" s="1"/>
  <c r="Q97" i="18"/>
  <c r="R97" i="18" s="1"/>
  <c r="S97" i="18" s="1"/>
  <c r="T97" i="18" s="1"/>
  <c r="Q94" i="18"/>
  <c r="R94" i="18" s="1"/>
  <c r="S94" i="18" s="1"/>
  <c r="T94" i="18" s="1"/>
  <c r="Q76" i="18"/>
  <c r="R76" i="18" s="1"/>
  <c r="S76" i="18" s="1"/>
  <c r="T76" i="18" s="1"/>
  <c r="Q73" i="18"/>
  <c r="R73" i="18" s="1"/>
  <c r="S73" i="18" s="1"/>
  <c r="T73" i="18" s="1"/>
  <c r="Q70" i="18"/>
  <c r="R70" i="18" s="1"/>
  <c r="S70" i="18" s="1"/>
  <c r="T70" i="18" s="1"/>
  <c r="Q66" i="18"/>
  <c r="Q52" i="18"/>
  <c r="R52" i="18" s="1"/>
  <c r="S52" i="18" s="1"/>
  <c r="T52" i="18" s="1"/>
  <c r="Q23" i="18"/>
  <c r="R23" i="18" s="1"/>
  <c r="S23" i="18" s="1"/>
  <c r="T23" i="18" s="1"/>
  <c r="Q12" i="18"/>
  <c r="R12" i="18" s="1"/>
  <c r="S12" i="18" s="1"/>
  <c r="T12" i="18" s="1"/>
  <c r="Q9" i="18"/>
  <c r="R9" i="18" s="1"/>
  <c r="S9" i="18" s="1"/>
  <c r="T9" i="18" s="1"/>
  <c r="Q5" i="18"/>
  <c r="R5" i="18" s="1"/>
  <c r="S5" i="18" s="1"/>
  <c r="T5" i="18" s="1"/>
  <c r="Q92" i="18"/>
  <c r="R92" i="18" s="1"/>
  <c r="S92" i="18" s="1"/>
  <c r="T92" i="18" s="1"/>
  <c r="Q71" i="18"/>
  <c r="R71" i="18" s="1"/>
  <c r="S71" i="18" s="1"/>
  <c r="T71" i="18" s="1"/>
  <c r="Q68" i="18"/>
  <c r="R68" i="18" s="1"/>
  <c r="S68" i="18" s="1"/>
  <c r="T68" i="18" s="1"/>
  <c r="Q65" i="18"/>
  <c r="R65" i="18" s="1"/>
  <c r="S65" i="18" s="1"/>
  <c r="T65" i="18" s="1"/>
  <c r="Q50" i="18"/>
  <c r="Q46" i="18"/>
  <c r="R46" i="18" s="1"/>
  <c r="S46" i="18" s="1"/>
  <c r="T46" i="18" s="1"/>
  <c r="Q40" i="18"/>
  <c r="R40" i="18" s="1"/>
  <c r="S40" i="18" s="1"/>
  <c r="T40" i="18" s="1"/>
  <c r="Q21" i="18"/>
  <c r="R21" i="18" s="1"/>
  <c r="S21" i="18" s="1"/>
  <c r="T21" i="18" s="1"/>
  <c r="Q100" i="18"/>
  <c r="R100" i="18" s="1"/>
  <c r="S100" i="18" s="1"/>
  <c r="T100" i="18" s="1"/>
  <c r="Q108" i="18"/>
  <c r="R108" i="18" s="1"/>
  <c r="S108" i="18" s="1"/>
  <c r="T108" i="18" s="1"/>
  <c r="Q63" i="18"/>
  <c r="R63" i="18" s="1"/>
  <c r="S63" i="18" s="1"/>
  <c r="T63" i="18" s="1"/>
  <c r="Q41" i="18"/>
  <c r="R41" i="18" s="1"/>
  <c r="S41" i="18" s="1"/>
  <c r="T41" i="18" s="1"/>
  <c r="Q39" i="18"/>
  <c r="R39" i="18" s="1"/>
  <c r="S39" i="18" s="1"/>
  <c r="T39" i="18" s="1"/>
  <c r="Q15" i="18"/>
  <c r="R15" i="18" s="1"/>
  <c r="S15" i="18" s="1"/>
  <c r="T15" i="18" s="1"/>
  <c r="R16" i="18" l="1"/>
  <c r="S16" i="18" s="1"/>
  <c r="T16" i="18" s="1"/>
  <c r="R101" i="18"/>
  <c r="S101" i="18" s="1"/>
  <c r="T101" i="18" s="1"/>
  <c r="R61" i="18"/>
  <c r="S61" i="18" s="1"/>
  <c r="T61" i="18" s="1"/>
  <c r="R106" i="18"/>
  <c r="S106" i="18" s="1"/>
  <c r="T106" i="18" s="1"/>
  <c r="R35" i="18"/>
  <c r="S35" i="18" s="1"/>
  <c r="T35" i="18" s="1"/>
  <c r="R29" i="18"/>
  <c r="S29" i="18" s="1"/>
  <c r="T29" i="18" s="1"/>
  <c r="R82" i="18"/>
  <c r="S82" i="18" s="1"/>
  <c r="T82" i="18" s="1"/>
  <c r="E157" i="18"/>
  <c r="W31" i="18"/>
  <c r="X32" i="18" s="1"/>
  <c r="R66" i="18"/>
  <c r="S66" i="18" s="1"/>
  <c r="T66" i="18" s="1"/>
  <c r="R84" i="18"/>
  <c r="S84" i="18" s="1"/>
  <c r="T84" i="18" s="1"/>
  <c r="R79" i="18"/>
  <c r="S79" i="18" s="1"/>
  <c r="T79" i="18" s="1"/>
  <c r="R120" i="18"/>
  <c r="S120" i="18" s="1"/>
  <c r="T120" i="18" s="1"/>
  <c r="Y39" i="18"/>
  <c r="Y33" i="18"/>
  <c r="R64" i="18"/>
  <c r="S64" i="18" s="1"/>
  <c r="T64" i="18" s="1"/>
  <c r="W37" i="18"/>
  <c r="E158" i="18"/>
  <c r="Y36" i="18"/>
  <c r="Q158" i="18"/>
  <c r="R50" i="18"/>
  <c r="S50" i="18" s="1"/>
  <c r="T50" i="18" s="1"/>
  <c r="Y35" i="18"/>
  <c r="Q156" i="18"/>
  <c r="W36" i="18"/>
  <c r="X36" i="18" s="1"/>
  <c r="R86" i="18"/>
  <c r="S86" i="18" s="1"/>
  <c r="T86" i="18" s="1"/>
  <c r="Q159" i="18"/>
  <c r="Y38" i="18"/>
  <c r="E156" i="18"/>
  <c r="E161" i="18"/>
  <c r="Q157" i="18"/>
  <c r="R114" i="18"/>
  <c r="S114" i="18" s="1"/>
  <c r="T114" i="18" s="1"/>
  <c r="R47" i="18"/>
  <c r="S47" i="18" s="1"/>
  <c r="T47" i="18" s="1"/>
  <c r="R2" i="18"/>
  <c r="S2" i="18" s="1"/>
  <c r="T2" i="18" s="1"/>
  <c r="Q152" i="18"/>
  <c r="Y31" i="18"/>
  <c r="E160" i="18"/>
  <c r="W39" i="18"/>
  <c r="X39" i="18" s="1"/>
  <c r="R38" i="18"/>
  <c r="S38" i="18" s="1"/>
  <c r="T38" i="18" s="1"/>
  <c r="Y34" i="18"/>
  <c r="Q155" i="18"/>
  <c r="W34" i="18"/>
  <c r="X34" i="18" s="1"/>
  <c r="Q153" i="18"/>
  <c r="Y37" i="18"/>
  <c r="Y32" i="18"/>
  <c r="Q161" i="18"/>
  <c r="R74" i="18"/>
  <c r="S74" i="18" s="1"/>
  <c r="T74" i="18" s="1"/>
  <c r="X35" i="18"/>
  <c r="R99" i="18"/>
  <c r="S99" i="18" s="1"/>
  <c r="T99" i="18" s="1"/>
  <c r="Q160" i="18"/>
  <c r="R98" i="18"/>
  <c r="S98" i="18" s="1"/>
  <c r="T98" i="18" s="1"/>
  <c r="X33" i="18"/>
  <c r="Y40" i="18"/>
  <c r="Q154" i="18"/>
  <c r="AA35" i="18" l="1"/>
  <c r="Z35" i="18"/>
  <c r="AA32" i="18"/>
  <c r="Z32" i="18"/>
  <c r="Z31" i="18"/>
  <c r="Z34" i="18"/>
  <c r="AA33" i="18"/>
  <c r="Z33" i="18"/>
  <c r="AA40" i="18"/>
  <c r="Z40" i="18"/>
  <c r="Z39" i="18"/>
  <c r="AA38" i="18"/>
  <c r="Z38" i="18"/>
  <c r="Z37" i="18"/>
  <c r="AA36" i="18"/>
  <c r="Z36" i="18"/>
  <c r="X37" i="18"/>
  <c r="E163" i="18"/>
  <c r="AA34" i="18"/>
  <c r="AA39" i="18"/>
  <c r="AA31" i="18"/>
  <c r="Y41" i="18"/>
  <c r="X38" i="18"/>
  <c r="AA37" i="18"/>
  <c r="Q163" i="18"/>
  <c r="X40" i="18"/>
  <c r="W41" i="18"/>
  <c r="R163" i="18" l="1"/>
  <c r="Z42" i="18"/>
  <c r="Z43" i="18"/>
  <c r="N68" i="29" l="1"/>
  <c r="N52" i="29"/>
  <c r="N35" i="29"/>
  <c r="S67" i="29"/>
  <c r="T67" i="29" s="1"/>
  <c r="S66" i="29"/>
  <c r="T66" i="29" s="1"/>
  <c r="S65" i="29"/>
  <c r="T65" i="29" s="1"/>
  <c r="S64" i="29"/>
  <c r="T64" i="29" s="1"/>
  <c r="S63" i="29"/>
  <c r="T63" i="29" s="1"/>
  <c r="S62" i="29"/>
  <c r="T62" i="29" s="1"/>
  <c r="S61" i="29"/>
  <c r="T61" i="29" s="1"/>
  <c r="S60" i="29"/>
  <c r="T60" i="29" s="1"/>
  <c r="S59" i="29"/>
  <c r="T59" i="29" s="1"/>
  <c r="S58" i="29"/>
  <c r="T58" i="29" s="1"/>
  <c r="S57" i="29"/>
  <c r="T57" i="29" s="1"/>
  <c r="S56" i="29"/>
  <c r="T56" i="29" s="1"/>
  <c r="S51" i="29"/>
  <c r="T51" i="29" s="1"/>
  <c r="S50" i="29"/>
  <c r="T50" i="29" s="1"/>
  <c r="S49" i="29"/>
  <c r="T49" i="29" s="1"/>
  <c r="S48" i="29"/>
  <c r="T48" i="29" s="1"/>
  <c r="S47" i="29"/>
  <c r="T47" i="29" s="1"/>
  <c r="S46" i="29"/>
  <c r="T46" i="29" s="1"/>
  <c r="S45" i="29"/>
  <c r="T45" i="29" s="1"/>
  <c r="S44" i="29"/>
  <c r="T44" i="29" s="1"/>
  <c r="S43" i="29"/>
  <c r="T43" i="29" s="1"/>
  <c r="S42" i="29"/>
  <c r="T42" i="29" s="1"/>
  <c r="S41" i="29"/>
  <c r="T41" i="29" s="1"/>
  <c r="S40" i="29"/>
  <c r="T40" i="29" s="1"/>
  <c r="C69" i="29"/>
  <c r="C52" i="29"/>
  <c r="C35" i="29"/>
  <c r="S23" i="29"/>
  <c r="T23" i="29" s="1"/>
  <c r="S34" i="29"/>
  <c r="T34" i="29" s="1"/>
  <c r="S33" i="29"/>
  <c r="T33" i="29" s="1"/>
  <c r="S32" i="29"/>
  <c r="T32" i="29" s="1"/>
  <c r="S31" i="29"/>
  <c r="T31" i="29" s="1"/>
  <c r="S30" i="29"/>
  <c r="T30" i="29" s="1"/>
  <c r="S29" i="29"/>
  <c r="T29" i="29" s="1"/>
  <c r="S28" i="29"/>
  <c r="T28" i="29" s="1"/>
  <c r="S27" i="29"/>
  <c r="T27" i="29" s="1"/>
  <c r="S26" i="29"/>
  <c r="T26" i="29" s="1"/>
  <c r="S25" i="29"/>
  <c r="T25" i="29" s="1"/>
  <c r="S24" i="29"/>
  <c r="T24" i="29" s="1"/>
  <c r="C5" i="29"/>
  <c r="N6" i="29"/>
  <c r="N7" i="29"/>
  <c r="N8" i="29"/>
  <c r="N9" i="29"/>
  <c r="N10" i="29"/>
  <c r="N11" i="29"/>
  <c r="N12" i="29"/>
  <c r="N13" i="29"/>
  <c r="N14" i="29"/>
  <c r="N15" i="29"/>
  <c r="N16" i="29"/>
  <c r="N5" i="29"/>
  <c r="M5" i="29"/>
  <c r="M16" i="29"/>
  <c r="M15" i="29"/>
  <c r="M14" i="29"/>
  <c r="M13" i="29"/>
  <c r="M12" i="29"/>
  <c r="M11" i="29"/>
  <c r="M10" i="29"/>
  <c r="M9" i="29"/>
  <c r="M8" i="29"/>
  <c r="M7" i="29"/>
  <c r="M6" i="29"/>
  <c r="S5" i="29" l="1"/>
  <c r="T5" i="29" s="1"/>
  <c r="S35" i="29"/>
  <c r="T35" i="29" s="1"/>
  <c r="S52" i="29"/>
  <c r="T52" i="29" s="1"/>
  <c r="S68" i="29"/>
  <c r="T68" i="29" s="1"/>
  <c r="M17" i="29"/>
  <c r="N17" i="29"/>
  <c r="C6" i="29"/>
  <c r="S6" i="29" s="1"/>
  <c r="T6" i="29" s="1"/>
  <c r="C7" i="29"/>
  <c r="S7" i="29" s="1"/>
  <c r="T7" i="29" s="1"/>
  <c r="C8" i="29"/>
  <c r="S8" i="29" s="1"/>
  <c r="T8" i="29" s="1"/>
  <c r="C9" i="29"/>
  <c r="S9" i="29" s="1"/>
  <c r="T9" i="29" s="1"/>
  <c r="C10" i="29"/>
  <c r="S10" i="29" s="1"/>
  <c r="T10" i="29" s="1"/>
  <c r="C11" i="29"/>
  <c r="S11" i="29" s="1"/>
  <c r="T11" i="29" s="1"/>
  <c r="C12" i="29"/>
  <c r="S12" i="29" s="1"/>
  <c r="T12" i="29" s="1"/>
  <c r="C13" i="29"/>
  <c r="C14" i="29"/>
  <c r="S14" i="29" s="1"/>
  <c r="T14" i="29" s="1"/>
  <c r="C15" i="29"/>
  <c r="S15" i="29" s="1"/>
  <c r="T15" i="29" s="1"/>
  <c r="C16" i="29"/>
  <c r="S16" i="29" s="1"/>
  <c r="T16" i="29" s="1"/>
  <c r="M68" i="29"/>
  <c r="M52" i="29"/>
  <c r="C17" i="29" l="1"/>
  <c r="S13" i="29"/>
  <c r="T13" i="29" s="1"/>
  <c r="B24" i="29"/>
  <c r="F108" i="29" s="1"/>
  <c r="B25" i="29"/>
  <c r="F109" i="29" s="1"/>
  <c r="B26" i="29"/>
  <c r="F110" i="29" s="1"/>
  <c r="B27" i="29"/>
  <c r="F111" i="29" s="1"/>
  <c r="B28" i="29"/>
  <c r="F112" i="29" s="1"/>
  <c r="B29" i="29"/>
  <c r="F113" i="29" s="1"/>
  <c r="B30" i="29"/>
  <c r="F114" i="29" s="1"/>
  <c r="B31" i="29"/>
  <c r="F115" i="29" s="1"/>
  <c r="B32" i="29"/>
  <c r="F116" i="29" s="1"/>
  <c r="B33" i="29"/>
  <c r="F117" i="29" s="1"/>
  <c r="B34" i="29"/>
  <c r="F118" i="29" s="1"/>
  <c r="B23" i="29"/>
  <c r="F107" i="29" s="1"/>
  <c r="B68" i="29"/>
  <c r="B67" i="29"/>
  <c r="B66" i="29"/>
  <c r="B65" i="29"/>
  <c r="B64" i="29"/>
  <c r="B63" i="29"/>
  <c r="B62" i="29"/>
  <c r="B61" i="29"/>
  <c r="B60" i="29"/>
  <c r="B59" i="29"/>
  <c r="B58" i="29"/>
  <c r="B57" i="29"/>
  <c r="B40" i="29"/>
  <c r="B41" i="29"/>
  <c r="B42" i="29"/>
  <c r="B43" i="29"/>
  <c r="B44" i="29"/>
  <c r="B45" i="29"/>
  <c r="B46" i="29"/>
  <c r="B47" i="29"/>
  <c r="B48" i="29"/>
  <c r="B49" i="29"/>
  <c r="B50" i="29"/>
  <c r="B51" i="29"/>
  <c r="M35" i="29"/>
  <c r="F119" i="29" l="1"/>
  <c r="P43" i="29"/>
  <c r="Q43" i="29" s="1"/>
  <c r="D110" i="29"/>
  <c r="P51" i="29"/>
  <c r="Q51" i="29" s="1"/>
  <c r="D118" i="29"/>
  <c r="P60" i="29"/>
  <c r="Q60" i="29" s="1"/>
  <c r="B111" i="29"/>
  <c r="P49" i="29"/>
  <c r="Q49" i="29" s="1"/>
  <c r="D116" i="29"/>
  <c r="P41" i="29"/>
  <c r="Q41" i="29" s="1"/>
  <c r="D108" i="29"/>
  <c r="P62" i="29"/>
  <c r="Q62" i="29" s="1"/>
  <c r="B113" i="29"/>
  <c r="P48" i="29"/>
  <c r="Q48" i="29" s="1"/>
  <c r="D115" i="29"/>
  <c r="P40" i="29"/>
  <c r="Q40" i="29" s="1"/>
  <c r="D107" i="29"/>
  <c r="P63" i="29"/>
  <c r="Q63" i="29" s="1"/>
  <c r="B114" i="29"/>
  <c r="P42" i="29"/>
  <c r="Q42" i="29" s="1"/>
  <c r="D109" i="29"/>
  <c r="P64" i="29"/>
  <c r="Q64" i="29" s="1"/>
  <c r="B115" i="29"/>
  <c r="P46" i="29"/>
  <c r="Q46" i="29" s="1"/>
  <c r="D113" i="29"/>
  <c r="P57" i="29"/>
  <c r="Q57" i="29" s="1"/>
  <c r="B108" i="29"/>
  <c r="H108" i="29" s="1"/>
  <c r="P65" i="29"/>
  <c r="Q65" i="29" s="1"/>
  <c r="B116" i="29"/>
  <c r="S17" i="29"/>
  <c r="T17" i="29" s="1"/>
  <c r="H15" i="23"/>
  <c r="H14" i="23"/>
  <c r="P50" i="29"/>
  <c r="Q50" i="29" s="1"/>
  <c r="D117" i="29"/>
  <c r="P61" i="29"/>
  <c r="Q61" i="29" s="1"/>
  <c r="B112" i="29"/>
  <c r="H112" i="29" s="1"/>
  <c r="P47" i="29"/>
  <c r="Q47" i="29" s="1"/>
  <c r="D114" i="29"/>
  <c r="P56" i="29"/>
  <c r="Q56" i="29" s="1"/>
  <c r="B107" i="29"/>
  <c r="P45" i="29"/>
  <c r="Q45" i="29" s="1"/>
  <c r="D112" i="29"/>
  <c r="P58" i="29"/>
  <c r="Q58" i="29" s="1"/>
  <c r="B109" i="29"/>
  <c r="P66" i="29"/>
  <c r="Q66" i="29" s="1"/>
  <c r="B117" i="29"/>
  <c r="H117" i="29" s="1"/>
  <c r="P44" i="29"/>
  <c r="Q44" i="29" s="1"/>
  <c r="D111" i="29"/>
  <c r="P59" i="29"/>
  <c r="Q59" i="29" s="1"/>
  <c r="B110" i="29"/>
  <c r="P67" i="29"/>
  <c r="Q67" i="29" s="1"/>
  <c r="B118" i="29"/>
  <c r="P25" i="29"/>
  <c r="Q25" i="29" s="1"/>
  <c r="B7" i="29"/>
  <c r="P7" i="29" s="1"/>
  <c r="Q7" i="29" s="1"/>
  <c r="B13" i="29"/>
  <c r="P13" i="29" s="1"/>
  <c r="Q13" i="29" s="1"/>
  <c r="P31" i="29"/>
  <c r="Q31" i="29" s="1"/>
  <c r="B12" i="29"/>
  <c r="P12" i="29" s="1"/>
  <c r="Q12" i="29" s="1"/>
  <c r="P30" i="29"/>
  <c r="Q30" i="29" s="1"/>
  <c r="P33" i="29"/>
  <c r="Q33" i="29" s="1"/>
  <c r="B15" i="29"/>
  <c r="P15" i="29" s="1"/>
  <c r="Q15" i="29" s="1"/>
  <c r="P24" i="29"/>
  <c r="Q24" i="29" s="1"/>
  <c r="B6" i="29"/>
  <c r="P6" i="29" s="1"/>
  <c r="Q6" i="29" s="1"/>
  <c r="B11" i="29"/>
  <c r="P11" i="29" s="1"/>
  <c r="Q11" i="29" s="1"/>
  <c r="P29" i="29"/>
  <c r="Q29" i="29" s="1"/>
  <c r="B10" i="29"/>
  <c r="P10" i="29" s="1"/>
  <c r="Q10" i="29" s="1"/>
  <c r="P28" i="29"/>
  <c r="Q28" i="29" s="1"/>
  <c r="B35" i="29"/>
  <c r="P35" i="29" s="1"/>
  <c r="Q35" i="29" s="1"/>
  <c r="P23" i="29"/>
  <c r="Q23" i="29" s="1"/>
  <c r="B5" i="29"/>
  <c r="P5" i="29" s="1"/>
  <c r="Q5" i="29" s="1"/>
  <c r="P27" i="29"/>
  <c r="Q27" i="29" s="1"/>
  <c r="B9" i="29"/>
  <c r="P9" i="29" s="1"/>
  <c r="Q9" i="29" s="1"/>
  <c r="P32" i="29"/>
  <c r="Q32" i="29" s="1"/>
  <c r="B14" i="29"/>
  <c r="P14" i="29" s="1"/>
  <c r="Q14" i="29" s="1"/>
  <c r="P34" i="29"/>
  <c r="Q34" i="29" s="1"/>
  <c r="B16" i="29"/>
  <c r="P16" i="29" s="1"/>
  <c r="Q16" i="29" s="1"/>
  <c r="P26" i="29"/>
  <c r="Q26" i="29" s="1"/>
  <c r="B8" i="29"/>
  <c r="P8" i="29" s="1"/>
  <c r="Q8" i="29" s="1"/>
  <c r="B69" i="29"/>
  <c r="P68" i="29" s="1"/>
  <c r="Q68" i="29" s="1"/>
  <c r="B52" i="29"/>
  <c r="P52" i="29" s="1"/>
  <c r="Q52" i="29" s="1"/>
  <c r="H115" i="29" l="1"/>
  <c r="H109" i="29"/>
  <c r="H118" i="29"/>
  <c r="H110" i="29"/>
  <c r="D119" i="29"/>
  <c r="H107" i="29"/>
  <c r="B119" i="29"/>
  <c r="H111" i="29"/>
  <c r="H116" i="29"/>
  <c r="H113" i="29"/>
  <c r="H114" i="29"/>
  <c r="B17" i="29"/>
  <c r="E55" i="27"/>
  <c r="P17" i="29" l="1"/>
  <c r="Q17" i="29" s="1"/>
  <c r="Q14" i="21"/>
  <c r="Q13" i="21"/>
  <c r="Q29" i="21" s="1"/>
  <c r="H119" i="29"/>
  <c r="L140" i="18" l="1"/>
  <c r="L137" i="18"/>
  <c r="L142" i="18"/>
  <c r="L136" i="18"/>
  <c r="L143" i="18"/>
  <c r="L138" i="18"/>
  <c r="L139" i="18"/>
  <c r="L135" i="18"/>
  <c r="L141" i="18"/>
  <c r="L134" i="18"/>
  <c r="B86" i="27"/>
  <c r="L145" i="18" l="1"/>
  <c r="L144" i="18"/>
  <c r="H22" i="27"/>
  <c r="G28" i="27"/>
  <c r="G86" i="27" l="1"/>
  <c r="F86" i="27"/>
  <c r="E86" i="27"/>
  <c r="D86" i="27"/>
  <c r="C86" i="27"/>
  <c r="D57" i="27"/>
  <c r="F57" i="27" s="1"/>
  <c r="C57" i="27"/>
  <c r="E56" i="27"/>
  <c r="E54" i="27"/>
  <c r="E53" i="27"/>
  <c r="E52" i="27"/>
  <c r="E51" i="27"/>
  <c r="E50" i="27"/>
  <c r="E49" i="27"/>
  <c r="E48" i="27"/>
  <c r="E47" i="27"/>
  <c r="H28" i="27"/>
  <c r="F28" i="27"/>
  <c r="E28" i="27"/>
  <c r="D28" i="27"/>
  <c r="C28" i="27"/>
  <c r="B28" i="27"/>
  <c r="H27" i="27"/>
  <c r="A27" i="27"/>
  <c r="H26" i="27"/>
  <c r="H18" i="27" s="1"/>
  <c r="A26" i="27"/>
  <c r="H25" i="27"/>
  <c r="H17" i="27" s="1"/>
  <c r="A25" i="27"/>
  <c r="H24" i="27"/>
  <c r="H16" i="27" s="1"/>
  <c r="A24" i="27"/>
  <c r="H23" i="27"/>
  <c r="H15" i="27" s="1"/>
  <c r="A23" i="27"/>
  <c r="H14" i="27"/>
  <c r="A22" i="27"/>
  <c r="F16" i="27" l="1"/>
  <c r="D16" i="27"/>
  <c r="F18" i="27"/>
  <c r="D15" i="27"/>
  <c r="E14" i="27"/>
  <c r="F17" i="27"/>
  <c r="E15" i="27"/>
  <c r="F15" i="27"/>
  <c r="E17" i="27"/>
  <c r="B14" i="27"/>
  <c r="B20" i="27" s="1"/>
  <c r="G19" i="27"/>
  <c r="G16" i="27"/>
  <c r="C14" i="27"/>
  <c r="D14" i="27"/>
  <c r="D20" i="27" s="1"/>
  <c r="F14" i="27"/>
  <c r="G14" i="27"/>
  <c r="G20" i="27" s="1"/>
  <c r="E16" i="27"/>
  <c r="G18" i="27"/>
  <c r="G17" i="27"/>
  <c r="G15" i="27"/>
  <c r="C15" i="27"/>
  <c r="G29" i="27"/>
  <c r="E57" i="27"/>
  <c r="H19" i="27"/>
  <c r="H20" i="27" s="1"/>
  <c r="G88" i="27"/>
  <c r="C88" i="27"/>
  <c r="C90" i="27" s="1"/>
  <c r="C93" i="27" s="1"/>
  <c r="B88" i="27"/>
  <c r="D88" i="27"/>
  <c r="D90" i="27" s="1"/>
  <c r="D93" i="27" s="1"/>
  <c r="E88" i="27"/>
  <c r="F88" i="27"/>
  <c r="F93" i="27" s="1"/>
  <c r="I86" i="27"/>
  <c r="G93" i="27" l="1"/>
  <c r="I90" i="27"/>
  <c r="E90" i="27"/>
  <c r="C20" i="27"/>
  <c r="E20" i="27"/>
  <c r="F20" i="27"/>
  <c r="B90" i="27"/>
  <c r="E93" i="27" l="1"/>
  <c r="B93" i="27"/>
  <c r="I93" i="27" l="1"/>
  <c r="K37" i="24" l="1"/>
  <c r="J37" i="24"/>
  <c r="I37" i="24"/>
  <c r="H37" i="24"/>
  <c r="G37" i="24"/>
  <c r="F37" i="24"/>
  <c r="E37" i="24"/>
  <c r="D37" i="24"/>
  <c r="C37" i="24"/>
  <c r="K36" i="24"/>
  <c r="J36" i="24"/>
  <c r="I36" i="24"/>
  <c r="H36" i="24"/>
  <c r="G36" i="24"/>
  <c r="F36" i="24"/>
  <c r="E36" i="24"/>
  <c r="D36" i="24"/>
  <c r="C36" i="24"/>
  <c r="K33" i="24"/>
  <c r="J33" i="24"/>
  <c r="I33" i="24"/>
  <c r="H33" i="24"/>
  <c r="G33" i="24"/>
  <c r="F33" i="24"/>
  <c r="E33" i="24"/>
  <c r="D33" i="24"/>
  <c r="C33" i="24"/>
  <c r="K32" i="24"/>
  <c r="J32" i="24"/>
  <c r="I32" i="24"/>
  <c r="H32" i="24"/>
  <c r="G32" i="24"/>
  <c r="F32" i="24"/>
  <c r="E32" i="24"/>
  <c r="D32" i="24"/>
  <c r="C32" i="24"/>
  <c r="K29" i="24"/>
  <c r="J29" i="24"/>
  <c r="I29" i="24"/>
  <c r="H29" i="24"/>
  <c r="G29" i="24"/>
  <c r="F29" i="24"/>
  <c r="E29" i="24"/>
  <c r="D29" i="24"/>
  <c r="C29" i="24"/>
  <c r="K26" i="24"/>
  <c r="J26" i="24"/>
  <c r="I26" i="24"/>
  <c r="H26" i="24"/>
  <c r="G26" i="24"/>
  <c r="F26" i="24"/>
  <c r="E26" i="24"/>
  <c r="D26" i="24"/>
  <c r="C26" i="24"/>
  <c r="K25" i="24"/>
  <c r="J25" i="24"/>
  <c r="I25" i="24"/>
  <c r="H25" i="24"/>
  <c r="G25" i="24"/>
  <c r="F25" i="24"/>
  <c r="E25" i="24"/>
  <c r="D25" i="24"/>
  <c r="C25" i="24"/>
  <c r="G22" i="24"/>
  <c r="F22" i="24"/>
  <c r="E22" i="24"/>
  <c r="K21" i="24"/>
  <c r="J21" i="24"/>
  <c r="I21" i="24"/>
  <c r="H21" i="24"/>
  <c r="G21" i="24"/>
  <c r="F21" i="24"/>
  <c r="E21" i="24"/>
  <c r="D21" i="24"/>
  <c r="C21" i="24"/>
  <c r="K18" i="24"/>
  <c r="J18" i="24"/>
  <c r="I18" i="24"/>
  <c r="H18" i="24"/>
  <c r="G18" i="24"/>
  <c r="F18" i="24"/>
  <c r="E18" i="24"/>
  <c r="D18" i="24"/>
  <c r="C18" i="24"/>
  <c r="J15" i="24"/>
  <c r="I15" i="24"/>
  <c r="H15" i="24"/>
  <c r="E28" i="23"/>
  <c r="H27" i="23"/>
  <c r="G27" i="23"/>
  <c r="H26" i="23"/>
  <c r="E25" i="23"/>
  <c r="G24" i="23"/>
  <c r="E24" i="23"/>
  <c r="H22" i="23"/>
  <c r="G22" i="23"/>
  <c r="H21" i="23"/>
  <c r="D20" i="23"/>
  <c r="L37" i="24"/>
  <c r="L22" i="24"/>
  <c r="I12" i="23"/>
  <c r="K22" i="24"/>
  <c r="I11" i="23"/>
  <c r="I10" i="23"/>
  <c r="D25" i="23"/>
  <c r="I8" i="23"/>
  <c r="I7" i="23"/>
  <c r="I6" i="23"/>
  <c r="D22" i="24"/>
  <c r="I4" i="23"/>
  <c r="C22" i="24"/>
  <c r="L11" i="22"/>
  <c r="H14" i="24"/>
  <c r="F14" i="24"/>
  <c r="E14" i="24"/>
  <c r="K15" i="24"/>
  <c r="I11" i="21"/>
  <c r="K26" i="21"/>
  <c r="I10" i="21"/>
  <c r="J12" i="24" s="1"/>
  <c r="I9" i="21"/>
  <c r="I12" i="24" s="1"/>
  <c r="I8" i="21"/>
  <c r="H12" i="24" s="1"/>
  <c r="G15" i="24"/>
  <c r="I7" i="21"/>
  <c r="G12" i="24" s="1"/>
  <c r="I6" i="21"/>
  <c r="E15" i="24"/>
  <c r="I4" i="21"/>
  <c r="C15" i="24"/>
  <c r="I3" i="21"/>
  <c r="F145" i="14"/>
  <c r="F144" i="14"/>
  <c r="F143" i="14"/>
  <c r="D143" i="14"/>
  <c r="H143" i="18" s="1"/>
  <c r="C143" i="14"/>
  <c r="G143" i="18" s="1"/>
  <c r="F142" i="14"/>
  <c r="F141" i="14"/>
  <c r="C141" i="14"/>
  <c r="G141" i="18" s="1"/>
  <c r="F140" i="14"/>
  <c r="D140" i="14"/>
  <c r="H140" i="18" s="1"/>
  <c r="F139" i="14"/>
  <c r="F138" i="14"/>
  <c r="D138" i="14"/>
  <c r="H138" i="18" s="1"/>
  <c r="C138" i="14"/>
  <c r="G138" i="18" s="1"/>
  <c r="F137" i="14"/>
  <c r="F136" i="14"/>
  <c r="F135" i="14"/>
  <c r="D135" i="14"/>
  <c r="H135" i="18" s="1"/>
  <c r="C135" i="14"/>
  <c r="G135" i="18" s="1"/>
  <c r="F134" i="14"/>
  <c r="F133" i="14"/>
  <c r="D133" i="14"/>
  <c r="H133" i="18" s="1"/>
  <c r="C133" i="14"/>
  <c r="G133" i="18" s="1"/>
  <c r="F132" i="14"/>
  <c r="D132" i="14"/>
  <c r="H132" i="18" s="1"/>
  <c r="C132" i="14"/>
  <c r="G132" i="18" s="1"/>
  <c r="F131" i="14"/>
  <c r="D131" i="14"/>
  <c r="H131" i="18" s="1"/>
  <c r="C131" i="14"/>
  <c r="G131" i="18" s="1"/>
  <c r="F130" i="14"/>
  <c r="D130" i="14"/>
  <c r="H130" i="18" s="1"/>
  <c r="C130" i="14"/>
  <c r="G130" i="18" s="1"/>
  <c r="F129" i="14"/>
  <c r="D129" i="14"/>
  <c r="H129" i="18" s="1"/>
  <c r="C129" i="14"/>
  <c r="G129" i="18" s="1"/>
  <c r="F128" i="14"/>
  <c r="D128" i="14"/>
  <c r="H128" i="18" s="1"/>
  <c r="C128" i="14"/>
  <c r="G128" i="18" s="1"/>
  <c r="F127" i="14"/>
  <c r="D127" i="14"/>
  <c r="H127" i="18" s="1"/>
  <c r="C127" i="14"/>
  <c r="G127" i="18" s="1"/>
  <c r="F126" i="14"/>
  <c r="D126" i="14"/>
  <c r="H126" i="18" s="1"/>
  <c r="C126" i="14"/>
  <c r="G126" i="18" s="1"/>
  <c r="F125" i="14"/>
  <c r="D125" i="14"/>
  <c r="H125" i="18" s="1"/>
  <c r="C125" i="14"/>
  <c r="G125" i="18" s="1"/>
  <c r="F124" i="14"/>
  <c r="D124" i="14"/>
  <c r="H124" i="18" s="1"/>
  <c r="C124" i="14"/>
  <c r="G124" i="18" s="1"/>
  <c r="F123" i="14"/>
  <c r="D123" i="14"/>
  <c r="H123" i="18" s="1"/>
  <c r="C123" i="14"/>
  <c r="G123" i="18" s="1"/>
  <c r="I122" i="14"/>
  <c r="F122" i="14"/>
  <c r="D122" i="14"/>
  <c r="H122" i="18" s="1"/>
  <c r="C122" i="14"/>
  <c r="G122" i="18" s="1"/>
  <c r="P122" i="14"/>
  <c r="P123" i="14" s="1"/>
  <c r="P124" i="14" s="1"/>
  <c r="P125" i="14" s="1"/>
  <c r="P126" i="14" s="1"/>
  <c r="P127" i="14" s="1"/>
  <c r="P128" i="14" s="1"/>
  <c r="P129" i="14" s="1"/>
  <c r="P130" i="14" s="1"/>
  <c r="P131" i="14" s="1"/>
  <c r="P132" i="14" s="1"/>
  <c r="P133" i="14" s="1"/>
  <c r="P134" i="14" s="1"/>
  <c r="P135" i="14" s="1"/>
  <c r="P136" i="14" s="1"/>
  <c r="P137" i="14" s="1"/>
  <c r="P138" i="14" s="1"/>
  <c r="P139" i="14" s="1"/>
  <c r="P140" i="14" s="1"/>
  <c r="P141" i="14" s="1"/>
  <c r="P142" i="14" s="1"/>
  <c r="P143" i="14" s="1"/>
  <c r="P144" i="14" s="1"/>
  <c r="P145" i="14" s="1"/>
  <c r="N122" i="14"/>
  <c r="N123" i="14" s="1"/>
  <c r="N124" i="14" s="1"/>
  <c r="N125" i="14" s="1"/>
  <c r="N126" i="14" s="1"/>
  <c r="N127" i="14" s="1"/>
  <c r="N128" i="14" s="1"/>
  <c r="N129" i="14" s="1"/>
  <c r="N130" i="14" s="1"/>
  <c r="N131" i="14" s="1"/>
  <c r="N132" i="14" s="1"/>
  <c r="N133" i="14" s="1"/>
  <c r="N134" i="14" s="1"/>
  <c r="N135" i="14" s="1"/>
  <c r="N136" i="14" s="1"/>
  <c r="N137" i="14" s="1"/>
  <c r="N138" i="14" s="1"/>
  <c r="N139" i="14" s="1"/>
  <c r="N140" i="14" s="1"/>
  <c r="N141" i="14" s="1"/>
  <c r="N142" i="14" s="1"/>
  <c r="N143" i="14" s="1"/>
  <c r="N144" i="14" s="1"/>
  <c r="N145" i="14" s="1"/>
  <c r="F121" i="14"/>
  <c r="F120" i="14"/>
  <c r="F119" i="14"/>
  <c r="F118" i="14"/>
  <c r="F117" i="14"/>
  <c r="F116" i="14"/>
  <c r="F115" i="14"/>
  <c r="F114" i="14"/>
  <c r="F113" i="14"/>
  <c r="F112" i="14"/>
  <c r="F111" i="14"/>
  <c r="F110" i="14"/>
  <c r="F109" i="14"/>
  <c r="F108" i="14"/>
  <c r="F107" i="14"/>
  <c r="F106" i="14"/>
  <c r="F105" i="14"/>
  <c r="F104" i="14"/>
  <c r="F103" i="14"/>
  <c r="F102" i="14"/>
  <c r="F101" i="14"/>
  <c r="F100" i="14"/>
  <c r="F99" i="14"/>
  <c r="F98" i="14"/>
  <c r="F97" i="14"/>
  <c r="F96" i="14"/>
  <c r="F95" i="14"/>
  <c r="F94" i="14"/>
  <c r="F93" i="14"/>
  <c r="F92" i="14"/>
  <c r="F91" i="14"/>
  <c r="F90" i="14"/>
  <c r="F89" i="14"/>
  <c r="F88" i="14"/>
  <c r="F87" i="14"/>
  <c r="F86" i="14"/>
  <c r="G8" i="21"/>
  <c r="G7" i="21"/>
  <c r="J35" i="24"/>
  <c r="Q10" i="22"/>
  <c r="O10" i="22"/>
  <c r="O25" i="21"/>
  <c r="O9" i="22"/>
  <c r="M24" i="21"/>
  <c r="H17" i="24"/>
  <c r="E28" i="24"/>
  <c r="Q20" i="21"/>
  <c r="C28" i="24"/>
  <c r="O122" i="14"/>
  <c r="O123" i="14" s="1"/>
  <c r="O124" i="14" s="1"/>
  <c r="O125" i="14" s="1"/>
  <c r="O126" i="14" s="1"/>
  <c r="O127" i="14" s="1"/>
  <c r="O128" i="14" s="1"/>
  <c r="O129" i="14" s="1"/>
  <c r="O130" i="14" s="1"/>
  <c r="O131" i="14" s="1"/>
  <c r="O132" i="14" s="1"/>
  <c r="O133" i="14" s="1"/>
  <c r="O134" i="14" s="1"/>
  <c r="O135" i="14" s="1"/>
  <c r="O136" i="14" s="1"/>
  <c r="O137" i="14" s="1"/>
  <c r="O138" i="14" s="1"/>
  <c r="O139" i="14" s="1"/>
  <c r="O140" i="14" s="1"/>
  <c r="O141" i="14" s="1"/>
  <c r="O142" i="14" s="1"/>
  <c r="O143" i="14" s="1"/>
  <c r="O144" i="14" s="1"/>
  <c r="O145" i="14" s="1"/>
  <c r="L33" i="24"/>
  <c r="L26" i="24"/>
  <c r="C136" i="14" l="1"/>
  <c r="G136" i="18" s="1"/>
  <c r="D141" i="14"/>
  <c r="H141" i="18" s="1"/>
  <c r="C144" i="14"/>
  <c r="G144" i="18" s="1"/>
  <c r="D136" i="14"/>
  <c r="H136" i="18" s="1"/>
  <c r="C139" i="14"/>
  <c r="G139" i="18" s="1"/>
  <c r="D144" i="14"/>
  <c r="H144" i="18" s="1"/>
  <c r="C134" i="14"/>
  <c r="G134" i="18" s="1"/>
  <c r="D139" i="14"/>
  <c r="H139" i="18" s="1"/>
  <c r="C142" i="14"/>
  <c r="G142" i="18" s="1"/>
  <c r="D134" i="14"/>
  <c r="H134" i="18" s="1"/>
  <c r="C137" i="14"/>
  <c r="G137" i="18" s="1"/>
  <c r="D142" i="14"/>
  <c r="H142" i="18" s="1"/>
  <c r="D145" i="14"/>
  <c r="H145" i="18" s="1"/>
  <c r="D137" i="14"/>
  <c r="H137" i="18" s="1"/>
  <c r="C140" i="14"/>
  <c r="G140" i="18" s="1"/>
  <c r="J122" i="18"/>
  <c r="Q122" i="18" s="1"/>
  <c r="S8" i="23"/>
  <c r="E22" i="23"/>
  <c r="E27" i="23"/>
  <c r="S4" i="23"/>
  <c r="S10" i="23"/>
  <c r="E20" i="23"/>
  <c r="H24" i="23"/>
  <c r="S5" i="23"/>
  <c r="D27" i="23"/>
  <c r="G20" i="23"/>
  <c r="E23" i="23"/>
  <c r="G25" i="23"/>
  <c r="D28" i="23"/>
  <c r="S6" i="23"/>
  <c r="S11" i="23"/>
  <c r="H20" i="23"/>
  <c r="G23" i="23"/>
  <c r="H25" i="23"/>
  <c r="D23" i="23"/>
  <c r="E21" i="23"/>
  <c r="H23" i="23"/>
  <c r="E26" i="23"/>
  <c r="G28" i="23"/>
  <c r="S9" i="23"/>
  <c r="S7" i="23"/>
  <c r="S12" i="23"/>
  <c r="G21" i="23"/>
  <c r="D24" i="23"/>
  <c r="G26" i="23"/>
  <c r="H28" i="23"/>
  <c r="L14" i="24"/>
  <c r="B27" i="22"/>
  <c r="K24" i="21"/>
  <c r="D14" i="24"/>
  <c r="L4" i="22"/>
  <c r="B19" i="22"/>
  <c r="I41" i="24"/>
  <c r="D42" i="24"/>
  <c r="E42" i="24"/>
  <c r="J41" i="24"/>
  <c r="C41" i="24"/>
  <c r="H41" i="24"/>
  <c r="K41" i="24"/>
  <c r="C42" i="24"/>
  <c r="G41" i="24"/>
  <c r="G42" i="24"/>
  <c r="E41" i="24"/>
  <c r="K42" i="24"/>
  <c r="F42" i="24"/>
  <c r="L29" i="24"/>
  <c r="I3" i="24"/>
  <c r="K3" i="24"/>
  <c r="H3" i="24"/>
  <c r="N19" i="21"/>
  <c r="F20" i="24"/>
  <c r="D21" i="22"/>
  <c r="M22" i="21"/>
  <c r="N6" i="22"/>
  <c r="F19" i="22"/>
  <c r="D28" i="24"/>
  <c r="Q8" i="22"/>
  <c r="G23" i="22"/>
  <c r="P24" i="21"/>
  <c r="D24" i="24"/>
  <c r="O4" i="22"/>
  <c r="N20" i="21"/>
  <c r="N24" i="21"/>
  <c r="H24" i="24"/>
  <c r="O8" i="22"/>
  <c r="E23" i="22"/>
  <c r="I31" i="24"/>
  <c r="P25" i="21"/>
  <c r="Q9" i="22"/>
  <c r="G24" i="22"/>
  <c r="H27" i="22"/>
  <c r="R12" i="22"/>
  <c r="L35" i="24"/>
  <c r="O19" i="21"/>
  <c r="P4" i="22"/>
  <c r="P10" i="22"/>
  <c r="F25" i="22"/>
  <c r="O26" i="21"/>
  <c r="O39" i="21" s="1"/>
  <c r="J28" i="24"/>
  <c r="E24" i="22"/>
  <c r="J20" i="24"/>
  <c r="N10" i="22"/>
  <c r="M26" i="21"/>
  <c r="D19" i="22"/>
  <c r="D23" i="22"/>
  <c r="O20" i="21"/>
  <c r="R4" i="22"/>
  <c r="G25" i="22"/>
  <c r="F20" i="22"/>
  <c r="O21" i="21"/>
  <c r="P5" i="22"/>
  <c r="H25" i="22"/>
  <c r="M10" i="22"/>
  <c r="I10" i="22"/>
  <c r="C25" i="22"/>
  <c r="L26" i="21"/>
  <c r="J17" i="24"/>
  <c r="O11" i="22"/>
  <c r="E26" i="22"/>
  <c r="N27" i="21"/>
  <c r="O7" i="22"/>
  <c r="G24" i="24"/>
  <c r="E22" i="22"/>
  <c r="H19" i="22"/>
  <c r="D35" i="24"/>
  <c r="L19" i="21"/>
  <c r="C17" i="24"/>
  <c r="P21" i="21"/>
  <c r="E31" i="24"/>
  <c r="Q7" i="22"/>
  <c r="G31" i="24"/>
  <c r="G22" i="22"/>
  <c r="P23" i="21"/>
  <c r="I17" i="24"/>
  <c r="C24" i="22"/>
  <c r="L25" i="21"/>
  <c r="H20" i="24"/>
  <c r="I8" i="22"/>
  <c r="O6" i="22"/>
  <c r="E21" i="22"/>
  <c r="F24" i="24"/>
  <c r="N22" i="21"/>
  <c r="J24" i="24"/>
  <c r="E25" i="22"/>
  <c r="N26" i="21"/>
  <c r="Q26" i="21"/>
  <c r="M9" i="22"/>
  <c r="H31" i="24"/>
  <c r="F24" i="22"/>
  <c r="I28" i="24"/>
  <c r="P9" i="22"/>
  <c r="C31" i="24"/>
  <c r="P19" i="21"/>
  <c r="C35" i="24"/>
  <c r="Q19" i="21"/>
  <c r="Q33" i="21" s="1"/>
  <c r="D20" i="22"/>
  <c r="M21" i="21"/>
  <c r="N5" i="22"/>
  <c r="E20" i="24"/>
  <c r="K35" i="24"/>
  <c r="H26" i="22"/>
  <c r="Q27" i="21"/>
  <c r="C24" i="24"/>
  <c r="H21" i="22"/>
  <c r="Q22" i="21"/>
  <c r="F35" i="24"/>
  <c r="R6" i="22"/>
  <c r="Q11" i="22"/>
  <c r="G26" i="22"/>
  <c r="P27" i="21"/>
  <c r="K31" i="24"/>
  <c r="C19" i="22"/>
  <c r="M4" i="22"/>
  <c r="L20" i="21"/>
  <c r="D17" i="24"/>
  <c r="E20" i="22"/>
  <c r="N21" i="21"/>
  <c r="O5" i="22"/>
  <c r="E24" i="24"/>
  <c r="F31" i="24"/>
  <c r="G21" i="22"/>
  <c r="P22" i="21"/>
  <c r="Q6" i="22"/>
  <c r="L24" i="21"/>
  <c r="N25" i="21"/>
  <c r="I24" i="24"/>
  <c r="P26" i="21"/>
  <c r="J31" i="24"/>
  <c r="N23" i="21"/>
  <c r="D20" i="24"/>
  <c r="M20" i="21"/>
  <c r="R11" i="22"/>
  <c r="B22" i="22"/>
  <c r="K24" i="24"/>
  <c r="Q5" i="22"/>
  <c r="L7" i="22"/>
  <c r="I11" i="22"/>
  <c r="L10" i="22"/>
  <c r="P28" i="21"/>
  <c r="K23" i="21"/>
  <c r="K37" i="21" s="1"/>
  <c r="B23" i="22"/>
  <c r="G14" i="24"/>
  <c r="K122" i="14"/>
  <c r="K123" i="14" s="1"/>
  <c r="L42" i="24"/>
  <c r="L36" i="24"/>
  <c r="Q28" i="21"/>
  <c r="L32" i="24"/>
  <c r="L25" i="24"/>
  <c r="K28" i="21"/>
  <c r="I123" i="14"/>
  <c r="H122" i="14"/>
  <c r="C145" i="14"/>
  <c r="G145" i="18" s="1"/>
  <c r="L122" i="14"/>
  <c r="L123" i="14" s="1"/>
  <c r="M122" i="14"/>
  <c r="J122" i="14"/>
  <c r="J123" i="14" s="1"/>
  <c r="G11" i="21"/>
  <c r="D12" i="24"/>
  <c r="G6" i="21"/>
  <c r="F12" i="24"/>
  <c r="I5" i="21"/>
  <c r="G10" i="21"/>
  <c r="K22" i="21"/>
  <c r="K21" i="21"/>
  <c r="K12" i="24"/>
  <c r="D15" i="24"/>
  <c r="D41" i="24" s="1"/>
  <c r="L15" i="24"/>
  <c r="G9" i="21"/>
  <c r="F15" i="24"/>
  <c r="F41" i="24" s="1"/>
  <c r="C12" i="24"/>
  <c r="D22" i="23"/>
  <c r="D26" i="23"/>
  <c r="H22" i="24"/>
  <c r="H42" i="24" s="1"/>
  <c r="I22" i="24"/>
  <c r="I42" i="24" s="1"/>
  <c r="I5" i="23"/>
  <c r="I9" i="23"/>
  <c r="I13" i="23"/>
  <c r="J22" i="24"/>
  <c r="J42" i="24" s="1"/>
  <c r="D21" i="23"/>
  <c r="K20" i="21"/>
  <c r="L8" i="22"/>
  <c r="B21" i="22"/>
  <c r="K27" i="21"/>
  <c r="K40" i="21" s="1"/>
  <c r="B20" i="22"/>
  <c r="I14" i="24"/>
  <c r="I5" i="22"/>
  <c r="L6" i="22"/>
  <c r="J14" i="24"/>
  <c r="K25" i="21"/>
  <c r="K38" i="21" s="1"/>
  <c r="L5" i="22"/>
  <c r="B26" i="22"/>
  <c r="K14" i="24"/>
  <c r="L12" i="22"/>
  <c r="B25" i="22"/>
  <c r="L9" i="22"/>
  <c r="B24" i="22"/>
  <c r="K19" i="21"/>
  <c r="C14" i="24"/>
  <c r="I3" i="22"/>
  <c r="N38" i="21" l="1"/>
  <c r="L38" i="21"/>
  <c r="B29" i="22"/>
  <c r="N33" i="21"/>
  <c r="O34" i="21"/>
  <c r="P38" i="21"/>
  <c r="K34" i="21"/>
  <c r="K33" i="21"/>
  <c r="J123" i="18"/>
  <c r="Q123" i="18" s="1"/>
  <c r="H29" i="23"/>
  <c r="H33" i="23" s="1"/>
  <c r="G29" i="23"/>
  <c r="G31" i="23" s="1"/>
  <c r="E29" i="23"/>
  <c r="E33" i="23" s="1"/>
  <c r="K29" i="21"/>
  <c r="K30" i="21"/>
  <c r="P39" i="21"/>
  <c r="P30" i="21"/>
  <c r="P29" i="21"/>
  <c r="M34" i="21"/>
  <c r="N8" i="22"/>
  <c r="K36" i="21"/>
  <c r="Q40" i="21"/>
  <c r="N35" i="21"/>
  <c r="P35" i="21"/>
  <c r="E19" i="22"/>
  <c r="I4" i="22"/>
  <c r="J40" i="24"/>
  <c r="I12" i="21"/>
  <c r="L12" i="24" s="1"/>
  <c r="O28" i="21"/>
  <c r="N4" i="22"/>
  <c r="L33" i="21"/>
  <c r="C22" i="22"/>
  <c r="G17" i="24"/>
  <c r="M7" i="22"/>
  <c r="I7" i="22"/>
  <c r="L23" i="21"/>
  <c r="C23" i="22"/>
  <c r="E17" i="24"/>
  <c r="C20" i="22"/>
  <c r="L21" i="21"/>
  <c r="L34" i="21" s="1"/>
  <c r="M5" i="22"/>
  <c r="L39" i="21"/>
  <c r="N11" i="22"/>
  <c r="D26" i="22"/>
  <c r="M27" i="21"/>
  <c r="M40" i="21" s="1"/>
  <c r="K20" i="24"/>
  <c r="H20" i="22"/>
  <c r="R5" i="22"/>
  <c r="E35" i="24"/>
  <c r="Q21" i="21"/>
  <c r="Q34" i="21" s="1"/>
  <c r="N9" i="22"/>
  <c r="D24" i="22"/>
  <c r="I20" i="24"/>
  <c r="M25" i="21"/>
  <c r="M38" i="21" s="1"/>
  <c r="K28" i="24"/>
  <c r="P11" i="22"/>
  <c r="F26" i="22"/>
  <c r="O27" i="21"/>
  <c r="O40" i="21" s="1"/>
  <c r="R13" i="22"/>
  <c r="H14" i="22"/>
  <c r="Q30" i="21" s="1"/>
  <c r="M35" i="24"/>
  <c r="I9" i="22"/>
  <c r="P40" i="21"/>
  <c r="Q35" i="21"/>
  <c r="I35" i="24"/>
  <c r="R9" i="22"/>
  <c r="H24" i="22"/>
  <c r="Q25" i="21"/>
  <c r="P37" i="21"/>
  <c r="M35" i="21"/>
  <c r="F28" i="24"/>
  <c r="F21" i="22"/>
  <c r="O22" i="21"/>
  <c r="O35" i="21" s="1"/>
  <c r="P6" i="22"/>
  <c r="F22" i="22"/>
  <c r="O23" i="21"/>
  <c r="G28" i="24"/>
  <c r="P7" i="22"/>
  <c r="L22" i="21"/>
  <c r="M6" i="22"/>
  <c r="F17" i="24"/>
  <c r="C21" i="22"/>
  <c r="H22" i="22"/>
  <c r="G35" i="24"/>
  <c r="Q23" i="21"/>
  <c r="Q36" i="21" s="1"/>
  <c r="R7" i="22"/>
  <c r="M8" i="22"/>
  <c r="N34" i="21"/>
  <c r="P36" i="21"/>
  <c r="O33" i="21"/>
  <c r="P8" i="22"/>
  <c r="H28" i="24"/>
  <c r="F23" i="22"/>
  <c r="O24" i="21"/>
  <c r="M19" i="21"/>
  <c r="M33" i="21" s="1"/>
  <c r="C20" i="24"/>
  <c r="C40" i="24" s="1"/>
  <c r="I6" i="22"/>
  <c r="L27" i="21"/>
  <c r="L40" i="21" s="1"/>
  <c r="K17" i="24"/>
  <c r="M11" i="22"/>
  <c r="C26" i="22"/>
  <c r="N36" i="21"/>
  <c r="N39" i="21"/>
  <c r="H35" i="24"/>
  <c r="H23" i="22"/>
  <c r="Q24" i="21"/>
  <c r="R8" i="22"/>
  <c r="N40" i="21"/>
  <c r="R10" i="22"/>
  <c r="N37" i="21"/>
  <c r="L31" i="24"/>
  <c r="G27" i="22"/>
  <c r="Q12" i="22"/>
  <c r="G13" i="22"/>
  <c r="Q4" i="22"/>
  <c r="P20" i="21"/>
  <c r="P33" i="21" s="1"/>
  <c r="D31" i="24"/>
  <c r="D40" i="24" s="1"/>
  <c r="G19" i="22"/>
  <c r="F13" i="22"/>
  <c r="L28" i="24"/>
  <c r="F27" i="22"/>
  <c r="P12" i="22"/>
  <c r="G20" i="22"/>
  <c r="M23" i="21"/>
  <c r="N7" i="22"/>
  <c r="G20" i="24"/>
  <c r="D22" i="22"/>
  <c r="D25" i="22"/>
  <c r="H31" i="23"/>
  <c r="Q41" i="21"/>
  <c r="G33" i="23"/>
  <c r="P41" i="21"/>
  <c r="L21" i="24"/>
  <c r="M28" i="21"/>
  <c r="L18" i="24"/>
  <c r="L28" i="21"/>
  <c r="I124" i="14"/>
  <c r="H123" i="14"/>
  <c r="M123" i="14"/>
  <c r="Q122" i="14"/>
  <c r="L124" i="14"/>
  <c r="K124" i="14"/>
  <c r="L3" i="24"/>
  <c r="G3" i="24"/>
  <c r="J3" i="24"/>
  <c r="G5" i="21"/>
  <c r="E12" i="24"/>
  <c r="K41" i="21"/>
  <c r="K35" i="21"/>
  <c r="J124" i="14"/>
  <c r="K39" i="21"/>
  <c r="G12" i="21" l="1"/>
  <c r="J124" i="18"/>
  <c r="Q124" i="18" s="1"/>
  <c r="E31" i="23"/>
  <c r="L36" i="21"/>
  <c r="O30" i="21"/>
  <c r="O29" i="21"/>
  <c r="B13" i="22"/>
  <c r="K48" i="21" s="1"/>
  <c r="K56" i="21" s="1"/>
  <c r="Q38" i="21"/>
  <c r="M30" i="21"/>
  <c r="M29" i="21"/>
  <c r="L30" i="21"/>
  <c r="L29" i="21"/>
  <c r="O41" i="21"/>
  <c r="C4" i="21"/>
  <c r="G5" i="24"/>
  <c r="G6" i="24" s="1"/>
  <c r="C8" i="21"/>
  <c r="D8" i="21" s="1"/>
  <c r="E8" i="21" s="1"/>
  <c r="C10" i="21"/>
  <c r="D10" i="21" s="1"/>
  <c r="E10" i="21" s="1"/>
  <c r="C3" i="21"/>
  <c r="C5" i="21"/>
  <c r="D5" i="21" s="1"/>
  <c r="E5" i="21" s="1"/>
  <c r="F5" i="24"/>
  <c r="G40" i="24"/>
  <c r="H40" i="24"/>
  <c r="I40" i="24"/>
  <c r="K40" i="24"/>
  <c r="L41" i="24"/>
  <c r="E3" i="24"/>
  <c r="F3" i="24"/>
  <c r="K45" i="21"/>
  <c r="D29" i="22"/>
  <c r="D13" i="22" s="1"/>
  <c r="O37" i="21"/>
  <c r="O38" i="21"/>
  <c r="M39" i="21"/>
  <c r="L37" i="21"/>
  <c r="O36" i="21"/>
  <c r="R14" i="22"/>
  <c r="N35" i="24"/>
  <c r="G14" i="22"/>
  <c r="M31" i="24"/>
  <c r="Q13" i="22"/>
  <c r="F40" i="24"/>
  <c r="L24" i="24"/>
  <c r="E27" i="22"/>
  <c r="E29" i="22" s="1"/>
  <c r="E13" i="22" s="1"/>
  <c r="O12" i="22"/>
  <c r="N28" i="21"/>
  <c r="P13" i="22"/>
  <c r="F14" i="22"/>
  <c r="M28" i="24"/>
  <c r="L20" i="24"/>
  <c r="D27" i="22"/>
  <c r="N12" i="22"/>
  <c r="M36" i="21"/>
  <c r="M37" i="21"/>
  <c r="L17" i="24"/>
  <c r="C27" i="22"/>
  <c r="C29" i="22" s="1"/>
  <c r="C13" i="22" s="1"/>
  <c r="M12" i="22"/>
  <c r="I12" i="22"/>
  <c r="L35" i="21"/>
  <c r="P34" i="21"/>
  <c r="P43" i="21" s="1"/>
  <c r="Q37" i="21"/>
  <c r="Q39" i="21"/>
  <c r="E40" i="24"/>
  <c r="P45" i="21"/>
  <c r="M41" i="21"/>
  <c r="S13" i="23"/>
  <c r="D29" i="23"/>
  <c r="L41" i="21"/>
  <c r="I125" i="14"/>
  <c r="H124" i="14"/>
  <c r="C5" i="24"/>
  <c r="I5" i="24"/>
  <c r="I6" i="24" s="1"/>
  <c r="E5" i="24"/>
  <c r="D5" i="24"/>
  <c r="H5" i="24"/>
  <c r="H6" i="24" s="1"/>
  <c r="C9" i="21"/>
  <c r="D9" i="21" s="1"/>
  <c r="E9" i="21" s="1"/>
  <c r="C11" i="21"/>
  <c r="D11" i="21" s="1"/>
  <c r="E11" i="21" s="1"/>
  <c r="J5" i="24"/>
  <c r="J6" i="24" s="1"/>
  <c r="C12" i="21"/>
  <c r="D12" i="21" s="1"/>
  <c r="E12" i="21" s="1"/>
  <c r="L5" i="24"/>
  <c r="L6" i="24" s="1"/>
  <c r="C6" i="21"/>
  <c r="D6" i="21" s="1"/>
  <c r="E6" i="21" s="1"/>
  <c r="K5" i="24"/>
  <c r="K6" i="24" s="1"/>
  <c r="C7" i="21"/>
  <c r="D7" i="21" s="1"/>
  <c r="E7" i="21" s="1"/>
  <c r="M124" i="14"/>
  <c r="M125" i="14" s="1"/>
  <c r="M126" i="14" s="1"/>
  <c r="L125" i="14"/>
  <c r="Q123" i="14"/>
  <c r="K125" i="14"/>
  <c r="J125" i="14"/>
  <c r="K43" i="21"/>
  <c r="M14" i="24" l="1"/>
  <c r="O45" i="21"/>
  <c r="O43" i="21"/>
  <c r="J125" i="18"/>
  <c r="Q125" i="18" s="1"/>
  <c r="L13" i="22"/>
  <c r="B14" i="22"/>
  <c r="N41" i="21"/>
  <c r="N45" i="21" s="1"/>
  <c r="N29" i="21"/>
  <c r="N48" i="21" s="1"/>
  <c r="N56" i="21" s="1"/>
  <c r="N30" i="21"/>
  <c r="Q45" i="21"/>
  <c r="L40" i="24"/>
  <c r="F6" i="24"/>
  <c r="E6" i="24"/>
  <c r="N13" i="22"/>
  <c r="D14" i="22"/>
  <c r="M20" i="24"/>
  <c r="N28" i="24"/>
  <c r="P14" i="22"/>
  <c r="M17" i="24"/>
  <c r="M13" i="22"/>
  <c r="C14" i="22"/>
  <c r="N31" i="24"/>
  <c r="Q14" i="22"/>
  <c r="O13" i="22"/>
  <c r="E14" i="22"/>
  <c r="M24" i="24"/>
  <c r="I13" i="22"/>
  <c r="Q43" i="21"/>
  <c r="Q49" i="21"/>
  <c r="Q48" i="21"/>
  <c r="P48" i="21"/>
  <c r="P56" i="21" s="1"/>
  <c r="P49" i="21"/>
  <c r="P57" i="21" s="1"/>
  <c r="O48" i="21"/>
  <c r="O56" i="21" s="1"/>
  <c r="O49" i="21"/>
  <c r="O57" i="21" s="1"/>
  <c r="D31" i="23"/>
  <c r="D33" i="23"/>
  <c r="M45" i="21"/>
  <c r="M43" i="21"/>
  <c r="L43" i="21"/>
  <c r="L45" i="21"/>
  <c r="I126" i="14"/>
  <c r="H125" i="14"/>
  <c r="Q124" i="14"/>
  <c r="K126" i="14"/>
  <c r="M127" i="14"/>
  <c r="M128" i="14" s="1"/>
  <c r="M129" i="14" s="1"/>
  <c r="M130" i="14" s="1"/>
  <c r="Q125" i="14"/>
  <c r="L126" i="14"/>
  <c r="J126" i="14"/>
  <c r="J126" i="18" l="1"/>
  <c r="Q126" i="18" s="1"/>
  <c r="Q57" i="21"/>
  <c r="N14" i="24"/>
  <c r="L14" i="22"/>
  <c r="N43" i="21"/>
  <c r="K49" i="21"/>
  <c r="K57" i="21" s="1"/>
  <c r="M40" i="24"/>
  <c r="Q56" i="21"/>
  <c r="N49" i="21"/>
  <c r="N57" i="21" s="1"/>
  <c r="Q126" i="14"/>
  <c r="N17" i="24"/>
  <c r="M14" i="22"/>
  <c r="I14" i="22"/>
  <c r="N14" i="22"/>
  <c r="N20" i="24"/>
  <c r="N24" i="24"/>
  <c r="O14" i="22"/>
  <c r="M48" i="21"/>
  <c r="M56" i="21" s="1"/>
  <c r="M49" i="21"/>
  <c r="M57" i="21" s="1"/>
  <c r="L48" i="21"/>
  <c r="L49" i="21"/>
  <c r="I127" i="14"/>
  <c r="H126" i="14"/>
  <c r="K127" i="14"/>
  <c r="K128" i="14" s="1"/>
  <c r="K129" i="14" s="1"/>
  <c r="K130" i="14" s="1"/>
  <c r="K131" i="14" s="1"/>
  <c r="K132" i="14" s="1"/>
  <c r="K133" i="14" s="1"/>
  <c r="K134" i="14" s="1"/>
  <c r="K135" i="14" s="1"/>
  <c r="K136" i="14" s="1"/>
  <c r="K137" i="14" s="1"/>
  <c r="K138" i="14" s="1"/>
  <c r="K139" i="14" s="1"/>
  <c r="K140" i="14" s="1"/>
  <c r="K141" i="14" s="1"/>
  <c r="K142" i="14" s="1"/>
  <c r="K143" i="14" s="1"/>
  <c r="K144" i="14" s="1"/>
  <c r="K145" i="14" s="1"/>
  <c r="L127" i="14"/>
  <c r="L128" i="14" s="1"/>
  <c r="L129" i="14" s="1"/>
  <c r="L130" i="14" s="1"/>
  <c r="L131" i="14" s="1"/>
  <c r="L132" i="14" s="1"/>
  <c r="L133" i="14" s="1"/>
  <c r="L134" i="14" s="1"/>
  <c r="L135" i="14" s="1"/>
  <c r="L136" i="14" s="1"/>
  <c r="L137" i="14" s="1"/>
  <c r="L138" i="14" s="1"/>
  <c r="L139" i="14" s="1"/>
  <c r="L140" i="14" s="1"/>
  <c r="L141" i="14" s="1"/>
  <c r="L142" i="14" s="1"/>
  <c r="L143" i="14" s="1"/>
  <c r="L144" i="14" s="1"/>
  <c r="L145" i="14" s="1"/>
  <c r="M131" i="14"/>
  <c r="M132" i="14" s="1"/>
  <c r="M133" i="14" s="1"/>
  <c r="M134" i="14" s="1"/>
  <c r="M135" i="14" s="1"/>
  <c r="M136" i="14" s="1"/>
  <c r="M137" i="14" s="1"/>
  <c r="M138" i="14" s="1"/>
  <c r="M139" i="14" s="1"/>
  <c r="M140" i="14" s="1"/>
  <c r="M141" i="14" s="1"/>
  <c r="M142" i="14" s="1"/>
  <c r="M143" i="14" s="1"/>
  <c r="M144" i="14" s="1"/>
  <c r="M145" i="14" s="1"/>
  <c r="J127" i="14"/>
  <c r="I128" i="14" l="1"/>
  <c r="J127" i="18"/>
  <c r="Q127" i="18" s="1"/>
  <c r="N40" i="24"/>
  <c r="L57" i="21"/>
  <c r="R57" i="21" s="1"/>
  <c r="L65" i="21"/>
  <c r="M65" i="21"/>
  <c r="N65" i="21"/>
  <c r="K65" i="21"/>
  <c r="I49" i="21"/>
  <c r="L56" i="21"/>
  <c r="R56" i="21" s="1"/>
  <c r="L64" i="21"/>
  <c r="I48" i="21"/>
  <c r="N64" i="21"/>
  <c r="K64" i="21"/>
  <c r="M64" i="21"/>
  <c r="H127" i="14"/>
  <c r="H128" i="14" s="1"/>
  <c r="H129" i="14" s="1"/>
  <c r="H130" i="14" s="1"/>
  <c r="H131" i="14" s="1"/>
  <c r="H132" i="14" s="1"/>
  <c r="H133" i="14" s="1"/>
  <c r="H134" i="14" s="1"/>
  <c r="H135" i="14" s="1"/>
  <c r="H136" i="14" s="1"/>
  <c r="H137" i="14" s="1"/>
  <c r="H138" i="14" s="1"/>
  <c r="H139" i="14" s="1"/>
  <c r="H140" i="14" s="1"/>
  <c r="H141" i="14" s="1"/>
  <c r="H142" i="14" s="1"/>
  <c r="H143" i="14" s="1"/>
  <c r="H144" i="14" s="1"/>
  <c r="H145" i="14" s="1"/>
  <c r="Q127" i="14"/>
  <c r="J128" i="14"/>
  <c r="I129" i="14" l="1"/>
  <c r="J128" i="18"/>
  <c r="Q128" i="18" s="1"/>
  <c r="R65" i="21"/>
  <c r="R64" i="21"/>
  <c r="Q128" i="14"/>
  <c r="J129" i="14"/>
  <c r="I130" i="14" l="1"/>
  <c r="J129" i="18"/>
  <c r="Q129" i="18" s="1"/>
  <c r="Q129" i="14"/>
  <c r="J130" i="14"/>
  <c r="I131" i="14" l="1"/>
  <c r="J130" i="18"/>
  <c r="Q130" i="18" s="1"/>
  <c r="Q130" i="14"/>
  <c r="J131" i="14"/>
  <c r="I132" i="14" l="1"/>
  <c r="J131" i="18"/>
  <c r="Q131" i="18" s="1"/>
  <c r="Q131" i="14"/>
  <c r="J132" i="14"/>
  <c r="I133" i="14" l="1"/>
  <c r="J132" i="18"/>
  <c r="Q132" i="18" s="1"/>
  <c r="Q132" i="14"/>
  <c r="J133" i="14"/>
  <c r="I134" i="14" l="1"/>
  <c r="J133" i="18"/>
  <c r="Q133" i="18" s="1"/>
  <c r="Q133" i="14"/>
  <c r="J134" i="14"/>
  <c r="Y46" i="18" l="1"/>
  <c r="I135" i="14"/>
  <c r="J134" i="18"/>
  <c r="Q134" i="18" s="1"/>
  <c r="Q134" i="14"/>
  <c r="J135" i="14"/>
  <c r="I136" i="14" l="1"/>
  <c r="J135" i="18"/>
  <c r="Q135" i="18" s="1"/>
  <c r="Z46" i="18"/>
  <c r="C13" i="21"/>
  <c r="M5" i="24"/>
  <c r="M10" i="24" s="1"/>
  <c r="Q135" i="14"/>
  <c r="J136" i="14"/>
  <c r="I137" i="14" l="1"/>
  <c r="J136" i="18"/>
  <c r="Q136" i="18" s="1"/>
  <c r="Q136" i="14"/>
  <c r="J137" i="14"/>
  <c r="I138" i="14" l="1"/>
  <c r="J137" i="18"/>
  <c r="Q137" i="18" s="1"/>
  <c r="Q137" i="14"/>
  <c r="J138" i="14"/>
  <c r="I139" i="14" l="1"/>
  <c r="J138" i="18"/>
  <c r="Q138" i="18" s="1"/>
  <c r="Q138" i="14"/>
  <c r="J139" i="14"/>
  <c r="I140" i="14" l="1"/>
  <c r="J139" i="18"/>
  <c r="Q139" i="18" s="1"/>
  <c r="Q139" i="14"/>
  <c r="J140" i="14"/>
  <c r="I141" i="14" l="1"/>
  <c r="J140" i="18"/>
  <c r="Q140" i="18" s="1"/>
  <c r="Q140" i="14"/>
  <c r="J141" i="14"/>
  <c r="I142" i="14" l="1"/>
  <c r="J141" i="18"/>
  <c r="Q141" i="18" s="1"/>
  <c r="Q141" i="14"/>
  <c r="J142" i="14"/>
  <c r="I143" i="14" l="1"/>
  <c r="J142" i="18"/>
  <c r="Q142" i="18" s="1"/>
  <c r="Q142" i="14"/>
  <c r="J143" i="14"/>
  <c r="I144" i="14" l="1"/>
  <c r="J143" i="18"/>
  <c r="Q143" i="18" s="1"/>
  <c r="Q143" i="14"/>
  <c r="J144" i="14"/>
  <c r="I145" i="14" l="1"/>
  <c r="J144" i="18"/>
  <c r="Q144" i="18" s="1"/>
  <c r="Q144" i="14"/>
  <c r="J145" i="14"/>
  <c r="Q145" i="14" s="1"/>
  <c r="J145" i="18" l="1"/>
  <c r="Q145" i="18" s="1"/>
  <c r="Y47" i="18" l="1"/>
  <c r="Z47" i="18" l="1"/>
  <c r="C14" i="21"/>
  <c r="N5" i="24"/>
  <c r="N10" i="24" s="1"/>
  <c r="D3" i="21"/>
  <c r="E3" i="21" s="1"/>
  <c r="G3" i="21"/>
  <c r="C3" i="24" l="1"/>
  <c r="C6" i="24" s="1"/>
  <c r="D3" i="24" l="1"/>
  <c r="D6" i="24" s="1"/>
  <c r="D4" i="21"/>
  <c r="E4" i="21" s="1"/>
  <c r="G4" i="21"/>
  <c r="G14" i="21" s="1"/>
  <c r="I13" i="21" l="1"/>
  <c r="I52" i="21" s="1"/>
  <c r="I56" i="21" s="1"/>
  <c r="I14" i="21"/>
  <c r="M12" i="24" l="1"/>
  <c r="N12" i="24"/>
  <c r="I53" i="21"/>
  <c r="I57" i="21" s="1"/>
  <c r="M61" i="21" l="1"/>
  <c r="K61" i="21"/>
  <c r="Q61" i="21"/>
  <c r="O61" i="21"/>
  <c r="P61" i="21"/>
  <c r="N61" i="21"/>
  <c r="L61" i="21"/>
  <c r="N60" i="21"/>
  <c r="P60" i="21"/>
  <c r="M60" i="21"/>
  <c r="L60" i="21"/>
  <c r="O60" i="21"/>
  <c r="K60" i="21"/>
  <c r="Q60" i="21"/>
  <c r="N52" i="21" l="1"/>
  <c r="P53" i="21"/>
  <c r="Q15" i="23" s="1"/>
  <c r="M52" i="21"/>
  <c r="N14" i="23" s="1"/>
  <c r="D14" i="23" s="1"/>
  <c r="L53" i="21"/>
  <c r="N18" i="24" s="1"/>
  <c r="Q52" i="21"/>
  <c r="R14" i="23" s="1"/>
  <c r="M37" i="24" s="1"/>
  <c r="N53" i="21"/>
  <c r="O15" i="23" s="1"/>
  <c r="K52" i="21"/>
  <c r="O52" i="21"/>
  <c r="M29" i="24" s="1"/>
  <c r="O53" i="21"/>
  <c r="N29" i="24" s="1"/>
  <c r="L52" i="21"/>
  <c r="M18" i="24" s="1"/>
  <c r="Q53" i="21"/>
  <c r="N36" i="24" s="1"/>
  <c r="K53" i="21"/>
  <c r="P52" i="21"/>
  <c r="Q14" i="23" s="1"/>
  <c r="M53" i="21"/>
  <c r="N15" i="23" s="1"/>
  <c r="D15" i="23" s="1"/>
  <c r="O14" i="23"/>
  <c r="M25" i="24"/>
  <c r="R60" i="21"/>
  <c r="S60" i="21" s="1"/>
  <c r="R61" i="21"/>
  <c r="S61" i="21" s="1"/>
  <c r="M32" i="24" l="1"/>
  <c r="M36" i="24"/>
  <c r="N25" i="24"/>
  <c r="N21" i="24"/>
  <c r="N32" i="24"/>
  <c r="M21" i="24"/>
  <c r="R52" i="21"/>
  <c r="R15" i="23"/>
  <c r="N37" i="24" s="1"/>
  <c r="N26" i="24"/>
  <c r="M26" i="24"/>
  <c r="G15" i="23"/>
  <c r="G14" i="23"/>
  <c r="S14" i="23"/>
  <c r="M15" i="24"/>
  <c r="R53" i="21"/>
  <c r="N15" i="24"/>
  <c r="S15" i="23" l="1"/>
  <c r="N41" i="24"/>
  <c r="N33" i="24"/>
  <c r="M33" i="24"/>
  <c r="M41" i="24"/>
  <c r="N22" i="24"/>
  <c r="I15" i="23"/>
  <c r="I14" i="23"/>
  <c r="M22" i="24"/>
  <c r="N42" i="24" l="1"/>
  <c r="M42" i="24"/>
</calcChain>
</file>

<file path=xl/comments1.xml><?xml version="1.0" encoding="utf-8"?>
<comments xmlns="http://schemas.openxmlformats.org/spreadsheetml/2006/main">
  <authors>
    <author>Richard Bucknall</author>
  </authors>
  <commentList>
    <comment ref="M36" authorId="0" shapeId="0">
      <text>
        <r>
          <rPr>
            <sz val="9"/>
            <color indexed="81"/>
            <rFont val="Tahoma"/>
            <family val="2"/>
          </rPr>
          <t>Updated Load Forecast based on revised load for Streetlights due to LED conversion project (2019)</t>
        </r>
      </text>
    </comment>
  </commentList>
</comments>
</file>

<file path=xl/comments2.xml><?xml version="1.0" encoding="utf-8"?>
<comments xmlns="http://schemas.openxmlformats.org/spreadsheetml/2006/main">
  <authors>
    <author>Richard Bucknall</author>
    <author>Keith Ritchie</author>
    <author>Jerry Wang</author>
  </authors>
  <commentList>
    <comment ref="F26" authorId="0" shapeId="0">
      <text>
        <r>
          <rPr>
            <b/>
            <sz val="9"/>
            <color indexed="81"/>
            <rFont val="Tahoma"/>
            <family val="2"/>
          </rPr>
          <t>Richard Bucknall:</t>
        </r>
        <r>
          <rPr>
            <sz val="9"/>
            <color indexed="81"/>
            <rFont val="Tahoma"/>
            <family val="2"/>
          </rPr>
          <t xml:space="preserve">
From Participation &amp; Cost Report at April 15th 2019.
Need to add Streetlight LED conversion project</t>
        </r>
      </text>
    </comment>
    <comment ref="D47" authorId="0" shapeId="0">
      <text>
        <r>
          <rPr>
            <b/>
            <sz val="9"/>
            <color indexed="81"/>
            <rFont val="Tahoma"/>
            <family val="2"/>
          </rPr>
          <t>Richard Bucknall:</t>
        </r>
        <r>
          <rPr>
            <sz val="9"/>
            <color indexed="81"/>
            <rFont val="Tahoma"/>
            <family val="2"/>
          </rPr>
          <t xml:space="preserve">
See CDM Variable workbook in Load Forecast folder</t>
        </r>
      </text>
    </comment>
    <comment ref="G89" authorId="1" shapeId="0">
      <text>
        <r>
          <rPr>
            <b/>
            <sz val="9"/>
            <color indexed="81"/>
            <rFont val="Tahoma"/>
            <family val="2"/>
          </rPr>
          <t>OEB staff:</t>
        </r>
        <r>
          <rPr>
            <sz val="9"/>
            <color indexed="81"/>
            <rFont val="Tahoma"/>
            <family val="2"/>
          </rPr>
          <t xml:space="preserve">
Input any estimated savings from an LDC-specific CDM program that may be done such as to defer infrastructure investment. Such programs are outside of the IESO CDM programs and do not count towards the achievement of the 2015-20 CDM targets.
The utility should explain and support its estimate in its application in Exhibit 3.</t>
        </r>
      </text>
    </comment>
    <comment ref="B93" authorId="2" shapeId="0">
      <text>
        <r>
          <rPr>
            <b/>
            <sz val="9"/>
            <color indexed="81"/>
            <rFont val="Tahoma"/>
            <family val="2"/>
          </rPr>
          <t xml:space="preserve">OEB staff:
</t>
        </r>
        <r>
          <rPr>
            <sz val="9"/>
            <color indexed="81"/>
            <rFont val="Tahoma"/>
            <family val="2"/>
          </rPr>
          <t>Enter proposed Total Loss Factor if manual adjustment is applied to base load forecast on system purchased basis, rather than as on a billed (delivered) basis.</t>
        </r>
      </text>
    </comment>
  </commentList>
</comments>
</file>

<file path=xl/sharedStrings.xml><?xml version="1.0" encoding="utf-8"?>
<sst xmlns="http://schemas.openxmlformats.org/spreadsheetml/2006/main" count="835" uniqueCount="305">
  <si>
    <t>Year</t>
  </si>
  <si>
    <t>Consumption Month</t>
  </si>
  <si>
    <t>Jan</t>
  </si>
  <si>
    <t>Feb</t>
  </si>
  <si>
    <t>Mar</t>
  </si>
  <si>
    <t>Apr</t>
  </si>
  <si>
    <t>May</t>
  </si>
  <si>
    <t>Jun</t>
  </si>
  <si>
    <t>Jul</t>
  </si>
  <si>
    <t>Aug</t>
  </si>
  <si>
    <t>Sep</t>
  </si>
  <si>
    <t>Oct</t>
  </si>
  <si>
    <t>Nov</t>
  </si>
  <si>
    <t>Dec</t>
  </si>
  <si>
    <t>Residential</t>
  </si>
  <si>
    <t>Heating Degree Day</t>
  </si>
  <si>
    <t># of Days in Month</t>
  </si>
  <si>
    <t># of Peak Hours</t>
  </si>
  <si>
    <t>Predicted Purchases</t>
  </si>
  <si>
    <t>Variance</t>
  </si>
  <si>
    <t>% Variance</t>
  </si>
  <si>
    <t>% Variance (Abs)</t>
  </si>
  <si>
    <t>SUMMARY OUTPUT</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</si>
  <si>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</si>
  <si>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</si>
  <si>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</si>
  <si>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</si>
  <si>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</si>
  <si>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</si>
  <si>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</si>
  <si>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</si>
  <si>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</si>
  <si>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</si>
  <si>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</si>
  <si>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</si>
  <si>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</si>
  <si>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</si>
  <si>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</si>
  <si>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</si>
  <si>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</si>
  <si>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</si>
  <si>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</si>
  <si>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</si>
  <si>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</si>
  <si>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</si>
  <si>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</si>
  <si>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Trend Variable</t>
  </si>
  <si>
    <t>Cooling Degree Day</t>
  </si>
  <si>
    <t>GS&lt;50kW</t>
  </si>
  <si>
    <t>Actual Metered kWh</t>
  </si>
  <si>
    <t>Forecast</t>
  </si>
  <si>
    <t>Mean Average Percentage Error (MAPE)</t>
  </si>
  <si>
    <t>Median</t>
  </si>
  <si>
    <t>Year over Year</t>
  </si>
  <si>
    <t>GS50-999kW</t>
  </si>
  <si>
    <t>GS1000-4999kW</t>
  </si>
  <si>
    <t>USL</t>
  </si>
  <si>
    <t>Sentinel</t>
  </si>
  <si>
    <t>StreetLights</t>
  </si>
  <si>
    <t>kW</t>
  </si>
  <si>
    <t>YoY Change</t>
  </si>
  <si>
    <t>Spring Fall Flag</t>
  </si>
  <si>
    <t>Weather data from Mount Forest station</t>
  </si>
  <si>
    <t>Station Name</t>
  </si>
  <si>
    <t>MOUNT FOREST</t>
  </si>
  <si>
    <t>Latitude</t>
  </si>
  <si>
    <t>43°59'00.000" N</t>
  </si>
  <si>
    <t>Elevation</t>
  </si>
  <si>
    <t>414.50 m</t>
  </si>
  <si>
    <t>Province</t>
  </si>
  <si>
    <t>ONTARIO</t>
  </si>
  <si>
    <t>Longitude</t>
  </si>
  <si>
    <t>80°45'00.000" W</t>
  </si>
  <si>
    <t>Source:</t>
  </si>
  <si>
    <t>All-items CPI (2002=100)</t>
  </si>
  <si>
    <t>Employment</t>
  </si>
  <si>
    <t>Employment Rate</t>
  </si>
  <si>
    <t>Geography: Kitchener-Waterloo-Barrie, Ontario</t>
  </si>
  <si>
    <t>Heating / Cooling Degree Day</t>
  </si>
  <si>
    <t>Residential Customer Count</t>
  </si>
  <si>
    <t>GS50-999kW Customer Count</t>
  </si>
  <si>
    <t>GS1000-4999kW Customer Count</t>
  </si>
  <si>
    <t>USL Connections Count</t>
  </si>
  <si>
    <t>Sentinel Connections Count</t>
  </si>
  <si>
    <t>StreetLights Connections Count</t>
  </si>
  <si>
    <t>Method Used for Forecasting 2020 and 2021</t>
  </si>
  <si>
    <t>Actual</t>
  </si>
  <si>
    <t>CPI - Monthly
(Toronto, Ontario)</t>
  </si>
  <si>
    <t>Regional Employment</t>
  </si>
  <si>
    <t>As per Energy Probe Interrogatory in 2016 CoS application</t>
  </si>
  <si>
    <t>10 yr Average</t>
  </si>
  <si>
    <t>Month Count</t>
  </si>
  <si>
    <t>Trend - 10 yr</t>
  </si>
  <si>
    <t>Total Customer Accounts / Connections</t>
  </si>
  <si>
    <t>2019 Count</t>
  </si>
  <si>
    <t>Sum</t>
  </si>
  <si>
    <t>Wholesale Purchases
(IESO) (kWh)</t>
  </si>
  <si>
    <t>Purchases</t>
  </si>
  <si>
    <t>Modelled Purchases</t>
  </si>
  <si>
    <t>Difference</t>
  </si>
  <si>
    <t>Diff %</t>
  </si>
  <si>
    <t>Loss Factor</t>
  </si>
  <si>
    <t>Total Billed</t>
  </si>
  <si>
    <t>Avg Loss Factor</t>
  </si>
  <si>
    <t>Customer Growth Rate</t>
  </si>
  <si>
    <t>Geomean</t>
  </si>
  <si>
    <t>kW Demand</t>
  </si>
  <si>
    <t>kWh Usage</t>
  </si>
  <si>
    <t>10 year Average</t>
  </si>
  <si>
    <t>5 year Average</t>
  </si>
  <si>
    <t>Usage Per Customer</t>
  </si>
  <si>
    <t>Usage Per Customer Change YoY</t>
  </si>
  <si>
    <t>Geomean - 5 years</t>
  </si>
  <si>
    <t>Geomean - 10 years</t>
  </si>
  <si>
    <t>Non Weather Corrected Forecast</t>
  </si>
  <si>
    <t>Weather Corrected Forecast</t>
  </si>
  <si>
    <t>Total Billed Forecast</t>
  </si>
  <si>
    <t>% Weather Sensitive</t>
  </si>
  <si>
    <t>Allocation of Weather Senstive Volume</t>
  </si>
  <si>
    <t>CDM</t>
  </si>
  <si>
    <t>Load Forecast</t>
  </si>
  <si>
    <t>% Difference</t>
  </si>
  <si>
    <t>CDM Purchase Adjustment</t>
  </si>
  <si>
    <t xml:space="preserve">Billed kWh </t>
  </si>
  <si>
    <t xml:space="preserve">  Customers</t>
  </si>
  <si>
    <t xml:space="preserve">  kWh</t>
  </si>
  <si>
    <t xml:space="preserve">  kW</t>
  </si>
  <si>
    <t xml:space="preserve">  Connections</t>
  </si>
  <si>
    <t xml:space="preserve">2010
Actual </t>
  </si>
  <si>
    <t xml:space="preserve">2011
Actual </t>
  </si>
  <si>
    <t xml:space="preserve">2012
Actual </t>
  </si>
  <si>
    <t xml:space="preserve">2013
Actual </t>
  </si>
  <si>
    <t xml:space="preserve">2014
Actual </t>
  </si>
  <si>
    <t xml:space="preserve">2015
Actual </t>
  </si>
  <si>
    <t xml:space="preserve">2016
Actual </t>
  </si>
  <si>
    <t xml:space="preserve">2017
Actual </t>
  </si>
  <si>
    <t xml:space="preserve">2018
Actual </t>
  </si>
  <si>
    <t xml:space="preserve">2019
Actual </t>
  </si>
  <si>
    <t xml:space="preserve">Residential </t>
  </si>
  <si>
    <t>General Service 
&lt; 50 kW</t>
  </si>
  <si>
    <t>General Service 
50 to 999 kW</t>
  </si>
  <si>
    <t>General Service 
1000 to 4,999 kW</t>
  </si>
  <si>
    <t>Street Lights</t>
  </si>
  <si>
    <t>Sentinel Lights</t>
  </si>
  <si>
    <t>2020 
Weather Normal</t>
  </si>
  <si>
    <t>Unmetered Scattered Load</t>
  </si>
  <si>
    <t xml:space="preserve">  Customer / Connections</t>
  </si>
  <si>
    <t>B</t>
  </si>
  <si>
    <t>C</t>
  </si>
  <si>
    <t>Generation</t>
  </si>
  <si>
    <t>Sensitive Customers Variable</t>
  </si>
  <si>
    <t xml:space="preserve">Sensitive Customers </t>
  </si>
  <si>
    <t>CDM workbook</t>
  </si>
  <si>
    <t>CDM\WNP 2006-2018 CDM kWh Savings Summary.xlsx</t>
  </si>
  <si>
    <t>https://www150.statean.ge.ea/t1/tbl1/en/ev.aetion?pid=1810000401#timeframe</t>
  </si>
  <si>
    <t>https://www150.statean.ge.ea/t1/tbl1/en/ev.aetion?pid=1810000401</t>
  </si>
  <si>
    <t>https://www150.statean.ge.ea/t1/tbl1/en/ev.aetion?pid=1410029302#timeframe</t>
  </si>
  <si>
    <t>https://climate.weather.gc.ca/climate_data/daily_data_e.html?hlyRange=1994-02-01%7C2019-09-05&amp;dlyRange=1992-12-02%7C2019-09-05&amp;mlyRange=2003-10-01%7C2006-12-01&amp;StationID=7844&amp;Prov=ON&amp;urlExtension=_e.html&amp;searchType=stnName&amp;optLimit=yearRange&amp;StartYear=1998&amp;EndYear=2018&amp;selRowPerPage=25&amp;Line=0&amp;searchMethod=contains&amp;Month=9&amp;Day=5&amp;txtStationName=MOUNT+FOREST+%28AUT%29&amp;timeframe=2&amp;Year=2019</t>
  </si>
  <si>
    <t>Consumer Price Index data is based on Toronto,Ontario, All Items with base (100) set at 2002</t>
  </si>
  <si>
    <t>Sensitive customers workbook</t>
  </si>
  <si>
    <t>GS&lt;50kW customer Count</t>
  </si>
  <si>
    <t>Trend Variable (Probe 2016 CoS)</t>
  </si>
  <si>
    <t>Sensitive customers\Usage for Sensitive customers.xlsx</t>
  </si>
  <si>
    <t>2021
Weather Normal</t>
  </si>
  <si>
    <t>Appendix 2-I</t>
  </si>
  <si>
    <t>Load Forecast CDM Adjustment Work Form</t>
  </si>
  <si>
    <t>Appendix 2-I was initially developed to help determine what would be the amount of CDM savings needed in each year to cumulatively achieve the four year 2011-2014 CDM target.  This then determined the amount of kWh (and with translation, kW of demand) savings that were converted into dollar balances for the LRAMVA, and also to determine the related adjustment to the load forecast to account for OPA-reported savings.  Beginning in the 2015 year, it was adjusted because the persistence of 2011-2014 CDM programs will be an adjustment to the load forecast in addition to the estimated savings for the first year (2015) for the new 2015-2020 CDM plan. This appendix has been updated for 2020 rate applications to acknowledge that in accordance with the Minister of Energy's March 20, 2019 Directive to the IESO, the Conservation First Framework (CFF) is no longer in effect. As distributors are no longer working towards the former 2015-2020 CDM targets, for 2019 and 2020 activity only CDM projects that are subject to a contractual agreement entered into between the distributor and a customer by April 30, 2019 under a former CFF program should be included in the proposed CDM manual adjustment to the load forecast. Distributors should provide relevant documentation to support the manual adjustments for 2019 and 2020 CDM projects, including the corresponding CFF program, project timelines and projected savings. For any savings from new projects that begin on or after May 1, 2019 that are under the IESO's interim framework (May 1, 2019 to December 31, 2020), distributors should not include these savings as part of the 2020 CDM manual adjustment.</t>
  </si>
  <si>
    <t>2019-2020 CDM Activities</t>
  </si>
  <si>
    <t xml:space="preserve">For the first year of the new 2015-2020 CDM plan, for simplicity it was assumed that each year's program will achieve an equal amount of new CDM savings. This resulted in each year's program being about 1/6 (or 16.67%) of the cumulative 2015-2020 CDM target for kWh savings.  A distributor could have proposed an alternative approach but would have been expected to document in its application why it believes that its proposal is more reasonable.  
For 2020 rate applications, distributors should ensure that the sum of the results for the 2015 to 2018 program years is consistent with the results provided by the IESO. For 2019 and 2020 program years, the projected CDM savings should not match the distributor's CDM Plan or its 2015-2020 CDM targets. Rather, for 2019 and 2020 CDM activity, distributors should only include the projected CDM savings from projects that are subject to contractual agreements between the distributor and customer made on or before April 30, 2019 under the former CFF. </t>
  </si>
  <si>
    <t>Former CFF 6 Year (2015-2020) kWh Target*</t>
  </si>
  <si>
    <t>%</t>
  </si>
  <si>
    <t>2015 CDM Programs</t>
  </si>
  <si>
    <t>2016 CDM Programs</t>
  </si>
  <si>
    <t>2017 CDM Programs</t>
  </si>
  <si>
    <t>2018 CDM Programs</t>
  </si>
  <si>
    <t>2019 CDM Programs</t>
  </si>
  <si>
    <t>2020 CDM Programs</t>
  </si>
  <si>
    <t>Total in Year</t>
  </si>
  <si>
    <t>kWh</t>
  </si>
  <si>
    <t>*This total will not equal the distributor's former CFF CDM target. Rather, for 2019 and 2020, the distributor should only include the projected savings from projects that are subject to contractual agreements made between the LDC and a customer on or before April 30, 2019 under the former CFF.</t>
  </si>
  <si>
    <t xml:space="preserve">Note: The default formulae in the above table assume that the 2015-2020 kWh CDM target is achieved through persistence of CDM savings to the end of 2020. The distributor should enter measured CDM savings for 2015, 2016, 2017 and 2018, and the persistence of 2015, 2016, 2017 and 2018 programs for 2018-2020 in rows 34, 35, 36 and 37. Distributors should rely on the Participant and Cost monthly reports provided by the IESO for 2018 CDM savings which can be entered into row 37. The distributor should include only those projected CDM savings in 2019 and 2020 from projects that it has contractual obligations with a customer on or before April 30, 2019 under the former CFF. </t>
  </si>
  <si>
    <t>Determination of 2020 Load Forecast Adjustment</t>
  </si>
  <si>
    <t>The OEB determined that the "net" number should be used in its Decision and Order with respect to Centre Wellington Hydro Ltd.'s 2013 Cost of Service rates (EB-2012-0113).  This approach has also been used in Settlement Agreements accepted by the OEB in other 2013 and 2014 applications.  The distributor should select whether the adjustment is done on a "net" or "gross" basis, but must support a proposal for the adjustment being done on a "gross" basis.  Sheet 2-I defaults to the adjustment being done on a "net" basis consistent with OEB policy and practice.</t>
  </si>
  <si>
    <t>From each of the 2006-2010 CDM Final Report,  and the 2011 to 2017 CDM Final Reports, issued by the OPA/IESO for the distributor, the distributor should input the "gross" and "net" results of the cumulative CDM savings for 2018 into cells C57 to C63 and D57 to D63.  The model will calculate the cumulative savings for all programs from 2006 to 2016 and determine the "net" to "gross" factor "g".</t>
  </si>
  <si>
    <t>Net-to-Gross Conversion</t>
  </si>
  <si>
    <t>Is CDM adjustment being done on a "net" or "gross" basis?</t>
  </si>
  <si>
    <t>net</t>
  </si>
  <si>
    <t>"Gross"</t>
  </si>
  <si>
    <t>"Net"</t>
  </si>
  <si>
    <t>"Net-to-Gross" Conversion Factor</t>
  </si>
  <si>
    <t>Persistence of Historical CDM programs to 2015</t>
  </si>
  <si>
    <t>('g')</t>
  </si>
  <si>
    <t>2006-2010 CDM programs</t>
  </si>
  <si>
    <t>2011 CDM program</t>
  </si>
  <si>
    <t>2012 CDM program</t>
  </si>
  <si>
    <t>2013 CDM program</t>
  </si>
  <si>
    <t>2014 CDM program</t>
  </si>
  <si>
    <t>2015 CDM program</t>
  </si>
  <si>
    <t>2016 CDM program</t>
  </si>
  <si>
    <t>2017 CDM program</t>
  </si>
  <si>
    <t>The default values below represent the factor used for how each year's CDM program is factored into the manual CDM adjustment.  Distributors can choose alternative weights of "0", "0.5" or "1" from the drop-down menu for each cell, but must support its alternatives.</t>
  </si>
  <si>
    <t>These factors do not mean that CDM programs are excluded, but the assumption that impacts of previous year CDM programs are already implicitly reflected in the actual data for historical years that are used to derive the load forecast prior to any manual CDM adjustment for the 2020 test year.</t>
  </si>
  <si>
    <t>Weight Factor for Inclusion in CDM Adjustment to 2020 Load Forecast</t>
  </si>
  <si>
    <t>2018*</t>
  </si>
  <si>
    <t>2019**</t>
  </si>
  <si>
    <t>2020**</t>
  </si>
  <si>
    <t>Weight Factor for each year's CDM program impact on 2020 load forecast</t>
  </si>
  <si>
    <t>Distributor can select "0", "0.5", or "1" from drop-down list</t>
  </si>
  <si>
    <t xml:space="preserve">Default Value selection rationale.  </t>
  </si>
  <si>
    <t>Full year impact of 2015 CDM is assumed to be reflected in the base forecast, as the full year persistence of 2015 CDM programs is in the 2018 historical actual data. No further impact is necessary for the manual adjustment to the load forecast.</t>
  </si>
  <si>
    <t>Full year impact of 2016 CDM is assumed to be reflected in the base forecast, as the full year persistence of 2016 CDM programs is in the 2018 historical actual data. No further impact is necessary for the manual adjustment to the load forecast.</t>
  </si>
  <si>
    <t>Full year impact of 2017 CDM is assumed to be reflected in the base forecast, as the full year persistence of 2017 CDM programs is in the 2018 historical actual data. No further impact is necessary for the manual adjustment to the load forecast.</t>
  </si>
  <si>
    <t>* For 2018 CDM programs distributors should rely on the results made available by the IESO in the Participant and Cost monthly reports</t>
  </si>
  <si>
    <t xml:space="preserve">** For 2019 and 2020 CDM program activity, the distributor should include only those projected CDM savings from projects that it has contractual obligations with a customer under the former CFF. </t>
  </si>
  <si>
    <t>One manual adjustment for CDM impacts to the 2020 load forecast is made.  There is a different but related threshold amount that is used for the 2020 LRAMVA amount for Account 1568.</t>
  </si>
  <si>
    <t>The amount used for the CDM threshold of the LRAMVA is the kWh that will be used to determine the base amount for the LRAMVA balance for 2020. This allows for a comparison between projected CDM savings and actual CDM savings.</t>
  </si>
  <si>
    <t>If used to determine the manual CDM adjustment for the system purchased kWh, the proposed loss factor should correspond with the proposed total loss factor calculated in Appendix 2-R .</t>
  </si>
  <si>
    <t>The Manual Adjustment for the 2020 Load Forecast is the amount manually subtracted from the system-wide load forecast (either based on a purchased or billed basis) derived from the base forecast from historical data. If the distributor has developed their load forecast on a system purchased basis, then the manual adjustment should be on a system purchased basis, including the adjustment for losses.  If the load forecast has been developed on a billed basis, either on a system basis or on a class-specific basis, the manual adjustment should be on a billed basis, excluding losses.</t>
  </si>
  <si>
    <t>The distributor should determine the allocation of the savings to all customer classes in a reasonable manner (e.g. taking into account what programs and what IESO-measured impacts were directed at specific customer classes), for both the LRAMVA and for the load forecast adjustment.</t>
  </si>
  <si>
    <t>Manual Adjustment for 2020 Load Forecast (billed basis)</t>
  </si>
  <si>
    <t>Manual Adjustment for 2020 LDC-only CDM programs (billed basis)</t>
  </si>
  <si>
    <t>Total Manual Forecast to Load Forecast</t>
  </si>
  <si>
    <t>Proposed Loss Factor (TLF)</t>
  </si>
  <si>
    <t xml:space="preserve"> Format: X.XX%</t>
  </si>
  <si>
    <t>Adjusted Wholesale (kWh)</t>
  </si>
  <si>
    <t>Wholesale Adjusted</t>
  </si>
  <si>
    <t>A</t>
  </si>
  <si>
    <t>Sensitive Customers</t>
  </si>
  <si>
    <t>2018 CDM program</t>
  </si>
  <si>
    <t>2019 CDM program*</t>
  </si>
  <si>
    <t>2006 to 2018 OPA CDM programs:  Persistence to 2020.</t>
  </si>
  <si>
    <t>*For 2019 CDM programs distributors should rely on the results made available by the IESO in the Participant and Cost monthly reports</t>
  </si>
  <si>
    <t>2021**</t>
  </si>
  <si>
    <t>Total for 2021</t>
  </si>
  <si>
    <t>Only 50% of 2020 CDM programs are assumed to impact the 2021 load forecast based on the "half-year" rule.</t>
  </si>
  <si>
    <t>2015-2020 LRAMVA and 2021 CDM adjustment to Load Forecast</t>
  </si>
  <si>
    <t>Manual adjustment uses "gross" versus "net" (i.e. numbers multiplied by (1 + g).  The Weight factor is also used to calculate the impact of each year's program on the CDM adjustment to the 2021 load forecast.</t>
  </si>
  <si>
    <t>Manual Adjustment for 2021 Load Forecast (system purchased basis)</t>
  </si>
  <si>
    <t>Amount used for CDM threshold for LRAMVA (2021)</t>
  </si>
  <si>
    <t>kWh without Loss</t>
  </si>
  <si>
    <t>Month</t>
  </si>
  <si>
    <t xml:space="preserve">Days </t>
  </si>
  <si>
    <t>Hours of  LED On</t>
  </si>
  <si>
    <t>January</t>
  </si>
  <si>
    <t>February</t>
  </si>
  <si>
    <t>March</t>
  </si>
  <si>
    <t>April</t>
  </si>
  <si>
    <t>June</t>
  </si>
  <si>
    <t>July</t>
  </si>
  <si>
    <t>August</t>
  </si>
  <si>
    <t>September</t>
  </si>
  <si>
    <t>October</t>
  </si>
  <si>
    <t>November</t>
  </si>
  <si>
    <t>December</t>
  </si>
  <si>
    <t>https://www.timeanddate.com/sun/canada/toronto</t>
  </si>
  <si>
    <t>Holstein Streetlights</t>
  </si>
  <si>
    <t>Mount Forest Streetlights</t>
  </si>
  <si>
    <t>Arthur Streetlights</t>
  </si>
  <si>
    <t>Source for LED hours on:</t>
  </si>
  <si>
    <t>Holstein (based on Utilismart for 2019)</t>
  </si>
  <si>
    <t>Mount Forest (based on Utilismart for 2019)</t>
  </si>
  <si>
    <t>Arthur (based on Utilismart for 2019)</t>
  </si>
  <si>
    <t>Street Lights:  All After LED Conversion</t>
  </si>
  <si>
    <t>Street Lights:  2019</t>
  </si>
  <si>
    <t>Add-in Street lights LED conversion</t>
  </si>
  <si>
    <t>Substituted</t>
  </si>
  <si>
    <t>CHECK</t>
  </si>
  <si>
    <t>Used 2019 averages - except Streetlights</t>
  </si>
  <si>
    <t>Variance (Abs)</t>
  </si>
  <si>
    <t>Default is 0.5, but one option is for full year impact of persistence of 2018 CDM programs on 2020 load forecast, but 50% impact in base forecast (first year impact of 2018 CDM programs on 2018 actuals, which is part of the data underlying the base load forecast).</t>
  </si>
  <si>
    <t>Full year impact of persistence of 2019 programs on 2020 load forecast.  2019 CDM program impacts are not in the base forecast.</t>
  </si>
  <si>
    <t>Only 50% of 2019 CDM programs are assumed to impact the 2020 load forecast based on the "half-year" rule.</t>
  </si>
  <si>
    <t>Actual Loss Factor</t>
  </si>
  <si>
    <t>Accounts</t>
  </si>
  <si>
    <t>Total 2021</t>
  </si>
  <si>
    <t>Rate Class</t>
  </si>
  <si>
    <t>Remove Streetlights usage (2019 Actuals pre-LED conversion)</t>
  </si>
  <si>
    <t>Predicted kWh Purchases (after CDM &amp; Streetlight LED conversion)</t>
  </si>
  <si>
    <t>Variance (kWh)
Predicted less Actual</t>
  </si>
  <si>
    <t>Gneral Service
&lt;50kW</t>
  </si>
  <si>
    <t>Gneral Service
50-999 kW</t>
  </si>
  <si>
    <t>Gneral Service
1,000-4,999 kW</t>
  </si>
  <si>
    <t>Connections</t>
  </si>
  <si>
    <t>Total Streetlights</t>
  </si>
  <si>
    <t>Light Type</t>
  </si>
  <si>
    <t>HPS</t>
  </si>
  <si>
    <t>LED</t>
  </si>
  <si>
    <t>Data</t>
  </si>
  <si>
    <t>D = A x B x C</t>
  </si>
  <si>
    <r>
      <t xml:space="preserve">kWh
</t>
    </r>
    <r>
      <rPr>
        <i/>
        <sz val="10"/>
        <color theme="1"/>
        <rFont val="Calibri"/>
        <family val="2"/>
      </rPr>
      <t>(without Loss)</t>
    </r>
  </si>
  <si>
    <t>Use 5 year average to reflect CDM activity which has reduced kW demand</t>
  </si>
  <si>
    <t>kW/kWh</t>
  </si>
  <si>
    <t>Bridge Year 2020</t>
  </si>
  <si>
    <t>Test Year 2021</t>
  </si>
  <si>
    <t>Devices</t>
  </si>
  <si>
    <t>CDM
(without Losses)</t>
  </si>
  <si>
    <t>Actual kWh Purchases</t>
  </si>
  <si>
    <t>Predicted kWh Purchases</t>
  </si>
  <si>
    <t>Used 2019 Actuals as per Settlement Conference</t>
  </si>
  <si>
    <t>Based on CDM Savings &amp; Persistence as per Settlement Conference</t>
  </si>
  <si>
    <t>Sensitive Variable data - Actuals used for 2020 &amp; 2021 as per Settlement Conference</t>
  </si>
  <si>
    <t>CDM variable data as per Settlement Conference - refer to CDM Savings &amp; Persistence  Summary for Load Forecast-SC xls file</t>
  </si>
  <si>
    <t>Removed manual streetlight adjustment as per Settlement Conference</t>
  </si>
  <si>
    <t>Used 2019 Actuals for Bridge &amp; Test Years</t>
  </si>
  <si>
    <t>Used 2019 Actuals</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</si>
</sst>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0.00_);_(&quot;$&quot;* \(#,##0.00\);_(&quot;$&quot;* &quot;-&quot;??_);_(@_)"/>
    <numFmt numFmtId="43" formatCode="_(* #,##0.00_);_(* \(#,##0.00\);_(* &quot;-&quot;??_);_(@_)"/>
    <numFmt numFmtId="164" formatCode="_-* #,##0.00_-;\-* #,##0.00_-;_-* &quot;-&quot;??_-;_-@_-"/>
    <numFmt numFmtId="165" formatCode="0.0%"/>
    <numFmt numFmtId="166" formatCode="_-* #,##0.00_-;\-* #,##0.00_-;_-* \-??_-;_-@_-"/>
    <numFmt numFmtId="167" formatCode="#,##0.0"/>
    <numFmt numFmtId="168" formatCode="0.0"/>
    <numFmt numFmtId="169" formatCode="0.0000"/>
    <numFmt numFmtId="170" formatCode="0.0000%"/>
    <numFmt numFmtId="171" formatCode="_(* #,##0_);_(* \(#,##0\);_(* &quot;-&quot;??_);_(@_)"/>
    <numFmt numFmtId="172" formatCode="#,##0_ ;\-#,##0\ "/>
    <numFmt numFmtId="173" formatCode="#,##0.00_ ;[Red]\-#,##0.00\ "/>
    <numFmt numFmtId="174" formatCode="0.00_ ;[Red]\-0.00\ "/>
    <numFmt numFmtId="175" formatCode="#,##0_ ;[Red]\-#,##0\ "/>
    <numFmt numFmtId="176" formatCode="0.000"/>
    <numFmt numFmtId="177" formatCode="0.000%"/>
    <numFmt numFmtId="178" formatCode="#,##0.000000000000000"/>
  </numFmts>
  <fonts count="72">
    <font>
      <sz val="12"/>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2"/>
      <color theme="1"/>
      <name val="Calibri"/>
      <family val="2"/>
    </font>
    <font>
      <sz val="9"/>
      <color indexed="81"/>
      <name val="Tahoma"/>
      <family val="2"/>
    </font>
    <font>
      <b/>
      <sz val="9"/>
      <color indexed="81"/>
      <name val="Tahoma"/>
      <family val="2"/>
    </font>
    <font>
      <sz val="10"/>
      <name val="Mangal"/>
      <family val="2"/>
      <charset val="1"/>
    </font>
    <font>
      <sz val="10"/>
      <name val="Arial"/>
      <family val="2"/>
      <charset val="1"/>
    </font>
    <font>
      <sz val="11"/>
      <color theme="1"/>
      <name val="Calibri"/>
      <family val="2"/>
    </font>
    <font>
      <b/>
      <sz val="11"/>
      <color theme="1"/>
      <name val="Calibri"/>
      <family val="2"/>
    </font>
    <font>
      <sz val="10"/>
      <name val="Times New Roman"/>
      <family val="1"/>
    </font>
    <font>
      <sz val="10"/>
      <name val="Arial"/>
      <family val="2"/>
    </font>
    <font>
      <u/>
      <sz val="11"/>
      <color theme="10"/>
      <name val="Calibri"/>
      <family val="2"/>
      <scheme val="minor"/>
    </font>
    <font>
      <u/>
      <sz val="10"/>
      <color theme="10"/>
      <name val="Times New Roman"/>
      <family val="1"/>
    </font>
    <font>
      <u/>
      <sz val="10"/>
      <color theme="10"/>
      <name val="Arial"/>
      <family val="2"/>
    </font>
    <font>
      <sz val="11"/>
      <color rgb="FF0033CC"/>
      <name val="Calibri"/>
      <family val="2"/>
    </font>
    <font>
      <sz val="11"/>
      <color theme="0" tint="-0.499984740745262"/>
      <name val="Calibri"/>
      <family val="2"/>
    </font>
    <font>
      <i/>
      <sz val="12"/>
      <color theme="1"/>
      <name val="Calibri"/>
      <family val="2"/>
    </font>
    <font>
      <u/>
      <sz val="10"/>
      <color theme="10"/>
      <name val="Calibri"/>
      <family val="2"/>
      <scheme val="minor"/>
    </font>
    <font>
      <b/>
      <sz val="10"/>
      <name val="Calibri"/>
      <family val="2"/>
      <scheme val="minor"/>
    </font>
    <font>
      <sz val="10"/>
      <color theme="1"/>
      <name val="Calibri"/>
      <family val="2"/>
      <scheme val="minor"/>
    </font>
    <font>
      <sz val="10"/>
      <name val="Calibri"/>
      <family val="2"/>
      <scheme val="minor"/>
    </font>
    <font>
      <sz val="11"/>
      <color theme="0" tint="-0.34998626667073579"/>
      <name val="Calibri"/>
      <family val="2"/>
    </font>
    <font>
      <sz val="12"/>
      <color theme="1"/>
      <name val="Calibri"/>
      <family val="2"/>
      <scheme val="minor"/>
    </font>
    <font>
      <b/>
      <sz val="12"/>
      <name val="Calibri"/>
      <family val="2"/>
      <scheme val="minor"/>
    </font>
    <font>
      <b/>
      <sz val="12"/>
      <color rgb="FF0000FF"/>
      <name val="Calibri"/>
      <family val="2"/>
      <scheme val="minor"/>
    </font>
    <font>
      <sz val="12"/>
      <color rgb="FFFF0000"/>
      <name val="Calibri"/>
      <family val="2"/>
      <scheme val="minor"/>
    </font>
    <font>
      <sz val="12"/>
      <name val="Calibri"/>
      <family val="2"/>
      <scheme val="minor"/>
    </font>
    <font>
      <sz val="12"/>
      <color rgb="FF0000FF"/>
      <name val="Calibri"/>
      <family val="2"/>
      <scheme val="minor"/>
    </font>
    <font>
      <b/>
      <sz val="14"/>
      <color theme="1"/>
      <name val="Calibri"/>
      <family val="2"/>
      <scheme val="minor"/>
    </font>
    <font>
      <b/>
      <sz val="11"/>
      <color theme="0"/>
      <name val="Calibri"/>
      <family val="2"/>
    </font>
    <font>
      <sz val="11"/>
      <color rgb="FFFF0000"/>
      <name val="Calibri"/>
      <family val="2"/>
    </font>
    <font>
      <b/>
      <sz val="12"/>
      <color theme="1"/>
      <name val="Calibri"/>
      <family val="2"/>
    </font>
    <font>
      <b/>
      <sz val="14"/>
      <name val="Calibri"/>
      <family val="2"/>
    </font>
    <font>
      <sz val="11"/>
      <color theme="1"/>
      <name val="Calibri"/>
      <family val="2"/>
      <scheme val="minor"/>
    </font>
    <font>
      <sz val="11"/>
      <color rgb="FF000000"/>
      <name val="Calibri"/>
      <family val="2"/>
    </font>
    <font>
      <sz val="10"/>
      <name val="Calibri"/>
      <family val="2"/>
    </font>
    <font>
      <sz val="11"/>
      <name val="Calibri"/>
      <family val="2"/>
    </font>
    <font>
      <b/>
      <sz val="14"/>
      <color rgb="FF000000"/>
      <name val="Calibri"/>
      <family val="2"/>
    </font>
    <font>
      <b/>
      <sz val="11"/>
      <color rgb="FF000000"/>
      <name val="Calibri"/>
      <family val="2"/>
    </font>
    <font>
      <b/>
      <sz val="10"/>
      <color rgb="FF000000"/>
      <name val="Calibri"/>
      <family val="2"/>
    </font>
    <font>
      <b/>
      <sz val="11"/>
      <name val="Calibri"/>
      <family val="2"/>
    </font>
    <font>
      <b/>
      <sz val="11"/>
      <color theme="0" tint="-0.499984740745262"/>
      <name val="Calibri"/>
      <family val="2"/>
    </font>
    <font>
      <b/>
      <sz val="11"/>
      <color rgb="FFFF0000"/>
      <name val="Calibri"/>
      <family val="2"/>
    </font>
    <font>
      <b/>
      <i/>
      <sz val="14"/>
      <color rgb="FF000000"/>
      <name val="Calibri"/>
      <family val="2"/>
    </font>
    <font>
      <sz val="10"/>
      <color rgb="FF000000"/>
      <name val="Calibri"/>
      <family val="2"/>
    </font>
    <font>
      <b/>
      <i/>
      <sz val="11"/>
      <color rgb="FF000000"/>
      <name val="Calibri"/>
      <family val="2"/>
    </font>
    <font>
      <i/>
      <sz val="11"/>
      <color rgb="FF000000"/>
      <name val="Calibri"/>
      <family val="2"/>
    </font>
    <font>
      <i/>
      <sz val="11"/>
      <name val="Calibri"/>
      <family val="2"/>
    </font>
    <font>
      <b/>
      <sz val="10"/>
      <name val="Calibri"/>
      <family val="2"/>
    </font>
    <font>
      <sz val="10"/>
      <color theme="1"/>
      <name val="Times New Roman"/>
      <family val="1"/>
    </font>
    <font>
      <sz val="11.5"/>
      <color rgb="FF000000"/>
      <name val="Calibri"/>
      <family val="2"/>
    </font>
    <font>
      <b/>
      <sz val="10"/>
      <color theme="1"/>
      <name val="Calibri"/>
      <family val="2"/>
    </font>
    <font>
      <b/>
      <sz val="10"/>
      <color theme="0" tint="-0.34998626667073579"/>
      <name val="Calibri"/>
      <family val="2"/>
    </font>
    <font>
      <sz val="10"/>
      <color theme="0" tint="-0.34998626667073579"/>
      <name val="Calibri"/>
      <family val="2"/>
    </font>
    <font>
      <i/>
      <sz val="12"/>
      <color rgb="FF3333CC"/>
      <name val="Calibri"/>
      <family val="2"/>
      <scheme val="minor"/>
    </font>
    <font>
      <i/>
      <sz val="11"/>
      <color theme="1"/>
      <name val="Calibri"/>
      <family val="2"/>
    </font>
    <font>
      <i/>
      <sz val="11"/>
      <color rgb="FF0033CC"/>
      <name val="Calibri"/>
      <family val="2"/>
    </font>
    <font>
      <sz val="10"/>
      <color rgb="FF0033CC"/>
      <name val="Calibri"/>
      <family val="2"/>
    </font>
    <font>
      <i/>
      <sz val="10"/>
      <color theme="1"/>
      <name val="Calibri"/>
      <family val="2"/>
    </font>
    <font>
      <i/>
      <sz val="11"/>
      <color rgb="FFFF0000"/>
      <name val="Calibri"/>
      <family val="2"/>
    </font>
  </fonts>
  <fills count="1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BFBFBF"/>
        <bgColor rgb="FF000000"/>
      </patternFill>
    </fill>
    <fill>
      <patternFill patternType="solid">
        <fgColor rgb="FFEBF1DE"/>
        <bgColor rgb="FF000000"/>
      </patternFill>
    </fill>
    <fill>
      <patternFill patternType="solid">
        <fgColor rgb="FFF2F2F2"/>
        <bgColor rgb="FF000000"/>
      </patternFill>
    </fill>
    <fill>
      <patternFill patternType="solid">
        <fgColor rgb="FF000000"/>
        <bgColor rgb="FF000000"/>
      </patternFill>
    </fill>
    <fill>
      <patternFill patternType="solid">
        <fgColor theme="6" tint="0.79998168889431442"/>
        <bgColor rgb="FF000000"/>
      </patternFill>
    </fill>
    <fill>
      <patternFill patternType="solid">
        <fgColor rgb="FFDCE6F1"/>
        <bgColor rgb="FF000000"/>
      </patternFill>
    </fill>
    <fill>
      <patternFill patternType="solid">
        <fgColor rgb="FFFFFFFF"/>
        <bgColor rgb="FF000000"/>
      </patternFill>
    </fill>
    <fill>
      <patternFill patternType="solid">
        <fgColor theme="4" tint="0.59999389629810485"/>
        <bgColor indexed="64"/>
      </patternFill>
    </fill>
    <fill>
      <patternFill patternType="solid">
        <fgColor theme="4" tint="0.79998168889431442"/>
        <bgColor indexed="64"/>
      </patternFill>
    </fill>
  </fills>
  <borders count="63">
    <border>
      <left/>
      <right/>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rgb="FFFFFFFF"/>
      </top>
      <bottom style="thin">
        <color rgb="FFFFFFFF"/>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s>
  <cellStyleXfs count="24">
    <xf numFmtId="0" fontId="0" fillId="0" borderId="0"/>
    <xf numFmtId="9" fontId="14" fillId="0" borderId="0" applyFont="0" applyFill="0" applyBorder="0" applyAlignment="0" applyProtection="0"/>
    <xf numFmtId="166" fontId="17" fillId="0" borderId="0" applyFill="0" applyBorder="0" applyAlignment="0" applyProtection="0"/>
    <xf numFmtId="0" fontId="18" fillId="0" borderId="0"/>
    <xf numFmtId="0" fontId="21" fillId="0" borderId="0"/>
    <xf numFmtId="0" fontId="21" fillId="0" borderId="0"/>
    <xf numFmtId="0" fontId="21" fillId="0" borderId="0"/>
    <xf numFmtId="0" fontId="23" fillId="0" borderId="0" applyNumberFormat="0" applyFill="0" applyBorder="0" applyAlignment="0" applyProtection="0"/>
    <xf numFmtId="0" fontId="21" fillId="0" borderId="0"/>
    <xf numFmtId="0" fontId="24" fillId="0" borderId="0" applyNumberFormat="0" applyFill="0" applyBorder="0" applyAlignment="0" applyProtection="0"/>
    <xf numFmtId="0" fontId="22" fillId="0" borderId="0"/>
    <xf numFmtId="0" fontId="25" fillId="0" borderId="0" applyNumberFormat="0" applyFill="0" applyBorder="0" applyAlignment="0" applyProtection="0"/>
    <xf numFmtId="43" fontId="14" fillId="0" borderId="0" applyFont="0" applyFill="0" applyBorder="0" applyAlignment="0" applyProtection="0"/>
    <xf numFmtId="0" fontId="22" fillId="0" borderId="0"/>
    <xf numFmtId="0" fontId="45" fillId="0" borderId="0"/>
    <xf numFmtId="164" fontId="45" fillId="0" borderId="0" applyFont="0" applyFill="0" applyBorder="0" applyAlignment="0" applyProtection="0"/>
    <xf numFmtId="9" fontId="45" fillId="0" borderId="0" applyFont="0" applyFill="0" applyBorder="0" applyAlignment="0" applyProtection="0"/>
    <xf numFmtId="9"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0" fontId="22" fillId="0" borderId="0"/>
    <xf numFmtId="9" fontId="45" fillId="0" borderId="0" applyFont="0" applyFill="0" applyBorder="0" applyAlignment="0" applyProtection="0"/>
    <xf numFmtId="0" fontId="22" fillId="0" borderId="0"/>
    <xf numFmtId="43" fontId="45" fillId="0" borderId="0" applyFont="0" applyFill="0" applyBorder="0" applyAlignment="0" applyProtection="0"/>
  </cellStyleXfs>
  <cellXfs count="528">
    <xf numFmtId="0" fontId="0" fillId="0" borderId="0" xfId="0"/>
    <xf numFmtId="0" fontId="19" fillId="0" borderId="0" xfId="0" applyFont="1" applyAlignment="1">
      <alignment horizontal="center" vertical="center"/>
    </xf>
    <xf numFmtId="3" fontId="20" fillId="0" borderId="0" xfId="0" applyNumberFormat="1" applyFont="1" applyAlignment="1">
      <alignment horizontal="center" vertical="center"/>
    </xf>
    <xf numFmtId="0" fontId="19" fillId="0" borderId="0" xfId="0" applyFont="1" applyAlignment="1">
      <alignment vertical="center"/>
    </xf>
    <xf numFmtId="0" fontId="19" fillId="0" borderId="0" xfId="0" applyFont="1" applyAlignment="1">
      <alignment horizontal="center" vertical="center" wrapText="1"/>
    </xf>
    <xf numFmtId="3" fontId="19" fillId="0" borderId="0" xfId="0" applyNumberFormat="1" applyFont="1" applyAlignment="1">
      <alignment horizontal="center" vertical="center"/>
    </xf>
    <xf numFmtId="4" fontId="19" fillId="0" borderId="0" xfId="0" applyNumberFormat="1" applyFont="1" applyAlignment="1">
      <alignment horizontal="center"/>
    </xf>
    <xf numFmtId="3" fontId="19" fillId="0" borderId="0" xfId="0" applyNumberFormat="1" applyFont="1" applyAlignment="1">
      <alignment horizontal="center" vertical="center" wrapText="1"/>
    </xf>
    <xf numFmtId="0" fontId="19" fillId="0" borderId="0" xfId="0" applyFont="1" applyAlignment="1">
      <alignment horizontal="center"/>
    </xf>
    <xf numFmtId="3" fontId="19" fillId="0" borderId="0" xfId="0" applyNumberFormat="1" applyFont="1" applyAlignment="1">
      <alignment horizontal="center"/>
    </xf>
    <xf numFmtId="0" fontId="20" fillId="0" borderId="0" xfId="0" applyFont="1" applyAlignment="1">
      <alignment horizontal="left" vertical="center"/>
    </xf>
    <xf numFmtId="4" fontId="19" fillId="0" borderId="0" xfId="0" applyNumberFormat="1" applyFont="1" applyAlignment="1">
      <alignment horizontal="center" vertical="center"/>
    </xf>
    <xf numFmtId="3" fontId="19" fillId="2" borderId="0" xfId="0" applyNumberFormat="1" applyFont="1" applyFill="1" applyAlignment="1">
      <alignment horizontal="center" vertical="center"/>
    </xf>
    <xf numFmtId="0" fontId="26" fillId="0" borderId="3" xfId="0" applyFont="1" applyBorder="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19" fillId="2" borderId="0" xfId="0" applyFont="1" applyFill="1" applyAlignment="1">
      <alignment horizontal="center" vertical="center"/>
    </xf>
    <xf numFmtId="4" fontId="19" fillId="2" borderId="0" xfId="0" applyNumberFormat="1" applyFont="1" applyFill="1" applyAlignment="1">
      <alignment horizontal="center" vertical="center"/>
    </xf>
    <xf numFmtId="0" fontId="19" fillId="2" borderId="0" xfId="0" applyFont="1" applyFill="1" applyAlignment="1">
      <alignment horizontal="center"/>
    </xf>
    <xf numFmtId="0" fontId="19" fillId="2" borderId="6" xfId="0" applyFont="1" applyFill="1" applyBorder="1" applyAlignment="1">
      <alignment horizontal="center" vertical="center"/>
    </xf>
    <xf numFmtId="4" fontId="19" fillId="2" borderId="6" xfId="0" applyNumberFormat="1" applyFont="1" applyFill="1" applyBorder="1" applyAlignment="1">
      <alignment horizontal="center" vertical="center"/>
    </xf>
    <xf numFmtId="0" fontId="19" fillId="2" borderId="6" xfId="0" applyFont="1" applyFill="1" applyBorder="1" applyAlignment="1">
      <alignment horizontal="center"/>
    </xf>
    <xf numFmtId="3" fontId="19" fillId="2" borderId="6" xfId="0" applyNumberFormat="1" applyFont="1" applyFill="1" applyBorder="1" applyAlignment="1">
      <alignment horizontal="center" vertical="center"/>
    </xf>
    <xf numFmtId="0" fontId="19" fillId="0" borderId="6" xfId="0" applyFont="1" applyBorder="1" applyAlignment="1">
      <alignment vertical="center"/>
    </xf>
    <xf numFmtId="0" fontId="27" fillId="0" borderId="6" xfId="0" applyFont="1" applyBorder="1" applyAlignment="1">
      <alignment horizontal="center" vertical="center"/>
    </xf>
    <xf numFmtId="167" fontId="19" fillId="2" borderId="6" xfId="0" applyNumberFormat="1" applyFont="1" applyFill="1" applyBorder="1" applyAlignment="1">
      <alignment horizontal="center" vertical="center"/>
    </xf>
    <xf numFmtId="167" fontId="19" fillId="2" borderId="0" xfId="0" applyNumberFormat="1" applyFont="1" applyFill="1" applyAlignment="1">
      <alignment horizontal="center" vertical="center"/>
    </xf>
    <xf numFmtId="168" fontId="19" fillId="0" borderId="0" xfId="0" applyNumberFormat="1" applyFont="1" applyAlignment="1">
      <alignment horizontal="center" vertical="center"/>
    </xf>
    <xf numFmtId="168" fontId="19" fillId="2" borderId="6" xfId="0" applyNumberFormat="1" applyFont="1" applyFill="1" applyBorder="1" applyAlignment="1">
      <alignment horizontal="center" vertical="center"/>
    </xf>
    <xf numFmtId="168" fontId="19" fillId="2" borderId="0" xfId="0" applyNumberFormat="1" applyFont="1" applyFill="1" applyAlignment="1">
      <alignment horizontal="center" vertical="center"/>
    </xf>
    <xf numFmtId="0" fontId="12" fillId="0" borderId="0" xfId="0" applyFont="1"/>
    <xf numFmtId="0" fontId="29" fillId="0" borderId="0" xfId="7" applyFont="1"/>
    <xf numFmtId="0" fontId="30" fillId="3" borderId="4" xfId="4" applyFont="1" applyFill="1" applyBorder="1" applyAlignment="1" applyProtection="1">
      <alignment horizontal="center" wrapText="1"/>
      <protection locked="0"/>
    </xf>
    <xf numFmtId="0" fontId="31" fillId="0" borderId="0" xfId="0" applyFont="1"/>
    <xf numFmtId="0" fontId="32" fillId="0" borderId="0" xfId="4" applyFont="1" applyFill="1" applyBorder="1" applyAlignment="1" applyProtection="1">
      <alignment horizontal="left"/>
      <protection locked="0"/>
    </xf>
    <xf numFmtId="0" fontId="32" fillId="0" borderId="5" xfId="5" applyFont="1" applyBorder="1" applyAlignment="1">
      <alignment horizontal="center" vertical="center"/>
    </xf>
    <xf numFmtId="0" fontId="32" fillId="0" borderId="6" xfId="5" applyFont="1" applyBorder="1" applyAlignment="1">
      <alignment horizontal="center" vertical="center"/>
    </xf>
    <xf numFmtId="0" fontId="32" fillId="0" borderId="6" xfId="5" applyFont="1" applyBorder="1" applyAlignment="1">
      <alignment horizontal="right" vertical="center"/>
    </xf>
    <xf numFmtId="0" fontId="32" fillId="0" borderId="7" xfId="5" applyFont="1" applyBorder="1" applyAlignment="1">
      <alignment horizontal="center" vertical="center"/>
    </xf>
    <xf numFmtId="0" fontId="32" fillId="0" borderId="8" xfId="5" applyFont="1" applyBorder="1" applyAlignment="1">
      <alignment horizontal="center" vertical="center"/>
    </xf>
    <xf numFmtId="0" fontId="32" fillId="0" borderId="0" xfId="5" applyFont="1" applyBorder="1" applyAlignment="1">
      <alignment horizontal="center" vertical="center"/>
    </xf>
    <xf numFmtId="0" fontId="32" fillId="0" borderId="0" xfId="5" applyFont="1" applyBorder="1" applyAlignment="1">
      <alignment horizontal="right" vertical="center"/>
    </xf>
    <xf numFmtId="0" fontId="32" fillId="0" borderId="0" xfId="6" applyFont="1"/>
    <xf numFmtId="0" fontId="32" fillId="0" borderId="0" xfId="6" applyFont="1" applyBorder="1"/>
    <xf numFmtId="0" fontId="32" fillId="0" borderId="9" xfId="5" applyFont="1" applyBorder="1" applyAlignment="1">
      <alignment horizontal="center" vertical="center"/>
    </xf>
    <xf numFmtId="0" fontId="32" fillId="0" borderId="10" xfId="5" applyFont="1" applyBorder="1" applyAlignment="1">
      <alignment horizontal="center" vertical="center"/>
    </xf>
    <xf numFmtId="0" fontId="32" fillId="0" borderId="3" xfId="5" applyFont="1" applyBorder="1" applyAlignment="1">
      <alignment horizontal="center" vertical="center"/>
    </xf>
    <xf numFmtId="0" fontId="32" fillId="0" borderId="11" xfId="5" applyFont="1" applyBorder="1" applyAlignment="1">
      <alignment horizontal="center" vertical="center"/>
    </xf>
    <xf numFmtId="0" fontId="32" fillId="0" borderId="0" xfId="4" applyFont="1"/>
    <xf numFmtId="0" fontId="31" fillId="0" borderId="0" xfId="0" applyFont="1" applyAlignment="1">
      <alignment horizontal="left"/>
    </xf>
    <xf numFmtId="0" fontId="30" fillId="3" borderId="4" xfId="8" applyFont="1" applyFill="1" applyBorder="1" applyAlignment="1" applyProtection="1">
      <alignment horizontal="center" wrapText="1"/>
      <protection locked="0"/>
    </xf>
    <xf numFmtId="0" fontId="32" fillId="0" borderId="0" xfId="4" applyFont="1" applyAlignment="1" applyProtection="1">
      <alignment horizontal="center"/>
      <protection locked="0"/>
    </xf>
    <xf numFmtId="0" fontId="32" fillId="0" borderId="0" xfId="4" applyFont="1" applyProtection="1">
      <protection locked="0"/>
    </xf>
    <xf numFmtId="0" fontId="32" fillId="0" borderId="0" xfId="0" applyFont="1"/>
    <xf numFmtId="0" fontId="12" fillId="0" borderId="0" xfId="0" applyFont="1" applyAlignment="1">
      <alignment horizontal="center" vertical="center" wrapText="1"/>
    </xf>
    <xf numFmtId="0" fontId="12" fillId="0" borderId="0" xfId="0" applyFont="1" applyAlignment="1">
      <alignment horizontal="center"/>
    </xf>
    <xf numFmtId="3" fontId="12" fillId="0" borderId="0" xfId="0" applyNumberFormat="1" applyFont="1" applyAlignment="1">
      <alignment horizontal="center" vertical="center" wrapText="1"/>
    </xf>
    <xf numFmtId="3" fontId="12" fillId="0" borderId="0" xfId="0" applyNumberFormat="1" applyFont="1" applyAlignment="1">
      <alignment horizontal="center" vertical="center"/>
    </xf>
    <xf numFmtId="0" fontId="19" fillId="0" borderId="0" xfId="0" applyFont="1" applyAlignment="1">
      <alignment horizontal="center" vertical="top" wrapText="1"/>
    </xf>
    <xf numFmtId="0" fontId="13" fillId="0" borderId="0" xfId="0" applyFont="1" applyAlignment="1">
      <alignment horizontal="center" vertical="top" wrapText="1"/>
    </xf>
    <xf numFmtId="0" fontId="27" fillId="0" borderId="0" xfId="0" applyFont="1" applyAlignment="1">
      <alignment horizontal="center" vertical="top" wrapText="1"/>
    </xf>
    <xf numFmtId="0" fontId="12" fillId="0" borderId="0" xfId="0" applyFont="1" applyAlignment="1">
      <alignment vertical="center"/>
    </xf>
    <xf numFmtId="0" fontId="12" fillId="0" borderId="0" xfId="0" applyFont="1" applyAlignment="1">
      <alignment horizontal="center" vertical="center"/>
    </xf>
    <xf numFmtId="165" fontId="12" fillId="0" borderId="0" xfId="1" applyNumberFormat="1" applyFont="1" applyAlignment="1">
      <alignment horizontal="center" vertical="center"/>
    </xf>
    <xf numFmtId="3" fontId="12" fillId="0" borderId="0" xfId="0" applyNumberFormat="1" applyFont="1" applyAlignment="1">
      <alignment vertical="center"/>
    </xf>
    <xf numFmtId="0" fontId="12" fillId="0" borderId="3" xfId="0" applyFont="1" applyBorder="1" applyAlignment="1">
      <alignment vertical="center"/>
    </xf>
    <xf numFmtId="3" fontId="12" fillId="0" borderId="3" xfId="0" applyNumberFormat="1" applyFont="1" applyBorder="1" applyAlignment="1">
      <alignment horizontal="center" vertical="center"/>
    </xf>
    <xf numFmtId="165" fontId="12" fillId="0" borderId="3" xfId="1" applyNumberFormat="1" applyFont="1" applyBorder="1" applyAlignment="1">
      <alignment horizontal="center" vertical="center"/>
    </xf>
    <xf numFmtId="3" fontId="12" fillId="0" borderId="3" xfId="0" applyNumberFormat="1" applyFont="1" applyBorder="1" applyAlignment="1">
      <alignment vertical="center"/>
    </xf>
    <xf numFmtId="0" fontId="12" fillId="0" borderId="6" xfId="0" applyFont="1" applyBorder="1" applyAlignment="1">
      <alignment vertical="center"/>
    </xf>
    <xf numFmtId="3" fontId="12" fillId="0" borderId="0" xfId="0" applyNumberFormat="1" applyFont="1" applyAlignment="1">
      <alignment horizontal="center"/>
    </xf>
    <xf numFmtId="3" fontId="12" fillId="0" borderId="8" xfId="0" applyNumberFormat="1" applyFont="1" applyBorder="1"/>
    <xf numFmtId="0" fontId="20" fillId="0" borderId="0" xfId="0" applyFont="1"/>
    <xf numFmtId="10" fontId="12" fillId="0" borderId="0" xfId="1" applyNumberFormat="1" applyFont="1" applyAlignment="1">
      <alignment horizontal="center"/>
    </xf>
    <xf numFmtId="0" fontId="12" fillId="3" borderId="6" xfId="0" applyFont="1" applyFill="1" applyBorder="1"/>
    <xf numFmtId="3" fontId="12" fillId="3" borderId="5" xfId="0" applyNumberFormat="1" applyFont="1" applyFill="1" applyBorder="1"/>
    <xf numFmtId="0" fontId="12" fillId="3" borderId="0" xfId="0" applyFont="1" applyFill="1"/>
    <xf numFmtId="3" fontId="12" fillId="3" borderId="8" xfId="0" applyNumberFormat="1" applyFont="1" applyFill="1" applyBorder="1"/>
    <xf numFmtId="3" fontId="12" fillId="3" borderId="6" xfId="0" applyNumberFormat="1" applyFont="1" applyFill="1" applyBorder="1" applyAlignment="1">
      <alignment horizontal="center"/>
    </xf>
    <xf numFmtId="3" fontId="12" fillId="3" borderId="0" xfId="0" applyNumberFormat="1" applyFont="1" applyFill="1" applyBorder="1" applyAlignment="1">
      <alignment horizontal="center"/>
    </xf>
    <xf numFmtId="0" fontId="12" fillId="0" borderId="8" xfId="0" applyFont="1" applyBorder="1" applyAlignment="1">
      <alignment horizontal="center"/>
    </xf>
    <xf numFmtId="0" fontId="12" fillId="0" borderId="8" xfId="0" applyFont="1" applyBorder="1" applyAlignment="1">
      <alignment horizontal="center" vertical="center"/>
    </xf>
    <xf numFmtId="3" fontId="12" fillId="5" borderId="0" xfId="0" applyNumberFormat="1" applyFont="1" applyFill="1" applyAlignment="1">
      <alignment horizontal="center" vertical="center"/>
    </xf>
    <xf numFmtId="3" fontId="12" fillId="0" borderId="8" xfId="0" applyNumberFormat="1" applyFont="1" applyBorder="1" applyAlignment="1">
      <alignment vertical="center"/>
    </xf>
    <xf numFmtId="0" fontId="12" fillId="3" borderId="6" xfId="0" applyFont="1" applyFill="1" applyBorder="1" applyAlignment="1">
      <alignment vertical="center"/>
    </xf>
    <xf numFmtId="3" fontId="12" fillId="3" borderId="6" xfId="0" applyNumberFormat="1" applyFont="1" applyFill="1" applyBorder="1" applyAlignment="1">
      <alignment horizontal="center" vertical="center"/>
    </xf>
    <xf numFmtId="3" fontId="12" fillId="3" borderId="5" xfId="0" applyNumberFormat="1" applyFont="1" applyFill="1" applyBorder="1" applyAlignment="1">
      <alignment vertical="center"/>
    </xf>
    <xf numFmtId="0" fontId="12" fillId="3" borderId="0" xfId="0" applyFont="1" applyFill="1" applyAlignment="1">
      <alignment vertical="center"/>
    </xf>
    <xf numFmtId="3" fontId="12" fillId="3" borderId="0" xfId="0" applyNumberFormat="1" applyFont="1" applyFill="1" applyBorder="1" applyAlignment="1">
      <alignment horizontal="center" vertical="center"/>
    </xf>
    <xf numFmtId="3" fontId="12" fillId="3" borderId="8" xfId="0" applyNumberFormat="1" applyFont="1" applyFill="1" applyBorder="1" applyAlignment="1">
      <alignment vertical="center"/>
    </xf>
    <xf numFmtId="0" fontId="20" fillId="0" borderId="4" xfId="0" applyFont="1" applyBorder="1" applyAlignment="1">
      <alignment vertical="center"/>
    </xf>
    <xf numFmtId="170" fontId="12" fillId="0" borderId="0" xfId="1" applyNumberFormat="1" applyFont="1" applyAlignment="1">
      <alignment horizontal="center" vertical="center"/>
    </xf>
    <xf numFmtId="170" fontId="12" fillId="0" borderId="0" xfId="0" applyNumberFormat="1" applyFont="1" applyAlignment="1">
      <alignment horizontal="center" vertical="center"/>
    </xf>
    <xf numFmtId="0" fontId="33" fillId="0" borderId="0" xfId="0" applyFont="1" applyAlignment="1">
      <alignment vertical="center"/>
    </xf>
    <xf numFmtId="170" fontId="33" fillId="0" borderId="0" xfId="0" applyNumberFormat="1" applyFont="1" applyAlignment="1">
      <alignment horizontal="center" vertical="center"/>
    </xf>
    <xf numFmtId="0" fontId="20"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horizontal="right" vertical="center"/>
    </xf>
    <xf numFmtId="37" fontId="12" fillId="0" borderId="0" xfId="12" applyNumberFormat="1" applyFont="1" applyAlignment="1">
      <alignment horizontal="center" vertical="center"/>
    </xf>
    <xf numFmtId="10" fontId="12" fillId="0" borderId="0" xfId="1" applyNumberFormat="1" applyFont="1" applyAlignment="1">
      <alignment vertical="center"/>
    </xf>
    <xf numFmtId="169" fontId="12" fillId="0" borderId="0" xfId="0" applyNumberFormat="1" applyFont="1" applyAlignment="1">
      <alignment vertical="center"/>
    </xf>
    <xf numFmtId="0" fontId="12" fillId="0" borderId="0" xfId="0" applyFont="1" applyAlignment="1">
      <alignment horizontal="right" vertical="center"/>
    </xf>
    <xf numFmtId="0" fontId="33" fillId="0" borderId="0" xfId="0" applyFont="1" applyAlignment="1">
      <alignment horizontal="right" vertical="center"/>
    </xf>
    <xf numFmtId="169" fontId="33" fillId="0" borderId="0" xfId="0" applyNumberFormat="1" applyFont="1" applyAlignment="1">
      <alignment vertical="center"/>
    </xf>
    <xf numFmtId="37" fontId="12" fillId="0" borderId="0" xfId="0" applyNumberFormat="1" applyFont="1" applyAlignment="1">
      <alignment vertical="center"/>
    </xf>
    <xf numFmtId="10" fontId="12" fillId="0" borderId="0" xfId="1" applyNumberFormat="1" applyFont="1" applyAlignment="1">
      <alignment horizontal="center" vertical="center"/>
    </xf>
    <xf numFmtId="0" fontId="12" fillId="0" borderId="3" xfId="0" applyFont="1" applyBorder="1" applyAlignment="1">
      <alignment horizontal="center" vertical="center"/>
    </xf>
    <xf numFmtId="37" fontId="12" fillId="0" borderId="0" xfId="0" applyNumberFormat="1" applyFont="1" applyAlignment="1">
      <alignment horizontal="center" vertical="center"/>
    </xf>
    <xf numFmtId="0" fontId="33" fillId="0" borderId="0" xfId="0" applyFont="1" applyAlignment="1">
      <alignment horizontal="center" vertical="center"/>
    </xf>
    <xf numFmtId="3" fontId="12" fillId="3" borderId="0" xfId="0" applyNumberFormat="1" applyFont="1" applyFill="1" applyAlignment="1">
      <alignment vertical="center"/>
    </xf>
    <xf numFmtId="0" fontId="34" fillId="4" borderId="0" xfId="0" applyFont="1" applyFill="1" applyAlignment="1">
      <alignment horizontal="center" vertical="center"/>
    </xf>
    <xf numFmtId="38" fontId="34" fillId="4" borderId="0" xfId="0" applyNumberFormat="1" applyFont="1" applyFill="1" applyAlignment="1">
      <alignment horizontal="center" vertical="center"/>
    </xf>
    <xf numFmtId="0" fontId="34" fillId="4" borderId="0" xfId="0" applyFont="1" applyFill="1" applyAlignment="1">
      <alignment vertical="center"/>
    </xf>
    <xf numFmtId="0" fontId="40" fillId="4" borderId="3" xfId="0" applyFont="1" applyFill="1" applyBorder="1" applyAlignment="1">
      <alignment vertical="center"/>
    </xf>
    <xf numFmtId="3" fontId="34" fillId="4" borderId="0" xfId="0" applyNumberFormat="1" applyFont="1" applyFill="1" applyAlignment="1">
      <alignment horizontal="center" vertical="center" wrapText="1"/>
    </xf>
    <xf numFmtId="3" fontId="34" fillId="4" borderId="0" xfId="0" applyNumberFormat="1" applyFont="1" applyFill="1" applyAlignment="1">
      <alignment horizontal="center" vertical="center"/>
    </xf>
    <xf numFmtId="165" fontId="34" fillId="4" borderId="0" xfId="0" applyNumberFormat="1" applyFont="1" applyFill="1" applyAlignment="1">
      <alignment horizontal="center" vertical="center" wrapText="1"/>
    </xf>
    <xf numFmtId="0" fontId="35" fillId="4" borderId="0" xfId="0" applyFont="1" applyFill="1" applyBorder="1" applyAlignment="1">
      <alignment vertical="center"/>
    </xf>
    <xf numFmtId="3" fontId="12" fillId="5" borderId="6" xfId="0" applyNumberFormat="1" applyFont="1" applyFill="1" applyBorder="1" applyAlignment="1">
      <alignment horizontal="center" vertical="center"/>
    </xf>
    <xf numFmtId="3" fontId="12" fillId="5" borderId="0" xfId="0" applyNumberFormat="1" applyFont="1" applyFill="1" applyBorder="1" applyAlignment="1">
      <alignment horizontal="center" vertical="center"/>
    </xf>
    <xf numFmtId="3" fontId="39" fillId="4" borderId="4" xfId="0" applyNumberFormat="1" applyFont="1" applyFill="1" applyBorder="1" applyAlignment="1">
      <alignment vertical="center"/>
    </xf>
    <xf numFmtId="3" fontId="34" fillId="4" borderId="0" xfId="0" applyNumberFormat="1" applyFont="1" applyFill="1" applyBorder="1" applyAlignment="1">
      <alignment horizontal="center" vertical="center"/>
    </xf>
    <xf numFmtId="0" fontId="35" fillId="4" borderId="12" xfId="0" applyFont="1" applyFill="1" applyBorder="1" applyAlignment="1">
      <alignment horizontal="center" vertical="center" wrapText="1"/>
    </xf>
    <xf numFmtId="0" fontId="36" fillId="4" borderId="12" xfId="0" applyFont="1" applyFill="1" applyBorder="1" applyAlignment="1">
      <alignment horizontal="center" vertical="center" wrapText="1"/>
    </xf>
    <xf numFmtId="3" fontId="34" fillId="4" borderId="12" xfId="0" applyNumberFormat="1" applyFont="1" applyFill="1" applyBorder="1" applyAlignment="1">
      <alignment horizontal="center" vertical="center" wrapText="1"/>
    </xf>
    <xf numFmtId="3" fontId="34" fillId="4" borderId="12" xfId="0" applyNumberFormat="1" applyFont="1" applyFill="1" applyBorder="1" applyAlignment="1">
      <alignment horizontal="center" vertical="center"/>
    </xf>
    <xf numFmtId="165" fontId="34" fillId="4" borderId="12" xfId="0" applyNumberFormat="1" applyFont="1" applyFill="1" applyBorder="1" applyAlignment="1">
      <alignment horizontal="center" vertical="center" wrapText="1"/>
    </xf>
    <xf numFmtId="165" fontId="37" fillId="4" borderId="12" xfId="0" applyNumberFormat="1" applyFont="1" applyFill="1" applyBorder="1" applyAlignment="1">
      <alignment horizontal="center" vertical="center" wrapText="1"/>
    </xf>
    <xf numFmtId="0" fontId="34" fillId="4" borderId="12" xfId="0" applyFont="1" applyFill="1" applyBorder="1" applyAlignment="1">
      <alignment horizontal="center" vertical="center"/>
    </xf>
    <xf numFmtId="0" fontId="38" fillId="4" borderId="12" xfId="0" applyFont="1" applyFill="1" applyBorder="1" applyAlignment="1">
      <alignment horizontal="right" vertical="center"/>
    </xf>
    <xf numFmtId="0" fontId="37" fillId="4" borderId="12" xfId="0" applyFont="1" applyFill="1" applyBorder="1" applyAlignment="1">
      <alignment horizontal="right" vertical="center"/>
    </xf>
    <xf numFmtId="0" fontId="34" fillId="4" borderId="0" xfId="0" applyFont="1" applyFill="1" applyBorder="1" applyAlignment="1">
      <alignment vertical="center"/>
    </xf>
    <xf numFmtId="0" fontId="35" fillId="4" borderId="15" xfId="0" applyFont="1" applyFill="1" applyBorder="1" applyAlignment="1">
      <alignment horizontal="center" vertical="center" wrapText="1"/>
    </xf>
    <xf numFmtId="3" fontId="34" fillId="4" borderId="15" xfId="0" applyNumberFormat="1" applyFont="1" applyFill="1" applyBorder="1" applyAlignment="1">
      <alignment horizontal="center" vertical="center" wrapText="1"/>
    </xf>
    <xf numFmtId="165" fontId="34" fillId="4" borderId="15" xfId="0" applyNumberFormat="1" applyFont="1" applyFill="1" applyBorder="1" applyAlignment="1">
      <alignment horizontal="center" vertical="center" wrapText="1"/>
    </xf>
    <xf numFmtId="165" fontId="34" fillId="4" borderId="0" xfId="0" applyNumberFormat="1" applyFont="1" applyFill="1" applyBorder="1" applyAlignment="1">
      <alignment horizontal="center" vertical="center" wrapText="1"/>
    </xf>
    <xf numFmtId="0" fontId="34" fillId="4" borderId="0" xfId="0" applyFont="1" applyFill="1" applyBorder="1" applyAlignment="1">
      <alignment horizontal="center" vertical="center"/>
    </xf>
    <xf numFmtId="0" fontId="34" fillId="4" borderId="14" xfId="0" applyFont="1" applyFill="1" applyBorder="1" applyAlignment="1">
      <alignment vertical="center"/>
    </xf>
    <xf numFmtId="0" fontId="34" fillId="4" borderId="14" xfId="0" applyFont="1" applyFill="1" applyBorder="1" applyAlignment="1">
      <alignment horizontal="center" vertical="center"/>
    </xf>
    <xf numFmtId="0" fontId="35" fillId="4" borderId="16" xfId="0" applyFont="1" applyFill="1" applyBorder="1" applyAlignment="1">
      <alignment horizontal="center" vertical="center" wrapText="1"/>
    </xf>
    <xf numFmtId="3" fontId="34" fillId="4" borderId="16" xfId="0" applyNumberFormat="1" applyFont="1" applyFill="1" applyBorder="1" applyAlignment="1">
      <alignment horizontal="center" vertical="center" wrapText="1"/>
    </xf>
    <xf numFmtId="165" fontId="34" fillId="4" borderId="16" xfId="0" applyNumberFormat="1" applyFont="1" applyFill="1" applyBorder="1" applyAlignment="1">
      <alignment horizontal="center" vertical="center" wrapText="1"/>
    </xf>
    <xf numFmtId="0" fontId="34" fillId="4" borderId="13" xfId="0" applyFont="1" applyFill="1" applyBorder="1" applyAlignment="1">
      <alignment vertical="center"/>
    </xf>
    <xf numFmtId="0" fontId="34" fillId="4" borderId="12" xfId="0" applyFont="1" applyFill="1" applyBorder="1" applyAlignment="1">
      <alignment horizontal="right" vertical="center"/>
    </xf>
    <xf numFmtId="0" fontId="11" fillId="0" borderId="0" xfId="0" applyFont="1" applyAlignment="1">
      <alignment horizontal="center" vertical="center" wrapText="1"/>
    </xf>
    <xf numFmtId="0" fontId="23" fillId="0" borderId="0" xfId="7"/>
    <xf numFmtId="0" fontId="10" fillId="0" borderId="0" xfId="0" applyFont="1" applyAlignment="1">
      <alignment horizontal="center" vertical="center" wrapText="1"/>
    </xf>
    <xf numFmtId="2" fontId="19" fillId="0" borderId="0" xfId="0" applyNumberFormat="1" applyFont="1" applyAlignment="1">
      <alignment horizontal="center"/>
    </xf>
    <xf numFmtId="0" fontId="9" fillId="0" borderId="0" xfId="0" applyFont="1" applyAlignment="1">
      <alignment horizontal="center" vertical="center" wrapText="1"/>
    </xf>
    <xf numFmtId="0" fontId="9" fillId="0" borderId="0" xfId="0" applyFont="1" applyAlignment="1">
      <alignment horizontal="center" vertical="top" wrapText="1"/>
    </xf>
    <xf numFmtId="0" fontId="0" fillId="0" borderId="0" xfId="0" applyAlignment="1">
      <alignment horizontal="center" vertical="center"/>
    </xf>
    <xf numFmtId="0" fontId="0" fillId="0" borderId="0" xfId="0" applyAlignment="1">
      <alignment vertical="center"/>
    </xf>
    <xf numFmtId="0" fontId="50" fillId="8" borderId="3" xfId="14" applyFont="1" applyFill="1" applyBorder="1" applyAlignment="1" applyProtection="1">
      <alignment horizontal="center" vertical="center"/>
      <protection locked="0"/>
    </xf>
    <xf numFmtId="0" fontId="50" fillId="8" borderId="37" xfId="14" applyFont="1" applyFill="1" applyBorder="1" applyAlignment="1" applyProtection="1">
      <alignment horizontal="center" vertical="center" wrapText="1"/>
      <protection locked="0"/>
    </xf>
    <xf numFmtId="0" fontId="50" fillId="0" borderId="18" xfId="14" applyFont="1" applyFill="1" applyBorder="1" applyAlignment="1" applyProtection="1">
      <alignment horizontal="center" vertical="center" wrapText="1"/>
      <protection locked="0"/>
    </xf>
    <xf numFmtId="0" fontId="52" fillId="0" borderId="18" xfId="15" applyNumberFormat="1" applyFont="1" applyFill="1" applyBorder="1" applyAlignment="1" applyProtection="1">
      <alignment horizontal="center" vertical="center"/>
      <protection locked="0"/>
    </xf>
    <xf numFmtId="0" fontId="52" fillId="0" borderId="20" xfId="14" applyFont="1" applyFill="1" applyBorder="1" applyAlignment="1" applyProtection="1">
      <alignment horizontal="left" vertical="center" wrapText="1"/>
      <protection locked="0"/>
    </xf>
    <xf numFmtId="0" fontId="50" fillId="0" borderId="4" xfId="14" applyFont="1" applyFill="1" applyBorder="1" applyAlignment="1" applyProtection="1">
      <alignment horizontal="center" vertical="center" wrapText="1"/>
      <protection locked="0"/>
    </xf>
    <xf numFmtId="0" fontId="50" fillId="11" borderId="4" xfId="14" applyFont="1" applyFill="1" applyBorder="1" applyAlignment="1" applyProtection="1">
      <alignment horizontal="center" vertical="center" wrapText="1"/>
      <protection locked="0"/>
    </xf>
    <xf numFmtId="10" fontId="47" fillId="0" borderId="21" xfId="16" applyNumberFormat="1" applyFont="1" applyFill="1" applyBorder="1" applyAlignment="1" applyProtection="1">
      <alignment horizontal="center" vertical="center" wrapText="1"/>
      <protection locked="0"/>
    </xf>
    <xf numFmtId="0" fontId="50" fillId="8" borderId="18" xfId="14" applyFont="1" applyFill="1" applyBorder="1" applyAlignment="1" applyProtection="1">
      <alignment horizontal="center" vertical="center"/>
      <protection locked="0"/>
    </xf>
    <xf numFmtId="164" fontId="46" fillId="6" borderId="31" xfId="14" applyNumberFormat="1" applyFont="1" applyFill="1" applyBorder="1" applyAlignment="1" applyProtection="1">
      <alignment horizontal="center" vertical="center"/>
      <protection locked="0"/>
    </xf>
    <xf numFmtId="164" fontId="46" fillId="6" borderId="32" xfId="14" applyNumberFormat="1" applyFont="1" applyFill="1" applyBorder="1" applyAlignment="1" applyProtection="1">
      <alignment horizontal="center" vertical="center"/>
      <protection locked="0"/>
    </xf>
    <xf numFmtId="164" fontId="46" fillId="0" borderId="6" xfId="15" applyFont="1" applyFill="1" applyBorder="1" applyAlignment="1" applyProtection="1">
      <alignment horizontal="center" vertical="center"/>
      <protection locked="0"/>
    </xf>
    <xf numFmtId="164" fontId="50" fillId="0" borderId="41" xfId="15" applyFont="1" applyFill="1" applyBorder="1" applyAlignment="1" applyProtection="1">
      <alignment horizontal="center" vertical="center"/>
      <protection locked="0"/>
    </xf>
    <xf numFmtId="164" fontId="46" fillId="6" borderId="42" xfId="15" applyFont="1" applyFill="1" applyBorder="1" applyAlignment="1" applyProtection="1">
      <alignment horizontal="center" vertical="center"/>
      <protection locked="0"/>
    </xf>
    <xf numFmtId="164" fontId="46" fillId="6" borderId="0" xfId="15" applyFont="1" applyFill="1" applyBorder="1" applyAlignment="1" applyProtection="1">
      <alignment horizontal="center" vertical="center"/>
      <protection locked="0"/>
    </xf>
    <xf numFmtId="174" fontId="46" fillId="6" borderId="42" xfId="14" applyNumberFormat="1" applyFont="1" applyFill="1" applyBorder="1" applyAlignment="1" applyProtection="1">
      <alignment horizontal="center" vertical="center"/>
      <protection locked="0"/>
    </xf>
    <xf numFmtId="174" fontId="46" fillId="6" borderId="43" xfId="14" applyNumberFormat="1" applyFont="1" applyFill="1" applyBorder="1" applyAlignment="1" applyProtection="1">
      <alignment horizontal="center" vertical="center"/>
      <protection locked="0"/>
    </xf>
    <xf numFmtId="164" fontId="47" fillId="0" borderId="45" xfId="15" applyFont="1" applyFill="1" applyBorder="1" applyAlignment="1" applyProtection="1">
      <alignment horizontal="center" vertical="center"/>
      <protection locked="0"/>
    </xf>
    <xf numFmtId="164" fontId="47" fillId="0" borderId="27" xfId="15" applyFont="1" applyFill="1" applyBorder="1" applyAlignment="1" applyProtection="1">
      <alignment horizontal="center" vertical="center"/>
      <protection locked="0"/>
    </xf>
    <xf numFmtId="164" fontId="47" fillId="5" borderId="46" xfId="15" applyFont="1" applyFill="1" applyBorder="1" applyAlignment="1" applyProtection="1">
      <alignment horizontal="center" vertical="center"/>
      <protection locked="0"/>
    </xf>
    <xf numFmtId="164" fontId="47" fillId="5" borderId="3" xfId="15" applyFont="1" applyFill="1" applyBorder="1" applyAlignment="1" applyProtection="1">
      <alignment horizontal="center" vertical="center"/>
      <protection locked="0"/>
    </xf>
    <xf numFmtId="174" fontId="47" fillId="5" borderId="3" xfId="15" applyNumberFormat="1" applyFont="1" applyFill="1" applyBorder="1" applyAlignment="1" applyProtection="1">
      <alignment horizontal="center" vertical="center"/>
      <protection locked="0"/>
    </xf>
    <xf numFmtId="174" fontId="47" fillId="12" borderId="47" xfId="15" applyNumberFormat="1" applyFont="1" applyFill="1" applyBorder="1" applyAlignment="1" applyProtection="1">
      <alignment horizontal="center" vertical="center"/>
      <protection locked="0"/>
    </xf>
    <xf numFmtId="164" fontId="47" fillId="0" borderId="46" xfId="15" applyFont="1" applyFill="1" applyBorder="1" applyAlignment="1" applyProtection="1">
      <alignment horizontal="center" vertical="center"/>
      <protection locked="0"/>
    </xf>
    <xf numFmtId="164" fontId="47" fillId="0" borderId="3" xfId="15" applyFont="1" applyFill="1" applyBorder="1" applyAlignment="1" applyProtection="1">
      <alignment horizontal="center" vertical="center"/>
      <protection locked="0"/>
    </xf>
    <xf numFmtId="174" fontId="47" fillId="6" borderId="31" xfId="15" applyNumberFormat="1" applyFont="1" applyFill="1" applyBorder="1" applyAlignment="1" applyProtection="1">
      <alignment horizontal="center" vertical="center"/>
      <protection locked="0"/>
    </xf>
    <xf numFmtId="174" fontId="47" fillId="6" borderId="3" xfId="15" applyNumberFormat="1" applyFont="1" applyFill="1" applyBorder="1" applyAlignment="1" applyProtection="1">
      <alignment horizontal="center" vertical="center"/>
      <protection locked="0"/>
    </xf>
    <xf numFmtId="174" fontId="47" fillId="6" borderId="32" xfId="15" applyNumberFormat="1" applyFont="1" applyFill="1" applyBorder="1" applyAlignment="1" applyProtection="1">
      <alignment horizontal="center" vertical="center"/>
      <protection locked="0"/>
    </xf>
    <xf numFmtId="0" fontId="46" fillId="0" borderId="48" xfId="14" applyFont="1" applyFill="1" applyBorder="1" applyAlignment="1" applyProtection="1">
      <alignment vertical="center" wrapText="1"/>
      <protection locked="0"/>
    </xf>
    <xf numFmtId="10" fontId="47" fillId="7" borderId="0" xfId="16" applyNumberFormat="1" applyFont="1" applyFill="1" applyBorder="1" applyAlignment="1" applyProtection="1">
      <alignment horizontal="center" vertical="center"/>
      <protection locked="0"/>
    </xf>
    <xf numFmtId="174" fontId="47" fillId="0" borderId="0" xfId="15" applyNumberFormat="1" applyFont="1" applyFill="1" applyBorder="1" applyAlignment="1" applyProtection="1">
      <alignment horizontal="center" vertical="center"/>
      <protection locked="0"/>
    </xf>
    <xf numFmtId="174" fontId="42" fillId="0" borderId="0" xfId="15" applyNumberFormat="1" applyFont="1" applyFill="1" applyBorder="1" applyAlignment="1" applyProtection="1">
      <alignment horizontal="center" vertical="center"/>
      <protection locked="0"/>
    </xf>
    <xf numFmtId="174" fontId="47" fillId="0" borderId="21" xfId="15" applyNumberFormat="1" applyFont="1" applyFill="1" applyBorder="1" applyAlignment="1" applyProtection="1">
      <alignment horizontal="center" vertical="center"/>
      <protection locked="0"/>
    </xf>
    <xf numFmtId="164" fontId="47" fillId="0" borderId="1" xfId="15" applyFont="1" applyFill="1" applyBorder="1" applyAlignment="1" applyProtection="1">
      <alignment horizontal="center" vertical="center"/>
      <protection locked="0"/>
    </xf>
    <xf numFmtId="164" fontId="60" fillId="12" borderId="50" xfId="15" applyFont="1" applyFill="1" applyBorder="1" applyAlignment="1" applyProtection="1">
      <alignment horizontal="center" vertical="center"/>
      <protection locked="0"/>
    </xf>
    <xf numFmtId="164" fontId="47" fillId="0" borderId="0" xfId="15" applyNumberFormat="1" applyFont="1" applyFill="1" applyBorder="1" applyAlignment="1" applyProtection="1">
      <alignment horizontal="center" vertical="center"/>
      <protection locked="0"/>
    </xf>
    <xf numFmtId="3" fontId="47" fillId="3" borderId="3" xfId="15" applyNumberFormat="1" applyFont="1" applyFill="1" applyBorder="1" applyAlignment="1" applyProtection="1">
      <alignment horizontal="center" vertical="center"/>
      <protection locked="0"/>
    </xf>
    <xf numFmtId="0" fontId="46" fillId="0" borderId="0" xfId="14" applyFont="1" applyFill="1" applyBorder="1" applyAlignment="1" applyProtection="1">
      <alignment vertical="center"/>
      <protection locked="0"/>
    </xf>
    <xf numFmtId="0" fontId="46" fillId="0" borderId="0" xfId="14" applyFont="1" applyFill="1" applyBorder="1" applyAlignment="1" applyProtection="1">
      <alignment horizontal="left" vertical="center" wrapText="1"/>
      <protection locked="0"/>
    </xf>
    <xf numFmtId="0" fontId="50" fillId="0" borderId="0" xfId="14" applyFont="1" applyFill="1" applyBorder="1" applyAlignment="1" applyProtection="1">
      <alignment vertical="center"/>
      <protection locked="0"/>
    </xf>
    <xf numFmtId="164" fontId="50" fillId="0" borderId="0" xfId="15" applyNumberFormat="1" applyFont="1" applyFill="1" applyBorder="1" applyAlignment="1" applyProtection="1">
      <alignment vertical="center"/>
      <protection locked="0"/>
    </xf>
    <xf numFmtId="0" fontId="46" fillId="0" borderId="0" xfId="14" applyFont="1" applyFill="1" applyBorder="1" applyAlignment="1" applyProtection="1">
      <alignment vertical="center" wrapText="1"/>
      <protection locked="0"/>
    </xf>
    <xf numFmtId="0" fontId="50" fillId="6" borderId="20" xfId="14" applyFont="1" applyFill="1" applyBorder="1" applyAlignment="1" applyProtection="1">
      <alignment horizontal="right" vertical="center"/>
      <protection locked="0"/>
    </xf>
    <xf numFmtId="0" fontId="50" fillId="6" borderId="0" xfId="14" applyFont="1" applyFill="1" applyBorder="1" applyAlignment="1" applyProtection="1">
      <alignment horizontal="right" vertical="center"/>
      <protection locked="0"/>
    </xf>
    <xf numFmtId="0" fontId="50" fillId="6" borderId="21" xfId="14" applyFont="1" applyFill="1" applyBorder="1" applyAlignment="1" applyProtection="1">
      <alignment horizontal="right" vertical="center"/>
      <protection locked="0"/>
    </xf>
    <xf numFmtId="0" fontId="46" fillId="0" borderId="20" xfId="14" applyFont="1" applyFill="1" applyBorder="1" applyAlignment="1" applyProtection="1">
      <alignment vertical="center"/>
      <protection locked="0"/>
    </xf>
    <xf numFmtId="10" fontId="48" fillId="0" borderId="0" xfId="1" applyNumberFormat="1" applyFont="1" applyFill="1" applyBorder="1" applyAlignment="1" applyProtection="1">
      <alignment horizontal="center" vertical="center"/>
      <protection locked="0"/>
    </xf>
    <xf numFmtId="10" fontId="48" fillId="0" borderId="21" xfId="16" applyNumberFormat="1" applyFont="1" applyFill="1" applyBorder="1" applyAlignment="1" applyProtection="1">
      <alignment vertical="center"/>
      <protection locked="0"/>
    </xf>
    <xf numFmtId="0" fontId="46" fillId="9" borderId="0" xfId="14" applyFont="1" applyFill="1" applyBorder="1" applyAlignment="1" applyProtection="1">
      <alignment vertical="center"/>
      <protection locked="0"/>
    </xf>
    <xf numFmtId="10" fontId="48" fillId="9" borderId="0" xfId="16" applyNumberFormat="1" applyFont="1" applyFill="1" applyBorder="1" applyAlignment="1" applyProtection="1">
      <alignment vertical="center"/>
      <protection locked="0"/>
    </xf>
    <xf numFmtId="0" fontId="46" fillId="0" borderId="23" xfId="14" applyFont="1" applyFill="1" applyBorder="1" applyAlignment="1" applyProtection="1">
      <alignment vertical="center"/>
      <protection locked="0"/>
    </xf>
    <xf numFmtId="0" fontId="46" fillId="9" borderId="24" xfId="14" applyFont="1" applyFill="1" applyBorder="1" applyAlignment="1" applyProtection="1">
      <alignment vertical="center"/>
      <protection locked="0"/>
    </xf>
    <xf numFmtId="10" fontId="48" fillId="0" borderId="25" xfId="16" applyNumberFormat="1" applyFont="1" applyFill="1" applyBorder="1" applyAlignment="1" applyProtection="1">
      <alignment vertical="center"/>
      <protection locked="0"/>
    </xf>
    <xf numFmtId="0" fontId="50" fillId="0" borderId="26" xfId="14" applyFont="1" applyFill="1" applyBorder="1" applyAlignment="1" applyProtection="1">
      <alignment vertical="center"/>
      <protection locked="0"/>
    </xf>
    <xf numFmtId="10" fontId="41" fillId="0" borderId="27" xfId="14" applyNumberFormat="1" applyFont="1" applyFill="1" applyBorder="1" applyAlignment="1" applyProtection="1">
      <alignment vertical="center"/>
      <protection locked="0"/>
    </xf>
    <xf numFmtId="10" fontId="52" fillId="0" borderId="28" xfId="14" applyNumberFormat="1" applyFont="1" applyFill="1" applyBorder="1" applyAlignment="1" applyProtection="1">
      <alignment vertical="center"/>
      <protection locked="0"/>
    </xf>
    <xf numFmtId="10" fontId="50" fillId="0" borderId="29" xfId="14" applyNumberFormat="1" applyFont="1" applyFill="1" applyBorder="1" applyAlignment="1" applyProtection="1">
      <alignment vertical="center"/>
      <protection locked="0"/>
    </xf>
    <xf numFmtId="175" fontId="48" fillId="10" borderId="0" xfId="15" applyNumberFormat="1" applyFont="1" applyFill="1" applyBorder="1" applyAlignment="1" applyProtection="1">
      <alignment horizontal="center" vertical="center"/>
      <protection locked="0"/>
    </xf>
    <xf numFmtId="175" fontId="48" fillId="10" borderId="22" xfId="16" applyNumberFormat="1" applyFont="1" applyFill="1" applyBorder="1" applyAlignment="1" applyProtection="1">
      <alignment horizontal="center" vertical="center"/>
      <protection locked="0"/>
    </xf>
    <xf numFmtId="175" fontId="48" fillId="0" borderId="21" xfId="15" applyNumberFormat="1" applyFont="1" applyFill="1" applyBorder="1" applyAlignment="1" applyProtection="1">
      <alignment vertical="center"/>
      <protection locked="0"/>
    </xf>
    <xf numFmtId="173" fontId="48" fillId="9" borderId="0" xfId="15" applyNumberFormat="1" applyFont="1" applyFill="1" applyBorder="1" applyAlignment="1" applyProtection="1">
      <alignment vertical="center"/>
      <protection locked="0"/>
    </xf>
    <xf numFmtId="173" fontId="27" fillId="9" borderId="0" xfId="15" applyNumberFormat="1" applyFont="1" applyFill="1" applyBorder="1" applyAlignment="1" applyProtection="1">
      <alignment vertical="center"/>
      <protection locked="0"/>
    </xf>
    <xf numFmtId="173" fontId="48" fillId="9" borderId="24" xfId="15" applyNumberFormat="1" applyFont="1" applyFill="1" applyBorder="1" applyAlignment="1" applyProtection="1">
      <alignment vertical="center"/>
      <protection locked="0"/>
    </xf>
    <xf numFmtId="173" fontId="27" fillId="9" borderId="24" xfId="15" applyNumberFormat="1" applyFont="1" applyFill="1" applyBorder="1" applyAlignment="1" applyProtection="1">
      <alignment vertical="center"/>
      <protection locked="0"/>
    </xf>
    <xf numFmtId="175" fontId="48" fillId="0" borderId="25" xfId="15" applyNumberFormat="1" applyFont="1" applyFill="1" applyBorder="1" applyAlignment="1" applyProtection="1">
      <alignment vertical="center"/>
      <protection locked="0"/>
    </xf>
    <xf numFmtId="0" fontId="50" fillId="0" borderId="33" xfId="14" applyFont="1" applyFill="1" applyBorder="1" applyAlignment="1" applyProtection="1">
      <alignment vertical="center"/>
      <protection locked="0"/>
    </xf>
    <xf numFmtId="175" fontId="53" fillId="0" borderId="1" xfId="15" applyNumberFormat="1" applyFont="1" applyFill="1" applyBorder="1" applyAlignment="1" applyProtection="1">
      <alignment horizontal="center" vertical="center"/>
      <protection locked="0"/>
    </xf>
    <xf numFmtId="175" fontId="50" fillId="0" borderId="34" xfId="15" applyNumberFormat="1" applyFont="1" applyFill="1" applyBorder="1" applyAlignment="1" applyProtection="1">
      <alignment horizontal="center" vertical="center"/>
      <protection locked="0"/>
    </xf>
    <xf numFmtId="175" fontId="54" fillId="0" borderId="35" xfId="15" applyNumberFormat="1" applyFont="1" applyFill="1" applyBorder="1" applyAlignment="1" applyProtection="1">
      <alignment vertical="center"/>
      <protection locked="0"/>
    </xf>
    <xf numFmtId="0" fontId="47" fillId="0" borderId="0" xfId="14" applyFont="1" applyFill="1" applyBorder="1" applyAlignment="1" applyProtection="1">
      <alignment horizontal="left" vertical="center" wrapText="1"/>
      <protection locked="0"/>
    </xf>
    <xf numFmtId="0" fontId="50" fillId="8" borderId="20" xfId="14" applyFont="1" applyFill="1" applyBorder="1" applyAlignment="1" applyProtection="1">
      <alignment horizontal="center" vertical="center"/>
      <protection locked="0"/>
    </xf>
    <xf numFmtId="0" fontId="50" fillId="8" borderId="0" xfId="14" applyFont="1" applyFill="1" applyBorder="1" applyAlignment="1" applyProtection="1">
      <alignment horizontal="center" vertical="center"/>
      <protection locked="0"/>
    </xf>
    <xf numFmtId="0" fontId="50" fillId="8" borderId="21" xfId="14" applyFont="1" applyFill="1" applyBorder="1" applyAlignment="1" applyProtection="1">
      <alignment horizontal="center" vertical="center"/>
      <protection locked="0"/>
    </xf>
    <xf numFmtId="0" fontId="50" fillId="11" borderId="21" xfId="14" applyFont="1" applyFill="1" applyBorder="1" applyAlignment="1" applyProtection="1">
      <alignment horizontal="center" vertical="center"/>
      <protection locked="0"/>
    </xf>
    <xf numFmtId="0" fontId="50" fillId="8" borderId="36" xfId="14" applyFont="1" applyFill="1" applyBorder="1" applyAlignment="1" applyProtection="1">
      <alignment horizontal="center" vertical="center"/>
      <protection locked="0"/>
    </xf>
    <xf numFmtId="0" fontId="50" fillId="8" borderId="37" xfId="14" applyFont="1" applyFill="1" applyBorder="1" applyAlignment="1" applyProtection="1">
      <alignment horizontal="center" vertical="center"/>
      <protection locked="0"/>
    </xf>
    <xf numFmtId="0" fontId="46" fillId="8" borderId="20" xfId="14" applyFont="1" applyFill="1" applyBorder="1" applyAlignment="1" applyProtection="1">
      <alignment vertical="center"/>
      <protection locked="0"/>
    </xf>
    <xf numFmtId="0" fontId="46" fillId="8" borderId="0" xfId="14" applyFont="1" applyFill="1" applyBorder="1" applyAlignment="1" applyProtection="1">
      <alignment vertical="center"/>
      <protection locked="0"/>
    </xf>
    <xf numFmtId="0" fontId="50" fillId="8" borderId="21" xfId="14" applyFont="1" applyFill="1" applyBorder="1" applyAlignment="1" applyProtection="1">
      <alignment horizontal="center" vertical="center" wrapText="1"/>
      <protection locked="0"/>
    </xf>
    <xf numFmtId="0" fontId="50" fillId="7" borderId="0" xfId="14" applyFont="1" applyFill="1" applyBorder="1" applyAlignment="1" applyProtection="1">
      <alignment vertical="center"/>
      <protection locked="0"/>
    </xf>
    <xf numFmtId="3" fontId="50" fillId="7" borderId="0" xfId="12" applyNumberFormat="1" applyFont="1" applyFill="1" applyBorder="1" applyAlignment="1" applyProtection="1">
      <alignment horizontal="center" vertical="center"/>
      <protection locked="0"/>
    </xf>
    <xf numFmtId="0" fontId="50" fillId="0" borderId="21" xfId="14" applyFont="1" applyFill="1" applyBorder="1" applyAlignment="1" applyProtection="1">
      <alignment horizontal="center" vertical="center" wrapText="1"/>
      <protection locked="0"/>
    </xf>
    <xf numFmtId="0" fontId="50" fillId="7" borderId="38" xfId="14" applyFont="1" applyFill="1" applyBorder="1" applyAlignment="1" applyProtection="1">
      <alignment vertical="center"/>
      <protection locked="0"/>
    </xf>
    <xf numFmtId="3" fontId="50" fillId="7" borderId="38" xfId="12" applyNumberFormat="1" applyFont="1" applyFill="1" applyBorder="1" applyAlignment="1" applyProtection="1">
      <alignment horizontal="center" vertical="center"/>
      <protection locked="0"/>
    </xf>
    <xf numFmtId="3" fontId="50" fillId="7" borderId="0" xfId="14" applyNumberFormat="1" applyFont="1" applyFill="1" applyBorder="1" applyAlignment="1" applyProtection="1">
      <alignment horizontal="center" vertical="center"/>
      <protection locked="0"/>
    </xf>
    <xf numFmtId="0" fontId="46" fillId="0" borderId="24" xfId="14" applyFont="1" applyFill="1" applyBorder="1" applyAlignment="1" applyProtection="1">
      <alignment vertical="center"/>
      <protection locked="0"/>
    </xf>
    <xf numFmtId="0" fontId="50" fillId="7" borderId="24" xfId="14" applyFont="1" applyFill="1" applyBorder="1" applyAlignment="1" applyProtection="1">
      <alignment vertical="center"/>
      <protection locked="0"/>
    </xf>
    <xf numFmtId="3" fontId="50" fillId="7" borderId="24" xfId="14" applyNumberFormat="1" applyFont="1" applyFill="1" applyBorder="1" applyAlignment="1" applyProtection="1">
      <alignment horizontal="center" vertical="center"/>
      <protection locked="0"/>
    </xf>
    <xf numFmtId="0" fontId="50" fillId="0" borderId="25" xfId="14" applyFont="1" applyFill="1" applyBorder="1" applyAlignment="1" applyProtection="1">
      <alignment horizontal="center" vertical="center" wrapText="1"/>
      <protection locked="0"/>
    </xf>
    <xf numFmtId="0" fontId="46" fillId="0" borderId="1" xfId="14" applyFont="1" applyFill="1" applyBorder="1" applyAlignment="1" applyProtection="1">
      <alignment vertical="center"/>
      <protection locked="0"/>
    </xf>
    <xf numFmtId="3" fontId="46" fillId="0" borderId="1" xfId="14" applyNumberFormat="1" applyFont="1" applyFill="1" applyBorder="1" applyAlignment="1" applyProtection="1">
      <alignment horizontal="center" vertical="center"/>
      <protection locked="0"/>
    </xf>
    <xf numFmtId="10" fontId="47" fillId="0" borderId="35" xfId="16" applyNumberFormat="1" applyFont="1" applyFill="1" applyBorder="1" applyAlignment="1" applyProtection="1">
      <alignment vertical="center"/>
      <protection locked="0"/>
    </xf>
    <xf numFmtId="0" fontId="47" fillId="0" borderId="0" xfId="14" applyFont="1" applyFill="1" applyBorder="1" applyAlignment="1" applyProtection="1">
      <alignment vertical="center"/>
      <protection locked="0"/>
    </xf>
    <xf numFmtId="0" fontId="50" fillId="0" borderId="0" xfId="14" applyFont="1" applyFill="1" applyBorder="1" applyAlignment="1" applyProtection="1">
      <alignment vertical="center" wrapText="1"/>
      <protection locked="0"/>
    </xf>
    <xf numFmtId="10" fontId="47" fillId="0" borderId="0" xfId="16" applyNumberFormat="1" applyFont="1" applyFill="1" applyBorder="1" applyAlignment="1" applyProtection="1">
      <alignment vertical="center"/>
      <protection locked="0"/>
    </xf>
    <xf numFmtId="0" fontId="48" fillId="0" borderId="0" xfId="14" applyFont="1" applyFill="1" applyBorder="1" applyAlignment="1" applyProtection="1">
      <alignment horizontal="left" vertical="center" wrapText="1"/>
      <protection locked="0"/>
    </xf>
    <xf numFmtId="0" fontId="50" fillId="0" borderId="17" xfId="14" applyFont="1" applyFill="1" applyBorder="1" applyAlignment="1" applyProtection="1">
      <alignment vertical="center" wrapText="1"/>
      <protection locked="0"/>
    </xf>
    <xf numFmtId="0" fontId="46" fillId="0" borderId="19" xfId="14" applyFont="1" applyFill="1" applyBorder="1" applyAlignment="1" applyProtection="1">
      <alignment vertical="center"/>
      <protection locked="0"/>
    </xf>
    <xf numFmtId="0" fontId="57" fillId="0" borderId="33" xfId="14" applyFont="1" applyFill="1" applyBorder="1" applyAlignment="1" applyProtection="1">
      <alignment horizontal="left" vertical="center" wrapText="1"/>
      <protection locked="0"/>
    </xf>
    <xf numFmtId="0" fontId="58" fillId="12" borderId="1" xfId="14" applyFont="1" applyFill="1" applyBorder="1" applyAlignment="1" applyProtection="1">
      <alignment vertical="center" wrapText="1"/>
      <protection locked="0"/>
    </xf>
    <xf numFmtId="0" fontId="59" fillId="12" borderId="1" xfId="14" applyFont="1" applyFill="1" applyBorder="1" applyAlignment="1" applyProtection="1">
      <alignment vertical="center" wrapText="1"/>
      <protection locked="0"/>
    </xf>
    <xf numFmtId="0" fontId="58" fillId="0" borderId="1" xfId="14" applyFont="1" applyFill="1" applyBorder="1" applyAlignment="1" applyProtection="1">
      <alignment vertical="center" wrapText="1"/>
      <protection locked="0"/>
    </xf>
    <xf numFmtId="0" fontId="59" fillId="0" borderId="1" xfId="14" applyFont="1" applyFill="1" applyBorder="1" applyAlignment="1" applyProtection="1">
      <alignment vertical="center" wrapText="1"/>
      <protection locked="0"/>
    </xf>
    <xf numFmtId="0" fontId="58" fillId="0" borderId="0" xfId="14" applyFont="1" applyFill="1" applyBorder="1" applyAlignment="1" applyProtection="1">
      <alignment vertical="center" wrapText="1"/>
      <protection locked="0"/>
    </xf>
    <xf numFmtId="0" fontId="47" fillId="0" borderId="0" xfId="14" applyFont="1" applyFill="1" applyBorder="1" applyAlignment="1" applyProtection="1">
      <alignment horizontal="left" vertical="center"/>
      <protection locked="0"/>
    </xf>
    <xf numFmtId="0" fontId="57" fillId="0" borderId="0" xfId="14" applyFont="1" applyFill="1" applyBorder="1" applyAlignment="1" applyProtection="1">
      <alignment horizontal="left" vertical="center" wrapText="1"/>
      <protection locked="0"/>
    </xf>
    <xf numFmtId="0" fontId="55" fillId="0" borderId="0" xfId="14" applyFont="1" applyFill="1" applyBorder="1" applyAlignment="1" applyProtection="1">
      <alignment horizontal="center" vertical="center" wrapText="1"/>
      <protection locked="0"/>
    </xf>
    <xf numFmtId="0" fontId="46" fillId="0" borderId="39" xfId="14" applyFont="1" applyFill="1" applyBorder="1" applyAlignment="1" applyProtection="1">
      <alignment vertical="center"/>
      <protection locked="0"/>
    </xf>
    <xf numFmtId="0" fontId="50" fillId="8" borderId="2" xfId="14" applyFont="1" applyFill="1" applyBorder="1" applyAlignment="1" applyProtection="1">
      <alignment horizontal="center" vertical="center"/>
      <protection locked="0"/>
    </xf>
    <xf numFmtId="0" fontId="46" fillId="6" borderId="30" xfId="14" applyFont="1" applyFill="1" applyBorder="1" applyAlignment="1" applyProtection="1">
      <alignment vertical="center" wrapText="1"/>
      <protection locked="0"/>
    </xf>
    <xf numFmtId="0" fontId="60" fillId="0" borderId="40" xfId="14" applyFont="1" applyFill="1" applyBorder="1" applyAlignment="1" applyProtection="1">
      <alignment vertical="center" wrapText="1"/>
      <protection locked="0"/>
    </xf>
    <xf numFmtId="0" fontId="46" fillId="6" borderId="23" xfId="14" applyFont="1" applyFill="1" applyBorder="1" applyAlignment="1" applyProtection="1">
      <alignment vertical="center" wrapText="1"/>
      <protection locked="0"/>
    </xf>
    <xf numFmtId="0" fontId="47" fillId="12" borderId="44" xfId="14" applyFont="1" applyFill="1" applyBorder="1" applyAlignment="1" applyProtection="1">
      <alignment vertical="center" wrapText="1"/>
      <protection locked="0"/>
    </xf>
    <xf numFmtId="0" fontId="47" fillId="12" borderId="36" xfId="14" applyFont="1" applyFill="1" applyBorder="1" applyAlignment="1" applyProtection="1">
      <alignment vertical="center" wrapText="1"/>
      <protection locked="0"/>
    </xf>
    <xf numFmtId="0" fontId="60" fillId="12" borderId="36" xfId="14" applyFont="1" applyFill="1" applyBorder="1" applyAlignment="1" applyProtection="1">
      <alignment vertical="center" wrapText="1"/>
      <protection locked="0"/>
    </xf>
    <xf numFmtId="0" fontId="60" fillId="12" borderId="49" xfId="14" applyFont="1" applyFill="1" applyBorder="1" applyAlignment="1" applyProtection="1">
      <alignment vertical="center" wrapText="1"/>
      <protection locked="0"/>
    </xf>
    <xf numFmtId="0" fontId="19" fillId="3" borderId="0" xfId="0" applyFont="1" applyFill="1" applyAlignment="1">
      <alignment horizontal="center" vertical="center"/>
    </xf>
    <xf numFmtId="37" fontId="19" fillId="0" borderId="0" xfId="12" applyNumberFormat="1" applyFont="1" applyAlignment="1">
      <alignment horizontal="center" vertical="center"/>
    </xf>
    <xf numFmtId="2" fontId="19" fillId="0" borderId="0" xfId="0" applyNumberFormat="1" applyFont="1" applyAlignment="1">
      <alignment vertical="center"/>
    </xf>
    <xf numFmtId="0" fontId="20" fillId="0" borderId="3" xfId="0" applyFont="1" applyBorder="1" applyAlignment="1">
      <alignment horizontal="center" vertical="center"/>
    </xf>
    <xf numFmtId="0" fontId="20" fillId="0" borderId="3" xfId="0" applyFont="1" applyFill="1" applyBorder="1" applyAlignment="1">
      <alignment horizontal="center" vertical="center"/>
    </xf>
    <xf numFmtId="165" fontId="19" fillId="0" borderId="0" xfId="1" applyNumberFormat="1" applyFont="1" applyAlignment="1">
      <alignment horizontal="center" vertical="center"/>
    </xf>
    <xf numFmtId="0" fontId="19" fillId="0" borderId="0" xfId="0" applyFont="1" applyAlignment="1">
      <alignment horizontal="right" vertical="center"/>
    </xf>
    <xf numFmtId="0" fontId="19" fillId="0" borderId="0" xfId="0" applyFont="1" applyBorder="1" applyAlignment="1">
      <alignment vertical="center"/>
    </xf>
    <xf numFmtId="0" fontId="19" fillId="0" borderId="3" xfId="0" applyFont="1" applyBorder="1" applyAlignment="1">
      <alignment horizontal="center" vertical="center"/>
    </xf>
    <xf numFmtId="3" fontId="19" fillId="0" borderId="3" xfId="0" applyNumberFormat="1" applyFont="1" applyBorder="1" applyAlignment="1">
      <alignment horizontal="center" vertical="center"/>
    </xf>
    <xf numFmtId="4" fontId="19" fillId="0" borderId="3" xfId="0" applyNumberFormat="1" applyFont="1" applyBorder="1" applyAlignment="1">
      <alignment horizontal="center" vertical="center"/>
    </xf>
    <xf numFmtId="37" fontId="19" fillId="0" borderId="3" xfId="12" applyNumberFormat="1" applyFont="1" applyBorder="1" applyAlignment="1">
      <alignment horizontal="center" vertical="center"/>
    </xf>
    <xf numFmtId="0" fontId="19" fillId="0" borderId="3" xfId="0" applyFont="1" applyBorder="1" applyAlignment="1">
      <alignment vertical="center"/>
    </xf>
    <xf numFmtId="3" fontId="45" fillId="0" borderId="0" xfId="0" applyNumberFormat="1" applyFont="1" applyAlignment="1">
      <alignment horizontal="center" vertical="center"/>
    </xf>
    <xf numFmtId="4" fontId="19" fillId="0" borderId="0" xfId="0" applyNumberFormat="1" applyFont="1" applyFill="1" applyAlignment="1">
      <alignment horizontal="center" vertical="center"/>
    </xf>
    <xf numFmtId="0" fontId="26" fillId="0" borderId="3" xfId="0" applyFont="1" applyBorder="1" applyAlignment="1">
      <alignment horizontal="center" vertical="center" wrapText="1"/>
    </xf>
    <xf numFmtId="0" fontId="8" fillId="3" borderId="0" xfId="0" applyFont="1" applyFill="1" applyAlignment="1">
      <alignment horizontal="center" vertical="center" wrapText="1"/>
    </xf>
    <xf numFmtId="0" fontId="0" fillId="0" borderId="0" xfId="0" applyFill="1" applyBorder="1" applyAlignment="1"/>
    <xf numFmtId="0" fontId="0" fillId="0" borderId="1" xfId="0" applyFill="1" applyBorder="1" applyAlignment="1"/>
    <xf numFmtId="0" fontId="28" fillId="0" borderId="2" xfId="0" applyFont="1" applyFill="1" applyBorder="1" applyAlignment="1">
      <alignment horizontal="center"/>
    </xf>
    <xf numFmtId="0" fontId="28" fillId="0" borderId="2" xfId="0" applyFont="1" applyFill="1" applyBorder="1" applyAlignment="1">
      <alignment horizontal="centerContinuous"/>
    </xf>
    <xf numFmtId="0" fontId="19" fillId="0" borderId="0" xfId="0" applyFont="1" applyFill="1" applyAlignment="1">
      <alignment horizontal="center" vertical="center"/>
    </xf>
    <xf numFmtId="168" fontId="19" fillId="0" borderId="0" xfId="0" applyNumberFormat="1" applyFont="1" applyFill="1" applyAlignment="1">
      <alignment horizontal="center" vertical="center"/>
    </xf>
    <xf numFmtId="0" fontId="7" fillId="0" borderId="0" xfId="0" applyFont="1" applyAlignment="1">
      <alignment horizontal="center" vertical="center" wrapText="1"/>
    </xf>
    <xf numFmtId="165" fontId="19" fillId="0" borderId="3" xfId="1" applyNumberFormat="1" applyFont="1" applyBorder="1" applyAlignment="1">
      <alignment horizontal="center" vertical="center"/>
    </xf>
    <xf numFmtId="0" fontId="8" fillId="0" borderId="0" xfId="0" applyFont="1" applyFill="1" applyAlignment="1">
      <alignment horizontal="center" vertical="center" wrapText="1"/>
    </xf>
    <xf numFmtId="2" fontId="19" fillId="0" borderId="0" xfId="0" applyNumberFormat="1" applyFont="1" applyAlignment="1">
      <alignment horizontal="center" vertical="center"/>
    </xf>
    <xf numFmtId="0" fontId="0" fillId="0" borderId="0" xfId="0" applyAlignment="1">
      <alignment horizontal="center"/>
    </xf>
    <xf numFmtId="3" fontId="12" fillId="0" borderId="0" xfId="0" applyNumberFormat="1" applyFont="1"/>
    <xf numFmtId="0" fontId="50" fillId="8" borderId="19" xfId="14" applyFont="1" applyFill="1" applyBorder="1" applyAlignment="1" applyProtection="1">
      <alignment horizontal="center" vertical="center"/>
      <protection locked="0"/>
    </xf>
    <xf numFmtId="40" fontId="50" fillId="0" borderId="0" xfId="14" applyNumberFormat="1" applyFont="1" applyFill="1" applyBorder="1" applyAlignment="1" applyProtection="1">
      <alignment vertical="center"/>
      <protection locked="0"/>
    </xf>
    <xf numFmtId="40" fontId="46" fillId="0" borderId="1" xfId="14" applyNumberFormat="1" applyFont="1" applyFill="1" applyBorder="1" applyAlignment="1" applyProtection="1">
      <alignment vertical="center"/>
      <protection locked="0"/>
    </xf>
    <xf numFmtId="40" fontId="50" fillId="0" borderId="24" xfId="14" applyNumberFormat="1" applyFont="1" applyFill="1" applyBorder="1" applyAlignment="1" applyProtection="1">
      <alignment vertical="center"/>
      <protection locked="0"/>
    </xf>
    <xf numFmtId="174" fontId="47" fillId="0" borderId="6" xfId="15" applyNumberFormat="1" applyFont="1" applyFill="1" applyBorder="1" applyAlignment="1" applyProtection="1">
      <alignment horizontal="center" vertical="center"/>
      <protection locked="0"/>
    </xf>
    <xf numFmtId="0" fontId="50" fillId="8" borderId="52" xfId="14" applyFont="1" applyFill="1" applyBorder="1" applyAlignment="1" applyProtection="1">
      <alignment horizontal="center" vertical="center"/>
      <protection locked="0"/>
    </xf>
    <xf numFmtId="164" fontId="46" fillId="6" borderId="30" xfId="14" applyNumberFormat="1" applyFont="1" applyFill="1" applyBorder="1" applyAlignment="1" applyProtection="1">
      <alignment horizontal="center" vertical="center"/>
      <protection locked="0"/>
    </xf>
    <xf numFmtId="164" fontId="46" fillId="0" borderId="53" xfId="15" applyFont="1" applyFill="1" applyBorder="1" applyAlignment="1" applyProtection="1">
      <alignment horizontal="center" vertical="center"/>
      <protection locked="0"/>
    </xf>
    <xf numFmtId="174" fontId="46" fillId="6" borderId="54" xfId="14" applyNumberFormat="1" applyFont="1" applyFill="1" applyBorder="1" applyAlignment="1" applyProtection="1">
      <alignment horizontal="center" vertical="center"/>
      <protection locked="0"/>
    </xf>
    <xf numFmtId="3" fontId="47" fillId="3" borderId="36" xfId="15" applyNumberFormat="1" applyFont="1" applyFill="1" applyBorder="1" applyAlignment="1" applyProtection="1">
      <alignment horizontal="center" vertical="center"/>
      <protection locked="0"/>
    </xf>
    <xf numFmtId="174" fontId="47" fillId="6" borderId="30" xfId="15" applyNumberFormat="1" applyFont="1" applyFill="1" applyBorder="1" applyAlignment="1" applyProtection="1">
      <alignment horizontal="center" vertical="center"/>
      <protection locked="0"/>
    </xf>
    <xf numFmtId="174" fontId="47" fillId="0" borderId="20" xfId="15" applyNumberFormat="1" applyFont="1" applyFill="1" applyBorder="1" applyAlignment="1" applyProtection="1">
      <alignment horizontal="center" vertical="center"/>
      <protection locked="0"/>
    </xf>
    <xf numFmtId="164" fontId="47" fillId="0" borderId="33" xfId="15" applyFont="1" applyFill="1" applyBorder="1" applyAlignment="1" applyProtection="1">
      <alignment horizontal="center" vertical="center"/>
      <protection locked="0"/>
    </xf>
    <xf numFmtId="164" fontId="47" fillId="0" borderId="55" xfId="15" applyFont="1" applyFill="1" applyBorder="1" applyAlignment="1" applyProtection="1">
      <alignment horizontal="center" vertical="center"/>
      <protection locked="0"/>
    </xf>
    <xf numFmtId="0" fontId="0" fillId="0" borderId="21" xfId="0" applyBorder="1" applyAlignment="1">
      <alignment vertical="center"/>
    </xf>
    <xf numFmtId="0" fontId="62" fillId="0" borderId="0" xfId="0" applyFont="1" applyAlignment="1">
      <alignment horizontal="center" vertical="center" wrapText="1"/>
    </xf>
    <xf numFmtId="0" fontId="46" fillId="0" borderId="0" xfId="0" applyFont="1" applyAlignment="1">
      <alignment horizontal="right" vertical="center"/>
    </xf>
    <xf numFmtId="17" fontId="0" fillId="0" borderId="0" xfId="0" applyNumberFormat="1" applyAlignment="1">
      <alignment vertical="center"/>
    </xf>
    <xf numFmtId="0" fontId="0" fillId="0" borderId="6" xfId="0" applyBorder="1" applyAlignment="1">
      <alignment horizontal="right" vertical="center"/>
    </xf>
    <xf numFmtId="0" fontId="61" fillId="0" borderId="0" xfId="0" applyFont="1" applyAlignment="1">
      <alignment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left" vertical="center"/>
    </xf>
    <xf numFmtId="43" fontId="0" fillId="2" borderId="0" xfId="12" applyFont="1" applyFill="1" applyAlignment="1">
      <alignment vertical="center"/>
    </xf>
    <xf numFmtId="0" fontId="0" fillId="2" borderId="0" xfId="0" applyFill="1" applyAlignment="1">
      <alignment vertical="center"/>
    </xf>
    <xf numFmtId="43" fontId="0" fillId="2" borderId="6" xfId="12" applyFont="1" applyFill="1" applyBorder="1" applyAlignment="1">
      <alignment horizontal="right" vertical="center"/>
    </xf>
    <xf numFmtId="0" fontId="0" fillId="0" borderId="0" xfId="0" applyAlignment="1">
      <alignment horizontal="center" vertical="center"/>
    </xf>
    <xf numFmtId="43" fontId="0" fillId="0" borderId="0" xfId="0" applyNumberFormat="1" applyAlignment="1">
      <alignment horizontal="center" vertical="center"/>
    </xf>
    <xf numFmtId="10" fontId="0" fillId="0" borderId="0" xfId="1" applyNumberFormat="1" applyFont="1" applyAlignment="1">
      <alignment horizontal="center" vertical="center"/>
    </xf>
    <xf numFmtId="43" fontId="0" fillId="0" borderId="3" xfId="0" applyNumberFormat="1" applyBorder="1" applyAlignment="1">
      <alignment horizontal="center" vertical="center"/>
    </xf>
    <xf numFmtId="10" fontId="0" fillId="0" borderId="3" xfId="1" applyNumberFormat="1" applyFont="1" applyBorder="1" applyAlignment="1">
      <alignment horizontal="center" vertical="center"/>
    </xf>
    <xf numFmtId="0" fontId="0" fillId="0" borderId="0" xfId="0" applyBorder="1" applyAlignment="1">
      <alignment horizontal="right" vertical="center"/>
    </xf>
    <xf numFmtId="43" fontId="0" fillId="0" borderId="0" xfId="12" applyFont="1" applyBorder="1" applyAlignment="1">
      <alignment horizontal="right" vertical="center"/>
    </xf>
    <xf numFmtId="43" fontId="0" fillId="2" borderId="0" xfId="12" applyFont="1" applyFill="1" applyBorder="1" applyAlignment="1">
      <alignment horizontal="right" vertical="center"/>
    </xf>
    <xf numFmtId="43" fontId="0" fillId="2" borderId="0" xfId="12" applyFont="1" applyFill="1" applyAlignment="1">
      <alignment horizontal="center" vertical="center"/>
    </xf>
    <xf numFmtId="2" fontId="0" fillId="2" borderId="0" xfId="0" applyNumberFormat="1" applyFill="1" applyAlignment="1">
      <alignment horizontal="center" vertical="center"/>
    </xf>
    <xf numFmtId="43" fontId="0" fillId="0" borderId="0" xfId="12" applyFont="1" applyAlignment="1">
      <alignment horizontal="center" vertical="center"/>
    </xf>
    <xf numFmtId="43" fontId="0" fillId="0" borderId="6" xfId="12" applyFont="1" applyBorder="1" applyAlignment="1">
      <alignment horizontal="center" vertical="center"/>
    </xf>
    <xf numFmtId="0" fontId="29" fillId="0" borderId="0" xfId="7" applyFont="1" applyAlignment="1">
      <alignment vertical="center"/>
    </xf>
    <xf numFmtId="4" fontId="0" fillId="0" borderId="0" xfId="12" applyNumberFormat="1" applyFont="1" applyAlignment="1">
      <alignment horizontal="center" vertical="center"/>
    </xf>
    <xf numFmtId="4" fontId="0" fillId="0" borderId="6" xfId="12" applyNumberFormat="1" applyFont="1" applyBorder="1" applyAlignment="1">
      <alignment horizontal="center" vertical="center"/>
    </xf>
    <xf numFmtId="4" fontId="0" fillId="0" borderId="0" xfId="0" applyNumberFormat="1" applyAlignment="1">
      <alignment horizontal="center" vertical="center"/>
    </xf>
    <xf numFmtId="43" fontId="0" fillId="0" borderId="6" xfId="0" applyNumberFormat="1" applyBorder="1" applyAlignment="1">
      <alignment horizontal="center" vertical="center"/>
    </xf>
    <xf numFmtId="10" fontId="0" fillId="0" borderId="6" xfId="1" applyNumberFormat="1" applyFont="1" applyBorder="1" applyAlignment="1">
      <alignment horizontal="center" vertical="center"/>
    </xf>
    <xf numFmtId="0" fontId="46" fillId="0" borderId="0" xfId="0" applyFont="1" applyAlignment="1">
      <alignment horizontal="center" vertical="center"/>
    </xf>
    <xf numFmtId="2" fontId="46" fillId="0" borderId="0" xfId="0" applyNumberFormat="1" applyFont="1" applyAlignment="1">
      <alignment horizontal="center" vertical="center"/>
    </xf>
    <xf numFmtId="165" fontId="37" fillId="4" borderId="0" xfId="0" applyNumberFormat="1" applyFont="1" applyFill="1" applyBorder="1" applyAlignment="1">
      <alignment horizontal="center" vertical="center" wrapText="1"/>
    </xf>
    <xf numFmtId="0" fontId="6" fillId="0" borderId="0" xfId="0" applyFont="1"/>
    <xf numFmtId="3" fontId="34" fillId="4" borderId="13" xfId="0" applyNumberFormat="1" applyFont="1" applyFill="1" applyBorder="1" applyAlignment="1">
      <alignment horizontal="center" vertical="center"/>
    </xf>
    <xf numFmtId="0" fontId="31" fillId="4" borderId="0" xfId="0" applyFont="1" applyFill="1" applyAlignment="1">
      <alignment vertical="center"/>
    </xf>
    <xf numFmtId="0" fontId="31" fillId="4" borderId="0" xfId="0" applyFont="1" applyFill="1" applyBorder="1" applyAlignment="1">
      <alignment horizontal="center" vertical="center" wrapText="1"/>
    </xf>
    <xf numFmtId="0" fontId="31" fillId="4" borderId="0" xfId="0" applyFont="1" applyFill="1" applyAlignment="1">
      <alignment horizontal="center" vertical="center" wrapText="1"/>
    </xf>
    <xf numFmtId="0" fontId="31" fillId="4" borderId="0" xfId="0" applyFont="1" applyFill="1" applyAlignment="1">
      <alignment horizontal="center" vertical="center"/>
    </xf>
    <xf numFmtId="0" fontId="32" fillId="4" borderId="14" xfId="0" applyFont="1" applyFill="1" applyBorder="1" applyAlignment="1">
      <alignment vertical="center"/>
    </xf>
    <xf numFmtId="0" fontId="31" fillId="4" borderId="0" xfId="0" applyFont="1" applyFill="1" applyBorder="1" applyAlignment="1">
      <alignment horizontal="center" vertical="center"/>
    </xf>
    <xf numFmtId="0" fontId="31" fillId="4" borderId="13" xfId="0" applyFont="1" applyFill="1" applyBorder="1" applyAlignment="1">
      <alignment horizontal="center" vertical="center"/>
    </xf>
    <xf numFmtId="0" fontId="31" fillId="4" borderId="14" xfId="0" applyFont="1" applyFill="1" applyBorder="1" applyAlignment="1">
      <alignment vertical="center"/>
    </xf>
    <xf numFmtId="171" fontId="31" fillId="4" borderId="0" xfId="12" applyNumberFormat="1" applyFont="1" applyFill="1" applyAlignment="1">
      <alignment horizontal="center" vertical="center"/>
    </xf>
    <xf numFmtId="3" fontId="31" fillId="4" borderId="0" xfId="0" applyNumberFormat="1" applyFont="1" applyFill="1" applyAlignment="1">
      <alignment horizontal="center" vertical="center"/>
    </xf>
    <xf numFmtId="0" fontId="34" fillId="4" borderId="15" xfId="0" applyFont="1" applyFill="1" applyBorder="1" applyAlignment="1">
      <alignment horizontal="right" vertical="center"/>
    </xf>
    <xf numFmtId="4" fontId="63" fillId="0" borderId="0" xfId="0" applyNumberFormat="1" applyFont="1" applyAlignment="1">
      <alignment horizontal="center" vertical="center"/>
    </xf>
    <xf numFmtId="3" fontId="33" fillId="0" borderId="3" xfId="0" applyNumberFormat="1" applyFont="1" applyBorder="1" applyAlignment="1">
      <alignment horizontal="center" vertical="center"/>
    </xf>
    <xf numFmtId="4" fontId="64" fillId="0" borderId="0" xfId="0" applyNumberFormat="1" applyFont="1" applyAlignment="1">
      <alignment horizontal="center" vertical="center"/>
    </xf>
    <xf numFmtId="176" fontId="12" fillId="0" borderId="0" xfId="0" applyNumberFormat="1" applyFont="1" applyAlignment="1">
      <alignment horizontal="center"/>
    </xf>
    <xf numFmtId="176" fontId="12" fillId="2" borderId="0" xfId="0" applyNumberFormat="1" applyFont="1" applyFill="1" applyAlignment="1">
      <alignment horizontal="center"/>
    </xf>
    <xf numFmtId="0" fontId="5" fillId="0" borderId="0" xfId="0" applyFont="1" applyAlignment="1">
      <alignment vertical="center"/>
    </xf>
    <xf numFmtId="177" fontId="19" fillId="0" borderId="0" xfId="0" applyNumberFormat="1" applyFont="1" applyAlignment="1">
      <alignment vertical="center"/>
    </xf>
    <xf numFmtId="0" fontId="0" fillId="4" borderId="0" xfId="0" applyFill="1" applyAlignment="1">
      <alignment vertical="center"/>
    </xf>
    <xf numFmtId="0" fontId="4" fillId="0" borderId="0" xfId="0" applyFont="1" applyAlignment="1">
      <alignment horizontal="center" vertical="center"/>
    </xf>
    <xf numFmtId="0" fontId="66" fillId="4" borderId="14" xfId="0" applyFont="1" applyFill="1" applyBorder="1" applyAlignment="1">
      <alignment horizontal="right" vertical="center"/>
    </xf>
    <xf numFmtId="0" fontId="20" fillId="4" borderId="3" xfId="0" applyFont="1" applyFill="1" applyBorder="1" applyAlignment="1">
      <alignment horizontal="center" vertical="center"/>
    </xf>
    <xf numFmtId="0" fontId="20" fillId="4" borderId="3" xfId="0" applyFont="1" applyFill="1" applyBorder="1" applyAlignment="1">
      <alignment vertical="center"/>
    </xf>
    <xf numFmtId="3" fontId="19" fillId="4" borderId="0" xfId="0" applyNumberFormat="1" applyFont="1" applyFill="1" applyAlignment="1">
      <alignment horizontal="center" vertical="center"/>
    </xf>
    <xf numFmtId="0" fontId="19" fillId="4" borderId="0" xfId="0" applyFont="1" applyFill="1" applyAlignment="1">
      <alignment horizontal="center" vertical="center"/>
    </xf>
    <xf numFmtId="10" fontId="19" fillId="4" borderId="0" xfId="1" applyNumberFormat="1" applyFont="1" applyFill="1" applyAlignment="1">
      <alignment horizontal="center" vertical="center"/>
    </xf>
    <xf numFmtId="3" fontId="65" fillId="0" borderId="0" xfId="0" applyNumberFormat="1" applyFont="1" applyBorder="1" applyAlignment="1">
      <alignment horizontal="center" vertical="center"/>
    </xf>
    <xf numFmtId="3" fontId="19" fillId="4" borderId="0" xfId="0" applyNumberFormat="1" applyFont="1" applyFill="1" applyBorder="1" applyAlignment="1">
      <alignment horizontal="center" vertical="center"/>
    </xf>
    <xf numFmtId="0" fontId="67" fillId="0" borderId="10" xfId="0" applyFont="1" applyBorder="1" applyAlignment="1">
      <alignment horizontal="center" vertical="center" wrapText="1"/>
    </xf>
    <xf numFmtId="3" fontId="67" fillId="4" borderId="8" xfId="0" applyNumberFormat="1" applyFont="1" applyFill="1" applyBorder="1" applyAlignment="1">
      <alignment horizontal="center" vertical="center"/>
    </xf>
    <xf numFmtId="0" fontId="67" fillId="4" borderId="0" xfId="0" applyFont="1" applyFill="1" applyAlignment="1">
      <alignment horizontal="center" vertical="center"/>
    </xf>
    <xf numFmtId="165" fontId="67" fillId="4" borderId="0" xfId="1" applyNumberFormat="1" applyFont="1" applyFill="1" applyAlignment="1">
      <alignment horizontal="center" vertical="center"/>
    </xf>
    <xf numFmtId="165" fontId="67" fillId="4" borderId="0" xfId="1" applyNumberFormat="1" applyFont="1" applyFill="1" applyBorder="1" applyAlignment="1">
      <alignment horizontal="center" vertical="center"/>
    </xf>
    <xf numFmtId="0" fontId="67" fillId="4" borderId="3" xfId="0" applyFont="1" applyFill="1" applyBorder="1" applyAlignment="1">
      <alignment horizontal="center" vertical="center"/>
    </xf>
    <xf numFmtId="3" fontId="20" fillId="0" borderId="0" xfId="0" applyNumberFormat="1" applyFont="1" applyAlignment="1">
      <alignment horizontal="center" vertical="center" wrapText="1"/>
    </xf>
    <xf numFmtId="3" fontId="67" fillId="0" borderId="0" xfId="0" applyNumberFormat="1" applyFont="1" applyAlignment="1">
      <alignment horizontal="center" vertical="center"/>
    </xf>
    <xf numFmtId="0" fontId="12" fillId="4" borderId="0" xfId="0" applyFont="1" applyFill="1" applyAlignment="1">
      <alignment vertical="center"/>
    </xf>
    <xf numFmtId="3" fontId="20" fillId="4" borderId="3" xfId="0" applyNumberFormat="1" applyFont="1" applyFill="1" applyBorder="1" applyAlignment="1">
      <alignment horizontal="center" vertical="center"/>
    </xf>
    <xf numFmtId="3" fontId="20" fillId="4" borderId="11" xfId="0" applyNumberFormat="1" applyFont="1" applyFill="1" applyBorder="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4" borderId="0" xfId="0" applyFont="1" applyFill="1" applyAlignment="1">
      <alignment vertical="center"/>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4" borderId="3" xfId="0" applyFont="1" applyFill="1" applyBorder="1" applyAlignment="1">
      <alignment horizontal="center" vertical="center"/>
    </xf>
    <xf numFmtId="17" fontId="3" fillId="4" borderId="0" xfId="0" applyNumberFormat="1" applyFont="1" applyFill="1" applyAlignment="1">
      <alignment vertical="center"/>
    </xf>
    <xf numFmtId="39" fontId="3" fillId="4" borderId="8" xfId="0" applyNumberFormat="1" applyFont="1" applyFill="1" applyBorder="1" applyAlignment="1">
      <alignment horizontal="center" vertical="center"/>
    </xf>
    <xf numFmtId="39" fontId="3" fillId="4" borderId="9" xfId="0" applyNumberFormat="1" applyFont="1" applyFill="1" applyBorder="1" applyAlignment="1">
      <alignment horizontal="center" vertical="center"/>
    </xf>
    <xf numFmtId="17" fontId="3" fillId="4" borderId="3" xfId="0" applyNumberFormat="1" applyFont="1" applyFill="1" applyBorder="1" applyAlignment="1">
      <alignment vertical="center"/>
    </xf>
    <xf numFmtId="39" fontId="3" fillId="4" borderId="10" xfId="0" applyNumberFormat="1" applyFont="1" applyFill="1" applyBorder="1" applyAlignment="1">
      <alignment horizontal="center" vertical="center"/>
    </xf>
    <xf numFmtId="39" fontId="3" fillId="4" borderId="11" xfId="0" applyNumberFormat="1" applyFont="1" applyFill="1" applyBorder="1" applyAlignment="1">
      <alignment horizontal="center" vertical="center"/>
    </xf>
    <xf numFmtId="0" fontId="20" fillId="4" borderId="0" xfId="0" applyFont="1" applyFill="1" applyAlignment="1">
      <alignment horizontal="right" vertical="center"/>
    </xf>
    <xf numFmtId="39" fontId="20" fillId="4" borderId="10" xfId="0" applyNumberFormat="1" applyFont="1" applyFill="1" applyBorder="1" applyAlignment="1">
      <alignment horizontal="center" vertical="center"/>
    </xf>
    <xf numFmtId="39" fontId="20" fillId="4" borderId="11" xfId="0" applyNumberFormat="1" applyFont="1" applyFill="1" applyBorder="1" applyAlignment="1">
      <alignment horizontal="center" vertical="center"/>
    </xf>
    <xf numFmtId="39" fontId="20" fillId="4" borderId="3" xfId="0" applyNumberFormat="1" applyFont="1" applyFill="1" applyBorder="1" applyAlignment="1">
      <alignment horizontal="center" vertical="center"/>
    </xf>
    <xf numFmtId="39" fontId="20" fillId="4" borderId="33" xfId="0" applyNumberFormat="1" applyFont="1" applyFill="1" applyBorder="1" applyAlignment="1">
      <alignment horizontal="center" vertical="center"/>
    </xf>
    <xf numFmtId="39" fontId="20" fillId="4" borderId="35" xfId="0" applyNumberFormat="1" applyFont="1" applyFill="1" applyBorder="1" applyAlignment="1">
      <alignment horizontal="center" vertical="center"/>
    </xf>
    <xf numFmtId="0" fontId="20" fillId="4" borderId="6" xfId="0" applyFont="1" applyFill="1" applyBorder="1" applyAlignment="1">
      <alignment horizontal="right" vertical="center"/>
    </xf>
    <xf numFmtId="39" fontId="20" fillId="4" borderId="46" xfId="0" applyNumberFormat="1" applyFont="1" applyFill="1" applyBorder="1" applyAlignment="1">
      <alignment horizontal="center" vertical="center"/>
    </xf>
    <xf numFmtId="39" fontId="20" fillId="4" borderId="51" xfId="0" applyNumberFormat="1" applyFont="1" applyFill="1" applyBorder="1" applyAlignment="1">
      <alignment horizontal="center" vertical="center"/>
    </xf>
    <xf numFmtId="39" fontId="20" fillId="4" borderId="32" xfId="0" applyNumberFormat="1" applyFont="1" applyFill="1" applyBorder="1" applyAlignment="1">
      <alignment horizontal="center" vertical="center"/>
    </xf>
    <xf numFmtId="17" fontId="3" fillId="4" borderId="0" xfId="0" applyNumberFormat="1" applyFont="1" applyFill="1" applyAlignment="1">
      <alignment horizontal="right" vertical="center"/>
    </xf>
    <xf numFmtId="0" fontId="20" fillId="4" borderId="20" xfId="0" applyFont="1" applyFill="1" applyBorder="1" applyAlignment="1">
      <alignment horizontal="center" vertical="center"/>
    </xf>
    <xf numFmtId="0" fontId="20" fillId="4" borderId="21" xfId="0" applyFont="1" applyFill="1" applyBorder="1" applyAlignment="1">
      <alignment horizontal="center" vertical="center"/>
    </xf>
    <xf numFmtId="0" fontId="67" fillId="4" borderId="0" xfId="0" applyFont="1" applyFill="1" applyAlignment="1">
      <alignment horizontal="right" vertical="center"/>
    </xf>
    <xf numFmtId="0" fontId="67" fillId="4" borderId="0" xfId="0" applyFont="1" applyFill="1" applyAlignment="1">
      <alignment vertical="center"/>
    </xf>
    <xf numFmtId="17" fontId="3" fillId="4" borderId="3" xfId="0" applyNumberFormat="1" applyFont="1" applyFill="1" applyBorder="1" applyAlignment="1">
      <alignment horizontal="right" vertical="center"/>
    </xf>
    <xf numFmtId="0" fontId="67" fillId="4" borderId="3" xfId="0" applyFont="1" applyFill="1" applyBorder="1" applyAlignment="1">
      <alignment vertical="center"/>
    </xf>
    <xf numFmtId="0" fontId="67" fillId="4" borderId="36" xfId="0" applyFont="1" applyFill="1" applyBorder="1" applyAlignment="1">
      <alignment vertical="center"/>
    </xf>
    <xf numFmtId="0" fontId="46" fillId="0" borderId="0" xfId="0" applyFont="1" applyAlignment="1">
      <alignment vertical="center" wrapText="1"/>
    </xf>
    <xf numFmtId="43" fontId="3" fillId="0" borderId="0" xfId="12" applyFont="1" applyAlignment="1">
      <alignment vertical="center"/>
    </xf>
    <xf numFmtId="0" fontId="46" fillId="0" borderId="0" xfId="0" applyFont="1" applyAlignment="1">
      <alignment horizontal="center" vertical="center" wrapText="1"/>
    </xf>
    <xf numFmtId="0" fontId="3" fillId="0" borderId="6" xfId="0" applyFont="1" applyBorder="1" applyAlignment="1">
      <alignment horizontal="right" vertical="center"/>
    </xf>
    <xf numFmtId="43" fontId="3" fillId="0" borderId="6" xfId="12" applyFont="1" applyBorder="1" applyAlignment="1">
      <alignment horizontal="right" vertical="center"/>
    </xf>
    <xf numFmtId="4" fontId="3" fillId="0" borderId="6" xfId="12" applyNumberFormat="1" applyFont="1" applyBorder="1" applyAlignment="1">
      <alignment horizontal="center" vertical="center"/>
    </xf>
    <xf numFmtId="0" fontId="3" fillId="0" borderId="0" xfId="0" applyFont="1" applyAlignment="1">
      <alignment horizontal="center" vertical="center"/>
    </xf>
    <xf numFmtId="2" fontId="46" fillId="0" borderId="0" xfId="0" applyNumberFormat="1" applyFont="1" applyAlignment="1">
      <alignment horizontal="center" vertical="center" wrapText="1"/>
    </xf>
    <xf numFmtId="0" fontId="3" fillId="0" borderId="0" xfId="0" applyFont="1" applyBorder="1" applyAlignment="1">
      <alignment horizontal="center" vertical="center"/>
    </xf>
    <xf numFmtId="0" fontId="69" fillId="0" borderId="0" xfId="0" applyFont="1" applyBorder="1" applyAlignment="1">
      <alignment horizontal="center" vertical="center" wrapText="1"/>
    </xf>
    <xf numFmtId="0" fontId="3" fillId="4" borderId="3" xfId="0" applyFont="1" applyFill="1" applyBorder="1" applyAlignment="1">
      <alignment horizontal="center" vertical="center" wrapText="1"/>
    </xf>
    <xf numFmtId="0" fontId="46" fillId="4" borderId="0" xfId="0" applyFont="1" applyFill="1" applyAlignment="1">
      <alignment horizontal="right" vertical="center" wrapText="1"/>
    </xf>
    <xf numFmtId="2" fontId="46" fillId="4" borderId="0" xfId="0" applyNumberFormat="1" applyFont="1" applyFill="1" applyAlignment="1">
      <alignment horizontal="center" vertical="center" wrapText="1"/>
    </xf>
    <xf numFmtId="0" fontId="46" fillId="4" borderId="0" xfId="0" applyFont="1" applyFill="1" applyAlignment="1">
      <alignment horizontal="center" vertical="center" wrapText="1"/>
    </xf>
    <xf numFmtId="43" fontId="3" fillId="4" borderId="0" xfId="12" applyFont="1" applyFill="1" applyAlignment="1">
      <alignment vertical="center"/>
    </xf>
    <xf numFmtId="0" fontId="3" fillId="4" borderId="6" xfId="0" applyFont="1" applyFill="1" applyBorder="1" applyAlignment="1">
      <alignment horizontal="right" vertical="center"/>
    </xf>
    <xf numFmtId="4" fontId="3" fillId="4" borderId="6" xfId="12" applyNumberFormat="1" applyFont="1" applyFill="1" applyBorder="1" applyAlignment="1">
      <alignment horizontal="center" vertical="center"/>
    </xf>
    <xf numFmtId="0" fontId="3" fillId="4" borderId="0" xfId="0" applyFont="1" applyFill="1" applyAlignment="1">
      <alignment horizontal="center" vertical="center"/>
    </xf>
    <xf numFmtId="43" fontId="3" fillId="4" borderId="0" xfId="12" applyFont="1" applyFill="1" applyBorder="1" applyAlignment="1">
      <alignment horizontal="right" vertical="center"/>
    </xf>
    <xf numFmtId="4" fontId="3" fillId="4" borderId="0" xfId="12" applyNumberFormat="1" applyFont="1" applyFill="1" applyBorder="1" applyAlignment="1">
      <alignment horizontal="center" vertical="center"/>
    </xf>
    <xf numFmtId="0" fontId="46" fillId="4" borderId="3" xfId="0" applyFont="1" applyFill="1" applyBorder="1" applyAlignment="1">
      <alignment horizontal="center" vertical="center" wrapText="1"/>
    </xf>
    <xf numFmtId="2" fontId="46" fillId="4" borderId="3" xfId="0" applyNumberFormat="1" applyFont="1" applyFill="1" applyBorder="1" applyAlignment="1">
      <alignment horizontal="center" vertical="center" wrapText="1"/>
    </xf>
    <xf numFmtId="43" fontId="3" fillId="4" borderId="3" xfId="12" applyFont="1" applyFill="1" applyBorder="1" applyAlignment="1">
      <alignment vertical="center"/>
    </xf>
    <xf numFmtId="0" fontId="0" fillId="4" borderId="3" xfId="0" applyFill="1" applyBorder="1" applyAlignment="1">
      <alignment vertical="center"/>
    </xf>
    <xf numFmtId="0" fontId="69" fillId="4" borderId="3" xfId="0" applyFont="1" applyFill="1" applyBorder="1" applyAlignment="1">
      <alignment horizontal="center" vertical="center" wrapText="1"/>
    </xf>
    <xf numFmtId="0" fontId="20" fillId="4" borderId="37" xfId="0" applyFont="1" applyFill="1" applyBorder="1" applyAlignment="1">
      <alignment horizontal="center" vertical="center"/>
    </xf>
    <xf numFmtId="39" fontId="20" fillId="4" borderId="20" xfId="0" applyNumberFormat="1" applyFont="1" applyFill="1" applyBorder="1" applyAlignment="1">
      <alignment horizontal="center" vertical="center"/>
    </xf>
    <xf numFmtId="39" fontId="20" fillId="4" borderId="21" xfId="0" applyNumberFormat="1" applyFont="1" applyFill="1" applyBorder="1" applyAlignment="1">
      <alignment horizontal="center" vertical="center"/>
    </xf>
    <xf numFmtId="39" fontId="20" fillId="4" borderId="36" xfId="0" applyNumberFormat="1" applyFont="1" applyFill="1" applyBorder="1" applyAlignment="1">
      <alignment horizontal="center" vertical="center"/>
    </xf>
    <xf numFmtId="39" fontId="20" fillId="4" borderId="37" xfId="0" applyNumberFormat="1" applyFont="1" applyFill="1" applyBorder="1" applyAlignment="1">
      <alignment horizontal="center" vertical="center"/>
    </xf>
    <xf numFmtId="0" fontId="20" fillId="4" borderId="44" xfId="0" applyFont="1" applyFill="1" applyBorder="1" applyAlignment="1">
      <alignment horizontal="center" vertical="center" wrapText="1"/>
    </xf>
    <xf numFmtId="39" fontId="20" fillId="4" borderId="48" xfId="0" applyNumberFormat="1" applyFont="1" applyFill="1" applyBorder="1" applyAlignment="1">
      <alignment horizontal="center" vertical="center"/>
    </xf>
    <xf numFmtId="39" fontId="20" fillId="4" borderId="44" xfId="0" applyNumberFormat="1" applyFont="1" applyFill="1" applyBorder="1" applyAlignment="1">
      <alignment horizontal="center" vertical="center"/>
    </xf>
    <xf numFmtId="3" fontId="34" fillId="4" borderId="0" xfId="0" applyNumberFormat="1" applyFont="1" applyFill="1" applyAlignment="1">
      <alignment vertical="center"/>
    </xf>
    <xf numFmtId="37" fontId="12" fillId="4" borderId="0" xfId="12" applyNumberFormat="1" applyFont="1" applyFill="1" applyAlignment="1">
      <alignment horizontal="center" vertical="center"/>
    </xf>
    <xf numFmtId="37" fontId="12" fillId="4" borderId="3" xfId="12" applyNumberFormat="1" applyFont="1" applyFill="1" applyBorder="1" applyAlignment="1">
      <alignment horizontal="center" vertical="center"/>
    </xf>
    <xf numFmtId="0" fontId="12" fillId="4" borderId="9" xfId="0" applyFont="1" applyFill="1" applyBorder="1" applyAlignment="1">
      <alignment vertical="center"/>
    </xf>
    <xf numFmtId="0" fontId="12" fillId="4" borderId="11" xfId="0" applyFont="1" applyFill="1" applyBorder="1" applyAlignment="1">
      <alignment vertical="center"/>
    </xf>
    <xf numFmtId="0" fontId="2" fillId="4" borderId="9" xfId="0" applyFont="1" applyFill="1" applyBorder="1" applyAlignment="1">
      <alignment horizontal="right" vertical="center"/>
    </xf>
    <xf numFmtId="37" fontId="48" fillId="3" borderId="0" xfId="12" applyNumberFormat="1" applyFont="1" applyFill="1" applyAlignment="1">
      <alignment horizontal="center" vertical="center"/>
    </xf>
    <xf numFmtId="3" fontId="20" fillId="4" borderId="0" xfId="0" applyNumberFormat="1" applyFont="1" applyFill="1" applyAlignment="1">
      <alignment horizontal="center" vertical="center"/>
    </xf>
    <xf numFmtId="3" fontId="12" fillId="4" borderId="0" xfId="0" applyNumberFormat="1" applyFont="1" applyFill="1" applyAlignment="1">
      <alignment horizontal="center" vertical="center"/>
    </xf>
    <xf numFmtId="3" fontId="48" fillId="3" borderId="6" xfId="0" applyNumberFormat="1" applyFont="1" applyFill="1" applyBorder="1" applyAlignment="1">
      <alignment horizontal="center" vertical="center"/>
    </xf>
    <xf numFmtId="3" fontId="48" fillId="3" borderId="0" xfId="0" applyNumberFormat="1" applyFont="1" applyFill="1" applyBorder="1" applyAlignment="1">
      <alignment horizontal="center" vertical="center"/>
    </xf>
    <xf numFmtId="3" fontId="19" fillId="0" borderId="0" xfId="0" applyNumberFormat="1" applyFont="1" applyAlignment="1">
      <alignment vertical="center"/>
    </xf>
    <xf numFmtId="178" fontId="12" fillId="0" borderId="3" xfId="0" applyNumberFormat="1" applyFont="1" applyBorder="1" applyAlignment="1">
      <alignment vertical="center"/>
    </xf>
    <xf numFmtId="39" fontId="20" fillId="0" borderId="33" xfId="0" applyNumberFormat="1" applyFont="1" applyFill="1" applyBorder="1" applyAlignment="1">
      <alignment horizontal="center" vertical="center"/>
    </xf>
    <xf numFmtId="3" fontId="1" fillId="0" borderId="0" xfId="0" applyNumberFormat="1" applyFont="1" applyAlignment="1">
      <alignment horizontal="center" vertical="center" wrapText="1"/>
    </xf>
    <xf numFmtId="3" fontId="19" fillId="13" borderId="6" xfId="0" applyNumberFormat="1" applyFont="1" applyFill="1" applyBorder="1" applyAlignment="1">
      <alignment horizontal="center" vertical="center"/>
    </xf>
    <xf numFmtId="3" fontId="19" fillId="13" borderId="0" xfId="0" applyNumberFormat="1" applyFont="1" applyFill="1" applyAlignment="1">
      <alignment horizontal="center" vertical="center"/>
    </xf>
    <xf numFmtId="3" fontId="19" fillId="14" borderId="0" xfId="0" applyNumberFormat="1" applyFont="1" applyFill="1" applyAlignment="1">
      <alignment horizontal="center" vertical="center"/>
    </xf>
    <xf numFmtId="3" fontId="19" fillId="14" borderId="3" xfId="0" applyNumberFormat="1" applyFont="1" applyFill="1" applyBorder="1" applyAlignment="1">
      <alignment horizontal="center" vertical="center"/>
    </xf>
    <xf numFmtId="0" fontId="71" fillId="0" borderId="0" xfId="0" applyFont="1" applyFill="1" applyAlignment="1">
      <alignment horizontal="left" vertical="center"/>
    </xf>
    <xf numFmtId="0" fontId="71" fillId="0" borderId="0" xfId="0" applyFont="1" applyAlignment="1">
      <alignment horizontal="left" vertical="center"/>
    </xf>
    <xf numFmtId="1" fontId="0" fillId="0" borderId="0" xfId="0" applyNumberFormat="1" applyFill="1" applyBorder="1" applyAlignment="1"/>
    <xf numFmtId="1" fontId="0" fillId="0" borderId="1" xfId="0" applyNumberFormat="1" applyFill="1" applyBorder="1" applyAlignment="1"/>
    <xf numFmtId="0" fontId="42" fillId="0" borderId="0" xfId="0" applyFont="1" applyAlignment="1">
      <alignment vertical="center"/>
    </xf>
    <xf numFmtId="0" fontId="37" fillId="4" borderId="0" xfId="0" applyFont="1" applyFill="1" applyAlignment="1">
      <alignment vertical="center"/>
    </xf>
    <xf numFmtId="38" fontId="37" fillId="4" borderId="59" xfId="0" applyNumberFormat="1" applyFont="1" applyFill="1" applyBorder="1" applyAlignment="1">
      <alignment horizontal="center" vertical="center" wrapText="1"/>
    </xf>
    <xf numFmtId="38" fontId="37" fillId="4" borderId="60" xfId="0" applyNumberFormat="1" applyFont="1" applyFill="1" applyBorder="1" applyAlignment="1">
      <alignment horizontal="center" vertical="center" wrapText="1"/>
    </xf>
    <xf numFmtId="38" fontId="37" fillId="4" borderId="13" xfId="0" applyNumberFormat="1" applyFont="1" applyFill="1" applyBorder="1" applyAlignment="1">
      <alignment horizontal="center" vertical="center" wrapText="1"/>
    </xf>
    <xf numFmtId="38" fontId="37" fillId="4" borderId="14" xfId="0" applyNumberFormat="1" applyFont="1" applyFill="1" applyBorder="1" applyAlignment="1">
      <alignment horizontal="center" vertical="center" wrapText="1"/>
    </xf>
    <xf numFmtId="38" fontId="37" fillId="4" borderId="61" xfId="0" applyNumberFormat="1" applyFont="1" applyFill="1" applyBorder="1" applyAlignment="1">
      <alignment horizontal="center" vertical="center" wrapText="1"/>
    </xf>
    <xf numFmtId="38" fontId="37" fillId="4" borderId="62" xfId="0" applyNumberFormat="1" applyFont="1" applyFill="1" applyBorder="1" applyAlignment="1">
      <alignment horizontal="center" vertical="center" wrapText="1"/>
    </xf>
    <xf numFmtId="3" fontId="39" fillId="4" borderId="56" xfId="0" applyNumberFormat="1" applyFont="1" applyFill="1" applyBorder="1" applyAlignment="1">
      <alignment horizontal="center" vertical="center" wrapText="1"/>
    </xf>
    <xf numFmtId="3" fontId="39" fillId="4" borderId="58" xfId="0" applyNumberFormat="1" applyFont="1" applyFill="1" applyBorder="1" applyAlignment="1">
      <alignment horizontal="center" vertical="center" wrapText="1"/>
    </xf>
    <xf numFmtId="3" fontId="39" fillId="4" borderId="57" xfId="0" applyNumberFormat="1" applyFont="1" applyFill="1" applyBorder="1" applyAlignment="1">
      <alignment horizontal="center" vertical="center" wrapText="1"/>
    </xf>
    <xf numFmtId="0" fontId="43" fillId="3" borderId="0" xfId="0" applyFont="1" applyFill="1" applyAlignment="1">
      <alignment horizontal="left" vertical="center"/>
    </xf>
    <xf numFmtId="0" fontId="68" fillId="4" borderId="8" xfId="0" applyFont="1" applyFill="1" applyBorder="1" applyAlignment="1">
      <alignment horizontal="center" vertical="center"/>
    </xf>
    <xf numFmtId="0" fontId="68" fillId="4" borderId="9" xfId="0" applyFont="1" applyFill="1" applyBorder="1" applyAlignment="1">
      <alignment horizontal="center" vertical="center"/>
    </xf>
    <xf numFmtId="0" fontId="0" fillId="0" borderId="0" xfId="0" applyAlignment="1">
      <alignment horizontal="center" vertical="center"/>
    </xf>
    <xf numFmtId="0" fontId="20" fillId="3" borderId="0" xfId="0" applyFont="1" applyFill="1" applyAlignment="1">
      <alignment horizontal="center" vertical="center"/>
    </xf>
    <xf numFmtId="0" fontId="20" fillId="14" borderId="0" xfId="0" applyFont="1" applyFill="1" applyAlignment="1">
      <alignment horizontal="center" vertical="center"/>
    </xf>
    <xf numFmtId="0" fontId="20" fillId="4" borderId="5"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17" xfId="0" applyFont="1" applyFill="1" applyBorder="1" applyAlignment="1">
      <alignment horizontal="center" vertical="center"/>
    </xf>
    <xf numFmtId="0" fontId="20" fillId="4" borderId="19" xfId="0" applyFont="1" applyFill="1" applyBorder="1" applyAlignment="1">
      <alignment horizontal="center" vertical="center"/>
    </xf>
    <xf numFmtId="0" fontId="46" fillId="0" borderId="0" xfId="14" applyFont="1" applyFill="1" applyBorder="1" applyAlignment="1" applyProtection="1">
      <alignment horizontal="left" vertical="center" wrapText="1"/>
      <protection locked="0"/>
    </xf>
    <xf numFmtId="0" fontId="48" fillId="0" borderId="0" xfId="14" applyFont="1" applyFill="1" applyBorder="1" applyAlignment="1" applyProtection="1">
      <alignment horizontal="left" vertical="center" wrapText="1"/>
      <protection locked="0"/>
    </xf>
    <xf numFmtId="0" fontId="59" fillId="0" borderId="0" xfId="14" applyFont="1" applyFill="1" applyBorder="1" applyAlignment="1" applyProtection="1">
      <alignment horizontal="left" vertical="center" wrapText="1"/>
      <protection locked="0"/>
    </xf>
    <xf numFmtId="0" fontId="55" fillId="0" borderId="0" xfId="14" applyFont="1" applyFill="1" applyBorder="1" applyAlignment="1" applyProtection="1">
      <alignment horizontal="center" vertical="center"/>
      <protection locked="0"/>
    </xf>
    <xf numFmtId="0" fontId="47" fillId="0" borderId="0" xfId="14" applyFont="1" applyFill="1" applyBorder="1" applyAlignment="1" applyProtection="1">
      <alignment horizontal="left" vertical="center" wrapText="1"/>
      <protection locked="0"/>
    </xf>
    <xf numFmtId="0" fontId="56" fillId="0" borderId="0" xfId="14" applyFont="1" applyFill="1" applyBorder="1" applyAlignment="1" applyProtection="1">
      <alignment horizontal="left" vertical="center" wrapText="1"/>
      <protection locked="0"/>
    </xf>
    <xf numFmtId="0" fontId="50" fillId="8" borderId="17" xfId="14" applyFont="1" applyFill="1" applyBorder="1" applyAlignment="1" applyProtection="1">
      <alignment horizontal="center" vertical="center"/>
      <protection locked="0"/>
    </xf>
    <xf numFmtId="0" fontId="50" fillId="8" borderId="18" xfId="14" applyFont="1" applyFill="1" applyBorder="1" applyAlignment="1" applyProtection="1">
      <alignment horizontal="center" vertical="center"/>
      <protection locked="0"/>
    </xf>
    <xf numFmtId="0" fontId="50" fillId="8" borderId="19" xfId="14" applyFont="1" applyFill="1" applyBorder="1" applyAlignment="1" applyProtection="1">
      <alignment horizontal="center" vertical="center"/>
      <protection locked="0"/>
    </xf>
    <xf numFmtId="0" fontId="50" fillId="8" borderId="20" xfId="14" applyFont="1" applyFill="1" applyBorder="1" applyAlignment="1" applyProtection="1">
      <alignment horizontal="left" vertical="center"/>
      <protection locked="0"/>
    </xf>
    <xf numFmtId="0" fontId="50" fillId="8" borderId="0" xfId="14" applyFont="1" applyFill="1" applyBorder="1" applyAlignment="1" applyProtection="1">
      <alignment horizontal="left" vertical="center"/>
      <protection locked="0"/>
    </xf>
    <xf numFmtId="0" fontId="47" fillId="8" borderId="36" xfId="14" applyFont="1" applyFill="1" applyBorder="1" applyAlignment="1" applyProtection="1">
      <alignment vertical="center" wrapText="1"/>
      <protection locked="0"/>
    </xf>
    <xf numFmtId="0" fontId="46" fillId="8" borderId="3" xfId="14" applyFont="1" applyFill="1" applyBorder="1" applyAlignment="1" applyProtection="1">
      <alignment vertical="center" wrapText="1"/>
      <protection locked="0"/>
    </xf>
    <xf numFmtId="0" fontId="52" fillId="0" borderId="33" xfId="14" applyFont="1" applyFill="1" applyBorder="1" applyAlignment="1" applyProtection="1">
      <alignment vertical="center" wrapText="1"/>
      <protection locked="0"/>
    </xf>
    <xf numFmtId="0" fontId="52" fillId="0" borderId="1" xfId="14" applyFont="1" applyFill="1" applyBorder="1" applyAlignment="1" applyProtection="1">
      <alignment vertical="center" wrapText="1"/>
      <protection locked="0"/>
    </xf>
    <xf numFmtId="0" fontId="52" fillId="0" borderId="0" xfId="14" applyFont="1" applyFill="1" applyBorder="1" applyAlignment="1" applyProtection="1">
      <alignment horizontal="center" vertical="center" wrapText="1"/>
      <protection locked="0"/>
    </xf>
    <xf numFmtId="0" fontId="55" fillId="0" borderId="0" xfId="14" applyFont="1" applyFill="1" applyBorder="1" applyAlignment="1" applyProtection="1">
      <alignment horizontal="center" vertical="center" wrapText="1"/>
      <protection locked="0"/>
    </xf>
    <xf numFmtId="0" fontId="44" fillId="0" borderId="0" xfId="3" applyFont="1" applyFill="1" applyBorder="1" applyAlignment="1" applyProtection="1">
      <alignment horizontal="center" vertical="center"/>
      <protection locked="0"/>
    </xf>
    <xf numFmtId="0" fontId="49" fillId="0" borderId="0" xfId="14" applyFont="1" applyFill="1" applyBorder="1" applyAlignment="1" applyProtection="1">
      <alignment horizontal="center" vertical="center"/>
      <protection locked="0"/>
    </xf>
    <xf numFmtId="0" fontId="51" fillId="6" borderId="17" xfId="14" applyFont="1" applyFill="1" applyBorder="1" applyAlignment="1" applyProtection="1">
      <alignment horizontal="center" vertical="center"/>
      <protection locked="0"/>
    </xf>
    <xf numFmtId="0" fontId="51" fillId="6" borderId="18" xfId="14" applyFont="1" applyFill="1" applyBorder="1" applyAlignment="1" applyProtection="1">
      <alignment horizontal="center" vertical="center"/>
      <protection locked="0"/>
    </xf>
    <xf numFmtId="0" fontId="51" fillId="6" borderId="19" xfId="14" applyFont="1" applyFill="1" applyBorder="1" applyAlignment="1" applyProtection="1">
      <alignment horizontal="center" vertical="center"/>
      <protection locked="0"/>
    </xf>
    <xf numFmtId="172" fontId="48" fillId="7" borderId="20" xfId="15" applyNumberFormat="1" applyFont="1" applyFill="1" applyBorder="1" applyAlignment="1" applyProtection="1">
      <alignment horizontal="center" vertical="center"/>
      <protection locked="0"/>
    </xf>
    <xf numFmtId="172" fontId="48" fillId="7" borderId="0" xfId="15" applyNumberFormat="1" applyFont="1" applyFill="1" applyBorder="1" applyAlignment="1" applyProtection="1">
      <alignment horizontal="center" vertical="center"/>
      <protection locked="0"/>
    </xf>
    <xf numFmtId="172" fontId="48" fillId="7" borderId="21" xfId="15" applyNumberFormat="1" applyFont="1" applyFill="1" applyBorder="1" applyAlignment="1" applyProtection="1">
      <alignment horizontal="center" vertical="center"/>
      <protection locked="0"/>
    </xf>
    <xf numFmtId="0" fontId="50" fillId="8" borderId="20" xfId="14" applyFont="1" applyFill="1" applyBorder="1" applyAlignment="1" applyProtection="1">
      <alignment horizontal="center" vertical="center"/>
      <protection locked="0"/>
    </xf>
    <xf numFmtId="0" fontId="50" fillId="8" borderId="0" xfId="14" applyFont="1" applyFill="1" applyBorder="1" applyAlignment="1" applyProtection="1">
      <alignment horizontal="center" vertical="center"/>
      <protection locked="0"/>
    </xf>
    <xf numFmtId="0" fontId="50" fillId="8" borderId="21" xfId="14" applyFont="1" applyFill="1" applyBorder="1" applyAlignment="1" applyProtection="1">
      <alignment horizontal="center" vertical="center"/>
      <protection locked="0"/>
    </xf>
    <xf numFmtId="0" fontId="50" fillId="8" borderId="30" xfId="14" applyFont="1" applyFill="1" applyBorder="1" applyAlignment="1" applyProtection="1">
      <alignment horizontal="center" vertical="center"/>
      <protection locked="0"/>
    </xf>
    <xf numFmtId="0" fontId="50" fillId="8" borderId="31" xfId="14" applyFont="1" applyFill="1" applyBorder="1" applyAlignment="1" applyProtection="1">
      <alignment horizontal="center" vertical="center"/>
      <protection locked="0"/>
    </xf>
    <xf numFmtId="0" fontId="50" fillId="8" borderId="32" xfId="14" applyFont="1" applyFill="1" applyBorder="1" applyAlignment="1" applyProtection="1">
      <alignment horizontal="center" vertical="center"/>
      <protection locked="0"/>
    </xf>
    <xf numFmtId="0" fontId="46" fillId="0" borderId="18" xfId="14" applyFont="1" applyFill="1" applyBorder="1" applyAlignment="1" applyProtection="1">
      <alignment horizontal="center" vertical="center" wrapText="1"/>
      <protection locked="0"/>
    </xf>
    <xf numFmtId="0" fontId="46" fillId="0" borderId="0" xfId="14" applyFont="1" applyFill="1" applyBorder="1" applyAlignment="1" applyProtection="1">
      <alignment horizontal="center" vertical="center" wrapText="1"/>
      <protection locked="0"/>
    </xf>
  </cellXfs>
  <cellStyles count="24">
    <cellStyle name="Comma" xfId="12" builtinId="3"/>
    <cellStyle name="Comma 2" xfId="2"/>
    <cellStyle name="Comma 3" xfId="18"/>
    <cellStyle name="Comma 3 2 2" xfId="15"/>
    <cellStyle name="Comma 7" xfId="23"/>
    <cellStyle name="Currency 2" xfId="19"/>
    <cellStyle name="Hyperlink" xfId="7" builtinId="8"/>
    <cellStyle name="Hyperlink 2 2" xfId="11"/>
    <cellStyle name="Hyperlink 4" xfId="9"/>
    <cellStyle name="Normal" xfId="0" builtinId="0"/>
    <cellStyle name="Normal 10 2" xfId="13"/>
    <cellStyle name="Normal 18" xfId="10"/>
    <cellStyle name="Normal 2" xfId="3"/>
    <cellStyle name="Normal 3" xfId="20"/>
    <cellStyle name="Normal 48" xfId="5"/>
    <cellStyle name="Normal 5 2 2" xfId="14"/>
    <cellStyle name="Normal 51" xfId="6"/>
    <cellStyle name="Normal 55" xfId="8"/>
    <cellStyle name="Normal 58" xfId="4"/>
    <cellStyle name="Normal 98" xfId="22"/>
    <cellStyle name="Percent" xfId="1" builtinId="5"/>
    <cellStyle name="Percent 2" xfId="17"/>
    <cellStyle name="Percent 2 2 10 2" xfId="21"/>
    <cellStyle name="Percent 3 2 2" xfId="16"/>
  </cellStyles>
  <dxfs count="2">
    <dxf>
      <font>
        <color auto="1"/>
      </font>
      <fill>
        <patternFill>
          <bgColor rgb="FFFF0000"/>
        </patternFill>
      </fill>
    </dxf>
    <dxf>
      <font>
        <color rgb="FF000000"/>
      </font>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317500</xdr:colOff>
      <xdr:row>121</xdr:row>
      <xdr:rowOff>25400</xdr:rowOff>
    </xdr:from>
    <xdr:to>
      <xdr:col>22</xdr:col>
      <xdr:colOff>146049</xdr:colOff>
      <xdr:row>145</xdr:row>
      <xdr:rowOff>0</xdr:rowOff>
    </xdr:to>
    <xdr:grpSp>
      <xdr:nvGrpSpPr>
        <xdr:cNvPr id="2" name="Group 1"/>
        <xdr:cNvGrpSpPr/>
      </xdr:nvGrpSpPr>
      <xdr:grpSpPr>
        <a:xfrm flipH="1">
          <a:off x="15989300" y="22860000"/>
          <a:ext cx="1593849" cy="4394200"/>
          <a:chOff x="149532" y="20538281"/>
          <a:chExt cx="1088719" cy="1964532"/>
        </a:xfrm>
      </xdr:grpSpPr>
      <xdr:sp macro="" textlink="">
        <xdr:nvSpPr>
          <xdr:cNvPr id="3" name="Left Brace 2"/>
          <xdr:cNvSpPr/>
        </xdr:nvSpPr>
        <xdr:spPr>
          <a:xfrm>
            <a:off x="964407" y="20538281"/>
            <a:ext cx="273844" cy="1964532"/>
          </a:xfrm>
          <a:prstGeom prst="leftBrace">
            <a:avLst/>
          </a:prstGeom>
          <a:ln w="317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4" name="Rectangle 3"/>
          <xdr:cNvSpPr/>
        </xdr:nvSpPr>
        <xdr:spPr>
          <a:xfrm>
            <a:off x="149532" y="21300281"/>
            <a:ext cx="838690" cy="7057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Bridge</a:t>
            </a:r>
            <a:r>
              <a:rPr lang="en-US" sz="1100" baseline="0"/>
              <a:t> &amp; Test Year Forecast - see method used in row 147</a:t>
            </a:r>
            <a:endParaRPr lang="en-US"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Calhoun\Local%20Settings\Temporary%20Internet%20Files\Content.Outlook\EIW673TU\Documents%20and%20Settings\dferraro\Local%20Settings\Temporary%20Internet%20Files\OLKB\Dummy%20Fil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OEB/OEB%20Rate%20Applications/2016%20CoS%20Rate%20Application_Working%20File/20%20Settlement%20Conference/Models/Load%20Forecast%20Variables/WNP_CHEC_Load%20Forecast_Wholesale_201411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Orillia%20Power%20Load%20Forecast%20Data\OPDC%20Load%20Forecast_Wholesale%20-%20Load%20Displacement%20-%20WMP%20-%20Adjustment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OEB/OEB%20Rate%20Applications/2016%20CoS%20Rate%20Application_Working%20File/6_OEB%20Models/2015_Filing_Requirements_Chapter2_Appendic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ustomer Classes"/>
      <sheetName val="3. Consumption by Rate Class"/>
      <sheetName val="4. Customer Growth"/>
      <sheetName val="5.Variables"/>
      <sheetName val="6. WS Regression Analysis"/>
      <sheetName val="6.1 Regression Scenarios"/>
      <sheetName val="7. Weather Senstive Class"/>
      <sheetName val="8. KW and Non-Weather Sensitive"/>
      <sheetName val="9. Weather Adj LF"/>
      <sheetName val="10. CDM Adjustment"/>
      <sheetName val="10.1 CDM Allocation"/>
      <sheetName val="11. Final Load Forecast"/>
      <sheetName val="12. Analysis_ Avg Per Cust"/>
      <sheetName val="13. Analysis_Weather adj LF"/>
    </sheetNames>
    <sheetDataSet>
      <sheetData sheetId="0"/>
      <sheetData sheetId="1"/>
      <sheetData sheetId="2"/>
      <sheetData sheetId="3"/>
      <sheetData sheetId="4">
        <row r="16">
          <cell r="B16" t="str">
            <v>HDD</v>
          </cell>
        </row>
        <row r="118">
          <cell r="B118" t="str">
            <v>Employment</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ustomer Classes"/>
      <sheetName val="3. Consumption by Rate Class"/>
      <sheetName val="4. Customer Growth"/>
      <sheetName val="5.Variables"/>
      <sheetName val="6. WS Regression Analysis"/>
      <sheetName val="6.1 Regression Scenarios"/>
      <sheetName val="7. Weather Sensitive Class"/>
      <sheetName val="8. KW and Non-Weather Sensitive"/>
      <sheetName val="9. Weather Adj LF"/>
      <sheetName val="10. App.2-I LF_CDM_WF"/>
      <sheetName val="10.1 CDM Allocation"/>
      <sheetName val="11. Final Load Forecast"/>
      <sheetName val="12. Analysis_ Avg Per Cust"/>
      <sheetName val="13. Analysis_Weather adj LF"/>
    </sheetNames>
    <sheetDataSet>
      <sheetData sheetId="0"/>
      <sheetData sheetId="1"/>
      <sheetData sheetId="2"/>
      <sheetData sheetId="3"/>
      <sheetData sheetId="4">
        <row r="10">
          <cell r="B10" t="str">
            <v>HDD</v>
          </cell>
        </row>
        <row r="33">
          <cell r="B33" t="str">
            <v>CDD</v>
          </cell>
        </row>
        <row r="56">
          <cell r="B56" t="str">
            <v>Days in Month</v>
          </cell>
        </row>
        <row r="84">
          <cell r="B84" t="str">
            <v>Customer Count</v>
          </cell>
        </row>
        <row r="98">
          <cell r="B98" t="str">
            <v>GDP</v>
          </cell>
        </row>
        <row r="114">
          <cell r="B114" t="str">
            <v>HDD</v>
          </cell>
        </row>
        <row r="115">
          <cell r="B115" t="str">
            <v>CDD</v>
          </cell>
        </row>
        <row r="116">
          <cell r="B116" t="str">
            <v>Days in Month</v>
          </cell>
        </row>
        <row r="117">
          <cell r="B117" t="str">
            <v>CDM Variable</v>
          </cell>
        </row>
        <row r="118">
          <cell r="B118" t="str">
            <v>Spring Fall Flag</v>
          </cell>
        </row>
        <row r="119">
          <cell r="B119" t="str">
            <v>Customer Count</v>
          </cell>
        </row>
        <row r="120">
          <cell r="B120" t="str">
            <v>GDP</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v>0</v>
          </cell>
        </row>
        <row r="24">
          <cell r="E24">
            <v>0</v>
          </cell>
        </row>
        <row r="26">
          <cell r="E26" t="str">
            <v/>
          </cell>
        </row>
        <row r="28">
          <cell r="E28">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cell r="L7">
            <v>0</v>
          </cell>
          <cell r="Z7">
            <v>0</v>
          </cell>
          <cell r="AA7">
            <v>0</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cell r="L13">
            <v>0</v>
          </cell>
          <cell r="Z13">
            <v>0</v>
          </cell>
          <cell r="AA13">
            <v>0</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5"/>
      <sheetData sheetId="56"/>
      <sheetData sheetId="5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can01.safelinks.protection.outlook.com/?url=https%3A%2F%2Fwww.timeanddate.com%2Fsun%2Fcanada%2Ftoronto&amp;data=02%7C01%7Crbucknall%40wellingtonnorthpower.com%7C86d34d9cecf84cd33b0208d7ab235d6b%7C1c3b7af9af4a4afab67951076ddca6a8%7C0%7C0%7C637166040695427811&amp;sdata=3bWtQV3vM6Atzl%2BSE5wgdb2wLEzYYxBV8q%2F5dDDqktc%3D&amp;reserved=0" TargetMode="Externa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hyperlink" Target="file:///C:\Users\rbucknall\AppData\Roaming\Microsoft\Excel\Sensitive%20Customers\Usage%20for%20Sensitive%20Customers.xlsx" TargetMode="External"/><Relationship Id="rId2" Type="http://schemas.openxmlformats.org/officeDocument/2006/relationships/hyperlink" Target="https://www150.statcan.gc.ca/t1/tbl1/en/cv.action?pid=1410029302" TargetMode="External"/><Relationship Id="rId1" Type="http://schemas.openxmlformats.org/officeDocument/2006/relationships/hyperlink" Target="https://www150.statcan.gc.ca/t1/tbl1/en/cv.action?pid=1810000401" TargetMode="External"/><Relationship Id="rId6" Type="http://schemas.openxmlformats.org/officeDocument/2006/relationships/hyperlink" Target="https://climate.weather.gc.ca/climate_data/daily_data_e.html?hlyRange=1994-02-01%7C2019-09-05&amp;dlyRange=1992-12-02%7C2019-09-05&amp;mlyRange=2003-10-01%7C2006-12-01&amp;StationID=7844&amp;Prov=ON&amp;urlExtension=_e.html&amp;searchType=stnName&amp;optLimit=yearRange&amp;StartYear=1998&amp;EndYear=2018&amp;selRowPerPage=25&amp;Line=0&amp;searchMethod=contains&amp;Month=9&amp;Day=5&amp;txtStationName=MOUNT+FOREST+%28AUT%29&amp;timeframe=2&amp;Year=2019" TargetMode="External"/><Relationship Id="rId5" Type="http://schemas.openxmlformats.org/officeDocument/2006/relationships/hyperlink" Target="https://www150.statcan.gc.ca/t1/tbl1/en/cv.action?pid=1810000401" TargetMode="External"/><Relationship Id="rId4" Type="http://schemas.openxmlformats.org/officeDocument/2006/relationships/hyperlink" Target="file:///C:\Users\rbucknall\AppData\Roaming\Microsoft\Excel\CDM\WNP%202006-2018%20CDM%20kWh%20Savings%20Summary.xlsx"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O43"/>
  <sheetViews>
    <sheetView tabSelected="1" zoomScale="90" zoomScaleNormal="90" workbookViewId="0">
      <pane ySplit="2" topLeftCell="A3" activePane="bottomLeft" state="frozen"/>
      <selection pane="bottomLeft" activeCell="A2" sqref="A2"/>
    </sheetView>
  </sheetViews>
  <sheetFormatPr defaultColWidth="8.6640625" defaultRowHeight="15.5"/>
  <cols>
    <col min="1" max="1" width="28.4140625" style="112" customWidth="1"/>
    <col min="2" max="2" width="10.6640625" style="137" customWidth="1"/>
    <col min="3" max="3" width="10.9140625" style="131" bestFit="1" customWidth="1"/>
    <col min="4" max="11" width="10.9140625" style="112" bestFit="1" customWidth="1"/>
    <col min="12" max="12" width="16.1640625" style="131" customWidth="1"/>
    <col min="13" max="13" width="14.9140625" style="142" customWidth="1"/>
    <col min="14" max="14" width="14.9140625" style="112" customWidth="1"/>
    <col min="15" max="15" width="12" style="112" bestFit="1" customWidth="1"/>
    <col min="16" max="16384" width="8.6640625" style="112"/>
  </cols>
  <sheetData>
    <row r="1" spans="1:15" ht="18.5">
      <c r="A1" s="113" t="s">
        <v>120</v>
      </c>
    </row>
    <row r="2" spans="1:15" ht="31">
      <c r="B2" s="138"/>
      <c r="C2" s="132" t="s">
        <v>128</v>
      </c>
      <c r="D2" s="122" t="s">
        <v>129</v>
      </c>
      <c r="E2" s="122" t="s">
        <v>130</v>
      </c>
      <c r="F2" s="122" t="s">
        <v>131</v>
      </c>
      <c r="G2" s="122" t="s">
        <v>132</v>
      </c>
      <c r="H2" s="122" t="s">
        <v>133</v>
      </c>
      <c r="I2" s="122" t="s">
        <v>134</v>
      </c>
      <c r="J2" s="122" t="s">
        <v>135</v>
      </c>
      <c r="K2" s="122" t="s">
        <v>136</v>
      </c>
      <c r="L2" s="139" t="s">
        <v>137</v>
      </c>
      <c r="M2" s="123" t="s">
        <v>144</v>
      </c>
      <c r="N2" s="123" t="s">
        <v>163</v>
      </c>
    </row>
    <row r="3" spans="1:15">
      <c r="B3" s="129" t="s">
        <v>296</v>
      </c>
      <c r="C3" s="133">
        <f>'2. Power Purchased Model '!W31</f>
        <v>102608246.15384616</v>
      </c>
      <c r="D3" s="124">
        <f>'2. Power Purchased Model '!W32</f>
        <v>105492261.53846154</v>
      </c>
      <c r="E3" s="124">
        <f>'2. Power Purchased Model '!W33</f>
        <v>108285745.45454547</v>
      </c>
      <c r="F3" s="124">
        <f>'2. Power Purchased Model '!W34</f>
        <v>110963046.82000002</v>
      </c>
      <c r="G3" s="124">
        <f>'2. Power Purchased Model '!W35</f>
        <v>112203044.71589744</v>
      </c>
      <c r="H3" s="124">
        <f>'2. Power Purchased Model '!W36</f>
        <v>112178418.50384614</v>
      </c>
      <c r="I3" s="124">
        <f>'2. Power Purchased Model '!W37</f>
        <v>109112022.43230771</v>
      </c>
      <c r="J3" s="124">
        <f>'2. Power Purchased Model '!W38</f>
        <v>107122742.0052381</v>
      </c>
      <c r="K3" s="124">
        <f>'2. Power Purchased Model '!W39</f>
        <v>106666687.58000003</v>
      </c>
      <c r="L3" s="140">
        <f>'2. Power Purchased Model '!W40</f>
        <v>104914586.14000002</v>
      </c>
      <c r="M3" s="112"/>
    </row>
    <row r="4" spans="1:15" s="346" customFormat="1" ht="13"/>
    <row r="5" spans="1:15">
      <c r="B5" s="129" t="s">
        <v>297</v>
      </c>
      <c r="C5" s="133">
        <f>'2. Power Purchased Model '!Y31</f>
        <v>102190501.117531</v>
      </c>
      <c r="D5" s="124">
        <f>'2. Power Purchased Model '!Y32</f>
        <v>105682945.46662551</v>
      </c>
      <c r="E5" s="124">
        <f>'2. Power Purchased Model '!Y33</f>
        <v>108058467.87176648</v>
      </c>
      <c r="F5" s="124">
        <f>'2. Power Purchased Model '!Y34</f>
        <v>111218768.0377281</v>
      </c>
      <c r="G5" s="124">
        <f>'2. Power Purchased Model '!Y35</f>
        <v>112396107.01670578</v>
      </c>
      <c r="H5" s="124">
        <f>'2. Power Purchased Model '!Y36</f>
        <v>112114282.25233763</v>
      </c>
      <c r="I5" s="124">
        <f>'2. Power Purchased Model '!Y37</f>
        <v>108957567.81613356</v>
      </c>
      <c r="J5" s="124">
        <f>'2. Power Purchased Model '!Y38</f>
        <v>107346017.52800176</v>
      </c>
      <c r="K5" s="124">
        <f>'2. Power Purchased Model '!Y39</f>
        <v>106698164.90676312</v>
      </c>
      <c r="L5" s="140">
        <f>'2. Power Purchased Model '!Y40</f>
        <v>104883979.3305499</v>
      </c>
      <c r="M5" s="125">
        <f>'2. Power Purchased Model '!Y46</f>
        <v>104616124.90280947</v>
      </c>
      <c r="N5" s="125">
        <f>'2. Power Purchased Model '!Y47</f>
        <v>104523797.38544616</v>
      </c>
    </row>
    <row r="6" spans="1:15">
      <c r="B6" s="130" t="s">
        <v>121</v>
      </c>
      <c r="C6" s="134">
        <f t="shared" ref="C6:L6" si="0">(C5-C3)/C3</f>
        <v>-4.0712618329798757E-3</v>
      </c>
      <c r="D6" s="126">
        <f t="shared" si="0"/>
        <v>1.8075631840962459E-3</v>
      </c>
      <c r="E6" s="126">
        <f t="shared" si="0"/>
        <v>-2.0988688938230874E-3</v>
      </c>
      <c r="F6" s="126">
        <f t="shared" si="0"/>
        <v>2.3045619695618081E-3</v>
      </c>
      <c r="G6" s="126">
        <f t="shared" si="0"/>
        <v>1.7206511757072343E-3</v>
      </c>
      <c r="H6" s="127">
        <f t="shared" si="0"/>
        <v>-5.7173431720563238E-4</v>
      </c>
      <c r="I6" s="127">
        <f t="shared" si="0"/>
        <v>-1.4155600155791176E-3</v>
      </c>
      <c r="J6" s="127">
        <f t="shared" si="0"/>
        <v>2.0842961875708601E-3</v>
      </c>
      <c r="K6" s="126">
        <f t="shared" si="0"/>
        <v>2.9509988054598091E-4</v>
      </c>
      <c r="L6" s="141">
        <f t="shared" si="0"/>
        <v>-2.9173073617501979E-4</v>
      </c>
      <c r="M6" s="128"/>
      <c r="N6" s="128"/>
    </row>
    <row r="7" spans="1:15">
      <c r="C7" s="135"/>
      <c r="D7" s="135"/>
      <c r="E7" s="135"/>
      <c r="F7" s="135"/>
      <c r="G7" s="135"/>
      <c r="H7" s="343"/>
      <c r="I7" s="343"/>
      <c r="J7" s="343"/>
      <c r="K7" s="135"/>
      <c r="L7" s="366" t="s">
        <v>276</v>
      </c>
      <c r="M7" s="475" t="s">
        <v>302</v>
      </c>
      <c r="N7" s="476"/>
    </row>
    <row r="8" spans="1:15">
      <c r="C8" s="135"/>
      <c r="D8" s="135"/>
      <c r="E8" s="135"/>
      <c r="F8" s="135"/>
      <c r="G8" s="135"/>
      <c r="H8" s="343"/>
      <c r="I8" s="343"/>
      <c r="J8" s="343"/>
      <c r="K8" s="135"/>
      <c r="L8" s="366" t="s">
        <v>264</v>
      </c>
      <c r="M8" s="477"/>
      <c r="N8" s="478"/>
    </row>
    <row r="9" spans="1:15">
      <c r="C9" s="135"/>
      <c r="D9" s="116"/>
      <c r="E9" s="116"/>
      <c r="F9" s="116"/>
      <c r="G9" s="116"/>
      <c r="H9" s="114"/>
      <c r="I9" s="114"/>
      <c r="J9" s="114"/>
      <c r="K9" s="114"/>
      <c r="L9" s="366" t="s">
        <v>122</v>
      </c>
      <c r="M9" s="479"/>
      <c r="N9" s="480"/>
    </row>
    <row r="10" spans="1:15">
      <c r="C10" s="135"/>
      <c r="D10" s="116"/>
      <c r="E10" s="116"/>
      <c r="F10" s="116"/>
      <c r="G10" s="116"/>
      <c r="H10" s="116"/>
      <c r="I10" s="116"/>
      <c r="J10" s="116"/>
      <c r="K10" s="116"/>
      <c r="L10" s="366" t="s">
        <v>277</v>
      </c>
      <c r="M10" s="125">
        <f>M5</f>
        <v>104616124.90280947</v>
      </c>
      <c r="N10" s="125">
        <f>N5</f>
        <v>104523797.38544616</v>
      </c>
    </row>
    <row r="11" spans="1:15" s="346" customFormat="1" ht="13">
      <c r="B11" s="350"/>
      <c r="C11" s="347"/>
      <c r="D11" s="348"/>
      <c r="E11" s="348"/>
      <c r="F11" s="348"/>
      <c r="G11" s="348"/>
      <c r="H11" s="348"/>
      <c r="I11" s="348"/>
      <c r="K11" s="349"/>
      <c r="L11" s="351"/>
      <c r="M11" s="352"/>
      <c r="N11" s="349"/>
    </row>
    <row r="12" spans="1:15">
      <c r="B12" s="129" t="s">
        <v>123</v>
      </c>
      <c r="C12" s="133">
        <f>'3a. Rate Class Energy Model'!I3</f>
        <v>96428822.299999997</v>
      </c>
      <c r="D12" s="124">
        <f>'3a. Rate Class Energy Model'!I4</f>
        <v>98792419.129999995</v>
      </c>
      <c r="E12" s="124">
        <f>'3a. Rate Class Energy Model'!I5</f>
        <v>101469429.77999999</v>
      </c>
      <c r="F12" s="124">
        <f>'3a. Rate Class Energy Model'!I6</f>
        <v>104299319.90999998</v>
      </c>
      <c r="G12" s="124">
        <f>'3a. Rate Class Energy Model'!I7</f>
        <v>105286722.30999999</v>
      </c>
      <c r="H12" s="124">
        <f>'3a. Rate Class Energy Model'!I8</f>
        <v>105356697.44</v>
      </c>
      <c r="I12" s="124">
        <f>'3a. Rate Class Energy Model'!I9</f>
        <v>102633740.8</v>
      </c>
      <c r="J12" s="124">
        <f>'3a. Rate Class Energy Model'!I10</f>
        <v>100777474.95000002</v>
      </c>
      <c r="K12" s="124">
        <f>'3a. Rate Class Energy Model'!I11</f>
        <v>99864919.050000012</v>
      </c>
      <c r="L12" s="140">
        <f>'3a. Rate Class Energy Model'!I12</f>
        <v>98574327.429999992</v>
      </c>
      <c r="M12" s="125">
        <f>'3a. Rate Class Energy Model'!I13-'3a. Rate Class Energy Model'!I64</f>
        <v>98295295.174927026</v>
      </c>
      <c r="N12" s="125">
        <f>'3a. Rate Class Energy Model'!I14-'3a. Rate Class Energy Model'!R65</f>
        <v>98208546.01861459</v>
      </c>
    </row>
    <row r="13" spans="1:15">
      <c r="A13" s="117" t="s">
        <v>275</v>
      </c>
      <c r="C13" s="136"/>
      <c r="D13" s="110"/>
      <c r="E13" s="110"/>
      <c r="F13" s="110"/>
      <c r="G13" s="110"/>
      <c r="H13" s="110"/>
      <c r="I13" s="110"/>
      <c r="L13" s="112"/>
      <c r="M13" s="112"/>
      <c r="N13" s="115"/>
      <c r="O13" s="450"/>
    </row>
    <row r="14" spans="1:15">
      <c r="A14" s="481" t="s">
        <v>138</v>
      </c>
      <c r="B14" s="356" t="s">
        <v>124</v>
      </c>
      <c r="C14" s="125">
        <f>'3b. Rate Class Customer Model'!B3</f>
        <v>3072.9166666666665</v>
      </c>
      <c r="D14" s="125">
        <f>'3b. Rate Class Customer Model'!B4</f>
        <v>3103.25</v>
      </c>
      <c r="E14" s="125">
        <f>'3b. Rate Class Customer Model'!B5</f>
        <v>3126.3333333333335</v>
      </c>
      <c r="F14" s="125">
        <f>'3b. Rate Class Customer Model'!B6</f>
        <v>3160.5</v>
      </c>
      <c r="G14" s="125">
        <f>'3b. Rate Class Customer Model'!B7</f>
        <v>3190.4166666666665</v>
      </c>
      <c r="H14" s="125">
        <f>'3b. Rate Class Customer Model'!B8</f>
        <v>3211.9166666666665</v>
      </c>
      <c r="I14" s="125">
        <f>'3b. Rate Class Customer Model'!B9</f>
        <v>3219.3333333333335</v>
      </c>
      <c r="J14" s="125">
        <f>'3b. Rate Class Customer Model'!B10</f>
        <v>3245.6666666666665</v>
      </c>
      <c r="K14" s="125">
        <f>'3b. Rate Class Customer Model'!B11</f>
        <v>3278.5833333333335</v>
      </c>
      <c r="L14" s="125">
        <f>'3b. Rate Class Customer Model'!B12</f>
        <v>3301.9166666666665</v>
      </c>
      <c r="M14" s="125">
        <f>'3b. Rate Class Customer Model'!B13</f>
        <v>3328.3920644477507</v>
      </c>
      <c r="N14" s="125">
        <f>'3b. Rate Class Customer Model'!B14</f>
        <v>3355.0797470192852</v>
      </c>
    </row>
    <row r="15" spans="1:15">
      <c r="A15" s="483"/>
      <c r="B15" s="356" t="s">
        <v>125</v>
      </c>
      <c r="C15" s="125">
        <f>'3a. Rate Class Energy Model'!K3</f>
        <v>25348494</v>
      </c>
      <c r="D15" s="125">
        <f>'3a. Rate Class Energy Model'!K4</f>
        <v>25466302</v>
      </c>
      <c r="E15" s="125">
        <f>'3a. Rate Class Energy Model'!K5</f>
        <v>24774725.299999997</v>
      </c>
      <c r="F15" s="125">
        <f>'3a. Rate Class Energy Model'!K6</f>
        <v>25587070.509999998</v>
      </c>
      <c r="G15" s="125">
        <f>'3a. Rate Class Energy Model'!K7</f>
        <v>25720643.669999994</v>
      </c>
      <c r="H15" s="125">
        <f>'3a. Rate Class Energy Model'!K8</f>
        <v>24960131.039999999</v>
      </c>
      <c r="I15" s="125">
        <f>'3a. Rate Class Energy Model'!K9</f>
        <v>24523575.810000002</v>
      </c>
      <c r="J15" s="125">
        <f>'3a. Rate Class Energy Model'!K10</f>
        <v>23863110.25</v>
      </c>
      <c r="K15" s="125">
        <f>'3a. Rate Class Energy Model'!K11</f>
        <v>25345904.98</v>
      </c>
      <c r="L15" s="125">
        <f>'3a. Rate Class Energy Model'!K12</f>
        <v>25253896.18</v>
      </c>
      <c r="M15" s="125">
        <f>'3a. Rate Class Energy Model'!K52</f>
        <v>25566500.764901776</v>
      </c>
      <c r="N15" s="125">
        <f>'3a. Rate Class Energy Model'!K53</f>
        <v>25765404.249335423</v>
      </c>
    </row>
    <row r="16" spans="1:15" s="346" customFormat="1" ht="13">
      <c r="B16" s="353"/>
      <c r="C16" s="354"/>
      <c r="D16" s="354"/>
      <c r="E16" s="354"/>
      <c r="F16" s="354"/>
      <c r="G16" s="354"/>
      <c r="H16" s="354"/>
      <c r="I16" s="354"/>
      <c r="J16" s="354"/>
      <c r="K16" s="354"/>
      <c r="L16" s="354"/>
      <c r="M16" s="354"/>
      <c r="N16" s="354"/>
    </row>
    <row r="17" spans="1:15">
      <c r="A17" s="481" t="s">
        <v>139</v>
      </c>
      <c r="B17" s="356" t="s">
        <v>124</v>
      </c>
      <c r="C17" s="125">
        <f>'3b. Rate Class Customer Model'!C3</f>
        <v>479</v>
      </c>
      <c r="D17" s="125">
        <f>'3b. Rate Class Customer Model'!C4</f>
        <v>477.75</v>
      </c>
      <c r="E17" s="125">
        <f>'3b. Rate Class Customer Model'!C5</f>
        <v>477.75</v>
      </c>
      <c r="F17" s="125">
        <f>'3b. Rate Class Customer Model'!C6</f>
        <v>474.25</v>
      </c>
      <c r="G17" s="125">
        <f>'3b. Rate Class Customer Model'!C7</f>
        <v>473.08333333333331</v>
      </c>
      <c r="H17" s="125">
        <f>'3b. Rate Class Customer Model'!C8</f>
        <v>474.41666666666669</v>
      </c>
      <c r="I17" s="125">
        <f>'3b. Rate Class Customer Model'!C9</f>
        <v>469.33333333333331</v>
      </c>
      <c r="J17" s="125">
        <f>'3b. Rate Class Customer Model'!C10</f>
        <v>472.75</v>
      </c>
      <c r="K17" s="125">
        <f>'3b. Rate Class Customer Model'!C11</f>
        <v>470.16666666666669</v>
      </c>
      <c r="L17" s="125">
        <f>'3b. Rate Class Customer Model'!C12</f>
        <v>470</v>
      </c>
      <c r="M17" s="125">
        <f>'3b. Rate Class Customer Model'!C13</f>
        <v>469.01049704688995</v>
      </c>
      <c r="N17" s="125">
        <f>'3b. Rate Class Customer Model'!C14</f>
        <v>468.02307731951225</v>
      </c>
    </row>
    <row r="18" spans="1:15">
      <c r="A18" s="483"/>
      <c r="B18" s="356" t="s">
        <v>125</v>
      </c>
      <c r="C18" s="125">
        <f>'3a. Rate Class Energy Model'!L3</f>
        <v>11387103</v>
      </c>
      <c r="D18" s="125">
        <f>'3a. Rate Class Energy Model'!L4</f>
        <v>11698450.35</v>
      </c>
      <c r="E18" s="125">
        <f>'3a. Rate Class Energy Model'!L5</f>
        <v>11692349.939999999</v>
      </c>
      <c r="F18" s="125">
        <f>'3a. Rate Class Energy Model'!L6</f>
        <v>12087561.67</v>
      </c>
      <c r="G18" s="125">
        <f>'3a. Rate Class Energy Model'!L7</f>
        <v>11853212.560000001</v>
      </c>
      <c r="H18" s="125">
        <f>'3a. Rate Class Energy Model'!L8</f>
        <v>12033955.310000002</v>
      </c>
      <c r="I18" s="125">
        <f>'3a. Rate Class Energy Model'!L9</f>
        <v>11967605.530000001</v>
      </c>
      <c r="J18" s="125">
        <f>'3a. Rate Class Energy Model'!L10</f>
        <v>11410391.09</v>
      </c>
      <c r="K18" s="125">
        <f>'3a. Rate Class Energy Model'!L11</f>
        <v>11582140.129999999</v>
      </c>
      <c r="L18" s="125">
        <f>'3a. Rate Class Energy Model'!L12</f>
        <v>11138172.100000001</v>
      </c>
      <c r="M18" s="125">
        <f>'3a. Rate Class Energy Model'!L52</f>
        <v>11162800.415168878</v>
      </c>
      <c r="N18" s="125">
        <f>'3a. Rate Class Energy Model'!L53</f>
        <v>11136665.232418006</v>
      </c>
    </row>
    <row r="19" spans="1:15" s="346" customFormat="1" ht="13">
      <c r="B19" s="353"/>
      <c r="C19" s="351"/>
      <c r="D19" s="349"/>
      <c r="E19" s="349"/>
      <c r="F19" s="349"/>
      <c r="G19" s="349"/>
      <c r="H19" s="349"/>
      <c r="I19" s="349"/>
      <c r="J19" s="355"/>
      <c r="K19" s="349"/>
      <c r="L19" s="349"/>
      <c r="M19" s="349"/>
      <c r="N19" s="355"/>
    </row>
    <row r="20" spans="1:15" ht="15.5" customHeight="1">
      <c r="A20" s="481" t="s">
        <v>140</v>
      </c>
      <c r="B20" s="356" t="s">
        <v>124</v>
      </c>
      <c r="C20" s="125">
        <f>'3b. Rate Class Customer Model'!D3</f>
        <v>39.666666666666664</v>
      </c>
      <c r="D20" s="125">
        <f>'3b. Rate Class Customer Model'!D4</f>
        <v>38.333333333333336</v>
      </c>
      <c r="E20" s="125">
        <f>'3b. Rate Class Customer Model'!D5</f>
        <v>37.666666666666664</v>
      </c>
      <c r="F20" s="125">
        <f>'3b. Rate Class Customer Model'!D6</f>
        <v>38.416666666666664</v>
      </c>
      <c r="G20" s="125">
        <f>'3b. Rate Class Customer Model'!D7</f>
        <v>38.333333333333336</v>
      </c>
      <c r="H20" s="125">
        <f>'3b. Rate Class Customer Model'!D8</f>
        <v>35.75</v>
      </c>
      <c r="I20" s="125">
        <f>'3b. Rate Class Customer Model'!D9</f>
        <v>35.583333333333336</v>
      </c>
      <c r="J20" s="125">
        <f>'3b. Rate Class Customer Model'!D10</f>
        <v>34.75</v>
      </c>
      <c r="K20" s="125">
        <f>'3b. Rate Class Customer Model'!D11</f>
        <v>34</v>
      </c>
      <c r="L20" s="125">
        <f>'3b. Rate Class Customer Model'!D12</f>
        <v>35</v>
      </c>
      <c r="M20" s="125">
        <f>'3b. Rate Class Customer Model'!D13</f>
        <v>34.516623397710227</v>
      </c>
      <c r="N20" s="125">
        <f>'3b. Rate Class Customer Model'!D14</f>
        <v>34.039922593695913</v>
      </c>
    </row>
    <row r="21" spans="1:15">
      <c r="A21" s="482"/>
      <c r="B21" s="356" t="s">
        <v>125</v>
      </c>
      <c r="C21" s="125">
        <f>'3a. Rate Class Energy Model'!M3</f>
        <v>20855253</v>
      </c>
      <c r="D21" s="125">
        <f>'3a. Rate Class Energy Model'!M4</f>
        <v>21357589</v>
      </c>
      <c r="E21" s="125">
        <f>'3a. Rate Class Energy Model'!M5</f>
        <v>21917336.890000001</v>
      </c>
      <c r="F21" s="125">
        <f>'3a. Rate Class Energy Model'!M6</f>
        <v>16562845.530000001</v>
      </c>
      <c r="G21" s="125">
        <f>'3a. Rate Class Energy Model'!M7</f>
        <v>15962528.779999999</v>
      </c>
      <c r="H21" s="125">
        <f>'3a. Rate Class Energy Model'!M8</f>
        <v>20081441.440000001</v>
      </c>
      <c r="I21" s="125">
        <f>'3a. Rate Class Energy Model'!M9</f>
        <v>19893743.399999999</v>
      </c>
      <c r="J21" s="125">
        <f>'3a. Rate Class Energy Model'!M10</f>
        <v>19029613.010000002</v>
      </c>
      <c r="K21" s="125">
        <f>'3a. Rate Class Energy Model'!M11</f>
        <v>18305428.530000001</v>
      </c>
      <c r="L21" s="125">
        <f>'3a. Rate Class Energy Model'!M12</f>
        <v>18739879.539999999</v>
      </c>
      <c r="M21" s="125">
        <f>'3a. Rate Class Energy Model'!M52</f>
        <v>18544051.866166398</v>
      </c>
      <c r="N21" s="125">
        <f>'3a. Rate Class Energy Model'!M53</f>
        <v>18284534.408171184</v>
      </c>
    </row>
    <row r="22" spans="1:15">
      <c r="A22" s="483"/>
      <c r="B22" s="356" t="s">
        <v>126</v>
      </c>
      <c r="C22" s="125">
        <f>'3c. Rate Class Load Model'!D4</f>
        <v>61885.200000000012</v>
      </c>
      <c r="D22" s="125">
        <f>'3c. Rate Class Load Model'!D5</f>
        <v>65743.399999999994</v>
      </c>
      <c r="E22" s="125">
        <f>'3c. Rate Class Load Model'!D6</f>
        <v>67820.399999999994</v>
      </c>
      <c r="F22" s="125">
        <f>'3c. Rate Class Load Model'!D7</f>
        <v>52256</v>
      </c>
      <c r="G22" s="125">
        <f>'3c. Rate Class Load Model'!D8</f>
        <v>48273.4</v>
      </c>
      <c r="H22" s="125">
        <f>'3c. Rate Class Load Model'!D9</f>
        <v>55778.200000000012</v>
      </c>
      <c r="I22" s="125">
        <f>'3c. Rate Class Load Model'!D10</f>
        <v>55435.900000000009</v>
      </c>
      <c r="J22" s="125">
        <f>'3c. Rate Class Load Model'!D11</f>
        <v>53405.200000000004</v>
      </c>
      <c r="K22" s="125">
        <f>'3c. Rate Class Load Model'!D12</f>
        <v>52914.899999999994</v>
      </c>
      <c r="L22" s="125">
        <f>'3c. Rate Class Load Model'!D13</f>
        <v>51684.799999999988</v>
      </c>
      <c r="M22" s="125">
        <f>'3c. Rate Class Load Model'!D14</f>
        <v>51994.938367769304</v>
      </c>
      <c r="N22" s="125">
        <f>'3c. Rate Class Load Model'!D15</f>
        <v>51267.287564632788</v>
      </c>
    </row>
    <row r="23" spans="1:15" s="346" customFormat="1" ht="13">
      <c r="B23" s="353"/>
      <c r="C23" s="351"/>
      <c r="D23" s="349"/>
      <c r="E23" s="349"/>
      <c r="F23" s="349"/>
      <c r="G23" s="349"/>
      <c r="H23" s="349"/>
      <c r="I23" s="349"/>
      <c r="J23" s="355"/>
      <c r="K23" s="349"/>
      <c r="L23" s="349"/>
      <c r="M23" s="349"/>
      <c r="N23" s="355"/>
    </row>
    <row r="24" spans="1:15">
      <c r="A24" s="481" t="s">
        <v>141</v>
      </c>
      <c r="B24" s="356" t="s">
        <v>124</v>
      </c>
      <c r="C24" s="125">
        <f>'3b. Rate Class Customer Model'!E3</f>
        <v>5</v>
      </c>
      <c r="D24" s="125">
        <f>'3b. Rate Class Customer Model'!E4</f>
        <v>5</v>
      </c>
      <c r="E24" s="125">
        <f>'3b. Rate Class Customer Model'!E5</f>
        <v>5</v>
      </c>
      <c r="F24" s="125">
        <f>'3b. Rate Class Customer Model'!E6</f>
        <v>5.833333333333333</v>
      </c>
      <c r="G24" s="125">
        <f>'3b. Rate Class Customer Model'!E7</f>
        <v>5.833333333333333</v>
      </c>
      <c r="H24" s="125">
        <f>'3b. Rate Class Customer Model'!E8</f>
        <v>5</v>
      </c>
      <c r="I24" s="125">
        <f>'3b. Rate Class Customer Model'!E9</f>
        <v>5</v>
      </c>
      <c r="J24" s="125">
        <f>'3b. Rate Class Customer Model'!E10</f>
        <v>5</v>
      </c>
      <c r="K24" s="125">
        <f>'3b. Rate Class Customer Model'!E11</f>
        <v>5</v>
      </c>
      <c r="L24" s="125">
        <f>'3b. Rate Class Customer Model'!E12</f>
        <v>5</v>
      </c>
      <c r="M24" s="125">
        <f>'3b. Rate Class Customer Model'!E13</f>
        <v>5</v>
      </c>
      <c r="N24" s="125">
        <f>'3b. Rate Class Customer Model'!E14</f>
        <v>5</v>
      </c>
    </row>
    <row r="25" spans="1:15">
      <c r="A25" s="482"/>
      <c r="B25" s="356" t="s">
        <v>125</v>
      </c>
      <c r="C25" s="125">
        <f>'3a. Rate Class Energy Model'!N3</f>
        <v>38077454.969999999</v>
      </c>
      <c r="D25" s="125">
        <f>'3a. Rate Class Energy Model'!N4</f>
        <v>39521514.93</v>
      </c>
      <c r="E25" s="125">
        <f>'3a. Rate Class Energy Model'!N5</f>
        <v>42337528.850000001</v>
      </c>
      <c r="F25" s="125">
        <f>'3a. Rate Class Energy Model'!N6</f>
        <v>49310777.399999991</v>
      </c>
      <c r="G25" s="125">
        <f>'3a. Rate Class Energy Model'!N7</f>
        <v>50998403.280000001</v>
      </c>
      <c r="H25" s="125">
        <f>'3a. Rate Class Energy Model'!N8</f>
        <v>47530354.799999997</v>
      </c>
      <c r="I25" s="125">
        <f>'3a. Rate Class Energy Model'!N9</f>
        <v>45496516.099999994</v>
      </c>
      <c r="J25" s="125">
        <f>'3a. Rate Class Energy Model'!N10</f>
        <v>45750527.200000003</v>
      </c>
      <c r="K25" s="125">
        <f>'3a. Rate Class Energy Model'!N11</f>
        <v>43913955.700000003</v>
      </c>
      <c r="L25" s="125">
        <f>'3a. Rate Class Energy Model'!N12</f>
        <v>42766148</v>
      </c>
      <c r="M25" s="125">
        <f>'3a. Rate Class Energy Model'!N52</f>
        <v>42766148</v>
      </c>
      <c r="N25" s="125">
        <f>'3a. Rate Class Energy Model'!N53</f>
        <v>42766148</v>
      </c>
    </row>
    <row r="26" spans="1:15">
      <c r="A26" s="483"/>
      <c r="B26" s="356" t="s">
        <v>126</v>
      </c>
      <c r="C26" s="125">
        <f>'3c. Rate Class Load Model'!E4</f>
        <v>83976.04</v>
      </c>
      <c r="D26" s="125">
        <f>'3c. Rate Class Load Model'!E5</f>
        <v>86114.400000000009</v>
      </c>
      <c r="E26" s="125">
        <f>'3c. Rate Class Load Model'!E6</f>
        <v>89132.000000000015</v>
      </c>
      <c r="F26" s="125">
        <f>'3c. Rate Class Load Model'!E7</f>
        <v>105091.5</v>
      </c>
      <c r="G26" s="125">
        <f>'3c. Rate Class Load Model'!E8</f>
        <v>109682.1</v>
      </c>
      <c r="H26" s="125">
        <f>'3c. Rate Class Load Model'!E9</f>
        <v>99567.400000000009</v>
      </c>
      <c r="I26" s="125">
        <f>'3c. Rate Class Load Model'!E10</f>
        <v>96818.1</v>
      </c>
      <c r="J26" s="125">
        <f>'3c. Rate Class Load Model'!E11</f>
        <v>98592</v>
      </c>
      <c r="K26" s="125">
        <f>'3c. Rate Class Load Model'!E12</f>
        <v>98024.8</v>
      </c>
      <c r="L26" s="125">
        <f>'3c. Rate Class Load Model'!E13</f>
        <v>96230.2</v>
      </c>
      <c r="M26" s="125">
        <f>'3c. Rate Class Load Model'!E14</f>
        <v>96230.2</v>
      </c>
      <c r="N26" s="125">
        <f>'3c. Rate Class Load Model'!E15</f>
        <v>96230.2</v>
      </c>
      <c r="O26" s="474" t="s">
        <v>304</v>
      </c>
    </row>
    <row r="27" spans="1:15" s="346" customFormat="1" ht="13">
      <c r="B27" s="353"/>
      <c r="C27" s="351"/>
      <c r="D27" s="349"/>
      <c r="E27" s="349"/>
      <c r="F27" s="349"/>
      <c r="G27" s="349"/>
      <c r="H27" s="349"/>
      <c r="I27" s="349"/>
      <c r="J27" s="355"/>
      <c r="K27" s="349"/>
      <c r="L27" s="349"/>
      <c r="M27" s="349"/>
      <c r="N27" s="355"/>
    </row>
    <row r="28" spans="1:15">
      <c r="A28" s="481" t="s">
        <v>145</v>
      </c>
      <c r="B28" s="356" t="s">
        <v>127</v>
      </c>
      <c r="C28" s="125">
        <f>'3b. Rate Class Customer Model'!F3</f>
        <v>1.1666666666666667</v>
      </c>
      <c r="D28" s="125">
        <f>'3b. Rate Class Customer Model'!F4</f>
        <v>1.5833333333333333</v>
      </c>
      <c r="E28" s="125">
        <f>'3b. Rate Class Customer Model'!F5</f>
        <v>1.3333333333333333</v>
      </c>
      <c r="F28" s="125">
        <f>'3b. Rate Class Customer Model'!F6</f>
        <v>1.5833333333333333</v>
      </c>
      <c r="G28" s="125">
        <f>'3b. Rate Class Customer Model'!F7</f>
        <v>1.1666666666666667</v>
      </c>
      <c r="H28" s="125">
        <f>'3b. Rate Class Customer Model'!F8</f>
        <v>1</v>
      </c>
      <c r="I28" s="125">
        <f>'3b. Rate Class Customer Model'!F9</f>
        <v>1.5833333333333333</v>
      </c>
      <c r="J28" s="125">
        <f>'3b. Rate Class Customer Model'!F10</f>
        <v>2</v>
      </c>
      <c r="K28" s="125">
        <f>'3b. Rate Class Customer Model'!F11</f>
        <v>2.3333333333333335</v>
      </c>
      <c r="L28" s="125">
        <f>'3b. Rate Class Customer Model'!F12</f>
        <v>2.3333333333333335</v>
      </c>
      <c r="M28" s="125">
        <f>'3b. Rate Class Customer Model'!F13</f>
        <v>2.3333333333333335</v>
      </c>
      <c r="N28" s="125">
        <f>'3b. Rate Class Customer Model'!F14</f>
        <v>2.3333333333333335</v>
      </c>
    </row>
    <row r="29" spans="1:15">
      <c r="A29" s="483"/>
      <c r="B29" s="356" t="s">
        <v>125</v>
      </c>
      <c r="C29" s="125">
        <f>'3a. Rate Class Energy Model'!O3</f>
        <v>9732</v>
      </c>
      <c r="D29" s="125">
        <f>'3a. Rate Class Energy Model'!O4</f>
        <v>7563</v>
      </c>
      <c r="E29" s="125">
        <f>'3a. Rate Class Energy Model'!O5</f>
        <v>5733</v>
      </c>
      <c r="F29" s="125">
        <f>'3a. Rate Class Energy Model'!O6</f>
        <v>5733</v>
      </c>
      <c r="G29" s="125">
        <f>'3a. Rate Class Energy Model'!O7</f>
        <v>5733</v>
      </c>
      <c r="H29" s="125">
        <f>'3a. Rate Class Energy Model'!O8</f>
        <v>5184</v>
      </c>
      <c r="I29" s="125">
        <f>'3a. Rate Class Energy Model'!O9</f>
        <v>6816</v>
      </c>
      <c r="J29" s="125">
        <f>'3a. Rate Class Energy Model'!O10</f>
        <v>6801</v>
      </c>
      <c r="K29" s="125">
        <f>'3a. Rate Class Energy Model'!O11</f>
        <v>6801</v>
      </c>
      <c r="L29" s="125">
        <f>'3a. Rate Class Energy Model'!O12</f>
        <v>6288</v>
      </c>
      <c r="M29" s="125">
        <f>'3a. Rate Class Energy Model'!O52</f>
        <v>6288</v>
      </c>
      <c r="N29" s="125">
        <f>'3a. Rate Class Energy Model'!O53</f>
        <v>6288</v>
      </c>
    </row>
    <row r="30" spans="1:15" s="346" customFormat="1" ht="13">
      <c r="B30" s="353"/>
      <c r="C30" s="351"/>
      <c r="D30" s="349"/>
      <c r="E30" s="349"/>
      <c r="F30" s="349"/>
      <c r="G30" s="349"/>
      <c r="H30" s="349"/>
      <c r="I30" s="349"/>
      <c r="J30" s="355"/>
      <c r="K30" s="349"/>
      <c r="L30" s="349"/>
      <c r="M30" s="349"/>
      <c r="N30" s="355"/>
    </row>
    <row r="31" spans="1:15">
      <c r="A31" s="481" t="s">
        <v>143</v>
      </c>
      <c r="B31" s="356" t="s">
        <v>127</v>
      </c>
      <c r="C31" s="125">
        <f>'3b. Rate Class Customer Model'!G3</f>
        <v>28</v>
      </c>
      <c r="D31" s="125">
        <f>'3b. Rate Class Customer Model'!G4</f>
        <v>28</v>
      </c>
      <c r="E31" s="125">
        <f>'3b. Rate Class Customer Model'!G5</f>
        <v>28</v>
      </c>
      <c r="F31" s="125">
        <f>'3b. Rate Class Customer Model'!G6</f>
        <v>28</v>
      </c>
      <c r="G31" s="125">
        <f>'3b. Rate Class Customer Model'!G7</f>
        <v>27.916666666666668</v>
      </c>
      <c r="H31" s="125">
        <f>'3b. Rate Class Customer Model'!G8</f>
        <v>26.5</v>
      </c>
      <c r="I31" s="125">
        <f>'3b. Rate Class Customer Model'!G9</f>
        <v>24</v>
      </c>
      <c r="J31" s="125">
        <f>'3b. Rate Class Customer Model'!G10</f>
        <v>23.083333333333332</v>
      </c>
      <c r="K31" s="125">
        <f>'3b. Rate Class Customer Model'!G11</f>
        <v>23</v>
      </c>
      <c r="L31" s="125">
        <f>'3b. Rate Class Customer Model'!G12</f>
        <v>23</v>
      </c>
      <c r="M31" s="125">
        <f>'3b. Rate Class Customer Model'!G13</f>
        <v>23</v>
      </c>
      <c r="N31" s="125">
        <f>'3b. Rate Class Customer Model'!G14</f>
        <v>23</v>
      </c>
    </row>
    <row r="32" spans="1:15">
      <c r="A32" s="482"/>
      <c r="B32" s="356" t="s">
        <v>125</v>
      </c>
      <c r="C32" s="125">
        <f>'3a. Rate Class Energy Model'!P3</f>
        <v>31586.329999999994</v>
      </c>
      <c r="D32" s="125">
        <f>'3a. Rate Class Energy Model'!P4</f>
        <v>27611.850000000006</v>
      </c>
      <c r="E32" s="125">
        <f>'3a. Rate Class Energy Model'!P5</f>
        <v>26092.800000000007</v>
      </c>
      <c r="F32" s="125">
        <f>'3a. Rate Class Energy Model'!P6</f>
        <v>26092.800000000007</v>
      </c>
      <c r="G32" s="125">
        <f>'3a. Rate Class Energy Model'!P7</f>
        <v>25409.019999999997</v>
      </c>
      <c r="H32" s="125">
        <f>'3a. Rate Class Energy Model'!P8</f>
        <v>24838.850000000002</v>
      </c>
      <c r="I32" s="125">
        <f>'3a. Rate Class Energy Model'!P9</f>
        <v>22056.959999999995</v>
      </c>
      <c r="J32" s="125">
        <f>'3a. Rate Class Energy Model'!P10</f>
        <v>19673.28</v>
      </c>
      <c r="K32" s="125">
        <f>'3a. Rate Class Energy Model'!P11</f>
        <v>19673.28</v>
      </c>
      <c r="L32" s="125">
        <f>'3a. Rate Class Energy Model'!P12</f>
        <v>19673.28</v>
      </c>
      <c r="M32" s="125">
        <f>'3a. Rate Class Energy Model'!P52</f>
        <v>19673.28</v>
      </c>
      <c r="N32" s="125">
        <f>'3a. Rate Class Energy Model'!P53</f>
        <v>19673.28</v>
      </c>
    </row>
    <row r="33" spans="1:14">
      <c r="A33" s="483"/>
      <c r="B33" s="356" t="s">
        <v>126</v>
      </c>
      <c r="C33" s="125">
        <f>'3c. Rate Class Load Model'!G4</f>
        <v>87.726000000000013</v>
      </c>
      <c r="D33" s="125">
        <f>'3c. Rate Class Load Model'!G5</f>
        <v>80.488388888888892</v>
      </c>
      <c r="E33" s="125">
        <f>'3c. Rate Class Load Model'!G6</f>
        <v>72.48</v>
      </c>
      <c r="F33" s="125">
        <f>'3c. Rate Class Load Model'!G7</f>
        <v>72.48</v>
      </c>
      <c r="G33" s="125">
        <f>'3c. Rate Class Load Model'!G8</f>
        <v>70.580611111111111</v>
      </c>
      <c r="H33" s="125">
        <f>'3c. Rate Class Load Model'!G9</f>
        <v>69.674000000000007</v>
      </c>
      <c r="I33" s="125">
        <f>'3c. Rate Class Load Model'!G10</f>
        <v>61.269333333333336</v>
      </c>
      <c r="J33" s="125">
        <f>'3c. Rate Class Load Model'!G11</f>
        <v>54.648000000000017</v>
      </c>
      <c r="K33" s="125">
        <f>'3c. Rate Class Load Model'!G12</f>
        <v>54.648000000000017</v>
      </c>
      <c r="L33" s="125">
        <f>'3c. Rate Class Load Model'!G13</f>
        <v>54.640000000000008</v>
      </c>
      <c r="M33" s="125">
        <f>'3c. Rate Class Load Model'!G14</f>
        <v>54.753672566322521</v>
      </c>
      <c r="N33" s="125">
        <f>'3c. Rate Class Load Model'!G15</f>
        <v>54.753672566322521</v>
      </c>
    </row>
    <row r="34" spans="1:14" s="346" customFormat="1" ht="13">
      <c r="B34" s="353"/>
      <c r="C34" s="351"/>
      <c r="D34" s="349"/>
      <c r="E34" s="349"/>
      <c r="F34" s="349"/>
      <c r="G34" s="349"/>
      <c r="H34" s="349"/>
      <c r="I34" s="349"/>
      <c r="J34" s="355"/>
      <c r="K34" s="349"/>
      <c r="L34" s="349"/>
      <c r="M34" s="349"/>
      <c r="N34" s="355"/>
    </row>
    <row r="35" spans="1:14">
      <c r="A35" s="481" t="s">
        <v>142</v>
      </c>
      <c r="B35" s="356" t="s">
        <v>294</v>
      </c>
      <c r="C35" s="125">
        <f>'3b. Rate Class Customer Model'!H3</f>
        <v>900</v>
      </c>
      <c r="D35" s="125">
        <f>'3b. Rate Class Customer Model'!H4</f>
        <v>899.16666666666663</v>
      </c>
      <c r="E35" s="125">
        <f>'3b. Rate Class Customer Model'!H5</f>
        <v>898</v>
      </c>
      <c r="F35" s="125">
        <f>'3b. Rate Class Customer Model'!H6</f>
        <v>899.5</v>
      </c>
      <c r="G35" s="125">
        <f>'3b. Rate Class Customer Model'!H7</f>
        <v>905</v>
      </c>
      <c r="H35" s="125">
        <f>'3b. Rate Class Customer Model'!H8</f>
        <v>905</v>
      </c>
      <c r="I35" s="125">
        <f>'3b. Rate Class Customer Model'!H9</f>
        <v>907.08333333333337</v>
      </c>
      <c r="J35" s="125">
        <f>'3b. Rate Class Customer Model'!H10</f>
        <v>908.33333333333337</v>
      </c>
      <c r="K35" s="125">
        <f>'3b. Rate Class Customer Model'!H11</f>
        <v>908</v>
      </c>
      <c r="L35" s="125">
        <f>'3b. Rate Class Customer Model'!H12</f>
        <v>907.91666666666663</v>
      </c>
      <c r="M35" s="125">
        <f>'3b. Rate Class Customer Model'!H13</f>
        <v>924</v>
      </c>
      <c r="N35" s="125">
        <f>'3b. Rate Class Customer Model'!H14</f>
        <v>924</v>
      </c>
    </row>
    <row r="36" spans="1:14">
      <c r="A36" s="482"/>
      <c r="B36" s="356" t="s">
        <v>125</v>
      </c>
      <c r="C36" s="125">
        <f>'3a. Rate Class Energy Model'!Q3</f>
        <v>719199</v>
      </c>
      <c r="D36" s="125">
        <f>'3a. Rate Class Energy Model'!Q4</f>
        <v>713388</v>
      </c>
      <c r="E36" s="125">
        <f>'3a. Rate Class Energy Model'!Q5</f>
        <v>715663</v>
      </c>
      <c r="F36" s="125">
        <f>'3a. Rate Class Energy Model'!Q6</f>
        <v>719239</v>
      </c>
      <c r="G36" s="125">
        <f>'3a. Rate Class Energy Model'!Q7</f>
        <v>720792</v>
      </c>
      <c r="H36" s="125">
        <f>'3a. Rate Class Energy Model'!Q8</f>
        <v>720792</v>
      </c>
      <c r="I36" s="125">
        <f>'3a. Rate Class Energy Model'!Q9</f>
        <v>723427</v>
      </c>
      <c r="J36" s="125">
        <f>'3a. Rate Class Energy Model'!Q10</f>
        <v>697359.11999999988</v>
      </c>
      <c r="K36" s="125">
        <f>'3a. Rate Class Energy Model'!Q11</f>
        <v>691015.42999999993</v>
      </c>
      <c r="L36" s="125">
        <f>'3a. Rate Class Energy Model'!Q12</f>
        <v>650270.32999999996</v>
      </c>
      <c r="M36" s="125">
        <f>'3a. Rate Class Energy Model'!Q52</f>
        <v>229832.84868997012</v>
      </c>
      <c r="N36" s="125">
        <f>'3a. Rate Class Energy Model'!Q53</f>
        <v>229832.84868997012</v>
      </c>
    </row>
    <row r="37" spans="1:14">
      <c r="A37" s="483"/>
      <c r="B37" s="356" t="s">
        <v>126</v>
      </c>
      <c r="C37" s="125">
        <f>'3c. Rate Class Load Model'!H4</f>
        <v>1964.4000000000003</v>
      </c>
      <c r="D37" s="125">
        <f>'3c. Rate Class Load Model'!H5</f>
        <v>1963.4999999999995</v>
      </c>
      <c r="E37" s="125">
        <f>'3c. Rate Class Load Model'!H6</f>
        <v>1963.1999999999996</v>
      </c>
      <c r="F37" s="125">
        <f>'3c. Rate Class Load Model'!H7</f>
        <v>1979.6999999999996</v>
      </c>
      <c r="G37" s="125">
        <f>'3c. Rate Class Load Model'!H8</f>
        <v>1983.3099999999997</v>
      </c>
      <c r="H37" s="125">
        <f>'3c. Rate Class Load Model'!H9</f>
        <v>1983.5999999999997</v>
      </c>
      <c r="I37" s="125">
        <f>'3c. Rate Class Load Model'!H10</f>
        <v>1984.2000000000005</v>
      </c>
      <c r="J37" s="125">
        <f>'3c. Rate Class Load Model'!H11</f>
        <v>1920.3999999999999</v>
      </c>
      <c r="K37" s="125">
        <f>'3c. Rate Class Load Model'!H12</f>
        <v>1902</v>
      </c>
      <c r="L37" s="125">
        <f>'3c. Rate Class Load Model'!H13</f>
        <v>1810.1</v>
      </c>
      <c r="M37" s="125">
        <f>'3c. Rate Class Load Model'!H14</f>
        <v>632.47200000000009</v>
      </c>
      <c r="N37" s="125">
        <f>'3c. Rate Class Load Model'!H15</f>
        <v>632.47200000000009</v>
      </c>
    </row>
    <row r="38" spans="1:14" s="346" customFormat="1" ht="13">
      <c r="B38" s="353"/>
      <c r="C38" s="351"/>
      <c r="D38" s="349"/>
      <c r="E38" s="349"/>
      <c r="F38" s="349"/>
      <c r="G38" s="349"/>
      <c r="H38" s="349"/>
      <c r="I38" s="349"/>
      <c r="J38" s="355"/>
      <c r="K38" s="349"/>
      <c r="L38" s="349"/>
      <c r="M38" s="349"/>
      <c r="N38" s="355"/>
    </row>
    <row r="39" spans="1:14">
      <c r="A39" s="120" t="s">
        <v>32</v>
      </c>
      <c r="C39" s="136"/>
      <c r="D39" s="110"/>
      <c r="E39" s="110"/>
      <c r="F39" s="110"/>
      <c r="G39" s="110"/>
      <c r="H39" s="110"/>
      <c r="I39" s="110"/>
      <c r="K39" s="110"/>
      <c r="L39" s="136"/>
      <c r="M39" s="136"/>
      <c r="N39" s="110"/>
    </row>
    <row r="40" spans="1:14">
      <c r="B40" s="143" t="s">
        <v>146</v>
      </c>
      <c r="C40" s="125">
        <f>C14+C17+C20+C24+C28+C31+C35</f>
        <v>4525.75</v>
      </c>
      <c r="D40" s="125">
        <f t="shared" ref="D40:L40" si="1">D14+D17+D20+D24+D28+D31+D35</f>
        <v>4553.0833333333339</v>
      </c>
      <c r="E40" s="125">
        <f t="shared" si="1"/>
        <v>4574.0833333333339</v>
      </c>
      <c r="F40" s="125">
        <f t="shared" si="1"/>
        <v>4608.0833333333339</v>
      </c>
      <c r="G40" s="125">
        <f t="shared" si="1"/>
        <v>4641.75</v>
      </c>
      <c r="H40" s="125">
        <f t="shared" si="1"/>
        <v>4659.583333333333</v>
      </c>
      <c r="I40" s="125">
        <f t="shared" si="1"/>
        <v>4661.916666666667</v>
      </c>
      <c r="J40" s="125">
        <f t="shared" si="1"/>
        <v>4691.583333333333</v>
      </c>
      <c r="K40" s="125">
        <f t="shared" si="1"/>
        <v>4721.0833333333339</v>
      </c>
      <c r="L40" s="125">
        <f t="shared" si="1"/>
        <v>4745.166666666667</v>
      </c>
      <c r="M40" s="125">
        <f>M14+M17+M20+M24+M28+M31+M35</f>
        <v>4786.252518225685</v>
      </c>
      <c r="N40" s="125">
        <f>N14+N17+N20+N24+N28+N31+N35</f>
        <v>4811.4760802658266</v>
      </c>
    </row>
    <row r="41" spans="1:14">
      <c r="B41" s="143" t="s">
        <v>125</v>
      </c>
      <c r="C41" s="125">
        <f>C15+C18+C21+C25+C29+C32+C36</f>
        <v>96428822.299999997</v>
      </c>
      <c r="D41" s="125">
        <f t="shared" ref="D41:L41" si="2">D15+D18+D21+D25+D29+D32+D36</f>
        <v>98792419.129999995</v>
      </c>
      <c r="E41" s="125">
        <f t="shared" si="2"/>
        <v>101469429.77999999</v>
      </c>
      <c r="F41" s="125">
        <f t="shared" si="2"/>
        <v>104299319.90999998</v>
      </c>
      <c r="G41" s="125">
        <f t="shared" si="2"/>
        <v>105286722.30999999</v>
      </c>
      <c r="H41" s="125">
        <f t="shared" si="2"/>
        <v>105356697.44</v>
      </c>
      <c r="I41" s="125">
        <f t="shared" si="2"/>
        <v>102633740.8</v>
      </c>
      <c r="J41" s="125">
        <f t="shared" si="2"/>
        <v>100777474.95000002</v>
      </c>
      <c r="K41" s="125">
        <f t="shared" si="2"/>
        <v>99864919.050000012</v>
      </c>
      <c r="L41" s="125">
        <f t="shared" si="2"/>
        <v>98574327.429999992</v>
      </c>
      <c r="M41" s="125">
        <f>M15+M18+M21+M25+M29+M32+M36</f>
        <v>98295295.174927026</v>
      </c>
      <c r="N41" s="125">
        <f>N15+N18+N21+N25+N29+N32+N36</f>
        <v>98208546.01861459</v>
      </c>
    </row>
    <row r="42" spans="1:14">
      <c r="B42" s="143" t="s">
        <v>126</v>
      </c>
      <c r="C42" s="125">
        <f>C22+C26+C33+C37</f>
        <v>147913.36599999998</v>
      </c>
      <c r="D42" s="125">
        <f t="shared" ref="D42:L42" si="3">D22+D26+D33+D37</f>
        <v>153901.78838888888</v>
      </c>
      <c r="E42" s="125">
        <f t="shared" si="3"/>
        <v>158988.08000000005</v>
      </c>
      <c r="F42" s="125">
        <f t="shared" si="3"/>
        <v>159399.68000000002</v>
      </c>
      <c r="G42" s="125">
        <f t="shared" si="3"/>
        <v>160009.3906111111</v>
      </c>
      <c r="H42" s="125">
        <f t="shared" si="3"/>
        <v>157398.87400000004</v>
      </c>
      <c r="I42" s="125">
        <f t="shared" si="3"/>
        <v>154299.46933333334</v>
      </c>
      <c r="J42" s="125">
        <f t="shared" si="3"/>
        <v>153972.24799999999</v>
      </c>
      <c r="K42" s="125">
        <f t="shared" si="3"/>
        <v>152896.348</v>
      </c>
      <c r="L42" s="125">
        <f t="shared" si="3"/>
        <v>149779.74000000002</v>
      </c>
      <c r="M42" s="125">
        <f>M22+M26+M33+M37</f>
        <v>148912.36404033564</v>
      </c>
      <c r="N42" s="125">
        <f>N22+N26+N33+N37</f>
        <v>148184.71323719912</v>
      </c>
    </row>
    <row r="43" spans="1:14">
      <c r="C43" s="121"/>
      <c r="D43" s="115"/>
      <c r="E43" s="115"/>
      <c r="F43" s="115"/>
      <c r="G43" s="110"/>
      <c r="H43" s="115"/>
      <c r="I43" s="115"/>
      <c r="K43" s="111"/>
      <c r="L43" s="136"/>
      <c r="M43" s="345"/>
      <c r="N43" s="345"/>
    </row>
  </sheetData>
  <mergeCells count="8">
    <mergeCell ref="M7:N9"/>
    <mergeCell ref="A31:A33"/>
    <mergeCell ref="A35:A37"/>
    <mergeCell ref="A17:A18"/>
    <mergeCell ref="A20:A22"/>
    <mergeCell ref="A14:A15"/>
    <mergeCell ref="A24:A26"/>
    <mergeCell ref="A28:A29"/>
  </mergeCells>
  <pageMargins left="0.7" right="0.7" top="0.75" bottom="0.75" header="0.3" footer="0.3"/>
  <pageSetup scale="5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DZ163"/>
  <sheetViews>
    <sheetView zoomScaleNormal="100" workbookViewId="0">
      <pane ySplit="1" topLeftCell="A2" activePane="bottomLeft" state="frozen"/>
      <selection activeCell="C123" sqref="C123"/>
      <selection pane="bottomLeft" activeCell="O126" sqref="O126"/>
    </sheetView>
  </sheetViews>
  <sheetFormatPr defaultColWidth="8.6640625" defaultRowHeight="15.5"/>
  <cols>
    <col min="1" max="1" width="4.4140625" style="1" bestFit="1" customWidth="1"/>
    <col min="2" max="2" width="11" style="1" bestFit="1" customWidth="1"/>
    <col min="3" max="3" width="12.1640625" style="1" bestFit="1" customWidth="1"/>
    <col min="4" max="4" width="9.33203125" style="1" bestFit="1" customWidth="1"/>
    <col min="5" max="5" width="13.5" style="1" customWidth="1"/>
    <col min="6" max="6" width="3.58203125" style="1" customWidth="1"/>
    <col min="7" max="7" width="6.58203125" style="1" bestFit="1" customWidth="1"/>
    <col min="8" max="8" width="6.4140625" style="1" bestFit="1" customWidth="1"/>
    <col min="9" max="9" width="8.1640625" style="1" customWidth="1"/>
    <col min="10" max="10" width="10.4140625" style="1" bestFit="1" customWidth="1"/>
    <col min="11" max="11" width="6.6640625" style="1" bestFit="1" customWidth="1"/>
    <col min="12" max="12" width="8.9140625" style="1" bestFit="1" customWidth="1"/>
    <col min="13" max="13" width="2.83203125" style="295" customWidth="1"/>
    <col min="14" max="14" width="3" style="1" customWidth="1"/>
    <col min="15" max="15" width="3.33203125" style="1" customWidth="1"/>
    <col min="16" max="16" width="3.1640625" style="1" customWidth="1"/>
    <col min="17" max="17" width="12.4140625" style="5" bestFit="1" customWidth="1"/>
    <col min="18" max="18" width="10.83203125" style="5" bestFit="1" customWidth="1"/>
    <col min="19" max="20" width="8.6640625" style="1"/>
    <col min="21" max="21" width="4.6640625" style="3" customWidth="1"/>
    <col min="22" max="22" width="19" style="3" bestFit="1" customWidth="1"/>
    <col min="23" max="23" width="16.6640625" style="3" bestFit="1" customWidth="1"/>
    <col min="24" max="24" width="18" style="3" customWidth="1"/>
    <col min="25" max="25" width="16.4140625" style="3" bestFit="1" customWidth="1"/>
    <col min="26" max="26" width="16.6640625" style="3" customWidth="1"/>
    <col min="27" max="27" width="13.6640625" style="3" customWidth="1"/>
    <col min="28" max="31" width="12.33203125" style="3" bestFit="1" customWidth="1"/>
    <col min="32" max="16384" width="8.6640625" style="3"/>
  </cols>
  <sheetData>
    <row r="1" spans="1:130" ht="43.5">
      <c r="A1" s="4" t="s">
        <v>0</v>
      </c>
      <c r="B1" s="4" t="s">
        <v>1</v>
      </c>
      <c r="C1" s="54" t="s">
        <v>96</v>
      </c>
      <c r="D1" s="293" t="s">
        <v>149</v>
      </c>
      <c r="E1" s="284" t="s">
        <v>224</v>
      </c>
      <c r="F1" s="54"/>
      <c r="G1" s="4" t="s">
        <v>15</v>
      </c>
      <c r="H1" s="4" t="s">
        <v>47</v>
      </c>
      <c r="I1" s="144" t="s">
        <v>16</v>
      </c>
      <c r="J1" s="144" t="s">
        <v>88</v>
      </c>
      <c r="K1" s="144" t="s">
        <v>119</v>
      </c>
      <c r="L1" s="144" t="s">
        <v>227</v>
      </c>
      <c r="M1" s="291"/>
      <c r="N1" s="148"/>
      <c r="O1" s="146"/>
      <c r="Q1" s="7" t="s">
        <v>18</v>
      </c>
      <c r="R1" s="7" t="s">
        <v>19</v>
      </c>
      <c r="S1" s="4" t="s">
        <v>20</v>
      </c>
      <c r="T1" s="4" t="s">
        <v>21</v>
      </c>
      <c r="V1" t="s">
        <v>22</v>
      </c>
      <c r="W1"/>
      <c r="X1"/>
      <c r="Y1"/>
      <c r="Z1"/>
      <c r="AA1"/>
      <c r="AB1"/>
      <c r="AC1"/>
      <c r="AD1"/>
    </row>
    <row r="2" spans="1:130" ht="16" thickBot="1">
      <c r="A2" s="268">
        <v>2010</v>
      </c>
      <c r="B2" s="268" t="s">
        <v>2</v>
      </c>
      <c r="C2" s="5">
        <v>9555492.307692308</v>
      </c>
      <c r="D2" s="5">
        <v>0</v>
      </c>
      <c r="E2" s="5">
        <v>9555492.307692308</v>
      </c>
      <c r="F2" s="5"/>
      <c r="G2" s="11">
        <f>'5b. Variables'!C2</f>
        <v>791.5</v>
      </c>
      <c r="H2" s="11">
        <f>'5b. Variables'!D2</f>
        <v>0</v>
      </c>
      <c r="I2" s="1">
        <f>'5b. Variables'!E2</f>
        <v>31</v>
      </c>
      <c r="J2" s="5">
        <f>'5b. Variables'!I2</f>
        <v>633.6</v>
      </c>
      <c r="K2" s="5">
        <f>'5b. Variables'!T2</f>
        <v>123708.66878762332</v>
      </c>
      <c r="L2" s="5">
        <f>'5b. Variables'!R2</f>
        <v>3487295.6334580001</v>
      </c>
      <c r="M2" s="5"/>
      <c r="N2" s="269"/>
      <c r="O2" s="5"/>
      <c r="P2" s="294"/>
      <c r="Q2" s="5">
        <f>$W$17+$W$18*G2+$W$19*H2+$W$20*I2+$W$21*J2+$W$22*K2+$W$23*L2</f>
        <v>9318943.5930046365</v>
      </c>
      <c r="R2" s="5">
        <f>Q2-E2</f>
        <v>-236548.71468767151</v>
      </c>
      <c r="S2" s="273">
        <f>R2/E2</f>
        <v>-2.4755261902858362E-2</v>
      </c>
      <c r="T2" s="273">
        <f>ABS(S2)</f>
        <v>2.4755261902858362E-2</v>
      </c>
      <c r="U2" s="270"/>
      <c r="V2"/>
      <c r="W2"/>
      <c r="X2"/>
      <c r="Y2"/>
      <c r="Z2"/>
      <c r="AA2"/>
      <c r="AB2"/>
      <c r="AC2"/>
      <c r="AD2"/>
      <c r="BH2" s="270"/>
      <c r="BI2" s="270"/>
      <c r="BJ2" s="270"/>
      <c r="BK2" s="270"/>
      <c r="BL2" s="270"/>
      <c r="BM2" s="270"/>
      <c r="BN2" s="270"/>
      <c r="BO2" s="270"/>
      <c r="BP2" s="270"/>
      <c r="BQ2" s="270"/>
      <c r="BR2" s="270"/>
      <c r="BS2" s="270"/>
      <c r="BT2" s="270"/>
      <c r="BU2" s="270"/>
      <c r="BV2" s="270"/>
      <c r="BW2" s="270"/>
      <c r="BX2" s="270"/>
      <c r="BY2" s="270"/>
      <c r="BZ2" s="270"/>
      <c r="CA2" s="270"/>
      <c r="CB2" s="270"/>
      <c r="CC2" s="270"/>
      <c r="CD2" s="270"/>
      <c r="CE2" s="270"/>
      <c r="CF2" s="270"/>
      <c r="CG2" s="270"/>
      <c r="CH2" s="270"/>
      <c r="CI2" s="270"/>
      <c r="CJ2" s="270"/>
      <c r="CK2" s="270"/>
      <c r="CL2" s="270"/>
      <c r="CM2" s="270"/>
      <c r="CN2" s="270"/>
      <c r="CO2" s="270"/>
      <c r="CP2" s="270"/>
      <c r="CQ2" s="270"/>
      <c r="CR2" s="270"/>
      <c r="CS2" s="270"/>
      <c r="CT2" s="270"/>
      <c r="CU2" s="270"/>
      <c r="CV2" s="270"/>
      <c r="CW2" s="270"/>
      <c r="CX2" s="270"/>
      <c r="CY2" s="270"/>
      <c r="CZ2" s="270"/>
      <c r="DA2" s="270"/>
      <c r="DB2" s="270"/>
      <c r="DC2" s="270"/>
      <c r="DD2" s="270"/>
      <c r="DE2" s="270"/>
      <c r="DF2" s="270"/>
      <c r="DG2" s="270"/>
      <c r="DH2" s="270"/>
      <c r="DI2" s="270"/>
      <c r="DJ2" s="270"/>
      <c r="DK2" s="270"/>
      <c r="DL2" s="270"/>
      <c r="DM2" s="270"/>
      <c r="DN2" s="270"/>
      <c r="DO2" s="270"/>
      <c r="DP2" s="270"/>
      <c r="DQ2" s="270"/>
      <c r="DR2" s="270"/>
      <c r="DS2" s="270"/>
      <c r="DT2" s="270"/>
      <c r="DU2" s="270"/>
      <c r="DV2" s="270"/>
      <c r="DW2" s="270"/>
      <c r="DX2" s="270"/>
      <c r="DY2" s="270"/>
      <c r="DZ2" s="270"/>
    </row>
    <row r="3" spans="1:130">
      <c r="A3" s="1">
        <v>2010</v>
      </c>
      <c r="B3" s="1" t="s">
        <v>3</v>
      </c>
      <c r="C3" s="5">
        <v>8513184.615384616</v>
      </c>
      <c r="D3" s="5">
        <v>0</v>
      </c>
      <c r="E3" s="5">
        <v>8513184.615384616</v>
      </c>
      <c r="F3" s="5"/>
      <c r="G3" s="11">
        <f>'5b. Variables'!C3</f>
        <v>680.1</v>
      </c>
      <c r="H3" s="11">
        <f>'5b. Variables'!D3</f>
        <v>0</v>
      </c>
      <c r="I3" s="1">
        <f>'5b. Variables'!E3</f>
        <v>28</v>
      </c>
      <c r="J3" s="5">
        <f>'5b. Variables'!I3</f>
        <v>630.5</v>
      </c>
      <c r="K3" s="5">
        <f>'5b. Variables'!T3</f>
        <v>122523.99878500466</v>
      </c>
      <c r="L3" s="5">
        <f>'5b. Variables'!R3</f>
        <v>3203840.5107670003</v>
      </c>
      <c r="M3" s="5"/>
      <c r="N3" s="269"/>
      <c r="O3" s="5"/>
      <c r="Q3" s="5">
        <f t="shared" ref="Q3:Q66" si="0">$W$17+$W$18*G3+$W$19*H3+$W$20*I3+$W$21*J3+$W$22*K3+$W$23*L3</f>
        <v>8393305.4302081</v>
      </c>
      <c r="R3" s="5">
        <f t="shared" ref="R3:R66" si="1">Q3-E3</f>
        <v>-119879.18517651595</v>
      </c>
      <c r="S3" s="273">
        <f t="shared" ref="S3:S66" si="2">R3/E3</f>
        <v>-1.4081591154487132E-2</v>
      </c>
      <c r="T3" s="273">
        <f t="shared" ref="T3:T66" si="3">ABS(S3)</f>
        <v>1.4081591154487132E-2</v>
      </c>
      <c r="V3" s="288" t="s">
        <v>23</v>
      </c>
      <c r="W3" s="288"/>
      <c r="X3"/>
      <c r="Y3"/>
      <c r="Z3"/>
      <c r="AA3"/>
      <c r="AB3"/>
      <c r="AC3"/>
      <c r="AD3"/>
    </row>
    <row r="4" spans="1:130">
      <c r="A4" s="1">
        <v>2010</v>
      </c>
      <c r="B4" s="1" t="s">
        <v>4</v>
      </c>
      <c r="C4" s="5">
        <v>8793400</v>
      </c>
      <c r="D4" s="5">
        <v>0</v>
      </c>
      <c r="E4" s="5">
        <v>8793400</v>
      </c>
      <c r="F4" s="5"/>
      <c r="G4" s="11">
        <f>'5b. Variables'!C4</f>
        <v>504.69999999999987</v>
      </c>
      <c r="H4" s="11">
        <f>'5b. Variables'!D4</f>
        <v>0</v>
      </c>
      <c r="I4" s="1">
        <f>'5b. Variables'!E4</f>
        <v>31</v>
      </c>
      <c r="J4" s="5">
        <f>'5b. Variables'!I4</f>
        <v>627.5</v>
      </c>
      <c r="K4" s="5">
        <f>'5b. Variables'!T4</f>
        <v>121339.328782386</v>
      </c>
      <c r="L4" s="5">
        <f>'5b. Variables'!R4</f>
        <v>3646819.0608330001</v>
      </c>
      <c r="M4" s="5"/>
      <c r="N4" s="269"/>
      <c r="O4" s="5"/>
      <c r="Q4" s="5">
        <f t="shared" si="0"/>
        <v>8712161.712601779</v>
      </c>
      <c r="R4" s="5">
        <f t="shared" si="1"/>
        <v>-81238.287398220971</v>
      </c>
      <c r="S4" s="273">
        <f t="shared" si="2"/>
        <v>-9.2385524823414122E-3</v>
      </c>
      <c r="T4" s="273">
        <f t="shared" si="3"/>
        <v>9.2385524823414122E-3</v>
      </c>
      <c r="V4" s="285" t="s">
        <v>24</v>
      </c>
      <c r="W4" s="285">
        <v>0.97530320964289774</v>
      </c>
      <c r="X4"/>
      <c r="Y4"/>
      <c r="Z4"/>
      <c r="AA4"/>
      <c r="AB4"/>
      <c r="AC4"/>
      <c r="AD4"/>
    </row>
    <row r="5" spans="1:130">
      <c r="A5" s="1">
        <v>2010</v>
      </c>
      <c r="B5" s="1" t="s">
        <v>5</v>
      </c>
      <c r="C5" s="5">
        <v>7779600</v>
      </c>
      <c r="D5" s="5">
        <v>0</v>
      </c>
      <c r="E5" s="5">
        <v>7779600</v>
      </c>
      <c r="F5" s="5"/>
      <c r="G5" s="11">
        <f>'5b. Variables'!C5</f>
        <v>273.20000000000005</v>
      </c>
      <c r="H5" s="11">
        <f>'5b. Variables'!D5</f>
        <v>1</v>
      </c>
      <c r="I5" s="1">
        <f>'5b. Variables'!E5</f>
        <v>30</v>
      </c>
      <c r="J5" s="5">
        <f>'5b. Variables'!I5</f>
        <v>631.6</v>
      </c>
      <c r="K5" s="5">
        <f>'5b. Variables'!T5</f>
        <v>120154.65877976734</v>
      </c>
      <c r="L5" s="5">
        <f>'5b. Variables'!R5</f>
        <v>3531302.5569770001</v>
      </c>
      <c r="M5" s="5"/>
      <c r="N5" s="269"/>
      <c r="O5" s="5"/>
      <c r="Q5" s="5">
        <f t="shared" si="0"/>
        <v>7898887.9752515387</v>
      </c>
      <c r="R5" s="5">
        <f t="shared" si="1"/>
        <v>119287.97525153868</v>
      </c>
      <c r="S5" s="273">
        <f t="shared" si="2"/>
        <v>1.5333432985184159E-2</v>
      </c>
      <c r="T5" s="273">
        <f t="shared" si="3"/>
        <v>1.5333432985184159E-2</v>
      </c>
      <c r="V5" s="285" t="s">
        <v>25</v>
      </c>
      <c r="W5" s="285">
        <v>0.9512163507397382</v>
      </c>
      <c r="X5"/>
      <c r="Y5"/>
      <c r="Z5"/>
      <c r="AA5"/>
      <c r="AB5"/>
      <c r="AC5"/>
      <c r="AD5"/>
    </row>
    <row r="6" spans="1:130">
      <c r="A6" s="1">
        <v>2010</v>
      </c>
      <c r="B6" s="1" t="s">
        <v>6</v>
      </c>
      <c r="C6" s="5">
        <v>8100938.461538461</v>
      </c>
      <c r="D6" s="5">
        <v>0</v>
      </c>
      <c r="E6" s="5">
        <v>8100938.461538461</v>
      </c>
      <c r="F6" s="5"/>
      <c r="G6" s="11">
        <f>'5b. Variables'!C6</f>
        <v>148.19999999999996</v>
      </c>
      <c r="H6" s="11">
        <f>'5b. Variables'!D6</f>
        <v>24</v>
      </c>
      <c r="I6" s="1">
        <f>'5b. Variables'!E6</f>
        <v>31</v>
      </c>
      <c r="J6" s="5">
        <f>'5b. Variables'!I6</f>
        <v>641.5</v>
      </c>
      <c r="K6" s="5">
        <f>'5b. Variables'!T6</f>
        <v>118969.98877714868</v>
      </c>
      <c r="L6" s="5">
        <f>'5b. Variables'!R6</f>
        <v>3786484.3631810001</v>
      </c>
      <c r="M6" s="5"/>
      <c r="N6" s="269"/>
      <c r="O6" s="5"/>
      <c r="Q6" s="5">
        <f t="shared" si="0"/>
        <v>8183082.6727445442</v>
      </c>
      <c r="R6" s="5">
        <f t="shared" si="1"/>
        <v>82144.211206083186</v>
      </c>
      <c r="S6" s="273">
        <f t="shared" si="2"/>
        <v>1.0140085817968682E-2</v>
      </c>
      <c r="T6" s="273">
        <f t="shared" si="3"/>
        <v>1.0140085817968682E-2</v>
      </c>
      <c r="V6" s="285" t="s">
        <v>26</v>
      </c>
      <c r="W6" s="285">
        <v>0.94862606847813136</v>
      </c>
      <c r="X6"/>
      <c r="Y6"/>
      <c r="Z6"/>
      <c r="AA6"/>
      <c r="AB6"/>
      <c r="AC6"/>
      <c r="AD6"/>
    </row>
    <row r="7" spans="1:130">
      <c r="A7" s="1">
        <v>2010</v>
      </c>
      <c r="B7" s="1" t="s">
        <v>7</v>
      </c>
      <c r="C7" s="5">
        <v>7984484.615384616</v>
      </c>
      <c r="D7" s="5">
        <v>0</v>
      </c>
      <c r="E7" s="5">
        <v>7984484.615384616</v>
      </c>
      <c r="F7" s="5"/>
      <c r="G7" s="11">
        <f>'5b. Variables'!C7</f>
        <v>55.233333333333327</v>
      </c>
      <c r="H7" s="11">
        <f>'5b. Variables'!D7</f>
        <v>18.7</v>
      </c>
      <c r="I7" s="1">
        <f>'5b. Variables'!E7</f>
        <v>30</v>
      </c>
      <c r="J7" s="5">
        <f>'5b. Variables'!I7</f>
        <v>657.2</v>
      </c>
      <c r="K7" s="5">
        <f>'5b. Variables'!T7</f>
        <v>117785.31877453002</v>
      </c>
      <c r="L7" s="5">
        <f>'5b. Variables'!R7</f>
        <v>3861171.0436650002</v>
      </c>
      <c r="M7" s="5"/>
      <c r="N7" s="269"/>
      <c r="O7" s="5"/>
      <c r="Q7" s="5">
        <f t="shared" si="0"/>
        <v>7859210.0382271111</v>
      </c>
      <c r="R7" s="5">
        <f t="shared" si="1"/>
        <v>-125274.57715750486</v>
      </c>
      <c r="S7" s="273">
        <f t="shared" si="2"/>
        <v>-1.568975121025646E-2</v>
      </c>
      <c r="T7" s="273">
        <f t="shared" si="3"/>
        <v>1.568975121025646E-2</v>
      </c>
      <c r="V7" s="285" t="s">
        <v>27</v>
      </c>
      <c r="W7" s="285">
        <v>133434.41254502552</v>
      </c>
      <c r="X7"/>
      <c r="Y7"/>
      <c r="Z7"/>
      <c r="AA7"/>
      <c r="AB7"/>
      <c r="AC7"/>
      <c r="AD7"/>
    </row>
    <row r="8" spans="1:130" ht="16" thickBot="1">
      <c r="A8" s="1">
        <v>2010</v>
      </c>
      <c r="B8" s="1" t="s">
        <v>8</v>
      </c>
      <c r="C8" s="5">
        <v>8350992.3076923089</v>
      </c>
      <c r="D8" s="5">
        <v>0</v>
      </c>
      <c r="E8" s="5">
        <v>8350992.3076923089</v>
      </c>
      <c r="F8" s="5"/>
      <c r="G8" s="11">
        <f>'5b. Variables'!C8</f>
        <v>12.7</v>
      </c>
      <c r="H8" s="11">
        <f>'5b. Variables'!D8</f>
        <v>89.7</v>
      </c>
      <c r="I8" s="1">
        <f>'5b. Variables'!E8</f>
        <v>31</v>
      </c>
      <c r="J8" s="5">
        <f>'5b. Variables'!I8</f>
        <v>669.8</v>
      </c>
      <c r="K8" s="5">
        <f>'5b. Variables'!T8</f>
        <v>116600.64877191136</v>
      </c>
      <c r="L8" s="5">
        <f>'5b. Variables'!R8</f>
        <v>3721817.7134580002</v>
      </c>
      <c r="M8" s="5"/>
      <c r="N8" s="269"/>
      <c r="O8" s="5"/>
      <c r="Q8" s="5">
        <f t="shared" si="0"/>
        <v>8488985.2460540868</v>
      </c>
      <c r="R8" s="5">
        <f t="shared" si="1"/>
        <v>137992.93836177792</v>
      </c>
      <c r="S8" s="273">
        <f t="shared" si="2"/>
        <v>1.652413668668682E-2</v>
      </c>
      <c r="T8" s="273">
        <f t="shared" si="3"/>
        <v>1.652413668668682E-2</v>
      </c>
      <c r="V8" s="286" t="s">
        <v>28</v>
      </c>
      <c r="W8" s="286">
        <v>120</v>
      </c>
      <c r="X8"/>
      <c r="Y8"/>
      <c r="Z8"/>
      <c r="AA8"/>
      <c r="AB8"/>
      <c r="AC8"/>
      <c r="AD8"/>
    </row>
    <row r="9" spans="1:130">
      <c r="A9" s="1">
        <v>2010</v>
      </c>
      <c r="B9" s="1" t="s">
        <v>9</v>
      </c>
      <c r="C9" s="5">
        <v>8692192.307692308</v>
      </c>
      <c r="D9" s="5">
        <v>0</v>
      </c>
      <c r="E9" s="5">
        <v>8692192.307692308</v>
      </c>
      <c r="F9" s="5"/>
      <c r="G9" s="11">
        <f>'5b. Variables'!C9</f>
        <v>19.299999999999997</v>
      </c>
      <c r="H9" s="11">
        <f>'5b. Variables'!D9</f>
        <v>82.000000000000014</v>
      </c>
      <c r="I9" s="1">
        <f>'5b. Variables'!E9</f>
        <v>31</v>
      </c>
      <c r="J9" s="5">
        <f>'5b. Variables'!I9</f>
        <v>672</v>
      </c>
      <c r="K9" s="5">
        <f>'5b. Variables'!T9</f>
        <v>115415.97876929271</v>
      </c>
      <c r="L9" s="5">
        <f>'5b. Variables'!R9</f>
        <v>4170740.4139440004</v>
      </c>
      <c r="M9" s="5"/>
      <c r="N9" s="269"/>
      <c r="O9" s="5"/>
      <c r="Q9" s="5">
        <f t="shared" si="0"/>
        <v>8843441.9437954836</v>
      </c>
      <c r="R9" s="5">
        <f t="shared" si="1"/>
        <v>151249.63610317558</v>
      </c>
      <c r="S9" s="273">
        <f t="shared" si="2"/>
        <v>1.7400631595475006E-2</v>
      </c>
      <c r="T9" s="273">
        <f t="shared" si="3"/>
        <v>1.7400631595475006E-2</v>
      </c>
      <c r="V9"/>
      <c r="W9"/>
      <c r="X9"/>
      <c r="Y9"/>
      <c r="Z9"/>
      <c r="AA9"/>
      <c r="AB9"/>
      <c r="AC9"/>
      <c r="AD9"/>
    </row>
    <row r="10" spans="1:130" ht="16" thickBot="1">
      <c r="A10" s="1">
        <v>2010</v>
      </c>
      <c r="B10" s="1" t="s">
        <v>10</v>
      </c>
      <c r="C10" s="5">
        <v>8099892.3076923089</v>
      </c>
      <c r="D10" s="5">
        <v>0</v>
      </c>
      <c r="E10" s="5">
        <v>8099892.3076923089</v>
      </c>
      <c r="F10" s="5"/>
      <c r="G10" s="11">
        <f>'5b. Variables'!C10</f>
        <v>137</v>
      </c>
      <c r="H10" s="11">
        <f>'5b. Variables'!D10</f>
        <v>15.5</v>
      </c>
      <c r="I10" s="1">
        <f>'5b. Variables'!E10</f>
        <v>30</v>
      </c>
      <c r="J10" s="5">
        <f>'5b. Variables'!I10</f>
        <v>665.1</v>
      </c>
      <c r="K10" s="5">
        <f>'5b. Variables'!T10</f>
        <v>114231.30876667405</v>
      </c>
      <c r="L10" s="5">
        <f>'5b. Variables'!R10</f>
        <v>3919808.5180150005</v>
      </c>
      <c r="M10" s="5"/>
      <c r="N10" s="269"/>
      <c r="O10" s="5"/>
      <c r="Q10" s="5">
        <f t="shared" si="0"/>
        <v>8111298.3560189772</v>
      </c>
      <c r="R10" s="5">
        <f t="shared" si="1"/>
        <v>11406.04832666833</v>
      </c>
      <c r="S10" s="273">
        <f t="shared" si="2"/>
        <v>1.4081728365494723E-3</v>
      </c>
      <c r="T10" s="273">
        <f t="shared" si="3"/>
        <v>1.4081728365494723E-3</v>
      </c>
      <c r="V10" t="s">
        <v>29</v>
      </c>
      <c r="W10"/>
      <c r="X10"/>
      <c r="Y10"/>
      <c r="Z10"/>
      <c r="AA10"/>
      <c r="AB10"/>
      <c r="AC10"/>
      <c r="AD10"/>
    </row>
    <row r="11" spans="1:130">
      <c r="A11" s="1">
        <v>2010</v>
      </c>
      <c r="B11" s="1" t="s">
        <v>11</v>
      </c>
      <c r="C11" s="5">
        <v>8501569.2307692319</v>
      </c>
      <c r="D11" s="5">
        <v>0</v>
      </c>
      <c r="E11" s="5">
        <v>8501569.2307692319</v>
      </c>
      <c r="F11" s="5"/>
      <c r="G11" s="11">
        <f>'5b. Variables'!C11</f>
        <v>300.99999999999994</v>
      </c>
      <c r="H11" s="11">
        <f>'5b. Variables'!D11</f>
        <v>0</v>
      </c>
      <c r="I11" s="1">
        <f>'5b. Variables'!E11</f>
        <v>31</v>
      </c>
      <c r="J11" s="5">
        <f>'5b. Variables'!I11</f>
        <v>657.2</v>
      </c>
      <c r="K11" s="5">
        <f>'5b. Variables'!T11</f>
        <v>113046.63876405539</v>
      </c>
      <c r="L11" s="5">
        <f>'5b. Variables'!R11</f>
        <v>3943157.2559859999</v>
      </c>
      <c r="M11" s="5"/>
      <c r="N11" s="269"/>
      <c r="O11" s="5"/>
      <c r="P11" s="294"/>
      <c r="Q11" s="5">
        <f t="shared" si="0"/>
        <v>8514880.332229659</v>
      </c>
      <c r="R11" s="5">
        <f t="shared" si="1"/>
        <v>13311.101460427046</v>
      </c>
      <c r="S11" s="273">
        <f t="shared" si="2"/>
        <v>1.5657228799891385E-3</v>
      </c>
      <c r="T11" s="273">
        <f t="shared" si="3"/>
        <v>1.5657228799891385E-3</v>
      </c>
      <c r="U11" s="270"/>
      <c r="V11" s="287"/>
      <c r="W11" s="287" t="s">
        <v>34</v>
      </c>
      <c r="X11" s="287" t="s">
        <v>35</v>
      </c>
      <c r="Y11" s="287" t="s">
        <v>36</v>
      </c>
      <c r="Z11" s="287" t="s">
        <v>37</v>
      </c>
      <c r="AA11" s="287" t="s">
        <v>38</v>
      </c>
      <c r="AB11"/>
      <c r="AC11"/>
      <c r="AD11"/>
    </row>
    <row r="12" spans="1:130">
      <c r="A12" s="1">
        <v>2010</v>
      </c>
      <c r="B12" s="1" t="s">
        <v>12</v>
      </c>
      <c r="C12" s="5">
        <v>8832892.307692308</v>
      </c>
      <c r="D12" s="5">
        <v>0</v>
      </c>
      <c r="E12" s="5">
        <v>8832892.307692308</v>
      </c>
      <c r="F12" s="5"/>
      <c r="G12" s="11">
        <f>'5b. Variables'!C12</f>
        <v>439.26666666666659</v>
      </c>
      <c r="H12" s="11">
        <f>'5b. Variables'!D12</f>
        <v>0</v>
      </c>
      <c r="I12" s="1">
        <f>'5b. Variables'!E12</f>
        <v>30</v>
      </c>
      <c r="J12" s="5">
        <f>'5b. Variables'!I12</f>
        <v>622.20000000000005</v>
      </c>
      <c r="K12" s="5">
        <f>'5b. Variables'!T12</f>
        <v>111861.96876143673</v>
      </c>
      <c r="L12" s="5">
        <f>'5b. Variables'!R12</f>
        <v>3894738.300245</v>
      </c>
      <c r="M12" s="5"/>
      <c r="N12" s="269"/>
      <c r="O12" s="5"/>
      <c r="P12" s="294"/>
      <c r="Q12" s="5">
        <f t="shared" si="0"/>
        <v>8648877.8024149165</v>
      </c>
      <c r="R12" s="5">
        <f t="shared" si="1"/>
        <v>-184014.50527739152</v>
      </c>
      <c r="S12" s="273">
        <f t="shared" si="2"/>
        <v>-2.0832870917846316E-2</v>
      </c>
      <c r="T12" s="273">
        <f t="shared" si="3"/>
        <v>2.0832870917846316E-2</v>
      </c>
      <c r="U12" s="270"/>
      <c r="V12" s="285" t="s">
        <v>30</v>
      </c>
      <c r="W12" s="285">
        <v>6</v>
      </c>
      <c r="X12" s="471">
        <v>39230077103225.82</v>
      </c>
      <c r="Y12" s="471">
        <v>6538346183870.9697</v>
      </c>
      <c r="Z12" s="285">
        <v>367.22497962429418</v>
      </c>
      <c r="AA12" s="285">
        <v>1.1765871741133081E-71</v>
      </c>
      <c r="AB12"/>
      <c r="AC12"/>
      <c r="AD12"/>
    </row>
    <row r="13" spans="1:130">
      <c r="A13" s="1">
        <v>2010</v>
      </c>
      <c r="B13" s="1" t="s">
        <v>13</v>
      </c>
      <c r="C13" s="5">
        <v>9403583.4523076937</v>
      </c>
      <c r="D13" s="5">
        <v>24.24</v>
      </c>
      <c r="E13" s="5">
        <v>9403607.6923076939</v>
      </c>
      <c r="F13" s="5"/>
      <c r="G13" s="11">
        <f>'5b. Variables'!C13</f>
        <v>744.29999999999984</v>
      </c>
      <c r="H13" s="11">
        <f>'5b. Variables'!D13</f>
        <v>0</v>
      </c>
      <c r="I13" s="1">
        <f>'5b. Variables'!E13</f>
        <v>31</v>
      </c>
      <c r="J13" s="5">
        <f>'5b. Variables'!I13</f>
        <v>653.29999999999995</v>
      </c>
      <c r="K13" s="5">
        <f>'5b. Variables'!T13</f>
        <v>110677.29875881807</v>
      </c>
      <c r="L13" s="5">
        <f>'5b. Variables'!R13</f>
        <v>3453655.6664740001</v>
      </c>
      <c r="M13" s="5"/>
      <c r="N13" s="269"/>
      <c r="O13" s="5"/>
      <c r="P13" s="294"/>
      <c r="Q13" s="5">
        <f t="shared" si="0"/>
        <v>9217426.0149801634</v>
      </c>
      <c r="R13" s="5">
        <f t="shared" si="1"/>
        <v>-186181.67732753046</v>
      </c>
      <c r="S13" s="273">
        <f t="shared" si="2"/>
        <v>-1.9798962634290894E-2</v>
      </c>
      <c r="T13" s="273">
        <f t="shared" si="3"/>
        <v>1.9798962634290894E-2</v>
      </c>
      <c r="U13" s="270"/>
      <c r="V13" s="285" t="s">
        <v>31</v>
      </c>
      <c r="W13" s="285">
        <v>113</v>
      </c>
      <c r="X13" s="471">
        <v>2011935896989.6753</v>
      </c>
      <c r="Y13" s="471">
        <v>17804742451.236065</v>
      </c>
      <c r="Z13" s="285"/>
      <c r="AA13" s="285"/>
      <c r="AB13"/>
      <c r="AC13"/>
      <c r="AD13"/>
    </row>
    <row r="14" spans="1:130" ht="16" thickBot="1">
      <c r="A14" s="268">
        <v>2011</v>
      </c>
      <c r="B14" s="268" t="s">
        <v>2</v>
      </c>
      <c r="C14" s="5">
        <v>9903427.0876923073</v>
      </c>
      <c r="D14" s="5">
        <v>65.22</v>
      </c>
      <c r="E14" s="5">
        <v>9903492.307692308</v>
      </c>
      <c r="F14" s="5"/>
      <c r="G14" s="11">
        <f>'5b. Variables'!C14</f>
        <v>866.5</v>
      </c>
      <c r="H14" s="11">
        <f>'5b. Variables'!D14</f>
        <v>0</v>
      </c>
      <c r="I14" s="1">
        <f>'5b. Variables'!E14</f>
        <v>31</v>
      </c>
      <c r="J14" s="5">
        <f>'5b. Variables'!I14</f>
        <v>649.29999999999995</v>
      </c>
      <c r="K14" s="5">
        <f>'5b. Variables'!T14</f>
        <v>112928.17222494788</v>
      </c>
      <c r="L14" s="5">
        <f>'5b. Variables'!R14</f>
        <v>3844682.6114840005</v>
      </c>
      <c r="M14" s="5"/>
      <c r="N14" s="269"/>
      <c r="O14" s="5"/>
      <c r="P14" s="294"/>
      <c r="Q14" s="5">
        <f t="shared" si="0"/>
        <v>9882334.9873203579</v>
      </c>
      <c r="R14" s="5">
        <f t="shared" si="1"/>
        <v>-21157.320371950045</v>
      </c>
      <c r="S14" s="273">
        <f t="shared" si="2"/>
        <v>-2.13634945275987E-3</v>
      </c>
      <c r="T14" s="273">
        <f t="shared" si="3"/>
        <v>2.13634945275987E-3</v>
      </c>
      <c r="U14" s="270"/>
      <c r="V14" s="286" t="s">
        <v>32</v>
      </c>
      <c r="W14" s="286">
        <v>119</v>
      </c>
      <c r="X14" s="472">
        <v>41242013000215.492</v>
      </c>
      <c r="Y14" s="472"/>
      <c r="Z14" s="286"/>
      <c r="AA14" s="286"/>
      <c r="AB14"/>
      <c r="AC14"/>
      <c r="AD14"/>
    </row>
    <row r="15" spans="1:130" ht="16" thickBot="1">
      <c r="A15" s="1">
        <v>2011</v>
      </c>
      <c r="B15" s="1" t="s">
        <v>3</v>
      </c>
      <c r="C15" s="5">
        <v>9128544.0323076937</v>
      </c>
      <c r="D15" s="5">
        <v>1663.6599999999999</v>
      </c>
      <c r="E15" s="5">
        <v>9130207.6923076939</v>
      </c>
      <c r="F15" s="5"/>
      <c r="G15" s="11">
        <f>'5b. Variables'!C15</f>
        <v>720.4000000000002</v>
      </c>
      <c r="H15" s="11">
        <f>'5b. Variables'!D15</f>
        <v>0</v>
      </c>
      <c r="I15" s="1">
        <f>'5b. Variables'!E15</f>
        <v>29</v>
      </c>
      <c r="J15" s="5">
        <f>'5b. Variables'!I15</f>
        <v>651.20000000000005</v>
      </c>
      <c r="K15" s="5">
        <f>'5b. Variables'!T15</f>
        <v>115179.04569107768</v>
      </c>
      <c r="L15" s="5">
        <f>'5b. Variables'!R15</f>
        <v>3768297.0046930001</v>
      </c>
      <c r="M15" s="5"/>
      <c r="N15" s="269"/>
      <c r="O15" s="5"/>
      <c r="P15" s="294"/>
      <c r="Q15" s="5">
        <f t="shared" si="0"/>
        <v>9183477.2561852634</v>
      </c>
      <c r="R15" s="5">
        <f t="shared" si="1"/>
        <v>53269.563877569512</v>
      </c>
      <c r="S15" s="273">
        <f t="shared" si="2"/>
        <v>5.8344306803064004E-3</v>
      </c>
      <c r="T15" s="273">
        <f t="shared" si="3"/>
        <v>5.8344306803064004E-3</v>
      </c>
      <c r="U15" s="270"/>
      <c r="V15"/>
      <c r="W15"/>
      <c r="X15"/>
      <c r="Y15"/>
      <c r="Z15"/>
      <c r="AA15"/>
      <c r="AB15"/>
      <c r="AC15"/>
      <c r="AD15"/>
    </row>
    <row r="16" spans="1:130">
      <c r="A16" s="1">
        <v>2011</v>
      </c>
      <c r="B16" s="1" t="s">
        <v>4</v>
      </c>
      <c r="C16" s="5">
        <v>9819841.7661538478</v>
      </c>
      <c r="D16" s="5">
        <v>5312.08</v>
      </c>
      <c r="E16" s="5">
        <v>9825153.8461538479</v>
      </c>
      <c r="F16" s="5"/>
      <c r="G16" s="11">
        <f>'5b. Variables'!C16</f>
        <v>660.1</v>
      </c>
      <c r="H16" s="11">
        <f>'5b. Variables'!D16</f>
        <v>0</v>
      </c>
      <c r="I16" s="1">
        <f>'5b. Variables'!E16</f>
        <v>31</v>
      </c>
      <c r="J16" s="5">
        <f>'5b. Variables'!I16</f>
        <v>657.1</v>
      </c>
      <c r="K16" s="5">
        <f>'5b. Variables'!T16</f>
        <v>117429.91915720749</v>
      </c>
      <c r="L16" s="5">
        <f>'5b. Variables'!R16</f>
        <v>4320214.4097060002</v>
      </c>
      <c r="M16" s="5"/>
      <c r="N16" s="269"/>
      <c r="O16" s="5"/>
      <c r="P16" s="294"/>
      <c r="Q16" s="5">
        <f t="shared" si="0"/>
        <v>9786426.5654231459</v>
      </c>
      <c r="R16" s="5">
        <f t="shared" si="1"/>
        <v>-38727.280730701983</v>
      </c>
      <c r="S16" s="273">
        <f t="shared" si="2"/>
        <v>-3.9416462415865529E-3</v>
      </c>
      <c r="T16" s="273">
        <f t="shared" si="3"/>
        <v>3.9416462415865529E-3</v>
      </c>
      <c r="U16" s="270"/>
      <c r="V16" s="287"/>
      <c r="W16" s="287" t="s">
        <v>39</v>
      </c>
      <c r="X16" s="287" t="s">
        <v>27</v>
      </c>
      <c r="Y16" s="287" t="s">
        <v>40</v>
      </c>
      <c r="Z16" s="287" t="s">
        <v>41</v>
      </c>
      <c r="AA16" s="287" t="s">
        <v>42</v>
      </c>
      <c r="AB16" s="287" t="s">
        <v>43</v>
      </c>
      <c r="AC16" s="287" t="s">
        <v>44</v>
      </c>
      <c r="AD16" s="287" t="s">
        <v>45</v>
      </c>
    </row>
    <row r="17" spans="1:40">
      <c r="A17" s="1">
        <v>2011</v>
      </c>
      <c r="B17" s="1" t="s">
        <v>5</v>
      </c>
      <c r="C17" s="5">
        <v>7993570.4807692319</v>
      </c>
      <c r="D17" s="5">
        <v>7098.75</v>
      </c>
      <c r="E17" s="5">
        <v>8000669.2307692319</v>
      </c>
      <c r="F17" s="5"/>
      <c r="G17" s="11">
        <f>'5b. Variables'!C17</f>
        <v>379.3</v>
      </c>
      <c r="H17" s="11">
        <f>'5b. Variables'!D17</f>
        <v>0</v>
      </c>
      <c r="I17" s="1">
        <f>'5b. Variables'!E17</f>
        <v>30</v>
      </c>
      <c r="J17" s="5">
        <f>'5b. Variables'!I17</f>
        <v>666.4</v>
      </c>
      <c r="K17" s="5">
        <f>'5b. Variables'!T17</f>
        <v>119680.7926233373</v>
      </c>
      <c r="L17" s="5">
        <f>'5b. Variables'!R17</f>
        <v>3411269.8554350003</v>
      </c>
      <c r="M17" s="5"/>
      <c r="N17" s="269"/>
      <c r="O17" s="5"/>
      <c r="P17" s="294"/>
      <c r="Q17" s="5">
        <f t="shared" si="0"/>
        <v>8113841.3188522644</v>
      </c>
      <c r="R17" s="5">
        <f t="shared" si="1"/>
        <v>113172.08808303252</v>
      </c>
      <c r="S17" s="273">
        <f t="shared" si="2"/>
        <v>1.414532769931191E-2</v>
      </c>
      <c r="T17" s="273">
        <f t="shared" si="3"/>
        <v>1.414532769931191E-2</v>
      </c>
      <c r="U17" s="270"/>
      <c r="V17" s="285" t="s">
        <v>33</v>
      </c>
      <c r="W17" s="285">
        <v>-663303.37977092713</v>
      </c>
      <c r="X17" s="285">
        <v>643060.91331376031</v>
      </c>
      <c r="Y17" s="285">
        <v>-1.0314783032805637</v>
      </c>
      <c r="Z17" s="285">
        <v>0.30451922396825698</v>
      </c>
      <c r="AA17" s="285">
        <v>-1937323.0311354038</v>
      </c>
      <c r="AB17" s="285">
        <v>610716.27159354952</v>
      </c>
      <c r="AC17" s="285">
        <v>-1937323.0311354038</v>
      </c>
      <c r="AD17" s="285">
        <v>610716.27159354952</v>
      </c>
    </row>
    <row r="18" spans="1:40">
      <c r="A18" s="1">
        <v>2011</v>
      </c>
      <c r="B18" s="1" t="s">
        <v>6</v>
      </c>
      <c r="C18" s="5">
        <v>7965990.9553846158</v>
      </c>
      <c r="D18" s="5">
        <v>6193.66</v>
      </c>
      <c r="E18" s="5">
        <v>7972184.615384616</v>
      </c>
      <c r="F18" s="5"/>
      <c r="G18" s="11">
        <f>'5b. Variables'!C18</f>
        <v>168.09999999999997</v>
      </c>
      <c r="H18" s="11">
        <f>'5b. Variables'!D18</f>
        <v>12.8</v>
      </c>
      <c r="I18" s="1">
        <f>'5b. Variables'!E18</f>
        <v>31</v>
      </c>
      <c r="J18" s="5">
        <f>'5b. Variables'!I18</f>
        <v>671.5</v>
      </c>
      <c r="K18" s="5">
        <f>'5b. Variables'!T18</f>
        <v>121931.66608946711</v>
      </c>
      <c r="L18" s="5">
        <f>'5b. Variables'!R18</f>
        <v>3753615.9545820006</v>
      </c>
      <c r="M18" s="5"/>
      <c r="N18" s="269"/>
      <c r="O18" s="5"/>
      <c r="P18" s="294"/>
      <c r="Q18" s="5">
        <f t="shared" si="0"/>
        <v>8136989.7160965167</v>
      </c>
      <c r="R18" s="5">
        <f t="shared" si="1"/>
        <v>164805.10071190074</v>
      </c>
      <c r="S18" s="273">
        <f t="shared" si="2"/>
        <v>2.0672514331123496E-2</v>
      </c>
      <c r="T18" s="273">
        <f t="shared" si="3"/>
        <v>2.0672514331123496E-2</v>
      </c>
      <c r="U18" s="270"/>
      <c r="V18" s="285" t="s">
        <v>15</v>
      </c>
      <c r="W18" s="285">
        <v>2600.2149921650948</v>
      </c>
      <c r="X18" s="285">
        <v>65.192617412761109</v>
      </c>
      <c r="Y18" s="285">
        <v>39.885114225466218</v>
      </c>
      <c r="Z18" s="285">
        <v>2.0536771688068938E-68</v>
      </c>
      <c r="AA18" s="285">
        <v>2471.0566589680984</v>
      </c>
      <c r="AB18" s="285">
        <v>2729.3733253620912</v>
      </c>
      <c r="AC18" s="285">
        <v>2471.0566589680984</v>
      </c>
      <c r="AD18" s="285">
        <v>2729.3733253620912</v>
      </c>
    </row>
    <row r="19" spans="1:40">
      <c r="A19" s="1">
        <v>2011</v>
      </c>
      <c r="B19" s="1" t="s">
        <v>7</v>
      </c>
      <c r="C19" s="5">
        <v>7938233.0184615394</v>
      </c>
      <c r="D19" s="5">
        <v>9228.52</v>
      </c>
      <c r="E19" s="5">
        <v>7947461.538461539</v>
      </c>
      <c r="F19" s="5"/>
      <c r="G19" s="11">
        <f>'5b. Variables'!C19</f>
        <v>64.099999999999994</v>
      </c>
      <c r="H19" s="11">
        <f>'5b. Variables'!D19</f>
        <v>16.400000000000002</v>
      </c>
      <c r="I19" s="1">
        <f>'5b. Variables'!E19</f>
        <v>30</v>
      </c>
      <c r="J19" s="5">
        <f>'5b. Variables'!I19</f>
        <v>681.8</v>
      </c>
      <c r="K19" s="5">
        <f>'5b. Variables'!T19</f>
        <v>124182.53955559692</v>
      </c>
      <c r="L19" s="5">
        <f>'5b. Variables'!R19</f>
        <v>3885859.6709010005</v>
      </c>
      <c r="M19" s="5"/>
      <c r="N19" s="269"/>
      <c r="O19" s="5"/>
      <c r="P19" s="294"/>
      <c r="Q19" s="5">
        <f t="shared" si="0"/>
        <v>7913251.6472918261</v>
      </c>
      <c r="R19" s="5">
        <f t="shared" si="1"/>
        <v>-34209.891169712879</v>
      </c>
      <c r="S19" s="273">
        <f t="shared" si="2"/>
        <v>-4.3045054076896096E-3</v>
      </c>
      <c r="T19" s="273">
        <f t="shared" si="3"/>
        <v>4.3045054076896096E-3</v>
      </c>
      <c r="U19" s="270"/>
      <c r="V19" s="285" t="s">
        <v>47</v>
      </c>
      <c r="W19" s="285">
        <v>10145.278168961519</v>
      </c>
      <c r="X19" s="285">
        <v>675.58066033177579</v>
      </c>
      <c r="Y19" s="285">
        <v>15.017123438641955</v>
      </c>
      <c r="Z19" s="285">
        <v>1.0930034442232605E-28</v>
      </c>
      <c r="AA19" s="285">
        <v>8806.8310335118167</v>
      </c>
      <c r="AB19" s="285">
        <v>11483.72530441122</v>
      </c>
      <c r="AC19" s="285">
        <v>8806.8310335118167</v>
      </c>
      <c r="AD19" s="285">
        <v>11483.72530441122</v>
      </c>
    </row>
    <row r="20" spans="1:40">
      <c r="A20" s="1">
        <v>2011</v>
      </c>
      <c r="B20" s="1" t="s">
        <v>8</v>
      </c>
      <c r="C20" s="5">
        <v>8260101.8892307691</v>
      </c>
      <c r="D20" s="5">
        <v>22628.879999999997</v>
      </c>
      <c r="E20" s="5">
        <v>8282730.769230769</v>
      </c>
      <c r="F20" s="5"/>
      <c r="G20" s="11">
        <f>'5b. Variables'!C20</f>
        <v>3.7</v>
      </c>
      <c r="H20" s="11">
        <f>'5b. Variables'!D20</f>
        <v>104.29999999999998</v>
      </c>
      <c r="I20" s="1">
        <f>'5b. Variables'!E20</f>
        <v>31</v>
      </c>
      <c r="J20" s="5">
        <f>'5b. Variables'!I20</f>
        <v>691.5</v>
      </c>
      <c r="K20" s="5">
        <f>'5b. Variables'!T20</f>
        <v>126433.41302172672</v>
      </c>
      <c r="L20" s="5">
        <f>'5b. Variables'!R20</f>
        <v>3654592.0448179999</v>
      </c>
      <c r="M20" s="5"/>
      <c r="N20" s="269"/>
      <c r="O20" s="5"/>
      <c r="P20" s="294"/>
      <c r="Q20" s="5">
        <f t="shared" si="0"/>
        <v>8574218.378162628</v>
      </c>
      <c r="R20" s="5">
        <f t="shared" si="1"/>
        <v>291487.60893185902</v>
      </c>
      <c r="S20" s="273">
        <f t="shared" si="2"/>
        <v>3.5192211005420616E-2</v>
      </c>
      <c r="T20" s="273">
        <f t="shared" si="3"/>
        <v>3.5192211005420616E-2</v>
      </c>
      <c r="U20" s="270"/>
      <c r="V20" s="285" t="s">
        <v>16</v>
      </c>
      <c r="W20" s="285">
        <v>124546.12569090645</v>
      </c>
      <c r="X20" s="285">
        <v>15411.869274765597</v>
      </c>
      <c r="Y20" s="285">
        <v>8.0811823322969829</v>
      </c>
      <c r="Z20" s="285">
        <v>7.840815768007905E-13</v>
      </c>
      <c r="AA20" s="285">
        <v>94012.432981874561</v>
      </c>
      <c r="AB20" s="285">
        <v>155079.81839993835</v>
      </c>
      <c r="AC20" s="285">
        <v>94012.432981874561</v>
      </c>
      <c r="AD20" s="285">
        <v>155079.81839993835</v>
      </c>
    </row>
    <row r="21" spans="1:40">
      <c r="A21" s="1">
        <v>2011</v>
      </c>
      <c r="B21" s="1" t="s">
        <v>9</v>
      </c>
      <c r="C21" s="5">
        <v>8859702.7630769238</v>
      </c>
      <c r="D21" s="5">
        <v>10674.16</v>
      </c>
      <c r="E21" s="5">
        <v>8870376.9230769239</v>
      </c>
      <c r="F21" s="5"/>
      <c r="G21" s="11">
        <f>'5b. Variables'!C21</f>
        <v>13.6</v>
      </c>
      <c r="H21" s="11">
        <f>'5b. Variables'!D21</f>
        <v>53.300000000000004</v>
      </c>
      <c r="I21" s="1">
        <f>'5b. Variables'!E21</f>
        <v>31</v>
      </c>
      <c r="J21" s="5">
        <f>'5b. Variables'!I21</f>
        <v>694.9</v>
      </c>
      <c r="K21" s="5">
        <f>'5b. Variables'!T21</f>
        <v>128684.28648785653</v>
      </c>
      <c r="L21" s="5">
        <f>'5b. Variables'!R21</f>
        <v>4498564.7389930002</v>
      </c>
      <c r="M21" s="5"/>
      <c r="N21" s="269"/>
      <c r="O21" s="5"/>
      <c r="P21" s="294"/>
      <c r="Q21" s="5">
        <f t="shared" si="0"/>
        <v>8855762.850655634</v>
      </c>
      <c r="R21" s="5">
        <f t="shared" si="1"/>
        <v>-14614.07242128998</v>
      </c>
      <c r="S21" s="273">
        <f t="shared" si="2"/>
        <v>-1.6475142542444188E-3</v>
      </c>
      <c r="T21" s="273">
        <f t="shared" si="3"/>
        <v>1.6475142542444188E-3</v>
      </c>
      <c r="U21" s="270"/>
      <c r="V21" s="285" t="s">
        <v>88</v>
      </c>
      <c r="W21" s="285">
        <v>1671.0405971891951</v>
      </c>
      <c r="X21" s="285">
        <v>788.89342269673057</v>
      </c>
      <c r="Y21" s="285">
        <v>2.118208301796912</v>
      </c>
      <c r="Z21" s="285">
        <v>3.6348994917080706E-2</v>
      </c>
      <c r="AA21" s="285">
        <v>108.10044247102337</v>
      </c>
      <c r="AB21" s="285">
        <v>3233.9807519073665</v>
      </c>
      <c r="AC21" s="285">
        <v>108.10044247102337</v>
      </c>
      <c r="AD21" s="285">
        <v>3233.9807519073665</v>
      </c>
    </row>
    <row r="22" spans="1:40">
      <c r="A22" s="1">
        <v>2011</v>
      </c>
      <c r="B22" s="1" t="s">
        <v>10</v>
      </c>
      <c r="C22" s="5">
        <v>8375602.868461539</v>
      </c>
      <c r="D22" s="5">
        <v>8058.670000000001</v>
      </c>
      <c r="E22" s="5">
        <v>8383661.538461539</v>
      </c>
      <c r="F22" s="5"/>
      <c r="G22" s="11">
        <f>'5b. Variables'!C22</f>
        <v>106.33333333333331</v>
      </c>
      <c r="H22" s="11">
        <f>'5b. Variables'!D22</f>
        <v>20.7</v>
      </c>
      <c r="I22" s="1">
        <f>'5b. Variables'!E22</f>
        <v>30</v>
      </c>
      <c r="J22" s="5">
        <f>'5b. Variables'!I22</f>
        <v>688.6</v>
      </c>
      <c r="K22" s="5">
        <f>'5b. Variables'!T22</f>
        <v>130935.15995398634</v>
      </c>
      <c r="L22" s="5">
        <f>'5b. Variables'!R22</f>
        <v>4242244.9229550008</v>
      </c>
      <c r="M22" s="5"/>
      <c r="N22" s="269"/>
      <c r="O22" s="5"/>
      <c r="Q22" s="5">
        <f t="shared" si="0"/>
        <v>8393693.6551213302</v>
      </c>
      <c r="R22" s="5">
        <f t="shared" si="1"/>
        <v>10032.116659791209</v>
      </c>
      <c r="S22" s="273">
        <f t="shared" si="2"/>
        <v>1.1966271078295669E-3</v>
      </c>
      <c r="T22" s="273">
        <f t="shared" si="3"/>
        <v>1.1966271078295669E-3</v>
      </c>
      <c r="V22" s="285" t="s">
        <v>119</v>
      </c>
      <c r="W22" s="285">
        <v>-1.4593269362422321</v>
      </c>
      <c r="X22" s="285">
        <v>0.23388978073846831</v>
      </c>
      <c r="Y22" s="285">
        <v>-6.2393787861729084</v>
      </c>
      <c r="Z22" s="285">
        <v>7.8679747477193182E-9</v>
      </c>
      <c r="AA22" s="285">
        <v>-1.9227047761090872</v>
      </c>
      <c r="AB22" s="285">
        <v>-0.99594909637537699</v>
      </c>
      <c r="AC22" s="285">
        <v>-1.9227047761090872</v>
      </c>
      <c r="AD22" s="285">
        <v>-0.99594909637537699</v>
      </c>
    </row>
    <row r="23" spans="1:40" ht="16" thickBot="1">
      <c r="A23" s="1">
        <v>2011</v>
      </c>
      <c r="B23" s="1" t="s">
        <v>11</v>
      </c>
      <c r="C23" s="5">
        <v>8940191.7138461545</v>
      </c>
      <c r="D23" s="5">
        <v>6054.44</v>
      </c>
      <c r="E23" s="5">
        <v>8946246.153846154</v>
      </c>
      <c r="F23" s="5"/>
      <c r="G23" s="11">
        <f>'5b. Variables'!C23</f>
        <v>276.60000000000008</v>
      </c>
      <c r="H23" s="11">
        <f>'5b. Variables'!D23</f>
        <v>0.3</v>
      </c>
      <c r="I23" s="1">
        <f>'5b. Variables'!E23</f>
        <v>31</v>
      </c>
      <c r="J23" s="5">
        <f>'5b. Variables'!I23</f>
        <v>682.2</v>
      </c>
      <c r="K23" s="5">
        <f>'5b. Variables'!T23</f>
        <v>133186.03342011615</v>
      </c>
      <c r="L23" s="5">
        <f>'5b. Variables'!R23</f>
        <v>4411473.7128020003</v>
      </c>
      <c r="M23" s="5"/>
      <c r="N23" s="269"/>
      <c r="O23" s="5"/>
      <c r="Q23" s="5">
        <f t="shared" si="0"/>
        <v>8894586.1848896518</v>
      </c>
      <c r="R23" s="5">
        <f t="shared" si="1"/>
        <v>-51659.968956502154</v>
      </c>
      <c r="S23" s="273">
        <f t="shared" si="2"/>
        <v>-5.7744855292510139E-3</v>
      </c>
      <c r="T23" s="273">
        <f t="shared" si="3"/>
        <v>5.7744855292510139E-3</v>
      </c>
      <c r="V23" s="286" t="s">
        <v>227</v>
      </c>
      <c r="W23" s="286">
        <v>0.91331717039714011</v>
      </c>
      <c r="X23" s="286">
        <v>3.3373459565851325E-2</v>
      </c>
      <c r="Y23" s="286">
        <v>27.366571589469622</v>
      </c>
      <c r="Z23" s="286">
        <v>1.1198846930043316E-51</v>
      </c>
      <c r="AA23" s="286">
        <v>0.84719832777955606</v>
      </c>
      <c r="AB23" s="286">
        <v>0.97943601301472416</v>
      </c>
      <c r="AC23" s="286">
        <v>0.84719832777955606</v>
      </c>
      <c r="AD23" s="286">
        <v>0.97943601301472416</v>
      </c>
    </row>
    <row r="24" spans="1:40">
      <c r="A24" s="1">
        <v>2011</v>
      </c>
      <c r="B24" s="1" t="s">
        <v>12</v>
      </c>
      <c r="C24" s="5">
        <v>8871563.3261538465</v>
      </c>
      <c r="D24" s="5">
        <v>4890.5200000000004</v>
      </c>
      <c r="E24" s="5">
        <v>8876453.846153846</v>
      </c>
      <c r="F24" s="5"/>
      <c r="G24" s="11">
        <f>'5b. Variables'!C24</f>
        <v>399.39999999999992</v>
      </c>
      <c r="H24" s="11">
        <f>'5b. Variables'!D24</f>
        <v>0</v>
      </c>
      <c r="I24" s="1">
        <f>'5b. Variables'!E24</f>
        <v>30</v>
      </c>
      <c r="J24" s="5">
        <f>'5b. Variables'!I24</f>
        <v>677</v>
      </c>
      <c r="K24" s="5">
        <f>'5b. Variables'!T24</f>
        <v>135436.90688624597</v>
      </c>
      <c r="L24" s="5">
        <f>'5b. Variables'!R24</f>
        <v>4082024.3273420003</v>
      </c>
      <c r="M24" s="5"/>
      <c r="N24" s="269"/>
      <c r="O24" s="5"/>
      <c r="Q24" s="5">
        <f t="shared" si="0"/>
        <v>8773436.9248839449</v>
      </c>
      <c r="R24" s="5">
        <f t="shared" si="1"/>
        <v>-103016.9212699011</v>
      </c>
      <c r="S24" s="273">
        <f t="shared" si="2"/>
        <v>-1.160563926263619E-2</v>
      </c>
      <c r="T24" s="273">
        <f t="shared" si="3"/>
        <v>1.160563926263619E-2</v>
      </c>
      <c r="V24"/>
      <c r="W24"/>
      <c r="X24"/>
      <c r="Y24"/>
      <c r="Z24"/>
      <c r="AA24"/>
      <c r="AB24"/>
      <c r="AC24"/>
      <c r="AD24"/>
    </row>
    <row r="25" spans="1:40">
      <c r="A25" s="1">
        <v>2011</v>
      </c>
      <c r="B25" s="1" t="s">
        <v>13</v>
      </c>
      <c r="C25" s="5">
        <v>9351798.3469230756</v>
      </c>
      <c r="D25" s="5">
        <v>1824.73</v>
      </c>
      <c r="E25" s="5">
        <v>9353623.0769230761</v>
      </c>
      <c r="F25" s="5"/>
      <c r="G25" s="11">
        <f>'5b. Variables'!C25</f>
        <v>609.79999999999984</v>
      </c>
      <c r="H25" s="11">
        <f>'5b. Variables'!D25</f>
        <v>0</v>
      </c>
      <c r="I25" s="1">
        <f>'5b. Variables'!E25</f>
        <v>31</v>
      </c>
      <c r="J25" s="5">
        <f>'5b. Variables'!I25</f>
        <v>676.6</v>
      </c>
      <c r="K25" s="5">
        <f>'5b. Variables'!T25</f>
        <v>137687.78035237579</v>
      </c>
      <c r="L25" s="5">
        <f>'5b. Variables'!R25</f>
        <v>3790571.2206960004</v>
      </c>
      <c r="M25" s="5"/>
      <c r="N25" s="269"/>
      <c r="O25" s="5"/>
      <c r="Q25" s="5">
        <f t="shared" si="0"/>
        <v>9174925.9817429371</v>
      </c>
      <c r="R25" s="5">
        <f t="shared" si="1"/>
        <v>-178697.09518013895</v>
      </c>
      <c r="S25" s="273">
        <f t="shared" si="2"/>
        <v>-1.9104585860532913E-2</v>
      </c>
      <c r="T25" s="273">
        <f t="shared" si="3"/>
        <v>1.9104585860532913E-2</v>
      </c>
      <c r="V25"/>
      <c r="W25"/>
      <c r="X25"/>
      <c r="Y25"/>
      <c r="Z25"/>
      <c r="AA25"/>
      <c r="AB25"/>
      <c r="AC25"/>
      <c r="AD25"/>
    </row>
    <row r="26" spans="1:40">
      <c r="A26" s="268">
        <v>2012</v>
      </c>
      <c r="B26" s="268" t="s">
        <v>2</v>
      </c>
      <c r="C26" s="5">
        <v>9967007.9638461564</v>
      </c>
      <c r="D26" s="5">
        <v>2638.1899999999996</v>
      </c>
      <c r="E26" s="5">
        <v>9969646.1538461559</v>
      </c>
      <c r="F26" s="5"/>
      <c r="G26" s="11">
        <f>'5b. Variables'!C26</f>
        <v>694.59999999999991</v>
      </c>
      <c r="H26" s="11">
        <f>'5b. Variables'!D26</f>
        <v>0</v>
      </c>
      <c r="I26" s="1">
        <f>'5b. Variables'!E26</f>
        <v>31</v>
      </c>
      <c r="J26" s="5">
        <f>'5b. Variables'!I26</f>
        <v>670.9</v>
      </c>
      <c r="K26" s="5">
        <f>'5b. Variables'!T26</f>
        <v>140796.22970794624</v>
      </c>
      <c r="L26" s="5">
        <f>'5b. Variables'!R26</f>
        <v>4250569.7720590001</v>
      </c>
      <c r="M26" s="5"/>
      <c r="N26" s="269"/>
      <c r="O26" s="5"/>
      <c r="Q26" s="5">
        <f t="shared" si="0"/>
        <v>9801487.6131176669</v>
      </c>
      <c r="R26" s="5">
        <f t="shared" si="1"/>
        <v>-168158.54072848894</v>
      </c>
      <c r="S26" s="273">
        <f t="shared" si="2"/>
        <v>-1.6867052063188382E-2</v>
      </c>
      <c r="T26" s="273">
        <f t="shared" si="3"/>
        <v>1.6867052063188382E-2</v>
      </c>
      <c r="V26"/>
      <c r="W26"/>
      <c r="X26"/>
      <c r="Y26"/>
      <c r="Z26"/>
      <c r="AA26"/>
      <c r="AB26"/>
      <c r="AC26"/>
      <c r="AD26"/>
      <c r="AF26"/>
      <c r="AG26"/>
      <c r="AH26"/>
      <c r="AI26"/>
      <c r="AJ26"/>
      <c r="AK26"/>
      <c r="AL26"/>
      <c r="AM26"/>
      <c r="AN26"/>
    </row>
    <row r="27" spans="1:40">
      <c r="A27" s="1">
        <v>2012</v>
      </c>
      <c r="B27" s="1" t="s">
        <v>3</v>
      </c>
      <c r="C27" s="5">
        <v>9262148.6623076946</v>
      </c>
      <c r="D27" s="5">
        <v>4659.03</v>
      </c>
      <c r="E27" s="5">
        <v>9266807.6923076939</v>
      </c>
      <c r="F27" s="5"/>
      <c r="G27" s="11">
        <f>'5b. Variables'!C27</f>
        <v>611.39999999999986</v>
      </c>
      <c r="H27" s="11">
        <f>'5b. Variables'!D27</f>
        <v>0</v>
      </c>
      <c r="I27" s="1">
        <f>'5b. Variables'!E27</f>
        <v>28</v>
      </c>
      <c r="J27" s="5">
        <f>'5b. Variables'!I27</f>
        <v>668.7</v>
      </c>
      <c r="K27" s="5">
        <f>'5b. Variables'!T27</f>
        <v>143904.6790635167</v>
      </c>
      <c r="L27" s="5">
        <f>'5b. Variables'!R27</f>
        <v>4141903.1103710001</v>
      </c>
      <c r="M27" s="5"/>
      <c r="N27" s="269"/>
      <c r="O27" s="5"/>
      <c r="Q27" s="5">
        <f t="shared" si="0"/>
        <v>9104051.6875390783</v>
      </c>
      <c r="R27" s="5">
        <f t="shared" si="1"/>
        <v>-162756.00476861559</v>
      </c>
      <c r="S27" s="273">
        <f t="shared" si="2"/>
        <v>-1.756333034770087E-2</v>
      </c>
      <c r="T27" s="273">
        <f t="shared" si="3"/>
        <v>1.756333034770087E-2</v>
      </c>
      <c r="V27"/>
      <c r="W27"/>
      <c r="X27"/>
      <c r="Y27"/>
      <c r="Z27"/>
      <c r="AA27"/>
      <c r="AB27"/>
      <c r="AC27"/>
      <c r="AD27"/>
    </row>
    <row r="28" spans="1:40">
      <c r="A28" s="1">
        <v>2012</v>
      </c>
      <c r="B28" s="1" t="s">
        <v>4</v>
      </c>
      <c r="C28" s="5">
        <v>9399442.7746153865</v>
      </c>
      <c r="D28" s="5">
        <v>10172.61</v>
      </c>
      <c r="E28" s="5">
        <v>9409615.3846153859</v>
      </c>
      <c r="F28" s="5"/>
      <c r="G28" s="11">
        <f>'5b. Variables'!C28</f>
        <v>388.69999999999987</v>
      </c>
      <c r="H28" s="11">
        <f>'5b. Variables'!D28</f>
        <v>3.4000000000000004</v>
      </c>
      <c r="I28" s="1">
        <f>'5b. Variables'!E28</f>
        <v>31</v>
      </c>
      <c r="J28" s="5">
        <f>'5b. Variables'!I28</f>
        <v>666</v>
      </c>
      <c r="K28" s="5">
        <f>'5b. Variables'!T28</f>
        <v>147013.12841908715</v>
      </c>
      <c r="L28" s="5">
        <f>'5b. Variables'!R28</f>
        <v>4592873.6529520005</v>
      </c>
      <c r="M28" s="5"/>
      <c r="N28" s="269"/>
      <c r="O28" s="5"/>
      <c r="Q28" s="5">
        <f t="shared" si="0"/>
        <v>9335947.2180267032</v>
      </c>
      <c r="R28" s="5">
        <f t="shared" si="1"/>
        <v>-73668.166588682681</v>
      </c>
      <c r="S28" s="273">
        <f t="shared" si="2"/>
        <v>-7.8290305796270155E-3</v>
      </c>
      <c r="T28" s="273">
        <f t="shared" si="3"/>
        <v>7.8290305796270155E-3</v>
      </c>
      <c r="V28"/>
      <c r="W28"/>
      <c r="X28"/>
      <c r="Y28"/>
      <c r="Z28"/>
      <c r="AA28"/>
      <c r="AB28"/>
      <c r="AC28"/>
      <c r="AD28"/>
    </row>
    <row r="29" spans="1:40" ht="15.5" customHeight="1">
      <c r="A29" s="1">
        <v>2012</v>
      </c>
      <c r="B29" s="1" t="s">
        <v>5</v>
      </c>
      <c r="C29" s="5">
        <v>8515350.2692307699</v>
      </c>
      <c r="D29" s="5">
        <v>13280.5</v>
      </c>
      <c r="E29" s="5">
        <v>8528630.7692307699</v>
      </c>
      <c r="F29" s="5"/>
      <c r="G29" s="11">
        <f>'5b. Variables'!C29</f>
        <v>399</v>
      </c>
      <c r="H29" s="11">
        <f>'5b. Variables'!D29</f>
        <v>0</v>
      </c>
      <c r="I29" s="1">
        <f>'5b. Variables'!E29</f>
        <v>30</v>
      </c>
      <c r="J29" s="5">
        <f>'5b. Variables'!I29</f>
        <v>667.4</v>
      </c>
      <c r="K29" s="5">
        <f>'5b. Variables'!T29</f>
        <v>150121.57777465761</v>
      </c>
      <c r="L29" s="5">
        <f>'5b. Variables'!R29</f>
        <v>4218127.1515630009</v>
      </c>
      <c r="M29" s="5"/>
      <c r="N29" s="269"/>
      <c r="O29" s="5"/>
      <c r="Q29" s="5">
        <f t="shared" si="0"/>
        <v>8859230.1596773341</v>
      </c>
      <c r="R29" s="5">
        <f t="shared" si="1"/>
        <v>330599.39044656418</v>
      </c>
      <c r="S29" s="273">
        <f t="shared" si="2"/>
        <v>3.8763477912455366E-2</v>
      </c>
      <c r="T29" s="273">
        <f t="shared" si="3"/>
        <v>3.8763477912455366E-2</v>
      </c>
      <c r="V29" s="151"/>
      <c r="W29"/>
      <c r="X29" s="151"/>
      <c r="Y29" s="151"/>
      <c r="Z29" s="151"/>
      <c r="AA29" s="151"/>
      <c r="AB29" s="151"/>
      <c r="AC29" s="151"/>
      <c r="AD29" s="151"/>
    </row>
    <row r="30" spans="1:40" ht="34.5" customHeight="1">
      <c r="A30" s="1">
        <v>2012</v>
      </c>
      <c r="B30" s="1" t="s">
        <v>6</v>
      </c>
      <c r="C30" s="5">
        <v>8595523.6599999983</v>
      </c>
      <c r="D30" s="5">
        <v>16576.340000000004</v>
      </c>
      <c r="E30" s="5">
        <v>8612099.9999999981</v>
      </c>
      <c r="F30" s="5"/>
      <c r="G30" s="11">
        <f>'5b. Variables'!C30</f>
        <v>123.8</v>
      </c>
      <c r="H30" s="11">
        <f>'5b. Variables'!D30</f>
        <v>17.400000000000002</v>
      </c>
      <c r="I30" s="1">
        <f>'5b. Variables'!E30</f>
        <v>31</v>
      </c>
      <c r="J30" s="5">
        <f>'5b. Variables'!I30</f>
        <v>672.1</v>
      </c>
      <c r="K30" s="5">
        <f>'5b. Variables'!T30</f>
        <v>153230.02713022806</v>
      </c>
      <c r="L30" s="5">
        <f>'5b. Variables'!R30</f>
        <v>4557567.8623670004</v>
      </c>
      <c r="M30" s="5"/>
      <c r="N30" s="269"/>
      <c r="O30" s="5"/>
      <c r="Q30" s="5">
        <f t="shared" si="0"/>
        <v>8758059.6361057013</v>
      </c>
      <c r="R30" s="5">
        <f t="shared" si="1"/>
        <v>145959.63610570319</v>
      </c>
      <c r="S30" s="273">
        <f t="shared" si="2"/>
        <v>1.6948204979703351E-2</v>
      </c>
      <c r="T30" s="273">
        <f t="shared" si="3"/>
        <v>1.6948204979703351E-2</v>
      </c>
      <c r="V30" s="367" t="s">
        <v>0</v>
      </c>
      <c r="W30" s="368" t="s">
        <v>225</v>
      </c>
      <c r="X30" s="379" t="s">
        <v>53</v>
      </c>
      <c r="Y30" s="367" t="s">
        <v>18</v>
      </c>
      <c r="Z30" s="374" t="s">
        <v>278</v>
      </c>
      <c r="AA30" s="367" t="s">
        <v>268</v>
      </c>
    </row>
    <row r="31" spans="1:40" ht="14.5">
      <c r="A31" s="1">
        <v>2012</v>
      </c>
      <c r="B31" s="1" t="s">
        <v>7</v>
      </c>
      <c r="C31" s="5">
        <v>8622525.7709090896</v>
      </c>
      <c r="D31" s="5">
        <v>16383.320000000002</v>
      </c>
      <c r="E31" s="5">
        <v>8638909.0909090899</v>
      </c>
      <c r="F31" s="5"/>
      <c r="G31" s="11">
        <f>'5b. Variables'!C31</f>
        <v>56.4</v>
      </c>
      <c r="H31" s="11">
        <f>'5b. Variables'!D31</f>
        <v>57.100000000000009</v>
      </c>
      <c r="I31" s="1">
        <f>'5b. Variables'!E31</f>
        <v>30</v>
      </c>
      <c r="J31" s="5">
        <f>'5b. Variables'!I31</f>
        <v>678.4</v>
      </c>
      <c r="K31" s="5">
        <f>'5b. Variables'!T31</f>
        <v>156338.47648579851</v>
      </c>
      <c r="L31" s="5">
        <f>'5b. Variables'!R31</f>
        <v>4499265.5448909998</v>
      </c>
      <c r="M31" s="5"/>
      <c r="N31" s="269"/>
      <c r="O31" s="5"/>
      <c r="Q31" s="5">
        <f t="shared" si="0"/>
        <v>8813769.3675136268</v>
      </c>
      <c r="R31" s="5">
        <f t="shared" si="1"/>
        <v>174860.27660453692</v>
      </c>
      <c r="S31" s="273">
        <f t="shared" si="2"/>
        <v>2.0241013623878291E-2</v>
      </c>
      <c r="T31" s="273">
        <f t="shared" si="3"/>
        <v>2.0241013623878291E-2</v>
      </c>
      <c r="V31" s="370">
        <v>2010</v>
      </c>
      <c r="W31" s="369">
        <f>SUM(E2:E13)</f>
        <v>102608246.15384616</v>
      </c>
      <c r="X31" s="376"/>
      <c r="Y31" s="369">
        <f>SUM(Q2:Q13)</f>
        <v>102190501.117531</v>
      </c>
      <c r="Z31" s="375">
        <f>Y31-W31</f>
        <v>-417745.03631515801</v>
      </c>
      <c r="AA31" s="371">
        <f t="shared" ref="AA31:AA40" si="4">ABS(Y31-W31)/W31</f>
        <v>4.0712618329798757E-3</v>
      </c>
    </row>
    <row r="32" spans="1:40" ht="14.5">
      <c r="A32" s="1">
        <v>2012</v>
      </c>
      <c r="B32" s="1" t="s">
        <v>8</v>
      </c>
      <c r="C32" s="5">
        <v>8752710.5327272713</v>
      </c>
      <c r="D32" s="5">
        <v>16816.740000000002</v>
      </c>
      <c r="E32" s="5">
        <v>8769527.2727272715</v>
      </c>
      <c r="F32" s="5"/>
      <c r="G32" s="11">
        <f>'5b. Variables'!C32</f>
        <v>0.4</v>
      </c>
      <c r="H32" s="11">
        <f>'5b. Variables'!D32</f>
        <v>94.000000000000028</v>
      </c>
      <c r="I32" s="1">
        <f>'5b. Variables'!E32</f>
        <v>31</v>
      </c>
      <c r="J32" s="5">
        <f>'5b. Variables'!I32</f>
        <v>682</v>
      </c>
      <c r="K32" s="5">
        <f>'5b. Variables'!T32</f>
        <v>159446.92584136897</v>
      </c>
      <c r="L32" s="5">
        <f>'5b. Variables'!R32</f>
        <v>4141164.2481300007</v>
      </c>
      <c r="M32" s="5"/>
      <c r="N32" s="269"/>
      <c r="O32" s="5"/>
      <c r="Q32" s="5">
        <f t="shared" si="0"/>
        <v>8841483.6572800186</v>
      </c>
      <c r="R32" s="5">
        <f t="shared" si="1"/>
        <v>71956.384552747011</v>
      </c>
      <c r="S32" s="273">
        <f t="shared" si="2"/>
        <v>8.2052751892940975E-3</v>
      </c>
      <c r="T32" s="273">
        <f t="shared" si="3"/>
        <v>8.2052751892940975E-3</v>
      </c>
      <c r="V32" s="370">
        <v>2011</v>
      </c>
      <c r="W32" s="369">
        <f>SUM(E14:E25)</f>
        <v>105492261.53846154</v>
      </c>
      <c r="X32" s="377">
        <f>(W32-W31)/W31</f>
        <v>2.8107052724507291E-2</v>
      </c>
      <c r="Y32" s="369">
        <f>SUM(Q14:Q25)</f>
        <v>105682945.46662551</v>
      </c>
      <c r="Z32" s="375">
        <f t="shared" ref="Z32:Z40" si="5">Y32-W32</f>
        <v>190683.92816397548</v>
      </c>
      <c r="AA32" s="371">
        <f t="shared" si="4"/>
        <v>1.8075631840962459E-3</v>
      </c>
    </row>
    <row r="33" spans="1:27" ht="14.5">
      <c r="A33" s="1">
        <v>2012</v>
      </c>
      <c r="B33" s="1" t="s">
        <v>9</v>
      </c>
      <c r="C33" s="5">
        <v>9181451.5500000007</v>
      </c>
      <c r="D33" s="5">
        <v>20048.45</v>
      </c>
      <c r="E33" s="5">
        <v>9201500</v>
      </c>
      <c r="F33" s="5"/>
      <c r="G33" s="11">
        <f>'5b. Variables'!C33</f>
        <v>22.5</v>
      </c>
      <c r="H33" s="11">
        <f>'5b. Variables'!D33</f>
        <v>50.7</v>
      </c>
      <c r="I33" s="1">
        <f>'5b. Variables'!E33</f>
        <v>31</v>
      </c>
      <c r="J33" s="5">
        <f>'5b. Variables'!I33</f>
        <v>678.5</v>
      </c>
      <c r="K33" s="5">
        <f>'5b. Variables'!T33</f>
        <v>162555.37519693942</v>
      </c>
      <c r="L33" s="5">
        <f>'5b. Variables'!R33</f>
        <v>4856393.7889999999</v>
      </c>
      <c r="M33" s="5"/>
      <c r="N33" s="269"/>
      <c r="O33" s="5"/>
      <c r="Q33" s="5">
        <f t="shared" si="0"/>
        <v>9102504.3983779754</v>
      </c>
      <c r="R33" s="5">
        <f t="shared" si="1"/>
        <v>-98995.601622024551</v>
      </c>
      <c r="S33" s="273">
        <f t="shared" si="2"/>
        <v>-1.0758637354999136E-2</v>
      </c>
      <c r="T33" s="273">
        <f t="shared" si="3"/>
        <v>1.0758637354999136E-2</v>
      </c>
      <c r="V33" s="370">
        <v>2012</v>
      </c>
      <c r="W33" s="369">
        <f>SUM(E26:E37)</f>
        <v>108285745.45454547</v>
      </c>
      <c r="X33" s="377">
        <f t="shared" ref="X33:X40" si="6">(W33-W32)/W32</f>
        <v>2.6480462882724841E-2</v>
      </c>
      <c r="Y33" s="369">
        <f>SUM(Q26:Q37)</f>
        <v>108058467.87176648</v>
      </c>
      <c r="Z33" s="375">
        <f t="shared" si="5"/>
        <v>-227277.58277899027</v>
      </c>
      <c r="AA33" s="371">
        <f t="shared" si="4"/>
        <v>2.0988688938230874E-3</v>
      </c>
    </row>
    <row r="34" spans="1:27" ht="14.5">
      <c r="A34" s="1">
        <v>2012</v>
      </c>
      <c r="B34" s="1" t="s">
        <v>10</v>
      </c>
      <c r="C34" s="5">
        <v>8434653.7318181824</v>
      </c>
      <c r="D34" s="5">
        <v>16364.45</v>
      </c>
      <c r="E34" s="5">
        <v>8451018.1818181816</v>
      </c>
      <c r="F34" s="5"/>
      <c r="G34" s="11">
        <f>'5b. Variables'!C34</f>
        <v>134.69999999999999</v>
      </c>
      <c r="H34" s="11">
        <f>'5b. Variables'!D34</f>
        <v>15.300000000000002</v>
      </c>
      <c r="I34" s="1">
        <f>'5b. Variables'!E34</f>
        <v>30</v>
      </c>
      <c r="J34" s="5">
        <f>'5b. Variables'!I34</f>
        <v>671.9</v>
      </c>
      <c r="K34" s="5">
        <f>'5b. Variables'!T34</f>
        <v>165663.82455250988</v>
      </c>
      <c r="L34" s="5">
        <f>'5b. Variables'!R34</f>
        <v>4216762.1303469995</v>
      </c>
      <c r="M34" s="5"/>
      <c r="N34" s="269"/>
      <c r="O34" s="5"/>
      <c r="Q34" s="5">
        <f t="shared" si="0"/>
        <v>8310807.8592333887</v>
      </c>
      <c r="R34" s="5">
        <f t="shared" si="1"/>
        <v>-140210.32258479297</v>
      </c>
      <c r="S34" s="273">
        <f t="shared" si="2"/>
        <v>-1.6590938460698902E-2</v>
      </c>
      <c r="T34" s="273">
        <f t="shared" si="3"/>
        <v>1.6590938460698902E-2</v>
      </c>
      <c r="V34" s="370">
        <v>2013</v>
      </c>
      <c r="W34" s="369">
        <f>SUM(E38:E49)</f>
        <v>110963046.82000002</v>
      </c>
      <c r="X34" s="377">
        <f t="shared" si="6"/>
        <v>2.4724411825547171E-2</v>
      </c>
      <c r="Y34" s="369">
        <f>SUM(Q38:Q49)</f>
        <v>111218768.0377281</v>
      </c>
      <c r="Z34" s="375">
        <f t="shared" si="5"/>
        <v>255721.21772807837</v>
      </c>
      <c r="AA34" s="371">
        <f t="shared" si="4"/>
        <v>2.3045619695618081E-3</v>
      </c>
    </row>
    <row r="35" spans="1:27" ht="14.5">
      <c r="A35" s="1">
        <v>2012</v>
      </c>
      <c r="B35" s="1" t="s">
        <v>11</v>
      </c>
      <c r="C35" s="5">
        <v>9146506.1836363636</v>
      </c>
      <c r="D35" s="5">
        <v>8530.1799999999985</v>
      </c>
      <c r="E35" s="5">
        <v>9155036.3636363633</v>
      </c>
      <c r="F35" s="5"/>
      <c r="G35" s="11">
        <f>'5b. Variables'!C35</f>
        <v>292.2</v>
      </c>
      <c r="H35" s="11">
        <f>'5b. Variables'!D35</f>
        <v>0</v>
      </c>
      <c r="I35" s="1">
        <f>'5b. Variables'!E35</f>
        <v>31</v>
      </c>
      <c r="J35" s="5">
        <f>'5b. Variables'!I35</f>
        <v>672.8</v>
      </c>
      <c r="K35" s="5">
        <f>'5b. Variables'!T35</f>
        <v>168772.27390808033</v>
      </c>
      <c r="L35" s="5">
        <f>'5b. Variables'!R35</f>
        <v>4599891.7149360003</v>
      </c>
      <c r="M35" s="5"/>
      <c r="N35" s="269"/>
      <c r="O35" s="5"/>
      <c r="Q35" s="5">
        <f t="shared" si="0"/>
        <v>9036551.6109603867</v>
      </c>
      <c r="R35" s="5">
        <f t="shared" si="1"/>
        <v>-118484.7526759766</v>
      </c>
      <c r="S35" s="273">
        <f t="shared" si="2"/>
        <v>-1.2942029716735574E-2</v>
      </c>
      <c r="T35" s="273">
        <f t="shared" si="3"/>
        <v>1.2942029716735574E-2</v>
      </c>
      <c r="V35" s="370">
        <v>2014</v>
      </c>
      <c r="W35" s="369">
        <f>SUM(E50:E61)</f>
        <v>112203044.71589744</v>
      </c>
      <c r="X35" s="377">
        <f t="shared" si="6"/>
        <v>1.1174872459197115E-2</v>
      </c>
      <c r="Y35" s="369">
        <f>SUM(Q50:Q61)</f>
        <v>112396107.01670578</v>
      </c>
      <c r="Z35" s="375">
        <f t="shared" si="5"/>
        <v>193062.30080834031</v>
      </c>
      <c r="AA35" s="371">
        <f t="shared" si="4"/>
        <v>1.7206511757072343E-3</v>
      </c>
    </row>
    <row r="36" spans="1:27" ht="14.5">
      <c r="A36" s="1">
        <v>2012</v>
      </c>
      <c r="B36" s="1" t="s">
        <v>12</v>
      </c>
      <c r="C36" s="5">
        <v>9009830.8263636343</v>
      </c>
      <c r="D36" s="5">
        <v>6432.8099999999995</v>
      </c>
      <c r="E36" s="5">
        <v>9016263.6363636348</v>
      </c>
      <c r="F36" s="5"/>
      <c r="G36" s="11">
        <f>'5b. Variables'!C36</f>
        <v>505.72222222222223</v>
      </c>
      <c r="H36" s="11">
        <f>'5b. Variables'!D36</f>
        <v>0</v>
      </c>
      <c r="I36" s="1">
        <f>'5b. Variables'!E36</f>
        <v>30</v>
      </c>
      <c r="J36" s="5">
        <f>'5b. Variables'!I36</f>
        <v>676.8</v>
      </c>
      <c r="K36" s="5">
        <f>'5b. Variables'!T36</f>
        <v>171880.72326365078</v>
      </c>
      <c r="L36" s="5">
        <f>'5b. Variables'!R36</f>
        <v>4092980.1542040003</v>
      </c>
      <c r="M36" s="5"/>
      <c r="N36" s="269"/>
      <c r="O36" s="5"/>
      <c r="Q36" s="5">
        <f t="shared" si="0"/>
        <v>9006386.0548769888</v>
      </c>
      <c r="R36" s="5">
        <f t="shared" si="1"/>
        <v>-9877.581486646086</v>
      </c>
      <c r="S36" s="273">
        <f t="shared" si="2"/>
        <v>-1.0955293550655126E-3</v>
      </c>
      <c r="T36" s="273">
        <f t="shared" si="3"/>
        <v>1.0955293550655126E-3</v>
      </c>
      <c r="V36" s="370">
        <v>2015</v>
      </c>
      <c r="W36" s="369">
        <f>SUM(E62:E73)</f>
        <v>112178418.50384614</v>
      </c>
      <c r="X36" s="377">
        <f t="shared" si="6"/>
        <v>-2.1947900000090676E-4</v>
      </c>
      <c r="Y36" s="369">
        <f>SUM(Q62:Q73)</f>
        <v>112114282.25233763</v>
      </c>
      <c r="Z36" s="375">
        <f t="shared" si="5"/>
        <v>-64136.251508504152</v>
      </c>
      <c r="AA36" s="371">
        <f t="shared" si="4"/>
        <v>5.7173431720563238E-4</v>
      </c>
    </row>
    <row r="37" spans="1:27" ht="14.5">
      <c r="A37" s="1">
        <v>2012</v>
      </c>
      <c r="B37" s="1" t="s">
        <v>13</v>
      </c>
      <c r="C37" s="5">
        <v>9263492.1590909082</v>
      </c>
      <c r="D37" s="5">
        <v>3198.7499999999995</v>
      </c>
      <c r="E37" s="5">
        <v>9266690.9090909082</v>
      </c>
      <c r="F37" s="5"/>
      <c r="G37" s="11">
        <f>'5b. Variables'!C37</f>
        <v>590.9</v>
      </c>
      <c r="H37" s="11">
        <f>'5b. Variables'!D37</f>
        <v>0</v>
      </c>
      <c r="I37" s="1">
        <f>'5b. Variables'!E37</f>
        <v>31</v>
      </c>
      <c r="J37" s="5">
        <f>'5b. Variables'!I37</f>
        <v>682.7</v>
      </c>
      <c r="K37" s="5">
        <f>'5b. Variables'!T37</f>
        <v>174989.17261922124</v>
      </c>
      <c r="L37" s="5">
        <f>'5b. Variables'!R37</f>
        <v>3797850.4767240002</v>
      </c>
      <c r="M37" s="5"/>
      <c r="N37" s="269"/>
      <c r="O37" s="5"/>
      <c r="Q37" s="5">
        <f t="shared" si="0"/>
        <v>9088188.6090576127</v>
      </c>
      <c r="R37" s="5">
        <f t="shared" si="1"/>
        <v>-178502.30003329553</v>
      </c>
      <c r="S37" s="273">
        <f t="shared" si="2"/>
        <v>-1.9262787739923352E-2</v>
      </c>
      <c r="T37" s="273">
        <f t="shared" si="3"/>
        <v>1.9262787739923352E-2</v>
      </c>
      <c r="V37" s="370">
        <v>2016</v>
      </c>
      <c r="W37" s="369">
        <f>SUM(E74:E85)</f>
        <v>109112022.43230771</v>
      </c>
      <c r="X37" s="377">
        <f t="shared" si="6"/>
        <v>-2.7334991101102921E-2</v>
      </c>
      <c r="Y37" s="369">
        <f>SUM(Q74:Q85)</f>
        <v>108957567.81613356</v>
      </c>
      <c r="Z37" s="375">
        <f t="shared" si="5"/>
        <v>-154454.61617414653</v>
      </c>
      <c r="AA37" s="371">
        <f t="shared" si="4"/>
        <v>1.4155600155791176E-3</v>
      </c>
    </row>
    <row r="38" spans="1:27" ht="14.5">
      <c r="A38" s="268">
        <v>2013</v>
      </c>
      <c r="B38" s="268" t="s">
        <v>2</v>
      </c>
      <c r="C38" s="5">
        <v>10224302.743333334</v>
      </c>
      <c r="D38" s="5">
        <v>4705.59</v>
      </c>
      <c r="E38" s="5">
        <v>10229008.333333334</v>
      </c>
      <c r="F38" s="5"/>
      <c r="G38" s="11">
        <f>'5b. Variables'!C38</f>
        <v>703.36666666666667</v>
      </c>
      <c r="H38" s="11">
        <f>'5b. Variables'!D38</f>
        <v>0</v>
      </c>
      <c r="I38" s="1">
        <f>'5b. Variables'!E38</f>
        <v>31</v>
      </c>
      <c r="J38" s="5">
        <f>'5b. Variables'!I38</f>
        <v>681.6</v>
      </c>
      <c r="K38" s="5">
        <f>'5b. Variables'!T38</f>
        <v>176649.58569721461</v>
      </c>
      <c r="L38" s="5">
        <f>'5b. Variables'!R38</f>
        <v>4525946.9213760002</v>
      </c>
      <c r="M38" s="5"/>
      <c r="N38" s="269"/>
      <c r="O38" s="5"/>
      <c r="Q38" s="5">
        <f t="shared" si="0"/>
        <v>10041347.876261983</v>
      </c>
      <c r="R38" s="5">
        <f t="shared" si="1"/>
        <v>-187660.45707135089</v>
      </c>
      <c r="S38" s="273">
        <f t="shared" si="2"/>
        <v>-1.8345909100476589E-2</v>
      </c>
      <c r="T38" s="273">
        <f t="shared" si="3"/>
        <v>1.8345909100476589E-2</v>
      </c>
      <c r="V38" s="370">
        <v>2017</v>
      </c>
      <c r="W38" s="369">
        <f>SUM(E86:E97)</f>
        <v>107122742.0052381</v>
      </c>
      <c r="X38" s="377">
        <f t="shared" si="6"/>
        <v>-1.8231542067728965E-2</v>
      </c>
      <c r="Y38" s="369">
        <f>SUM(Q86:Q97)</f>
        <v>107346017.52800176</v>
      </c>
      <c r="Z38" s="375">
        <f t="shared" si="5"/>
        <v>223275.52276365459</v>
      </c>
      <c r="AA38" s="371">
        <f t="shared" si="4"/>
        <v>2.0842961875708601E-3</v>
      </c>
    </row>
    <row r="39" spans="1:27" ht="14.5">
      <c r="A39" s="1">
        <v>2013</v>
      </c>
      <c r="B39" s="1" t="s">
        <v>3</v>
      </c>
      <c r="C39" s="5">
        <v>9381443.3200000022</v>
      </c>
      <c r="D39" s="5">
        <v>2406.6799999999994</v>
      </c>
      <c r="E39" s="5">
        <v>9383850.0000000019</v>
      </c>
      <c r="F39" s="5"/>
      <c r="G39" s="11">
        <f>'5b. Variables'!C39</f>
        <v>699.59999999999991</v>
      </c>
      <c r="H39" s="11">
        <f>'5b. Variables'!D39</f>
        <v>0</v>
      </c>
      <c r="I39" s="1">
        <f>'5b. Variables'!E39</f>
        <v>28</v>
      </c>
      <c r="J39" s="5">
        <f>'5b. Variables'!I39</f>
        <v>682.6</v>
      </c>
      <c r="K39" s="5">
        <f>'5b. Variables'!T39</f>
        <v>178309.99877520799</v>
      </c>
      <c r="L39" s="5">
        <f>'5b. Variables'!R39</f>
        <v>4293131.7804840002</v>
      </c>
      <c r="M39" s="5"/>
      <c r="N39" s="269"/>
      <c r="O39" s="5"/>
      <c r="Q39" s="5">
        <f t="shared" si="0"/>
        <v>9444529.2454142012</v>
      </c>
      <c r="R39" s="5">
        <f t="shared" si="1"/>
        <v>60679.245414199308</v>
      </c>
      <c r="S39" s="273">
        <f t="shared" si="2"/>
        <v>6.466348611092387E-3</v>
      </c>
      <c r="T39" s="273">
        <f t="shared" si="3"/>
        <v>6.466348611092387E-3</v>
      </c>
      <c r="V39" s="370">
        <v>2018</v>
      </c>
      <c r="W39" s="369">
        <f>SUM(E98:E109)</f>
        <v>106666687.58000003</v>
      </c>
      <c r="X39" s="377">
        <f t="shared" si="6"/>
        <v>-4.2573072412184212E-3</v>
      </c>
      <c r="Y39" s="369">
        <f>SUM(Q98:Q109)</f>
        <v>106698164.90676312</v>
      </c>
      <c r="Z39" s="375">
        <f t="shared" si="5"/>
        <v>31477.326763093472</v>
      </c>
      <c r="AA39" s="371">
        <f t="shared" si="4"/>
        <v>2.9509988054598091E-4</v>
      </c>
    </row>
    <row r="40" spans="1:27" ht="14.5">
      <c r="A40" s="1">
        <v>2013</v>
      </c>
      <c r="B40" s="1" t="s">
        <v>4</v>
      </c>
      <c r="C40" s="5">
        <v>9813648.6333333347</v>
      </c>
      <c r="D40" s="5">
        <v>15409.699999999999</v>
      </c>
      <c r="E40" s="5">
        <v>9829058.333333334</v>
      </c>
      <c r="F40" s="5"/>
      <c r="G40" s="11">
        <f>'5b. Variables'!C40</f>
        <v>649</v>
      </c>
      <c r="H40" s="11">
        <f>'5b. Variables'!D40</f>
        <v>0</v>
      </c>
      <c r="I40" s="1">
        <f>'5b. Variables'!E40</f>
        <v>31</v>
      </c>
      <c r="J40" s="5">
        <f>'5b. Variables'!I40</f>
        <v>683.6</v>
      </c>
      <c r="K40" s="5">
        <f>'5b. Variables'!T40</f>
        <v>179970.41185320137</v>
      </c>
      <c r="L40" s="5">
        <f>'5b. Variables'!R40</f>
        <v>4392825.450348001</v>
      </c>
      <c r="M40" s="5"/>
      <c r="N40" s="269"/>
      <c r="O40" s="5"/>
      <c r="Q40" s="5">
        <f t="shared" si="0"/>
        <v>9776896.6394172478</v>
      </c>
      <c r="R40" s="5">
        <f t="shared" si="1"/>
        <v>-52161.693916086107</v>
      </c>
      <c r="S40" s="273">
        <f t="shared" si="2"/>
        <v>-5.3068861885975276E-3</v>
      </c>
      <c r="T40" s="273">
        <f t="shared" si="3"/>
        <v>5.3068861885975276E-3</v>
      </c>
      <c r="V40" s="370">
        <v>2019</v>
      </c>
      <c r="W40" s="373">
        <f>SUM(E110:E121)</f>
        <v>104914586.14000002</v>
      </c>
      <c r="X40" s="378">
        <f t="shared" si="6"/>
        <v>-1.6425947779487728E-2</v>
      </c>
      <c r="Y40" s="373">
        <f>SUM(Q110:Q121)</f>
        <v>104883979.3305499</v>
      </c>
      <c r="Z40" s="375">
        <f t="shared" si="5"/>
        <v>-30606.809450119734</v>
      </c>
      <c r="AA40" s="371">
        <f t="shared" si="4"/>
        <v>2.9173073617501979E-4</v>
      </c>
    </row>
    <row r="41" spans="1:27" ht="14.5">
      <c r="A41" s="1">
        <v>2013</v>
      </c>
      <c r="B41" s="1" t="s">
        <v>5</v>
      </c>
      <c r="C41" s="5">
        <v>9183566.2666666675</v>
      </c>
      <c r="D41" s="5">
        <v>23775.4</v>
      </c>
      <c r="E41" s="5">
        <v>9207341.6666666679</v>
      </c>
      <c r="F41" s="5"/>
      <c r="G41" s="11">
        <f>'5b. Variables'!C41</f>
        <v>414.2</v>
      </c>
      <c r="H41" s="11">
        <f>'5b. Variables'!D41</f>
        <v>0</v>
      </c>
      <c r="I41" s="1">
        <f>'5b. Variables'!E41</f>
        <v>30</v>
      </c>
      <c r="J41" s="5">
        <f>'5b. Variables'!I41</f>
        <v>685.4</v>
      </c>
      <c r="K41" s="5">
        <f>'5b. Variables'!T41</f>
        <v>181630.82493119474</v>
      </c>
      <c r="L41" s="5">
        <f>'5b. Variables'!R41</f>
        <v>4685486.2900200011</v>
      </c>
      <c r="M41" s="5"/>
      <c r="N41" s="269"/>
      <c r="O41" s="5"/>
      <c r="Q41" s="5">
        <f t="shared" si="0"/>
        <v>9309696.9910861943</v>
      </c>
      <c r="R41" s="5">
        <f t="shared" si="1"/>
        <v>102355.32441952638</v>
      </c>
      <c r="S41" s="273">
        <f t="shared" si="2"/>
        <v>1.11167075280896E-2</v>
      </c>
      <c r="T41" s="273">
        <f t="shared" si="3"/>
        <v>1.11167075280896E-2</v>
      </c>
      <c r="W41" s="372">
        <f>SUM(W31:W40)</f>
        <v>1079546801.3441427</v>
      </c>
      <c r="Y41" s="372">
        <f>SUM(Y31:Y40)</f>
        <v>1079546801.3441427</v>
      </c>
    </row>
    <row r="42" spans="1:27" ht="14.5">
      <c r="A42" s="1">
        <v>2013</v>
      </c>
      <c r="B42" s="1" t="s">
        <v>6</v>
      </c>
      <c r="C42" s="5">
        <v>8857473.3599999994</v>
      </c>
      <c r="D42" s="5">
        <v>33326.639999999999</v>
      </c>
      <c r="E42" s="5">
        <v>8890800</v>
      </c>
      <c r="F42" s="5"/>
      <c r="G42" s="11">
        <f>'5b. Variables'!C42</f>
        <v>160.66666666666669</v>
      </c>
      <c r="H42" s="11">
        <f>'5b. Variables'!D42</f>
        <v>18.7</v>
      </c>
      <c r="I42" s="1">
        <f>'5b. Variables'!E42</f>
        <v>31</v>
      </c>
      <c r="J42" s="5">
        <f>'5b. Variables'!I42</f>
        <v>690.3</v>
      </c>
      <c r="K42" s="5">
        <f>'5b. Variables'!T42</f>
        <v>183291.23800918812</v>
      </c>
      <c r="L42" s="5">
        <f>'5b. Variables'!R42</f>
        <v>4795234.6969560003</v>
      </c>
      <c r="M42" s="5"/>
      <c r="N42" s="269"/>
      <c r="O42" s="5"/>
      <c r="Q42" s="5">
        <f t="shared" si="0"/>
        <v>9070718.7620643601</v>
      </c>
      <c r="R42" s="5">
        <f t="shared" si="1"/>
        <v>179918.76206436008</v>
      </c>
      <c r="S42" s="273">
        <f t="shared" si="2"/>
        <v>2.0236509882615748E-2</v>
      </c>
      <c r="T42" s="273">
        <f t="shared" si="3"/>
        <v>2.0236509882615748E-2</v>
      </c>
      <c r="Y42" s="274" t="s">
        <v>51</v>
      </c>
      <c r="Z42" s="363">
        <f>AVERAGE(AA31:AA40)</f>
        <v>1.6661328193244862E-3</v>
      </c>
    </row>
    <row r="43" spans="1:27" ht="14.5">
      <c r="A43" s="1">
        <v>2013</v>
      </c>
      <c r="B43" s="1" t="s">
        <v>7</v>
      </c>
      <c r="C43" s="5">
        <v>8508362.3833333347</v>
      </c>
      <c r="D43" s="5">
        <v>31145.950000000008</v>
      </c>
      <c r="E43" s="5">
        <v>8539508.333333334</v>
      </c>
      <c r="F43" s="5"/>
      <c r="G43" s="11">
        <f>'5b. Variables'!C43</f>
        <v>67.399999999999991</v>
      </c>
      <c r="H43" s="11">
        <f>'5b. Variables'!D43</f>
        <v>35.000000000000007</v>
      </c>
      <c r="I43" s="1">
        <f>'5b. Variables'!E43</f>
        <v>30</v>
      </c>
      <c r="J43" s="5">
        <f>'5b. Variables'!I43</f>
        <v>696.7</v>
      </c>
      <c r="K43" s="5">
        <f>'5b. Variables'!T43</f>
        <v>184951.6510871815</v>
      </c>
      <c r="L43" s="5">
        <f>'5b. Variables'!R43</f>
        <v>4516928.1643200004</v>
      </c>
      <c r="M43" s="5"/>
      <c r="N43" s="269"/>
      <c r="O43" s="5"/>
      <c r="Q43" s="5">
        <f t="shared" si="0"/>
        <v>8623116.7249934506</v>
      </c>
      <c r="R43" s="5">
        <f t="shared" si="1"/>
        <v>83608.391660116613</v>
      </c>
      <c r="S43" s="273">
        <f t="shared" si="2"/>
        <v>9.7907734727252956E-3</v>
      </c>
      <c r="T43" s="273">
        <f t="shared" si="3"/>
        <v>9.7907734727252956E-3</v>
      </c>
      <c r="Y43" s="274" t="s">
        <v>52</v>
      </c>
      <c r="Z43" s="363">
        <f>MEDIAN(AA31:AA40)</f>
        <v>1.7641071799017402E-3</v>
      </c>
    </row>
    <row r="44" spans="1:27" ht="14.5">
      <c r="A44" s="1">
        <v>2013</v>
      </c>
      <c r="B44" s="1" t="s">
        <v>8</v>
      </c>
      <c r="C44" s="5">
        <v>8783633.9766666684</v>
      </c>
      <c r="D44" s="5">
        <v>24907.69</v>
      </c>
      <c r="E44" s="5">
        <v>8808541.6666666679</v>
      </c>
      <c r="F44" s="5"/>
      <c r="G44" s="11">
        <f>'5b. Variables'!C44</f>
        <v>19.599999999999998</v>
      </c>
      <c r="H44" s="11">
        <f>'5b. Variables'!D44</f>
        <v>75.899999999999991</v>
      </c>
      <c r="I44" s="1">
        <f>'5b. Variables'!E44</f>
        <v>31</v>
      </c>
      <c r="J44" s="5">
        <f>'5b. Variables'!I44</f>
        <v>702.8</v>
      </c>
      <c r="K44" s="5">
        <f>'5b. Variables'!T44</f>
        <v>186612.06416517487</v>
      </c>
      <c r="L44" s="5">
        <f>'5b. Variables'!R44</f>
        <v>4372227.4551960006</v>
      </c>
      <c r="M44" s="5"/>
      <c r="N44" s="269"/>
      <c r="O44" s="5"/>
      <c r="Q44" s="5">
        <f t="shared" si="0"/>
        <v>8913927.0710706506</v>
      </c>
      <c r="R44" s="5">
        <f t="shared" si="1"/>
        <v>105385.40440398268</v>
      </c>
      <c r="S44" s="273">
        <f t="shared" si="2"/>
        <v>1.1964001351413562E-2</v>
      </c>
      <c r="T44" s="273">
        <f t="shared" si="3"/>
        <v>1.1964001351413562E-2</v>
      </c>
    </row>
    <row r="45" spans="1:27" ht="14.5">
      <c r="A45" s="1">
        <v>2013</v>
      </c>
      <c r="B45" s="1" t="s">
        <v>9</v>
      </c>
      <c r="C45" s="5">
        <v>8859770.6900000013</v>
      </c>
      <c r="D45" s="5">
        <v>30729.31</v>
      </c>
      <c r="E45" s="5">
        <v>8890500.0000000019</v>
      </c>
      <c r="F45" s="5"/>
      <c r="G45" s="11">
        <f>'5b. Variables'!C45</f>
        <v>33.9</v>
      </c>
      <c r="H45" s="11">
        <f>'5b. Variables'!D45</f>
        <v>34.5</v>
      </c>
      <c r="I45" s="1">
        <f>'5b. Variables'!E45</f>
        <v>31</v>
      </c>
      <c r="J45" s="5">
        <f>'5b. Variables'!I45</f>
        <v>701.4</v>
      </c>
      <c r="K45" s="5">
        <f>'5b. Variables'!T45</f>
        <v>188272.47724316825</v>
      </c>
      <c r="L45" s="5">
        <f>'5b. Variables'!R45</f>
        <v>4771016.3547840007</v>
      </c>
      <c r="M45" s="5"/>
      <c r="N45" s="269"/>
      <c r="O45" s="5"/>
      <c r="Q45" s="5">
        <f t="shared" si="0"/>
        <v>8890553.8362550363</v>
      </c>
      <c r="R45" s="5">
        <f t="shared" si="1"/>
        <v>53.836255034431815</v>
      </c>
      <c r="S45" s="273">
        <f t="shared" si="2"/>
        <v>6.0554811354177835E-6</v>
      </c>
      <c r="T45" s="273">
        <f t="shared" si="3"/>
        <v>6.0554811354177835E-6</v>
      </c>
      <c r="V45" s="271" t="s">
        <v>0</v>
      </c>
      <c r="W45" s="271" t="s">
        <v>49</v>
      </c>
      <c r="X45" s="271" t="s">
        <v>53</v>
      </c>
      <c r="Y45" s="271" t="s">
        <v>50</v>
      </c>
      <c r="Z45" s="272" t="s">
        <v>60</v>
      </c>
    </row>
    <row r="46" spans="1:27" ht="14.5">
      <c r="A46" s="1">
        <v>2013</v>
      </c>
      <c r="B46" s="1" t="s">
        <v>10</v>
      </c>
      <c r="C46" s="5">
        <v>8499523.1166666653</v>
      </c>
      <c r="D46" s="5">
        <v>25518.55</v>
      </c>
      <c r="E46" s="5">
        <v>8525041.666666666</v>
      </c>
      <c r="F46" s="5"/>
      <c r="G46" s="11">
        <f>'5b. Variables'!C46</f>
        <v>133.1</v>
      </c>
      <c r="H46" s="11">
        <f>'5b. Variables'!D46</f>
        <v>17.2</v>
      </c>
      <c r="I46" s="1">
        <f>'5b. Variables'!E46</f>
        <v>30</v>
      </c>
      <c r="J46" s="5">
        <f>'5b. Variables'!I46</f>
        <v>698.4</v>
      </c>
      <c r="K46" s="5">
        <f>'5b. Variables'!T46</f>
        <v>189932.89032116163</v>
      </c>
      <c r="L46" s="5">
        <f>'5b. Variables'!R46</f>
        <v>4513364.5799520016</v>
      </c>
      <c r="M46" s="5"/>
      <c r="N46" s="269"/>
      <c r="O46" s="5"/>
      <c r="Q46" s="5">
        <f t="shared" si="0"/>
        <v>8605681.7282049395</v>
      </c>
      <c r="R46" s="5">
        <f t="shared" si="1"/>
        <v>80640.061538273469</v>
      </c>
      <c r="S46" s="273">
        <f t="shared" si="2"/>
        <v>9.4591985225808452E-3</v>
      </c>
      <c r="T46" s="273">
        <f t="shared" si="3"/>
        <v>9.4591985225808452E-3</v>
      </c>
      <c r="V46" s="3">
        <v>2020</v>
      </c>
      <c r="Y46" s="5">
        <f>SUM(Q122:Q133)</f>
        <v>104616124.90280947</v>
      </c>
      <c r="Z46" s="273">
        <f>(Y46-W40)/W40</f>
        <v>-2.8448021211490296E-3</v>
      </c>
    </row>
    <row r="47" spans="1:27" ht="14.5">
      <c r="A47" s="1">
        <v>2013</v>
      </c>
      <c r="B47" s="1" t="s">
        <v>11</v>
      </c>
      <c r="C47" s="5">
        <v>9283300.746666668</v>
      </c>
      <c r="D47" s="5">
        <v>17140.919999999998</v>
      </c>
      <c r="E47" s="5">
        <v>9300441.6666666679</v>
      </c>
      <c r="F47" s="5"/>
      <c r="G47" s="11">
        <f>'5b. Variables'!C47</f>
        <v>270.68888888888893</v>
      </c>
      <c r="H47" s="11">
        <f>'5b. Variables'!D47</f>
        <v>0</v>
      </c>
      <c r="I47" s="1">
        <f>'5b. Variables'!E47</f>
        <v>31</v>
      </c>
      <c r="J47" s="5">
        <f>'5b. Variables'!I47</f>
        <v>698.4</v>
      </c>
      <c r="K47" s="5">
        <f>'5b. Variables'!T47</f>
        <v>191593.303399155</v>
      </c>
      <c r="L47" s="5">
        <f>'5b. Variables'!R47</f>
        <v>4880786.5687800003</v>
      </c>
      <c r="M47" s="5"/>
      <c r="N47" s="269"/>
      <c r="O47" s="5"/>
      <c r="Q47" s="5">
        <f t="shared" si="0"/>
        <v>9246639.4866820052</v>
      </c>
      <c r="R47" s="5">
        <f t="shared" si="1"/>
        <v>-53802.179984662682</v>
      </c>
      <c r="S47" s="273">
        <f t="shared" si="2"/>
        <v>-5.7849059123173553E-3</v>
      </c>
      <c r="T47" s="273">
        <f t="shared" si="3"/>
        <v>5.7849059123173553E-3</v>
      </c>
      <c r="V47" s="3">
        <v>2021</v>
      </c>
      <c r="Y47" s="5">
        <f>SUM(Q134:Q145)</f>
        <v>104523797.38544616</v>
      </c>
      <c r="Z47" s="273">
        <f>(Y47-Y46)/Y46</f>
        <v>-8.8253620031409133E-4</v>
      </c>
    </row>
    <row r="48" spans="1:27" ht="14.5">
      <c r="A48" s="1">
        <v>2013</v>
      </c>
      <c r="B48" s="1" t="s">
        <v>12</v>
      </c>
      <c r="C48" s="5">
        <v>9550087.7666666675</v>
      </c>
      <c r="D48" s="5">
        <v>8803.9</v>
      </c>
      <c r="E48" s="5">
        <v>9558891.6666666679</v>
      </c>
      <c r="F48" s="5"/>
      <c r="G48" s="11">
        <f>'5b. Variables'!C48</f>
        <v>557.36666666666667</v>
      </c>
      <c r="H48" s="11">
        <f>'5b. Variables'!D48</f>
        <v>0</v>
      </c>
      <c r="I48" s="1">
        <f>'5b. Variables'!E48</f>
        <v>30</v>
      </c>
      <c r="J48" s="5">
        <f>'5b. Variables'!I48</f>
        <v>700</v>
      </c>
      <c r="K48" s="5">
        <f>'5b. Variables'!T48</f>
        <v>193253.71647714838</v>
      </c>
      <c r="L48" s="5">
        <f>'5b. Variables'!R48</f>
        <v>4552412.9659799999</v>
      </c>
      <c r="M48" s="5"/>
      <c r="N48" s="269"/>
      <c r="O48" s="5"/>
      <c r="Q48" s="5">
        <f t="shared" si="0"/>
        <v>9567858.5463725384</v>
      </c>
      <c r="R48" s="5">
        <f t="shared" si="1"/>
        <v>8966.879705870524</v>
      </c>
      <c r="S48" s="273">
        <f t="shared" si="2"/>
        <v>9.3806688249636926E-4</v>
      </c>
      <c r="T48" s="273">
        <f t="shared" si="3"/>
        <v>9.3806688249636926E-4</v>
      </c>
    </row>
    <row r="49" spans="1:30" ht="14.5">
      <c r="A49" s="1">
        <v>2013</v>
      </c>
      <c r="B49" s="1" t="s">
        <v>13</v>
      </c>
      <c r="C49" s="5">
        <v>9797816.666666666</v>
      </c>
      <c r="D49" s="5">
        <v>2246.8199999999997</v>
      </c>
      <c r="E49" s="5">
        <v>9800063.4866666663</v>
      </c>
      <c r="F49" s="5"/>
      <c r="G49" s="11">
        <f>'5b. Variables'!C49</f>
        <v>767.19999999999993</v>
      </c>
      <c r="H49" s="11">
        <f>'5b. Variables'!D49</f>
        <v>0</v>
      </c>
      <c r="I49" s="1">
        <f>'5b. Variables'!E49</f>
        <v>31</v>
      </c>
      <c r="J49" s="5">
        <f>'5b. Variables'!I49</f>
        <v>695.4</v>
      </c>
      <c r="K49" s="5">
        <f>'5b. Variables'!T49</f>
        <v>194914.12955514176</v>
      </c>
      <c r="L49" s="5">
        <f>'5b. Variables'!R49</f>
        <v>4004842.5651600002</v>
      </c>
      <c r="M49" s="5"/>
      <c r="N49" s="269"/>
      <c r="O49" s="5"/>
      <c r="Q49" s="5">
        <f t="shared" si="0"/>
        <v>9727801.1299055293</v>
      </c>
      <c r="R49" s="5">
        <f t="shared" si="1"/>
        <v>-72262.356761137024</v>
      </c>
      <c r="S49" s="273">
        <f t="shared" si="2"/>
        <v>-7.3736621052968195E-3</v>
      </c>
      <c r="T49" s="273">
        <f t="shared" si="3"/>
        <v>7.3736621052968195E-3</v>
      </c>
    </row>
    <row r="50" spans="1:30">
      <c r="A50" s="268">
        <v>2014</v>
      </c>
      <c r="B50" s="268" t="s">
        <v>2</v>
      </c>
      <c r="C50" s="5">
        <v>10797258.333333334</v>
      </c>
      <c r="D50" s="5">
        <v>2439.25</v>
      </c>
      <c r="E50" s="5">
        <v>10799697.583333334</v>
      </c>
      <c r="F50" s="5"/>
      <c r="G50" s="11">
        <f>'5b. Variables'!C50</f>
        <v>899.69999999999982</v>
      </c>
      <c r="H50" s="11">
        <f>'5b. Variables'!D50</f>
        <v>0</v>
      </c>
      <c r="I50" s="1">
        <f>'5b. Variables'!E50</f>
        <v>31</v>
      </c>
      <c r="J50" s="5">
        <f>'5b. Variables'!I50</f>
        <v>689.4</v>
      </c>
      <c r="K50" s="5">
        <f>'5b. Variables'!T50</f>
        <v>196974.1182386929</v>
      </c>
      <c r="L50" s="5">
        <f>'5b. Variables'!R50</f>
        <v>4667489.5395720005</v>
      </c>
      <c r="M50" s="5"/>
      <c r="N50" s="269"/>
      <c r="O50" s="5"/>
      <c r="Q50" s="5">
        <f t="shared" si="0"/>
        <v>10664504.035452202</v>
      </c>
      <c r="R50" s="5">
        <f t="shared" si="1"/>
        <v>-135193.54788113199</v>
      </c>
      <c r="S50" s="273">
        <f t="shared" si="2"/>
        <v>-1.2518271631028803E-2</v>
      </c>
      <c r="T50" s="273">
        <f t="shared" si="3"/>
        <v>1.2518271631028803E-2</v>
      </c>
      <c r="V50" s="151"/>
      <c r="W50" s="151"/>
      <c r="X50" s="151"/>
      <c r="Y50" s="151"/>
      <c r="Z50" s="151"/>
      <c r="AA50" s="151"/>
      <c r="AB50" s="151"/>
      <c r="AC50" s="151"/>
      <c r="AD50" s="151"/>
    </row>
    <row r="51" spans="1:30">
      <c r="A51" s="1">
        <v>2014</v>
      </c>
      <c r="B51" s="1" t="s">
        <v>3</v>
      </c>
      <c r="C51" s="5">
        <v>9707875.0000000019</v>
      </c>
      <c r="D51" s="5">
        <v>2991.88</v>
      </c>
      <c r="E51" s="5">
        <v>9710866.8800000027</v>
      </c>
      <c r="F51" s="5"/>
      <c r="G51" s="11">
        <f>'5b. Variables'!C51</f>
        <v>820.9666666666667</v>
      </c>
      <c r="H51" s="11">
        <f>'5b. Variables'!D51</f>
        <v>0</v>
      </c>
      <c r="I51" s="1">
        <f>'5b. Variables'!E51</f>
        <v>28</v>
      </c>
      <c r="J51" s="5">
        <f>'5b. Variables'!I51</f>
        <v>682.3</v>
      </c>
      <c r="K51" s="5">
        <f>'5b. Variables'!T51</f>
        <v>199034.10692224404</v>
      </c>
      <c r="L51" s="5">
        <f>'5b. Variables'!R51</f>
        <v>4342400.5729440004</v>
      </c>
      <c r="M51" s="5"/>
      <c r="N51" s="269"/>
      <c r="O51" s="5"/>
      <c r="Q51" s="5">
        <f t="shared" si="0"/>
        <v>9774362.1443206985</v>
      </c>
      <c r="R51" s="5">
        <f t="shared" si="1"/>
        <v>63495.264320695773</v>
      </c>
      <c r="S51" s="273">
        <f t="shared" si="2"/>
        <v>6.5385783890691907E-3</v>
      </c>
      <c r="T51" s="273">
        <f t="shared" si="3"/>
        <v>6.5385783890691907E-3</v>
      </c>
      <c r="V51" s="151"/>
      <c r="W51" s="151"/>
      <c r="X51" s="151"/>
      <c r="Y51" s="151"/>
      <c r="Z51" s="151"/>
      <c r="AA51" s="151"/>
      <c r="AB51" s="151"/>
      <c r="AC51" s="151"/>
      <c r="AD51" s="151"/>
    </row>
    <row r="52" spans="1:30">
      <c r="A52" s="1">
        <v>2014</v>
      </c>
      <c r="B52" s="1" t="s">
        <v>4</v>
      </c>
      <c r="C52" s="5">
        <v>10383525</v>
      </c>
      <c r="D52" s="5">
        <v>13924.2</v>
      </c>
      <c r="E52" s="5">
        <v>10397449.199999999</v>
      </c>
      <c r="F52" s="5"/>
      <c r="G52" s="11">
        <f>'5b. Variables'!C52</f>
        <v>767.15555555555545</v>
      </c>
      <c r="H52" s="11">
        <f>'5b. Variables'!D52</f>
        <v>0</v>
      </c>
      <c r="I52" s="1">
        <f>'5b. Variables'!E52</f>
        <v>31</v>
      </c>
      <c r="J52" s="5">
        <f>'5b. Variables'!I52</f>
        <v>680.2</v>
      </c>
      <c r="K52" s="5">
        <f>'5b. Variables'!T52</f>
        <v>201094.09560579518</v>
      </c>
      <c r="L52" s="5">
        <f>'5b. Variables'!R52</f>
        <v>4788788.5728840008</v>
      </c>
      <c r="M52" s="5"/>
      <c r="N52" s="269"/>
      <c r="O52" s="5"/>
      <c r="Q52" s="5">
        <f t="shared" si="0"/>
        <v>10409258.506313328</v>
      </c>
      <c r="R52" s="5">
        <f t="shared" si="1"/>
        <v>11809.306313328445</v>
      </c>
      <c r="S52" s="273">
        <f t="shared" si="2"/>
        <v>1.1357887964798564E-3</v>
      </c>
      <c r="T52" s="273">
        <f t="shared" si="3"/>
        <v>1.1357887964798564E-3</v>
      </c>
      <c r="V52" s="151"/>
      <c r="W52" s="151"/>
      <c r="X52" s="151"/>
      <c r="Y52" s="151"/>
      <c r="Z52" s="151"/>
      <c r="AA52" s="151"/>
      <c r="AB52" s="151"/>
      <c r="AC52" s="151"/>
      <c r="AD52" s="151"/>
    </row>
    <row r="53" spans="1:30">
      <c r="A53" s="1">
        <v>2014</v>
      </c>
      <c r="B53" s="1" t="s">
        <v>5</v>
      </c>
      <c r="C53" s="5">
        <v>9160908.333333334</v>
      </c>
      <c r="D53" s="5">
        <v>25104.21</v>
      </c>
      <c r="E53" s="5">
        <v>9186012.5433333348</v>
      </c>
      <c r="F53" s="5"/>
      <c r="G53" s="11">
        <f>'5b. Variables'!C53</f>
        <v>423.06666666666666</v>
      </c>
      <c r="H53" s="11">
        <f>'5b. Variables'!D53</f>
        <v>0</v>
      </c>
      <c r="I53" s="1">
        <f>'5b. Variables'!E53</f>
        <v>30</v>
      </c>
      <c r="J53" s="5">
        <f>'5b. Variables'!I53</f>
        <v>679.4</v>
      </c>
      <c r="K53" s="5">
        <f>'5b. Variables'!T53</f>
        <v>203154.08428934633</v>
      </c>
      <c r="L53" s="5">
        <f>'5b. Variables'!R53</f>
        <v>4624196.0958720008</v>
      </c>
      <c r="M53" s="5"/>
      <c r="N53" s="269"/>
      <c r="O53" s="5"/>
      <c r="Q53" s="5">
        <f t="shared" si="0"/>
        <v>9235339.1282708347</v>
      </c>
      <c r="R53" s="5">
        <f t="shared" si="1"/>
        <v>49326.584937499836</v>
      </c>
      <c r="S53" s="273">
        <f t="shared" si="2"/>
        <v>5.3697493558615E-3</v>
      </c>
      <c r="T53" s="273">
        <f t="shared" si="3"/>
        <v>5.3697493558615E-3</v>
      </c>
      <c r="V53" s="151"/>
      <c r="W53" s="151"/>
      <c r="X53" s="151"/>
      <c r="Y53" s="151"/>
      <c r="Z53" s="151"/>
      <c r="AA53" s="151"/>
      <c r="AB53" s="151"/>
      <c r="AC53" s="151"/>
      <c r="AD53" s="151"/>
    </row>
    <row r="54" spans="1:30">
      <c r="A54" s="1">
        <v>2014</v>
      </c>
      <c r="B54" s="1" t="s">
        <v>6</v>
      </c>
      <c r="C54" s="5">
        <v>8981769.2307692301</v>
      </c>
      <c r="D54" s="5">
        <v>32010.48</v>
      </c>
      <c r="E54" s="5">
        <v>9013779.7107692305</v>
      </c>
      <c r="F54" s="5"/>
      <c r="G54" s="11">
        <f>'5b. Variables'!C54</f>
        <v>185.6</v>
      </c>
      <c r="H54" s="11">
        <f>'5b. Variables'!D54</f>
        <v>7.6000000000000005</v>
      </c>
      <c r="I54" s="1">
        <f>'5b. Variables'!E54</f>
        <v>31</v>
      </c>
      <c r="J54" s="5">
        <f>'5b. Variables'!I54</f>
        <v>690</v>
      </c>
      <c r="K54" s="5">
        <f>'5b. Variables'!T54</f>
        <v>205214.07297289747</v>
      </c>
      <c r="L54" s="5">
        <f>'5b. Variables'!R54</f>
        <v>4967134.5322440006</v>
      </c>
      <c r="M54" s="5"/>
      <c r="N54" s="269"/>
      <c r="O54" s="5"/>
      <c r="Q54" s="5">
        <f t="shared" si="0"/>
        <v>9147443.3769233506</v>
      </c>
      <c r="R54" s="5">
        <f t="shared" si="1"/>
        <v>133663.66615412012</v>
      </c>
      <c r="S54" s="273">
        <f t="shared" si="2"/>
        <v>1.4828814375663652E-2</v>
      </c>
      <c r="T54" s="273">
        <f t="shared" si="3"/>
        <v>1.4828814375663652E-2</v>
      </c>
      <c r="V54" s="151"/>
      <c r="W54" s="151"/>
      <c r="X54" s="151"/>
      <c r="Y54" s="151"/>
      <c r="Z54" s="151"/>
      <c r="AA54" s="151"/>
      <c r="AB54" s="151"/>
      <c r="AC54" s="151"/>
      <c r="AD54" s="151"/>
    </row>
    <row r="55" spans="1:30">
      <c r="A55" s="1">
        <v>2014</v>
      </c>
      <c r="B55" s="1" t="s">
        <v>7</v>
      </c>
      <c r="C55" s="5">
        <v>8511153.846153846</v>
      </c>
      <c r="D55" s="5">
        <v>48616.92</v>
      </c>
      <c r="E55" s="5">
        <v>8559770.7661538459</v>
      </c>
      <c r="F55" s="5"/>
      <c r="G55" s="11">
        <f>'5b. Variables'!C55</f>
        <v>35.999999999999993</v>
      </c>
      <c r="H55" s="11">
        <f>'5b. Variables'!D55</f>
        <v>44</v>
      </c>
      <c r="I55" s="1">
        <f>'5b. Variables'!E55</f>
        <v>30</v>
      </c>
      <c r="J55" s="5">
        <f>'5b. Variables'!I55</f>
        <v>704.4</v>
      </c>
      <c r="K55" s="5">
        <f>'5b. Variables'!T55</f>
        <v>207274.06165644861</v>
      </c>
      <c r="L55" s="5">
        <f>'5b. Variables'!R55</f>
        <v>4578201.0414120005</v>
      </c>
      <c r="M55" s="5"/>
      <c r="N55" s="269"/>
      <c r="O55" s="5"/>
      <c r="Q55" s="5">
        <f t="shared" si="0"/>
        <v>8669030.3660606444</v>
      </c>
      <c r="R55" s="5">
        <f t="shared" si="1"/>
        <v>109259.59990679845</v>
      </c>
      <c r="S55" s="273">
        <f t="shared" si="2"/>
        <v>1.2764313775647051E-2</v>
      </c>
      <c r="T55" s="273">
        <f t="shared" si="3"/>
        <v>1.2764313775647051E-2</v>
      </c>
      <c r="V55" s="151"/>
      <c r="W55" s="151"/>
      <c r="X55" s="151"/>
      <c r="Y55" s="151"/>
      <c r="Z55" s="151"/>
      <c r="AA55" s="151"/>
      <c r="AB55" s="151"/>
      <c r="AC55" s="151"/>
      <c r="AD55" s="151"/>
    </row>
    <row r="56" spans="1:30">
      <c r="A56" s="1">
        <v>2014</v>
      </c>
      <c r="B56" s="1" t="s">
        <v>8</v>
      </c>
      <c r="C56" s="5">
        <v>8491076.9230769239</v>
      </c>
      <c r="D56" s="5">
        <v>52243.009999999995</v>
      </c>
      <c r="E56" s="5">
        <v>8543319.9330769237</v>
      </c>
      <c r="F56" s="5"/>
      <c r="G56" s="11">
        <f>'5b. Variables'!C56</f>
        <v>59.100000000000009</v>
      </c>
      <c r="H56" s="11">
        <f>'5b. Variables'!D56</f>
        <v>25.700000000000003</v>
      </c>
      <c r="I56" s="1">
        <f>'5b. Variables'!E56</f>
        <v>31</v>
      </c>
      <c r="J56" s="5">
        <f>'5b. Variables'!I56</f>
        <v>715.1</v>
      </c>
      <c r="K56" s="5">
        <f>'5b. Variables'!T56</f>
        <v>209334.05033999975</v>
      </c>
      <c r="L56" s="5">
        <f>'5b. Variables'!R56</f>
        <v>4518532.7781600012</v>
      </c>
      <c r="M56" s="5"/>
      <c r="N56" s="269"/>
      <c r="O56" s="5"/>
      <c r="Q56" s="5">
        <f t="shared" si="0"/>
        <v>8628360.7556384057</v>
      </c>
      <c r="R56" s="5">
        <f t="shared" si="1"/>
        <v>85040.822561481968</v>
      </c>
      <c r="S56" s="273">
        <f t="shared" si="2"/>
        <v>9.9540720969879502E-3</v>
      </c>
      <c r="T56" s="273">
        <f t="shared" si="3"/>
        <v>9.9540720969879502E-3</v>
      </c>
      <c r="V56" s="151"/>
      <c r="W56" s="151"/>
      <c r="X56" s="151"/>
      <c r="Y56" s="151"/>
      <c r="Z56" s="151"/>
      <c r="AA56" s="151"/>
      <c r="AB56" s="151"/>
      <c r="AC56" s="151"/>
      <c r="AD56" s="151"/>
    </row>
    <row r="57" spans="1:30">
      <c r="A57" s="1">
        <v>2014</v>
      </c>
      <c r="B57" s="1" t="s">
        <v>9</v>
      </c>
      <c r="C57" s="5">
        <v>8875484.615384616</v>
      </c>
      <c r="D57" s="5">
        <v>46971.21</v>
      </c>
      <c r="E57" s="5">
        <v>8922455.8253846169</v>
      </c>
      <c r="F57" s="5"/>
      <c r="G57" s="11">
        <f>'5b. Variables'!C57</f>
        <v>40.5</v>
      </c>
      <c r="H57" s="11">
        <f>'5b. Variables'!D57</f>
        <v>32.400000000000006</v>
      </c>
      <c r="I57" s="1">
        <f>'5b. Variables'!E57</f>
        <v>31</v>
      </c>
      <c r="J57" s="5">
        <f>'5b. Variables'!I57</f>
        <v>718.7</v>
      </c>
      <c r="K57" s="5">
        <f>'5b. Variables'!T57</f>
        <v>211394.0390235509</v>
      </c>
      <c r="L57" s="5">
        <f>'5b. Variables'!R57</f>
        <v>4873161.1167599997</v>
      </c>
      <c r="M57" s="5"/>
      <c r="N57" s="269"/>
      <c r="O57" s="5"/>
      <c r="Q57" s="5">
        <f t="shared" si="0"/>
        <v>8974867.8204445876</v>
      </c>
      <c r="R57" s="5">
        <f t="shared" si="1"/>
        <v>52411.995059970766</v>
      </c>
      <c r="S57" s="273">
        <f t="shared" si="2"/>
        <v>5.8741669430133004E-3</v>
      </c>
      <c r="T57" s="273">
        <f t="shared" si="3"/>
        <v>5.8741669430133004E-3</v>
      </c>
      <c r="V57" s="151"/>
      <c r="W57" s="151"/>
      <c r="X57" s="151"/>
      <c r="Y57" s="151"/>
      <c r="Z57" s="151"/>
      <c r="AA57" s="151"/>
      <c r="AB57" s="151"/>
      <c r="AC57" s="151"/>
      <c r="AD57" s="151"/>
    </row>
    <row r="58" spans="1:30">
      <c r="A58" s="1">
        <v>2014</v>
      </c>
      <c r="B58" s="1" t="s">
        <v>10</v>
      </c>
      <c r="C58" s="5">
        <v>8841092.307692308</v>
      </c>
      <c r="D58" s="5">
        <v>39980.21</v>
      </c>
      <c r="E58" s="5">
        <v>8881072.5176923089</v>
      </c>
      <c r="F58" s="5"/>
      <c r="G58" s="11">
        <f>'5b. Variables'!C58</f>
        <v>117.19999999999999</v>
      </c>
      <c r="H58" s="11">
        <f>'5b. Variables'!D58</f>
        <v>12.399999999999999</v>
      </c>
      <c r="I58" s="1">
        <f>'5b. Variables'!E58</f>
        <v>30</v>
      </c>
      <c r="J58" s="5">
        <f>'5b. Variables'!I58</f>
        <v>719.3</v>
      </c>
      <c r="K58" s="5">
        <f>'5b. Variables'!T58</f>
        <v>213454.02770710204</v>
      </c>
      <c r="L58" s="5">
        <f>'5b. Variables'!R58</f>
        <v>4845022.72248</v>
      </c>
      <c r="M58" s="5"/>
      <c r="N58" s="269"/>
      <c r="O58" s="5"/>
      <c r="Q58" s="5">
        <f t="shared" si="0"/>
        <v>8819149.7700142376</v>
      </c>
      <c r="R58" s="5">
        <f t="shared" si="1"/>
        <v>-61922.74767807126</v>
      </c>
      <c r="S58" s="273">
        <f t="shared" si="2"/>
        <v>-6.9724402716803283E-3</v>
      </c>
      <c r="T58" s="273">
        <f t="shared" si="3"/>
        <v>6.9724402716803283E-3</v>
      </c>
      <c r="V58" s="151"/>
      <c r="W58" s="151"/>
      <c r="X58" s="151"/>
      <c r="Y58" s="151"/>
      <c r="Z58" s="151"/>
      <c r="AA58" s="151"/>
      <c r="AB58" s="151"/>
      <c r="AC58" s="151"/>
      <c r="AD58" s="151"/>
    </row>
    <row r="59" spans="1:30">
      <c r="A59" s="1">
        <v>2014</v>
      </c>
      <c r="B59" s="1" t="s">
        <v>11</v>
      </c>
      <c r="C59" s="5">
        <v>9370961.538461538</v>
      </c>
      <c r="D59" s="5">
        <v>20845.66</v>
      </c>
      <c r="E59" s="5">
        <v>9391807.1984615382</v>
      </c>
      <c r="F59" s="5"/>
      <c r="G59" s="11">
        <f>'5b. Variables'!C59</f>
        <v>292.40000000000003</v>
      </c>
      <c r="H59" s="11">
        <f>'5b. Variables'!D59</f>
        <v>0</v>
      </c>
      <c r="I59" s="1">
        <f>'5b. Variables'!E59</f>
        <v>31</v>
      </c>
      <c r="J59" s="5">
        <f>'5b. Variables'!I59</f>
        <v>723.5</v>
      </c>
      <c r="K59" s="5">
        <f>'5b. Variables'!T59</f>
        <v>215514.01639065318</v>
      </c>
      <c r="L59" s="5">
        <f>'5b. Variables'!R59</f>
        <v>4964576.7409200007</v>
      </c>
      <c r="M59" s="5"/>
      <c r="N59" s="269"/>
      <c r="O59" s="5"/>
      <c r="Q59" s="5">
        <f t="shared" si="0"/>
        <v>9386655.0244025104</v>
      </c>
      <c r="R59" s="5">
        <f t="shared" si="1"/>
        <v>-5152.1740590278059</v>
      </c>
      <c r="S59" s="273">
        <f t="shared" si="2"/>
        <v>-5.4858175324039641E-4</v>
      </c>
      <c r="T59" s="273">
        <f t="shared" si="3"/>
        <v>5.4858175324039641E-4</v>
      </c>
      <c r="V59" s="151"/>
      <c r="W59" s="151"/>
      <c r="X59" s="151"/>
      <c r="Y59" s="151"/>
      <c r="Z59" s="151"/>
      <c r="AA59" s="151"/>
      <c r="AB59" s="151"/>
      <c r="AC59" s="151"/>
      <c r="AD59" s="151"/>
    </row>
    <row r="60" spans="1:30">
      <c r="A60" s="1">
        <v>2014</v>
      </c>
      <c r="B60" s="1" t="s">
        <v>12</v>
      </c>
      <c r="C60" s="5">
        <v>9361692.307692308</v>
      </c>
      <c r="D60" s="5">
        <v>7638.39</v>
      </c>
      <c r="E60" s="5">
        <v>9369330.6976923086</v>
      </c>
      <c r="F60" s="5"/>
      <c r="G60" s="11">
        <f>'5b. Variables'!C60</f>
        <v>548.06666666666661</v>
      </c>
      <c r="H60" s="11">
        <f>'5b. Variables'!D60</f>
        <v>0</v>
      </c>
      <c r="I60" s="1">
        <f>'5b. Variables'!E60</f>
        <v>30</v>
      </c>
      <c r="J60" s="5">
        <f>'5b. Variables'!I60</f>
        <v>721</v>
      </c>
      <c r="K60" s="5">
        <f>'5b. Variables'!T60</f>
        <v>217574.00507420432</v>
      </c>
      <c r="L60" s="5">
        <f>'5b. Variables'!R60</f>
        <v>4377795.0494400002</v>
      </c>
      <c r="M60" s="5"/>
      <c r="N60" s="269"/>
      <c r="O60" s="5"/>
      <c r="Q60" s="5">
        <f t="shared" si="0"/>
        <v>9383795.6058045514</v>
      </c>
      <c r="R60" s="5">
        <f t="shared" si="1"/>
        <v>14464.908112242818</v>
      </c>
      <c r="S60" s="273">
        <f t="shared" si="2"/>
        <v>1.5438571418773344E-3</v>
      </c>
      <c r="T60" s="273">
        <f t="shared" si="3"/>
        <v>1.5438571418773344E-3</v>
      </c>
      <c r="V60" s="151"/>
      <c r="W60" s="151"/>
      <c r="X60" s="151"/>
      <c r="Y60" s="151"/>
      <c r="Z60" s="151"/>
      <c r="AA60" s="151"/>
      <c r="AB60" s="151"/>
      <c r="AC60" s="151"/>
      <c r="AD60" s="151"/>
    </row>
    <row r="61" spans="1:30">
      <c r="A61" s="1">
        <v>2014</v>
      </c>
      <c r="B61" s="1" t="s">
        <v>13</v>
      </c>
      <c r="C61" s="5">
        <v>9419200</v>
      </c>
      <c r="D61" s="5">
        <v>8281.8599999999988</v>
      </c>
      <c r="E61" s="5">
        <v>9427481.8599999994</v>
      </c>
      <c r="F61" s="5"/>
      <c r="G61" s="11">
        <f>'5b. Variables'!C61</f>
        <v>623.73333333333346</v>
      </c>
      <c r="H61" s="11">
        <f>'5b. Variables'!D61</f>
        <v>0</v>
      </c>
      <c r="I61" s="1">
        <f>'5b. Variables'!E61</f>
        <v>31</v>
      </c>
      <c r="J61" s="5">
        <f>'5b. Variables'!I61</f>
        <v>714.3</v>
      </c>
      <c r="K61" s="5">
        <f>'5b. Variables'!T61</f>
        <v>219633.99375775547</v>
      </c>
      <c r="L61" s="5">
        <f>'5b. Variables'!R61</f>
        <v>3953464.1673599998</v>
      </c>
      <c r="M61" s="5"/>
      <c r="N61" s="269"/>
      <c r="O61" s="5"/>
      <c r="Q61" s="5">
        <f t="shared" si="0"/>
        <v>9303340.483060427</v>
      </c>
      <c r="R61" s="5">
        <f t="shared" si="1"/>
        <v>-124141.37693957239</v>
      </c>
      <c r="S61" s="273">
        <f t="shared" si="2"/>
        <v>-1.3168031377105444E-2</v>
      </c>
      <c r="T61" s="273">
        <f t="shared" si="3"/>
        <v>1.3168031377105444E-2</v>
      </c>
      <c r="V61" s="151"/>
      <c r="W61" s="151"/>
      <c r="X61" s="151"/>
      <c r="Y61" s="151"/>
      <c r="Z61" s="151"/>
      <c r="AA61" s="151"/>
      <c r="AB61" s="151"/>
      <c r="AC61" s="151"/>
      <c r="AD61" s="151"/>
    </row>
    <row r="62" spans="1:30">
      <c r="A62" s="268">
        <v>2015</v>
      </c>
      <c r="B62" s="268" t="s">
        <v>2</v>
      </c>
      <c r="C62" s="5">
        <v>10452784.615384616</v>
      </c>
      <c r="D62" s="5">
        <v>7604.7199999999993</v>
      </c>
      <c r="E62" s="5">
        <v>10460389.335384617</v>
      </c>
      <c r="F62" s="5"/>
      <c r="G62" s="11">
        <f>'5b. Variables'!C62</f>
        <v>871.19999999999993</v>
      </c>
      <c r="H62" s="11">
        <f>'5b. Variables'!D62</f>
        <v>0</v>
      </c>
      <c r="I62" s="1">
        <f>'5b. Variables'!E62</f>
        <v>31</v>
      </c>
      <c r="J62" s="5">
        <f>'5b. Variables'!I62</f>
        <v>705.7</v>
      </c>
      <c r="K62" s="5">
        <f>'5b. Variables'!T62</f>
        <v>223426.10725933639</v>
      </c>
      <c r="L62" s="5">
        <f>'5b. Variables'!R62</f>
        <v>4513683.0380400009</v>
      </c>
      <c r="M62" s="5"/>
      <c r="N62" s="269"/>
      <c r="O62" s="5"/>
      <c r="Q62" s="5">
        <f t="shared" si="0"/>
        <v>10438559.651046785</v>
      </c>
      <c r="R62" s="5">
        <f t="shared" si="1"/>
        <v>-21829.684337832034</v>
      </c>
      <c r="S62" s="273">
        <f t="shared" si="2"/>
        <v>-2.0868902330421126E-3</v>
      </c>
      <c r="T62" s="273">
        <f t="shared" si="3"/>
        <v>2.0868902330421126E-3</v>
      </c>
      <c r="V62" s="151"/>
      <c r="W62" s="151"/>
      <c r="X62" s="151"/>
      <c r="Y62" s="151"/>
      <c r="Z62" s="151"/>
      <c r="AA62" s="151"/>
      <c r="AB62" s="151"/>
      <c r="AC62" s="151"/>
      <c r="AD62" s="151"/>
    </row>
    <row r="63" spans="1:30">
      <c r="A63" s="1">
        <v>2015</v>
      </c>
      <c r="B63" s="1" t="s">
        <v>3</v>
      </c>
      <c r="C63" s="5">
        <v>9960700</v>
      </c>
      <c r="D63" s="5">
        <v>6503.2999999999993</v>
      </c>
      <c r="E63" s="5">
        <v>9967203.3000000007</v>
      </c>
      <c r="F63" s="5"/>
      <c r="G63" s="11">
        <f>'5b. Variables'!C63</f>
        <v>928.1</v>
      </c>
      <c r="H63" s="11">
        <f>'5b. Variables'!D63</f>
        <v>0</v>
      </c>
      <c r="I63" s="1">
        <f>'5b. Variables'!E63</f>
        <v>28</v>
      </c>
      <c r="J63" s="5">
        <f>'5b. Variables'!I63</f>
        <v>700.1</v>
      </c>
      <c r="K63" s="5">
        <f>'5b. Variables'!T63</f>
        <v>227218.22076091732</v>
      </c>
      <c r="L63" s="5">
        <f>'5b. Variables'!R63</f>
        <v>4307574.8160000006</v>
      </c>
      <c r="M63" s="5"/>
      <c r="N63" s="269"/>
      <c r="O63" s="5"/>
      <c r="Q63" s="5">
        <f t="shared" si="0"/>
        <v>10009739.568156695</v>
      </c>
      <c r="R63" s="5">
        <f t="shared" si="1"/>
        <v>42536.268156694248</v>
      </c>
      <c r="S63" s="273">
        <f t="shared" si="2"/>
        <v>4.2676232114874438E-3</v>
      </c>
      <c r="T63" s="273">
        <f t="shared" si="3"/>
        <v>4.2676232114874438E-3</v>
      </c>
      <c r="V63" s="151"/>
      <c r="W63" s="151"/>
      <c r="X63" s="151"/>
      <c r="Y63" s="151"/>
      <c r="Z63" s="151"/>
      <c r="AA63" s="151"/>
      <c r="AB63" s="151"/>
      <c r="AC63" s="151"/>
      <c r="AD63" s="151"/>
    </row>
    <row r="64" spans="1:30">
      <c r="A64" s="1">
        <v>2015</v>
      </c>
      <c r="B64" s="1" t="s">
        <v>4</v>
      </c>
      <c r="C64" s="5">
        <v>10261984.615384616</v>
      </c>
      <c r="D64" s="5">
        <v>37781.33</v>
      </c>
      <c r="E64" s="5">
        <v>10299765.945384616</v>
      </c>
      <c r="F64" s="5"/>
      <c r="G64" s="11">
        <f>'5b. Variables'!C64</f>
        <v>701.5</v>
      </c>
      <c r="H64" s="11">
        <f>'5b. Variables'!D64</f>
        <v>0</v>
      </c>
      <c r="I64" s="1">
        <f>'5b. Variables'!E64</f>
        <v>31</v>
      </c>
      <c r="J64" s="5">
        <f>'5b. Variables'!I64</f>
        <v>698.3</v>
      </c>
      <c r="K64" s="5">
        <f>'5b. Variables'!T64</f>
        <v>231010.33426249825</v>
      </c>
      <c r="L64" s="5">
        <f>'5b. Variables'!R64</f>
        <v>4884586.8374400008</v>
      </c>
      <c r="M64" s="5"/>
      <c r="N64" s="269"/>
      <c r="O64" s="5"/>
      <c r="Q64" s="5">
        <f t="shared" si="0"/>
        <v>10312622.408258434</v>
      </c>
      <c r="R64" s="5">
        <f t="shared" si="1"/>
        <v>12856.462873818353</v>
      </c>
      <c r="S64" s="273">
        <f t="shared" si="2"/>
        <v>1.2482286434459618E-3</v>
      </c>
      <c r="T64" s="273">
        <f t="shared" si="3"/>
        <v>1.2482286434459618E-3</v>
      </c>
      <c r="V64" s="151"/>
      <c r="W64" s="151"/>
      <c r="X64" s="151"/>
      <c r="Y64" s="151"/>
      <c r="Z64" s="151"/>
      <c r="AA64" s="151"/>
      <c r="AB64" s="151"/>
      <c r="AC64" s="151"/>
      <c r="AD64" s="151"/>
    </row>
    <row r="65" spans="1:30">
      <c r="A65" s="1">
        <v>2015</v>
      </c>
      <c r="B65" s="1" t="s">
        <v>5</v>
      </c>
      <c r="C65" s="5">
        <v>9023638.461538462</v>
      </c>
      <c r="D65" s="5">
        <v>41389.949999999997</v>
      </c>
      <c r="E65" s="5">
        <v>9065028.4115384612</v>
      </c>
      <c r="F65" s="5"/>
      <c r="G65" s="11">
        <f>'5b. Variables'!C65</f>
        <v>382.84999999999997</v>
      </c>
      <c r="H65" s="11">
        <f>'5b. Variables'!D65</f>
        <v>0</v>
      </c>
      <c r="I65" s="1">
        <f>'5b. Variables'!E65</f>
        <v>30</v>
      </c>
      <c r="J65" s="5">
        <f>'5b. Variables'!I65</f>
        <v>697.6</v>
      </c>
      <c r="K65" s="5">
        <f>'5b. Variables'!T65</f>
        <v>234802.44776407917</v>
      </c>
      <c r="L65" s="5">
        <f>'5b. Variables'!R65</f>
        <v>4732559.1597600011</v>
      </c>
      <c r="M65" s="5"/>
      <c r="N65" s="269"/>
      <c r="O65" s="5"/>
      <c r="Q65" s="5">
        <f t="shared" si="0"/>
        <v>9213964.6251171958</v>
      </c>
      <c r="R65" s="5">
        <f t="shared" si="1"/>
        <v>148936.21357873455</v>
      </c>
      <c r="S65" s="273">
        <f t="shared" si="2"/>
        <v>1.6429756953564585E-2</v>
      </c>
      <c r="T65" s="273">
        <f t="shared" si="3"/>
        <v>1.6429756953564585E-2</v>
      </c>
      <c r="V65" s="151"/>
      <c r="W65" s="151"/>
      <c r="X65" s="151"/>
      <c r="Y65" s="151"/>
      <c r="Z65" s="151"/>
      <c r="AA65" s="151"/>
      <c r="AB65" s="151"/>
      <c r="AC65" s="151"/>
      <c r="AD65" s="151"/>
    </row>
    <row r="66" spans="1:30">
      <c r="A66" s="1">
        <v>2015</v>
      </c>
      <c r="B66" s="1" t="s">
        <v>6</v>
      </c>
      <c r="C66" s="5">
        <v>8928853.846153846</v>
      </c>
      <c r="D66" s="5">
        <v>51651.619999999995</v>
      </c>
      <c r="E66" s="5">
        <v>8980505.4661538452</v>
      </c>
      <c r="F66" s="5"/>
      <c r="G66" s="11">
        <f>'5b. Variables'!C66</f>
        <v>135.30000000000001</v>
      </c>
      <c r="H66" s="11">
        <f>'5b. Variables'!D66</f>
        <v>23.4</v>
      </c>
      <c r="I66" s="1">
        <f>'5b. Variables'!E66</f>
        <v>31</v>
      </c>
      <c r="J66" s="5">
        <f>'5b. Variables'!I66</f>
        <v>704.9</v>
      </c>
      <c r="K66" s="5">
        <f>'5b. Variables'!T66</f>
        <v>238594.5612656601</v>
      </c>
      <c r="L66" s="5">
        <f>'5b. Variables'!R66</f>
        <v>5023122.8568000002</v>
      </c>
      <c r="M66" s="5"/>
      <c r="N66" s="269"/>
      <c r="O66" s="5"/>
      <c r="Q66" s="5">
        <f t="shared" si="0"/>
        <v>9204268.5152333733</v>
      </c>
      <c r="R66" s="5">
        <f t="shared" si="1"/>
        <v>223763.04907952808</v>
      </c>
      <c r="S66" s="273">
        <f t="shared" si="2"/>
        <v>2.4916531694441572E-2</v>
      </c>
      <c r="T66" s="273">
        <f t="shared" si="3"/>
        <v>2.4916531694441572E-2</v>
      </c>
      <c r="V66" s="151"/>
      <c r="W66" s="151"/>
      <c r="X66" s="151"/>
      <c r="Y66" s="151"/>
      <c r="Z66" s="151"/>
      <c r="AA66" s="151"/>
      <c r="AB66" s="151"/>
      <c r="AC66" s="151"/>
      <c r="AD66" s="151"/>
    </row>
    <row r="67" spans="1:30">
      <c r="A67" s="1">
        <v>2015</v>
      </c>
      <c r="B67" s="1" t="s">
        <v>7</v>
      </c>
      <c r="C67" s="5">
        <v>8756484.615384616</v>
      </c>
      <c r="D67" s="5">
        <v>49234.899999999994</v>
      </c>
      <c r="E67" s="5">
        <v>8805719.5153846163</v>
      </c>
      <c r="F67" s="5"/>
      <c r="G67" s="11">
        <f>'5b. Variables'!C67</f>
        <v>59.199999999999996</v>
      </c>
      <c r="H67" s="11">
        <f>'5b. Variables'!D67</f>
        <v>5.7</v>
      </c>
      <c r="I67" s="1">
        <f>'5b. Variables'!E67</f>
        <v>30</v>
      </c>
      <c r="J67" s="5">
        <f>'5b. Variables'!I67</f>
        <v>715.1</v>
      </c>
      <c r="K67" s="5">
        <f>'5b. Variables'!T67</f>
        <v>242386.67476724103</v>
      </c>
      <c r="L67" s="5">
        <f>'5b. Variables'!R67</f>
        <v>4909277.7873600004</v>
      </c>
      <c r="M67" s="5"/>
      <c r="N67" s="269"/>
      <c r="O67" s="5"/>
      <c r="Q67" s="5">
        <f t="shared" ref="Q67:Q121" si="7">$W$17+$W$18*G67+$W$19*H67+$W$20*I67+$W$21*J67+$W$22*K67+$W$23*L67</f>
        <v>8609808.6290766615</v>
      </c>
      <c r="R67" s="5">
        <f t="shared" ref="R67:R121" si="8">Q67-E67</f>
        <v>-195910.88630795479</v>
      </c>
      <c r="S67" s="273">
        <f t="shared" ref="S67:S121" si="9">R67/E67</f>
        <v>-2.2248140650593707E-2</v>
      </c>
      <c r="T67" s="273">
        <f t="shared" ref="T67:T121" si="10">ABS(S67)</f>
        <v>2.2248140650593707E-2</v>
      </c>
      <c r="V67" s="151"/>
      <c r="W67" s="151"/>
      <c r="X67" s="151"/>
      <c r="Y67" s="151"/>
      <c r="Z67" s="151"/>
      <c r="AA67" s="151"/>
      <c r="AB67" s="151"/>
      <c r="AC67" s="151"/>
      <c r="AD67" s="151"/>
    </row>
    <row r="68" spans="1:30">
      <c r="A68" s="1">
        <v>2015</v>
      </c>
      <c r="B68" s="1" t="s">
        <v>8</v>
      </c>
      <c r="C68" s="5">
        <v>9022484.615384616</v>
      </c>
      <c r="D68" s="5">
        <v>56401.829999999994</v>
      </c>
      <c r="E68" s="5">
        <v>9078886.445384616</v>
      </c>
      <c r="F68" s="5"/>
      <c r="G68" s="11">
        <f>'5b. Variables'!C68</f>
        <v>31.3</v>
      </c>
      <c r="H68" s="11">
        <f>'5b. Variables'!D68</f>
        <v>43.4</v>
      </c>
      <c r="I68" s="1">
        <f>'5b. Variables'!E68</f>
        <v>31</v>
      </c>
      <c r="J68" s="5">
        <f>'5b. Variables'!I68</f>
        <v>716.6</v>
      </c>
      <c r="K68" s="5">
        <f>'5b. Variables'!T68</f>
        <v>246178.78826882195</v>
      </c>
      <c r="L68" s="5">
        <f>'5b. Variables'!R68</f>
        <v>4834398.45144</v>
      </c>
      <c r="M68" s="5"/>
      <c r="N68" s="269"/>
      <c r="O68" s="5"/>
      <c r="Q68" s="5">
        <f t="shared" si="7"/>
        <v>8972869.7877699807</v>
      </c>
      <c r="R68" s="5">
        <f t="shared" si="8"/>
        <v>-106016.6576146353</v>
      </c>
      <c r="S68" s="273">
        <f t="shared" si="9"/>
        <v>-1.1677275429359557E-2</v>
      </c>
      <c r="T68" s="273">
        <f t="shared" si="10"/>
        <v>1.1677275429359557E-2</v>
      </c>
      <c r="V68" s="151"/>
      <c r="W68" s="151"/>
      <c r="X68" s="151"/>
      <c r="Y68" s="151"/>
      <c r="Z68" s="151"/>
      <c r="AA68" s="151"/>
      <c r="AB68" s="151"/>
      <c r="AC68" s="151"/>
      <c r="AD68" s="151"/>
    </row>
    <row r="69" spans="1:30">
      <c r="A69" s="1">
        <v>2015</v>
      </c>
      <c r="B69" s="1" t="s">
        <v>9</v>
      </c>
      <c r="C69" s="5">
        <v>9116284.615384616</v>
      </c>
      <c r="D69" s="5">
        <v>45640.929999999993</v>
      </c>
      <c r="E69" s="5">
        <v>9161925.5453846157</v>
      </c>
      <c r="F69" s="5"/>
      <c r="G69" s="11">
        <f>'5b. Variables'!C69</f>
        <v>35</v>
      </c>
      <c r="H69" s="11">
        <f>'5b. Variables'!D69</f>
        <v>38.1</v>
      </c>
      <c r="I69" s="1">
        <f>'5b. Variables'!E69</f>
        <v>31</v>
      </c>
      <c r="J69" s="5">
        <f>'5b. Variables'!I69</f>
        <v>713.1</v>
      </c>
      <c r="K69" s="5">
        <f>'5b. Variables'!T69</f>
        <v>249970.90177040288</v>
      </c>
      <c r="L69" s="5">
        <f>'5b. Variables'!R69</f>
        <v>5059556.1852000002</v>
      </c>
      <c r="M69" s="5"/>
      <c r="N69" s="269"/>
      <c r="O69" s="5"/>
      <c r="Q69" s="5">
        <f t="shared" si="7"/>
        <v>9122978.4577679019</v>
      </c>
      <c r="R69" s="5">
        <f t="shared" si="8"/>
        <v>-38947.087616713718</v>
      </c>
      <c r="S69" s="273">
        <f t="shared" si="9"/>
        <v>-4.2509718534368126E-3</v>
      </c>
      <c r="T69" s="273">
        <f t="shared" si="10"/>
        <v>4.2509718534368126E-3</v>
      </c>
      <c r="V69" s="151"/>
      <c r="W69" s="151"/>
      <c r="X69" s="151"/>
      <c r="Y69" s="151"/>
      <c r="Z69" s="151"/>
      <c r="AA69" s="151"/>
      <c r="AB69" s="151"/>
      <c r="AC69" s="151"/>
      <c r="AD69" s="151"/>
    </row>
    <row r="70" spans="1:30">
      <c r="A70" s="1">
        <v>2015</v>
      </c>
      <c r="B70" s="1" t="s">
        <v>10</v>
      </c>
      <c r="C70" s="5">
        <v>9141307.6923076939</v>
      </c>
      <c r="D70" s="5">
        <v>41373.15</v>
      </c>
      <c r="E70" s="5">
        <v>9182680.8423076943</v>
      </c>
      <c r="F70" s="5"/>
      <c r="G70" s="11">
        <f>'5b. Variables'!C70</f>
        <v>58</v>
      </c>
      <c r="H70" s="11">
        <f>'5b. Variables'!D70</f>
        <v>47.449999999999996</v>
      </c>
      <c r="I70" s="1">
        <f>'5b. Variables'!E70</f>
        <v>30</v>
      </c>
      <c r="J70" s="5">
        <f>'5b. Variables'!I70</f>
        <v>710.2</v>
      </c>
      <c r="K70" s="5">
        <f>'5b. Variables'!T70</f>
        <v>253763.01527198381</v>
      </c>
      <c r="L70" s="5">
        <f>'5b. Variables'!R70</f>
        <v>5022140.1996000009</v>
      </c>
      <c r="M70" s="5"/>
      <c r="N70" s="269"/>
      <c r="O70" s="5"/>
      <c r="Q70" s="5">
        <f t="shared" si="7"/>
        <v>9108543.0145707782</v>
      </c>
      <c r="R70" s="5">
        <f t="shared" si="8"/>
        <v>-74137.827736916021</v>
      </c>
      <c r="S70" s="273">
        <f t="shared" si="9"/>
        <v>-8.0736583368266647E-3</v>
      </c>
      <c r="T70" s="273">
        <f t="shared" si="10"/>
        <v>8.0736583368266647E-3</v>
      </c>
      <c r="V70" s="151"/>
      <c r="W70" s="151"/>
      <c r="X70" s="151"/>
      <c r="Y70" s="151"/>
      <c r="Z70" s="151"/>
      <c r="AA70" s="151"/>
      <c r="AB70" s="151"/>
      <c r="AC70" s="151"/>
      <c r="AD70" s="151"/>
    </row>
    <row r="71" spans="1:30">
      <c r="A71" s="1">
        <v>2015</v>
      </c>
      <c r="B71" s="1" t="s">
        <v>11</v>
      </c>
      <c r="C71" s="5">
        <v>9198407.6923076939</v>
      </c>
      <c r="D71" s="5">
        <v>26679.100000000002</v>
      </c>
      <c r="E71" s="5">
        <v>9225086.7923076935</v>
      </c>
      <c r="F71" s="5"/>
      <c r="G71" s="11">
        <f>'5b. Variables'!C71</f>
        <v>310.5</v>
      </c>
      <c r="H71" s="11">
        <f>'5b. Variables'!D71</f>
        <v>0</v>
      </c>
      <c r="I71" s="1">
        <f>'5b. Variables'!E71</f>
        <v>31</v>
      </c>
      <c r="J71" s="5">
        <f>'5b. Variables'!I71</f>
        <v>716.9</v>
      </c>
      <c r="K71" s="5">
        <f>'5b. Variables'!T71</f>
        <v>257555.12877356473</v>
      </c>
      <c r="L71" s="5">
        <f>'5b. Variables'!R71</f>
        <v>4871537.3212800017</v>
      </c>
      <c r="M71" s="5"/>
      <c r="N71" s="269"/>
      <c r="O71" s="5"/>
      <c r="Q71" s="5">
        <f t="shared" si="7"/>
        <v>9276363.8206082843</v>
      </c>
      <c r="R71" s="5">
        <f t="shared" si="8"/>
        <v>51277.028300590813</v>
      </c>
      <c r="S71" s="273">
        <f t="shared" si="9"/>
        <v>5.5584331567859052E-3</v>
      </c>
      <c r="T71" s="273">
        <f t="shared" si="10"/>
        <v>5.5584331567859052E-3</v>
      </c>
      <c r="V71" s="151"/>
      <c r="W71" s="151"/>
      <c r="X71" s="151"/>
      <c r="Y71" s="151"/>
      <c r="Z71" s="151"/>
      <c r="AA71" s="151"/>
      <c r="AB71" s="151"/>
      <c r="AC71" s="151"/>
      <c r="AD71" s="151"/>
    </row>
    <row r="72" spans="1:30">
      <c r="A72" s="1">
        <v>2015</v>
      </c>
      <c r="B72" s="1" t="s">
        <v>12</v>
      </c>
      <c r="C72" s="5">
        <v>8993830.7692307699</v>
      </c>
      <c r="D72" s="5">
        <v>15988.89</v>
      </c>
      <c r="E72" s="5">
        <v>9009819.6592307705</v>
      </c>
      <c r="F72" s="5"/>
      <c r="G72" s="11">
        <f>'5b. Variables'!C72</f>
        <v>387.09999999999997</v>
      </c>
      <c r="H72" s="11">
        <f>'5b. Variables'!D72</f>
        <v>0</v>
      </c>
      <c r="I72" s="1">
        <f>'5b. Variables'!E72</f>
        <v>30</v>
      </c>
      <c r="J72" s="5">
        <f>'5b. Variables'!I72</f>
        <v>721</v>
      </c>
      <c r="K72" s="5">
        <f>'5b. Variables'!T72</f>
        <v>261347.24227514566</v>
      </c>
      <c r="L72" s="5">
        <f>'5b. Variables'!R72</f>
        <v>4473873.8481600014</v>
      </c>
      <c r="M72" s="5"/>
      <c r="N72" s="269"/>
      <c r="O72" s="5"/>
      <c r="Q72" s="5">
        <f t="shared" si="7"/>
        <v>8989118.6183472984</v>
      </c>
      <c r="R72" s="5">
        <f t="shared" si="8"/>
        <v>-20701.040883472189</v>
      </c>
      <c r="S72" s="273">
        <f t="shared" si="9"/>
        <v>-2.2976087942296925E-3</v>
      </c>
      <c r="T72" s="273">
        <f t="shared" si="10"/>
        <v>2.2976087942296925E-3</v>
      </c>
      <c r="V72" s="151"/>
      <c r="W72" s="151"/>
      <c r="X72" s="151"/>
      <c r="Y72" s="151"/>
      <c r="Z72" s="151"/>
      <c r="AA72" s="151"/>
      <c r="AB72" s="151"/>
      <c r="AC72" s="151"/>
      <c r="AD72" s="151"/>
    </row>
    <row r="73" spans="1:30">
      <c r="A73" s="1">
        <v>2015</v>
      </c>
      <c r="B73" s="1" t="s">
        <v>13</v>
      </c>
      <c r="C73" s="5">
        <v>8933084.615384616</v>
      </c>
      <c r="D73" s="5">
        <v>8322.630000000001</v>
      </c>
      <c r="E73" s="5">
        <v>8941407.2453846168</v>
      </c>
      <c r="F73" s="5"/>
      <c r="G73" s="11">
        <f>'5b. Variables'!C73</f>
        <v>491.90000000000003</v>
      </c>
      <c r="H73" s="11">
        <f>'5b. Variables'!D73</f>
        <v>0</v>
      </c>
      <c r="I73" s="1">
        <f>'5b. Variables'!E73</f>
        <v>31</v>
      </c>
      <c r="J73" s="5">
        <f>'5b. Variables'!I73</f>
        <v>718.7</v>
      </c>
      <c r="K73" s="5">
        <f>'5b. Variables'!T73</f>
        <v>265139.35577672662</v>
      </c>
      <c r="L73" s="5">
        <f>'5b. Variables'!R73</f>
        <v>3903048.2806800003</v>
      </c>
      <c r="M73" s="5"/>
      <c r="N73" s="269"/>
      <c r="O73" s="5"/>
      <c r="Q73" s="5">
        <f t="shared" si="7"/>
        <v>8855445.1563842483</v>
      </c>
      <c r="R73" s="5">
        <f t="shared" si="8"/>
        <v>-85962.089000368491</v>
      </c>
      <c r="S73" s="273">
        <f t="shared" si="9"/>
        <v>-9.6139328677530573E-3</v>
      </c>
      <c r="T73" s="273">
        <f t="shared" si="10"/>
        <v>9.6139328677530573E-3</v>
      </c>
      <c r="V73" s="151"/>
      <c r="W73" s="151"/>
      <c r="X73" s="151"/>
      <c r="Y73" s="151"/>
      <c r="Z73" s="151"/>
      <c r="AA73" s="151"/>
      <c r="AB73" s="151"/>
      <c r="AC73" s="151"/>
      <c r="AD73" s="151"/>
    </row>
    <row r="74" spans="1:30">
      <c r="A74" s="268">
        <v>2016</v>
      </c>
      <c r="B74" s="268" t="s">
        <v>2</v>
      </c>
      <c r="C74" s="5">
        <v>9895553.846153846</v>
      </c>
      <c r="D74" s="5">
        <v>5207.68</v>
      </c>
      <c r="E74" s="5">
        <v>9900761.5261538457</v>
      </c>
      <c r="F74" s="5"/>
      <c r="G74" s="11">
        <f>'5b. Variables'!C74</f>
        <v>744.95000000000016</v>
      </c>
      <c r="H74" s="11">
        <f>'5b. Variables'!D74</f>
        <v>0</v>
      </c>
      <c r="I74" s="1">
        <f>'5b. Variables'!E74</f>
        <v>31</v>
      </c>
      <c r="J74" s="5">
        <f>'5b. Variables'!I74</f>
        <v>715.8</v>
      </c>
      <c r="K74" s="5">
        <f>'5b. Variables'!T74</f>
        <v>270030.70205504878</v>
      </c>
      <c r="L74" s="5">
        <f>'5b. Variables'!R74</f>
        <v>4405570.5999600012</v>
      </c>
      <c r="M74" s="5"/>
      <c r="N74" s="269"/>
      <c r="O74" s="5"/>
      <c r="Q74" s="5">
        <f t="shared" si="7"/>
        <v>9960407.7317475528</v>
      </c>
      <c r="R74" s="5">
        <f t="shared" si="8"/>
        <v>59646.20559370704</v>
      </c>
      <c r="S74" s="273">
        <f t="shared" si="9"/>
        <v>6.0244058435450299E-3</v>
      </c>
      <c r="T74" s="273">
        <f t="shared" si="10"/>
        <v>6.0244058435450299E-3</v>
      </c>
      <c r="V74" s="151"/>
      <c r="W74" s="151"/>
      <c r="X74" s="151"/>
      <c r="Y74" s="151"/>
      <c r="Z74" s="151"/>
      <c r="AA74" s="151"/>
      <c r="AB74" s="151"/>
      <c r="AC74" s="151"/>
      <c r="AD74" s="151"/>
    </row>
    <row r="75" spans="1:30">
      <c r="A75" s="1">
        <v>2016</v>
      </c>
      <c r="B75" s="1" t="s">
        <v>3</v>
      </c>
      <c r="C75" s="5">
        <v>9365623.0769230761</v>
      </c>
      <c r="D75" s="5">
        <v>13850.4</v>
      </c>
      <c r="E75" s="5">
        <v>9379473.4769230764</v>
      </c>
      <c r="F75" s="5"/>
      <c r="G75" s="11">
        <f>'5b. Variables'!C75</f>
        <v>660.05</v>
      </c>
      <c r="H75" s="11">
        <f>'5b. Variables'!D75</f>
        <v>0</v>
      </c>
      <c r="I75" s="1">
        <f>'5b. Variables'!E75</f>
        <v>29</v>
      </c>
      <c r="J75" s="5">
        <f>'5b. Variables'!I75</f>
        <v>710.9</v>
      </c>
      <c r="K75" s="5">
        <f>'5b. Variables'!T75</f>
        <v>274922.04833337094</v>
      </c>
      <c r="L75" s="5">
        <f>'5b. Variables'!R75</f>
        <v>4328369.4283199999</v>
      </c>
      <c r="M75" s="5"/>
      <c r="N75" s="269"/>
      <c r="O75" s="5"/>
      <c r="Q75" s="5">
        <f t="shared" si="7"/>
        <v>9404721.8995926622</v>
      </c>
      <c r="R75" s="5">
        <f t="shared" si="8"/>
        <v>25248.422669585794</v>
      </c>
      <c r="S75" s="273">
        <f t="shared" si="9"/>
        <v>2.691880597744225E-3</v>
      </c>
      <c r="T75" s="273">
        <f t="shared" si="10"/>
        <v>2.691880597744225E-3</v>
      </c>
      <c r="V75" s="151"/>
      <c r="W75" s="151"/>
      <c r="X75" s="151"/>
      <c r="Y75" s="151"/>
      <c r="Z75" s="151"/>
      <c r="AA75" s="151"/>
      <c r="AB75" s="151"/>
      <c r="AC75" s="151"/>
      <c r="AD75" s="151"/>
    </row>
    <row r="76" spans="1:30">
      <c r="A76" s="1">
        <v>2016</v>
      </c>
      <c r="B76" s="1" t="s">
        <v>4</v>
      </c>
      <c r="C76" s="5">
        <v>9368753.846153846</v>
      </c>
      <c r="D76" s="5">
        <v>29901.01</v>
      </c>
      <c r="E76" s="5">
        <v>9398654.8561538458</v>
      </c>
      <c r="F76" s="5"/>
      <c r="G76" s="11">
        <f>'5b. Variables'!C76</f>
        <v>522.60000000000014</v>
      </c>
      <c r="H76" s="11">
        <f>'5b. Variables'!D76</f>
        <v>0</v>
      </c>
      <c r="I76" s="1">
        <f>'5b. Variables'!E76</f>
        <v>31</v>
      </c>
      <c r="J76" s="5">
        <f>'5b. Variables'!I76</f>
        <v>709.4</v>
      </c>
      <c r="K76" s="5">
        <f>'5b. Variables'!T76</f>
        <v>279813.3946116931</v>
      </c>
      <c r="L76" s="5">
        <f>'5b. Variables'!R76</f>
        <v>4524814.9260000009</v>
      </c>
      <c r="M76" s="5"/>
      <c r="N76" s="269"/>
      <c r="O76" s="5"/>
      <c r="Q76" s="5">
        <f t="shared" si="7"/>
        <v>9466187.0121055115</v>
      </c>
      <c r="R76" s="5">
        <f t="shared" si="8"/>
        <v>67532.155951665714</v>
      </c>
      <c r="S76" s="273">
        <f t="shared" si="9"/>
        <v>7.1853001291401278E-3</v>
      </c>
      <c r="T76" s="273">
        <f t="shared" si="10"/>
        <v>7.1853001291401278E-3</v>
      </c>
      <c r="V76" s="151"/>
      <c r="W76" s="151"/>
      <c r="X76" s="151"/>
      <c r="Y76" s="151"/>
      <c r="Z76" s="151"/>
      <c r="AA76" s="151"/>
      <c r="AB76" s="151"/>
      <c r="AC76" s="151"/>
      <c r="AD76" s="151"/>
    </row>
    <row r="77" spans="1:30">
      <c r="A77" s="1">
        <v>2016</v>
      </c>
      <c r="B77" s="1" t="s">
        <v>5</v>
      </c>
      <c r="C77" s="5">
        <v>8794053.846153846</v>
      </c>
      <c r="D77" s="5">
        <v>44751.51</v>
      </c>
      <c r="E77" s="5">
        <v>8838805.3561538458</v>
      </c>
      <c r="F77" s="5"/>
      <c r="G77" s="11">
        <f>'5b. Variables'!C77</f>
        <v>438.15</v>
      </c>
      <c r="H77" s="11">
        <f>'5b. Variables'!D77</f>
        <v>0</v>
      </c>
      <c r="I77" s="1">
        <f>'5b. Variables'!E77</f>
        <v>30</v>
      </c>
      <c r="J77" s="5">
        <f>'5b. Variables'!I77</f>
        <v>707.4</v>
      </c>
      <c r="K77" s="5">
        <f>'5b. Variables'!T77</f>
        <v>284704.74089001527</v>
      </c>
      <c r="L77" s="5">
        <f>'5b. Variables'!R77</f>
        <v>4449082.70364</v>
      </c>
      <c r="M77" s="5"/>
      <c r="N77" s="269"/>
      <c r="O77" s="5"/>
      <c r="Q77" s="5">
        <f t="shared" si="7"/>
        <v>9042405.0367197171</v>
      </c>
      <c r="R77" s="5">
        <f t="shared" si="8"/>
        <v>203599.6805658713</v>
      </c>
      <c r="S77" s="273">
        <f t="shared" si="9"/>
        <v>2.3034751005589119E-2</v>
      </c>
      <c r="T77" s="273">
        <f t="shared" si="10"/>
        <v>2.3034751005589119E-2</v>
      </c>
      <c r="V77" s="151"/>
      <c r="W77" s="151"/>
      <c r="X77" s="151"/>
      <c r="Y77" s="151"/>
      <c r="Z77" s="151"/>
      <c r="AA77" s="151"/>
      <c r="AB77" s="151"/>
      <c r="AC77" s="151"/>
      <c r="AD77" s="151"/>
    </row>
    <row r="78" spans="1:30">
      <c r="A78" s="1">
        <v>2016</v>
      </c>
      <c r="B78" s="1" t="s">
        <v>6</v>
      </c>
      <c r="C78" s="5">
        <v>8456384.615384616</v>
      </c>
      <c r="D78" s="5">
        <v>56991.38</v>
      </c>
      <c r="E78" s="5">
        <v>8513375.9953846168</v>
      </c>
      <c r="F78" s="5"/>
      <c r="G78" s="11">
        <f>'5b. Variables'!C78</f>
        <v>187.6</v>
      </c>
      <c r="H78" s="11">
        <f>'5b. Variables'!D78</f>
        <v>22.4</v>
      </c>
      <c r="I78" s="1">
        <f>'5b. Variables'!E78</f>
        <v>31</v>
      </c>
      <c r="J78" s="5">
        <f>'5b. Variables'!I78</f>
        <v>712.4</v>
      </c>
      <c r="K78" s="5">
        <f>'5b. Variables'!T78</f>
        <v>289596.08716833743</v>
      </c>
      <c r="L78" s="5">
        <f>'5b. Variables'!R78</f>
        <v>4474575.7718400005</v>
      </c>
      <c r="M78" s="5"/>
      <c r="N78" s="269"/>
      <c r="O78" s="5"/>
      <c r="Q78" s="5">
        <f t="shared" si="7"/>
        <v>8767221.9136290662</v>
      </c>
      <c r="R78" s="5">
        <f t="shared" si="8"/>
        <v>253845.91824444942</v>
      </c>
      <c r="S78" s="273">
        <f t="shared" si="9"/>
        <v>2.9817303779613131E-2</v>
      </c>
      <c r="T78" s="273">
        <f t="shared" si="10"/>
        <v>2.9817303779613131E-2</v>
      </c>
      <c r="V78" s="151"/>
      <c r="W78" s="151"/>
      <c r="X78" s="151"/>
      <c r="Y78" s="151"/>
      <c r="Z78" s="151"/>
      <c r="AA78" s="151"/>
      <c r="AB78" s="151"/>
      <c r="AC78" s="151"/>
      <c r="AD78" s="151"/>
    </row>
    <row r="79" spans="1:30">
      <c r="A79" s="1">
        <v>2016</v>
      </c>
      <c r="B79" s="1" t="s">
        <v>7</v>
      </c>
      <c r="C79" s="5">
        <v>8563653.846153846</v>
      </c>
      <c r="D79" s="5">
        <v>59808.130000000005</v>
      </c>
      <c r="E79" s="5">
        <v>8623461.9761538468</v>
      </c>
      <c r="F79" s="5"/>
      <c r="G79" s="11">
        <f>'5b. Variables'!C79</f>
        <v>66.550000000000026</v>
      </c>
      <c r="H79" s="11">
        <f>'5b. Variables'!D79</f>
        <v>27.55</v>
      </c>
      <c r="I79" s="1">
        <f>'5b. Variables'!E79</f>
        <v>30</v>
      </c>
      <c r="J79" s="5">
        <f>'5b. Variables'!I79</f>
        <v>714.6</v>
      </c>
      <c r="K79" s="5">
        <f>'5b. Variables'!T79</f>
        <v>294487.43344665959</v>
      </c>
      <c r="L79" s="5">
        <f>'5b. Variables'!R79</f>
        <v>4649234.5382400006</v>
      </c>
      <c r="M79" s="5"/>
      <c r="N79" s="269"/>
      <c r="O79" s="5"/>
      <c r="Q79" s="5">
        <f t="shared" si="7"/>
        <v>8536225.0119556021</v>
      </c>
      <c r="R79" s="5">
        <f t="shared" si="8"/>
        <v>-87236.964198244736</v>
      </c>
      <c r="S79" s="273">
        <f t="shared" si="9"/>
        <v>-1.0116234574870047E-2</v>
      </c>
      <c r="T79" s="273">
        <f t="shared" si="10"/>
        <v>1.0116234574870047E-2</v>
      </c>
      <c r="V79" s="151"/>
      <c r="W79" s="151"/>
      <c r="X79" s="151"/>
      <c r="Y79" s="151"/>
      <c r="Z79" s="151"/>
      <c r="AA79" s="151"/>
      <c r="AB79" s="151"/>
      <c r="AC79" s="151"/>
      <c r="AD79" s="151"/>
    </row>
    <row r="80" spans="1:30">
      <c r="A80" s="1">
        <v>2016</v>
      </c>
      <c r="B80" s="1" t="s">
        <v>8</v>
      </c>
      <c r="C80" s="5">
        <v>8313669.2307692319</v>
      </c>
      <c r="D80" s="5">
        <v>57728.289999999994</v>
      </c>
      <c r="E80" s="5">
        <v>8371397.520769232</v>
      </c>
      <c r="F80" s="5"/>
      <c r="G80" s="11">
        <f>'5b. Variables'!C80</f>
        <v>17.3</v>
      </c>
      <c r="H80" s="11">
        <f>'5b. Variables'!D80</f>
        <v>83</v>
      </c>
      <c r="I80" s="1">
        <f>'5b. Variables'!E80</f>
        <v>31</v>
      </c>
      <c r="J80" s="5">
        <f>'5b. Variables'!I80</f>
        <v>712.3</v>
      </c>
      <c r="K80" s="5">
        <f>'5b. Variables'!T80</f>
        <v>299378.77972498175</v>
      </c>
      <c r="L80" s="5">
        <f>'5b. Variables'!R80</f>
        <v>3951977.6131199999</v>
      </c>
      <c r="M80" s="5"/>
      <c r="N80" s="269"/>
      <c r="O80" s="5"/>
      <c r="Q80" s="5">
        <f t="shared" si="7"/>
        <v>8447468.0351089053</v>
      </c>
      <c r="R80" s="5">
        <f t="shared" si="8"/>
        <v>76070.514339673333</v>
      </c>
      <c r="S80" s="273">
        <f t="shared" si="9"/>
        <v>9.0869552127878592E-3</v>
      </c>
      <c r="T80" s="273">
        <f t="shared" si="10"/>
        <v>9.0869552127878592E-3</v>
      </c>
      <c r="V80" s="151"/>
      <c r="W80" s="151"/>
      <c r="X80" s="151"/>
      <c r="Y80" s="151"/>
      <c r="Z80" s="151"/>
      <c r="AA80" s="151"/>
      <c r="AB80" s="151"/>
      <c r="AC80" s="151"/>
      <c r="AD80" s="151"/>
    </row>
    <row r="81" spans="1:30">
      <c r="A81" s="1">
        <v>2016</v>
      </c>
      <c r="B81" s="1" t="s">
        <v>9</v>
      </c>
      <c r="C81" s="5">
        <v>9613546.153846154</v>
      </c>
      <c r="D81" s="5">
        <v>52636.83</v>
      </c>
      <c r="E81" s="5">
        <v>9666182.9838461541</v>
      </c>
      <c r="F81" s="5"/>
      <c r="G81" s="11">
        <f>'5b. Variables'!C81</f>
        <v>3</v>
      </c>
      <c r="H81" s="11">
        <f>'5b. Variables'!D81</f>
        <v>91.249999999999986</v>
      </c>
      <c r="I81" s="1">
        <f>'5b. Variables'!E81</f>
        <v>31</v>
      </c>
      <c r="J81" s="5">
        <f>'5b. Variables'!I81</f>
        <v>707.1</v>
      </c>
      <c r="K81" s="5">
        <f>'5b. Variables'!T81</f>
        <v>304270.12600330391</v>
      </c>
      <c r="L81" s="5">
        <f>'5b. Variables'!R81</f>
        <v>5045746.9622400003</v>
      </c>
      <c r="M81" s="5"/>
      <c r="N81" s="269"/>
      <c r="O81" s="5"/>
      <c r="Q81" s="5">
        <f t="shared" si="7"/>
        <v>9477114.3481364511</v>
      </c>
      <c r="R81" s="5">
        <f t="shared" si="8"/>
        <v>-189068.63570970297</v>
      </c>
      <c r="S81" s="273">
        <f t="shared" si="9"/>
        <v>-1.955980308107854E-2</v>
      </c>
      <c r="T81" s="273">
        <f t="shared" si="10"/>
        <v>1.955980308107854E-2</v>
      </c>
      <c r="V81" s="151"/>
      <c r="W81" s="151"/>
      <c r="X81" s="151"/>
      <c r="Y81" s="151"/>
      <c r="Z81" s="151"/>
      <c r="AA81" s="151"/>
      <c r="AB81" s="151"/>
      <c r="AC81" s="151"/>
      <c r="AD81" s="151"/>
    </row>
    <row r="82" spans="1:30">
      <c r="A82" s="1">
        <v>2016</v>
      </c>
      <c r="B82" s="1" t="s">
        <v>10</v>
      </c>
      <c r="C82" s="5">
        <v>8887523.0769230779</v>
      </c>
      <c r="D82" s="5">
        <v>43822.909999999996</v>
      </c>
      <c r="E82" s="5">
        <v>8931345.9869230781</v>
      </c>
      <c r="F82" s="5"/>
      <c r="G82" s="11">
        <f>'5b. Variables'!C82</f>
        <v>66.599999999999994</v>
      </c>
      <c r="H82" s="11">
        <f>'5b. Variables'!D82</f>
        <v>25.1</v>
      </c>
      <c r="I82" s="1">
        <f>'5b. Variables'!E82</f>
        <v>30</v>
      </c>
      <c r="J82" s="5">
        <f>'5b. Variables'!I82</f>
        <v>702.4</v>
      </c>
      <c r="K82" s="5">
        <f>'5b. Variables'!T82</f>
        <v>309161.47228162608</v>
      </c>
      <c r="L82" s="5">
        <f>'5b. Variables'!R82</f>
        <v>4829712.546240001</v>
      </c>
      <c r="M82" s="5"/>
      <c r="N82" s="269"/>
      <c r="O82" s="5"/>
      <c r="Q82" s="5">
        <f t="shared" si="7"/>
        <v>8634531.8393556885</v>
      </c>
      <c r="R82" s="5">
        <f t="shared" si="8"/>
        <v>-296814.14756738953</v>
      </c>
      <c r="S82" s="273">
        <f t="shared" si="9"/>
        <v>-3.3232857399318423E-2</v>
      </c>
      <c r="T82" s="273">
        <f t="shared" si="10"/>
        <v>3.3232857399318423E-2</v>
      </c>
      <c r="V82" s="151"/>
      <c r="W82" s="151"/>
      <c r="X82" s="151"/>
      <c r="Y82" s="151"/>
      <c r="Z82" s="151"/>
      <c r="AA82" s="151"/>
      <c r="AB82" s="151"/>
      <c r="AC82" s="151"/>
      <c r="AD82" s="151"/>
    </row>
    <row r="83" spans="1:30">
      <c r="A83" s="1">
        <v>2016</v>
      </c>
      <c r="B83" s="1" t="s">
        <v>11</v>
      </c>
      <c r="C83" s="5">
        <v>8931730.7692307699</v>
      </c>
      <c r="D83" s="5">
        <v>27241.89</v>
      </c>
      <c r="E83" s="5">
        <v>8958972.6592307705</v>
      </c>
      <c r="F83" s="5"/>
      <c r="G83" s="11">
        <f>'5b. Variables'!C83</f>
        <v>250.79999999999995</v>
      </c>
      <c r="H83" s="11">
        <f>'5b. Variables'!D83</f>
        <v>1.5</v>
      </c>
      <c r="I83" s="1">
        <f>'5b. Variables'!E83</f>
        <v>31</v>
      </c>
      <c r="J83" s="5">
        <f>'5b. Variables'!I83</f>
        <v>702.3</v>
      </c>
      <c r="K83" s="5">
        <f>'5b. Variables'!T83</f>
        <v>314052.81855994824</v>
      </c>
      <c r="L83" s="5">
        <f>'5b. Variables'!R83</f>
        <v>4731581.3356800005</v>
      </c>
      <c r="M83" s="5"/>
      <c r="N83" s="269"/>
      <c r="O83" s="5"/>
      <c r="Q83" s="5">
        <f t="shared" si="7"/>
        <v>8901678.9048214443</v>
      </c>
      <c r="R83" s="5">
        <f t="shared" si="8"/>
        <v>-57293.75440932624</v>
      </c>
      <c r="S83" s="273">
        <f t="shared" si="9"/>
        <v>-6.3951254891144579E-3</v>
      </c>
      <c r="T83" s="273">
        <f t="shared" si="10"/>
        <v>6.3951254891144579E-3</v>
      </c>
      <c r="V83" s="151"/>
      <c r="W83" s="151"/>
      <c r="X83" s="151"/>
      <c r="Y83" s="151"/>
      <c r="Z83" s="151"/>
      <c r="AA83" s="151"/>
      <c r="AB83" s="151"/>
      <c r="AC83" s="151"/>
      <c r="AD83" s="151"/>
    </row>
    <row r="84" spans="1:30">
      <c r="A84" s="1">
        <v>2016</v>
      </c>
      <c r="B84" s="1" t="s">
        <v>12</v>
      </c>
      <c r="C84" s="5">
        <v>9077723.0769230779</v>
      </c>
      <c r="D84" s="5">
        <v>19126.449999999997</v>
      </c>
      <c r="E84" s="5">
        <v>9096849.5269230772</v>
      </c>
      <c r="F84" s="5"/>
      <c r="G84" s="11">
        <f>'5b. Variables'!C84</f>
        <v>383.15</v>
      </c>
      <c r="H84" s="11">
        <f>'5b. Variables'!D84</f>
        <v>0</v>
      </c>
      <c r="I84" s="1">
        <f>'5b. Variables'!E84</f>
        <v>30</v>
      </c>
      <c r="J84" s="5">
        <f>'5b. Variables'!I84</f>
        <v>680.08</v>
      </c>
      <c r="K84" s="5">
        <f>'5b. Variables'!T84</f>
        <v>318944.1648382704</v>
      </c>
      <c r="L84" s="5">
        <f>'5b. Variables'!R84</f>
        <v>4636842.8889600011</v>
      </c>
      <c r="M84" s="5"/>
      <c r="N84" s="269"/>
      <c r="O84" s="5"/>
      <c r="Q84" s="5">
        <f t="shared" si="7"/>
        <v>8975258.4705560282</v>
      </c>
      <c r="R84" s="5">
        <f t="shared" si="8"/>
        <v>-121591.05636704899</v>
      </c>
      <c r="S84" s="273">
        <f t="shared" si="9"/>
        <v>-1.3366282030629126E-2</v>
      </c>
      <c r="T84" s="273">
        <f t="shared" si="10"/>
        <v>1.3366282030629126E-2</v>
      </c>
      <c r="V84" s="151"/>
      <c r="W84" s="151"/>
      <c r="X84" s="151"/>
      <c r="Y84" s="151"/>
      <c r="Z84" s="151"/>
      <c r="AA84" s="151"/>
      <c r="AB84" s="151"/>
      <c r="AC84" s="151"/>
      <c r="AD84" s="151"/>
    </row>
    <row r="85" spans="1:30">
      <c r="A85" s="1">
        <v>2016</v>
      </c>
      <c r="B85" s="1" t="s">
        <v>13</v>
      </c>
      <c r="C85" s="5">
        <v>9430592.307692308</v>
      </c>
      <c r="D85" s="5">
        <v>2148.2600000000002</v>
      </c>
      <c r="E85" s="5">
        <v>9432740.5676923078</v>
      </c>
      <c r="F85" s="5"/>
      <c r="G85" s="11">
        <f>'5b. Variables'!C85</f>
        <v>678.6</v>
      </c>
      <c r="H85" s="11">
        <f>'5b. Variables'!D85</f>
        <v>0</v>
      </c>
      <c r="I85" s="1">
        <f>'5b. Variables'!E85</f>
        <v>31</v>
      </c>
      <c r="J85" s="5">
        <f>'5b. Variables'!I85</f>
        <v>678.47</v>
      </c>
      <c r="K85" s="5">
        <f>'5b. Variables'!T85</f>
        <v>323835.51111659256</v>
      </c>
      <c r="L85" s="5">
        <f>'5b. Variables'!R85</f>
        <v>4074210.2448000005</v>
      </c>
      <c r="M85" s="5"/>
      <c r="N85" s="269"/>
      <c r="O85" s="5"/>
      <c r="Q85" s="5">
        <f t="shared" si="7"/>
        <v>9344347.6124049202</v>
      </c>
      <c r="R85" s="5">
        <f t="shared" si="8"/>
        <v>-88392.955287387595</v>
      </c>
      <c r="S85" s="273">
        <f t="shared" si="9"/>
        <v>-9.3708667860683756E-3</v>
      </c>
      <c r="T85" s="273">
        <f t="shared" si="10"/>
        <v>9.3708667860683756E-3</v>
      </c>
      <c r="V85" s="151"/>
      <c r="W85" s="151"/>
      <c r="X85" s="151"/>
      <c r="Y85" s="151"/>
      <c r="Z85" s="151"/>
      <c r="AA85" s="151"/>
      <c r="AB85" s="151"/>
      <c r="AC85" s="151"/>
      <c r="AD85" s="151"/>
    </row>
    <row r="86" spans="1:30">
      <c r="A86" s="268">
        <v>2017</v>
      </c>
      <c r="B86" s="268" t="s">
        <v>2</v>
      </c>
      <c r="C86" s="5">
        <v>9930885.7142857146</v>
      </c>
      <c r="D86" s="5">
        <v>5767.64</v>
      </c>
      <c r="E86" s="5">
        <v>9936653.3542857151</v>
      </c>
      <c r="F86" s="5"/>
      <c r="G86" s="11">
        <f>'5b. Variables'!C86</f>
        <v>683</v>
      </c>
      <c r="H86" s="11">
        <f>'5b. Variables'!D86</f>
        <v>0</v>
      </c>
      <c r="I86" s="1">
        <f>'5b. Variables'!E86</f>
        <v>31</v>
      </c>
      <c r="J86" s="5">
        <f>'5b. Variables'!I86</f>
        <v>695.3</v>
      </c>
      <c r="K86" s="5">
        <f>'5b. Variables'!T86</f>
        <v>327020.52911258215</v>
      </c>
      <c r="L86" s="5">
        <f>'5b. Variables'!R86</f>
        <v>4687093.2816000003</v>
      </c>
      <c r="M86" s="5"/>
      <c r="N86" s="269"/>
      <c r="O86" s="5"/>
      <c r="Q86" s="5">
        <f t="shared" si="7"/>
        <v>9939020.7900217585</v>
      </c>
      <c r="R86" s="5">
        <f t="shared" si="8"/>
        <v>2367.4357360433787</v>
      </c>
      <c r="S86" s="273">
        <f t="shared" si="9"/>
        <v>2.3825282533603681E-4</v>
      </c>
      <c r="T86" s="273">
        <f t="shared" si="10"/>
        <v>2.3825282533603681E-4</v>
      </c>
      <c r="V86" s="151"/>
      <c r="W86" s="151"/>
      <c r="X86" s="151"/>
      <c r="Y86" s="151"/>
      <c r="Z86" s="151"/>
      <c r="AA86" s="151"/>
      <c r="AB86" s="151"/>
      <c r="AC86" s="151"/>
      <c r="AD86" s="151"/>
    </row>
    <row r="87" spans="1:30">
      <c r="A87" s="1">
        <v>2017</v>
      </c>
      <c r="B87" s="1" t="s">
        <v>3</v>
      </c>
      <c r="C87" s="5">
        <v>8810038.095238097</v>
      </c>
      <c r="D87" s="5">
        <v>12728.180000000002</v>
      </c>
      <c r="E87" s="5">
        <v>8822766.2752380967</v>
      </c>
      <c r="F87" s="5"/>
      <c r="G87" s="11">
        <f>'5b. Variables'!C87</f>
        <v>559.29999999999995</v>
      </c>
      <c r="H87" s="11">
        <f>'5b. Variables'!D87</f>
        <v>0</v>
      </c>
      <c r="I87" s="1">
        <f>'5b. Variables'!E87</f>
        <v>28</v>
      </c>
      <c r="J87" s="5">
        <f>'5b. Variables'!I87</f>
        <v>696.5</v>
      </c>
      <c r="K87" s="5">
        <f>'5b. Variables'!T87</f>
        <v>330205.54710857174</v>
      </c>
      <c r="L87" s="5">
        <f>'5b. Variables'!R87</f>
        <v>4246252.9632000001</v>
      </c>
      <c r="M87" s="5"/>
      <c r="N87" s="269"/>
      <c r="O87" s="5"/>
      <c r="Q87" s="5">
        <f t="shared" si="7"/>
        <v>8838466.0523828194</v>
      </c>
      <c r="R87" s="5">
        <f t="shared" si="8"/>
        <v>15699.777144722641</v>
      </c>
      <c r="S87" s="273">
        <f t="shared" si="9"/>
        <v>1.7794619799444882E-3</v>
      </c>
      <c r="T87" s="273">
        <f t="shared" si="10"/>
        <v>1.7794619799444882E-3</v>
      </c>
      <c r="V87" s="151"/>
      <c r="W87" s="151"/>
      <c r="X87" s="151"/>
      <c r="Y87" s="151"/>
      <c r="Z87" s="151"/>
      <c r="AA87" s="151"/>
      <c r="AB87" s="151"/>
      <c r="AC87" s="151"/>
      <c r="AD87" s="151"/>
    </row>
    <row r="88" spans="1:30">
      <c r="A88" s="1">
        <v>2017</v>
      </c>
      <c r="B88" s="1" t="s">
        <v>4</v>
      </c>
      <c r="C88" s="5">
        <v>9719966.6666666679</v>
      </c>
      <c r="D88" s="5">
        <v>28698.59</v>
      </c>
      <c r="E88" s="5">
        <v>9748665.2566666678</v>
      </c>
      <c r="F88" s="5"/>
      <c r="G88" s="11">
        <f>'5b. Variables'!C88</f>
        <v>649.80000000000007</v>
      </c>
      <c r="H88" s="11">
        <f>'5b. Variables'!D88</f>
        <v>0</v>
      </c>
      <c r="I88" s="1">
        <f>'5b. Variables'!E88</f>
        <v>31</v>
      </c>
      <c r="J88" s="5">
        <f>'5b. Variables'!I88</f>
        <v>697.8</v>
      </c>
      <c r="K88" s="5">
        <f>'5b. Variables'!T88</f>
        <v>333390.56510456133</v>
      </c>
      <c r="L88" s="5">
        <f>'5b. Variables'!R88</f>
        <v>4726110.9715199992</v>
      </c>
      <c r="M88" s="5"/>
      <c r="N88" s="269"/>
      <c r="O88" s="5"/>
      <c r="Q88" s="5">
        <f t="shared" si="7"/>
        <v>9883210.8148200922</v>
      </c>
      <c r="R88" s="5">
        <f t="shared" si="8"/>
        <v>134545.55815342441</v>
      </c>
      <c r="S88" s="273">
        <f t="shared" si="9"/>
        <v>1.3801433797453948E-2</v>
      </c>
      <c r="T88" s="273">
        <f t="shared" si="10"/>
        <v>1.3801433797453948E-2</v>
      </c>
      <c r="V88" s="151"/>
      <c r="W88" s="151"/>
      <c r="X88" s="151"/>
      <c r="Y88" s="151"/>
      <c r="Z88" s="151"/>
      <c r="AA88" s="151"/>
      <c r="AB88" s="151"/>
      <c r="AC88" s="151"/>
      <c r="AD88" s="151"/>
    </row>
    <row r="89" spans="1:30">
      <c r="A89" s="1">
        <v>2017</v>
      </c>
      <c r="B89" s="1" t="s">
        <v>5</v>
      </c>
      <c r="C89" s="5">
        <v>8325423.8095238097</v>
      </c>
      <c r="D89" s="5">
        <v>43249.94</v>
      </c>
      <c r="E89" s="5">
        <v>8368673.7495238101</v>
      </c>
      <c r="F89" s="5"/>
      <c r="G89" s="11">
        <f>'5b. Variables'!C89</f>
        <v>306.90000000000003</v>
      </c>
      <c r="H89" s="11">
        <f>'5b. Variables'!D89</f>
        <v>0</v>
      </c>
      <c r="I89" s="1">
        <f>'5b. Variables'!E89</f>
        <v>30</v>
      </c>
      <c r="J89" s="5">
        <f>'5b. Variables'!I89</f>
        <v>705.6</v>
      </c>
      <c r="K89" s="5">
        <f>'5b. Variables'!T89</f>
        <v>336575.58310055092</v>
      </c>
      <c r="L89" s="5">
        <f>'5b. Variables'!R89</f>
        <v>4367735.7321600001</v>
      </c>
      <c r="M89" s="5"/>
      <c r="N89" s="269"/>
      <c r="O89" s="5"/>
      <c r="Q89" s="5">
        <f t="shared" si="7"/>
        <v>8548126.8428672124</v>
      </c>
      <c r="R89" s="5">
        <f t="shared" si="8"/>
        <v>179453.09334340226</v>
      </c>
      <c r="S89" s="273">
        <f t="shared" si="9"/>
        <v>2.1443432820357395E-2</v>
      </c>
      <c r="T89" s="273">
        <f t="shared" si="10"/>
        <v>2.1443432820357395E-2</v>
      </c>
      <c r="V89" s="151"/>
      <c r="W89" s="151"/>
      <c r="X89" s="151"/>
      <c r="Y89" s="151"/>
      <c r="Z89" s="151"/>
      <c r="AA89" s="151"/>
      <c r="AB89" s="151"/>
      <c r="AC89" s="151"/>
      <c r="AD89" s="151"/>
    </row>
    <row r="90" spans="1:30">
      <c r="A90" s="1">
        <v>2017</v>
      </c>
      <c r="B90" s="1" t="s">
        <v>6</v>
      </c>
      <c r="C90" s="5">
        <v>8509933.333333334</v>
      </c>
      <c r="D90" s="5">
        <v>47946.709999999992</v>
      </c>
      <c r="E90" s="5">
        <v>8557880.0433333348</v>
      </c>
      <c r="F90" s="5"/>
      <c r="G90" s="11">
        <f>'5b. Variables'!C90</f>
        <v>228.2</v>
      </c>
      <c r="H90" s="11">
        <f>'5b. Variables'!D90</f>
        <v>2.8</v>
      </c>
      <c r="I90" s="1">
        <f>'5b. Variables'!E90</f>
        <v>31</v>
      </c>
      <c r="J90" s="5">
        <f>'5b. Variables'!I90</f>
        <v>717.2</v>
      </c>
      <c r="K90" s="5">
        <f>'5b. Variables'!T90</f>
        <v>339760.60109654051</v>
      </c>
      <c r="L90" s="5">
        <f>'5b. Variables'!R90</f>
        <v>4615335.4579200009</v>
      </c>
      <c r="M90" s="5"/>
      <c r="N90" s="269"/>
      <c r="O90" s="5"/>
      <c r="Q90" s="5">
        <f t="shared" si="7"/>
        <v>8737315.9968434814</v>
      </c>
      <c r="R90" s="5">
        <f t="shared" si="8"/>
        <v>179435.95351014659</v>
      </c>
      <c r="S90" s="273">
        <f t="shared" si="9"/>
        <v>2.0967336840614959E-2</v>
      </c>
      <c r="T90" s="273">
        <f t="shared" si="10"/>
        <v>2.0967336840614959E-2</v>
      </c>
      <c r="V90" s="151"/>
      <c r="W90" s="151"/>
      <c r="X90" s="151"/>
      <c r="Y90" s="151"/>
      <c r="Z90" s="151"/>
      <c r="AA90" s="151"/>
      <c r="AB90" s="151"/>
      <c r="AC90" s="151"/>
      <c r="AD90" s="151"/>
    </row>
    <row r="91" spans="1:30">
      <c r="A91" s="1">
        <v>2017</v>
      </c>
      <c r="B91" s="1" t="s">
        <v>7</v>
      </c>
      <c r="C91" s="5">
        <v>8510690.4761904776</v>
      </c>
      <c r="D91" s="5">
        <v>51758.58</v>
      </c>
      <c r="E91" s="5">
        <v>8562449.0561904777</v>
      </c>
      <c r="F91" s="5"/>
      <c r="G91" s="11">
        <f>'5b. Variables'!C91</f>
        <v>57.099999999999994</v>
      </c>
      <c r="H91" s="11">
        <f>'5b. Variables'!D91</f>
        <v>33.200000000000003</v>
      </c>
      <c r="I91" s="1">
        <f>'5b. Variables'!E91</f>
        <v>30</v>
      </c>
      <c r="J91" s="5">
        <f>'5b. Variables'!I91</f>
        <v>736.2</v>
      </c>
      <c r="K91" s="5">
        <f>'5b. Variables'!T91</f>
        <v>342945.61909253011</v>
      </c>
      <c r="L91" s="5">
        <f>'5b. Variables'!R91</f>
        <v>4628753.59968</v>
      </c>
      <c r="M91" s="5"/>
      <c r="N91" s="269"/>
      <c r="O91" s="5"/>
      <c r="Q91" s="5">
        <f t="shared" si="7"/>
        <v>8515646.3503864184</v>
      </c>
      <c r="R91" s="5">
        <f t="shared" si="8"/>
        <v>-46802.705804059282</v>
      </c>
      <c r="S91" s="273">
        <f t="shared" si="9"/>
        <v>-5.4660419579631685E-3</v>
      </c>
      <c r="T91" s="273">
        <f t="shared" si="10"/>
        <v>5.4660419579631685E-3</v>
      </c>
      <c r="V91" s="151"/>
      <c r="W91" s="151"/>
      <c r="X91" s="151"/>
      <c r="Y91" s="151"/>
      <c r="Z91" s="151"/>
      <c r="AA91" s="151"/>
      <c r="AB91" s="151"/>
      <c r="AC91" s="151"/>
      <c r="AD91" s="151"/>
    </row>
    <row r="92" spans="1:30">
      <c r="A92" s="1">
        <v>2017</v>
      </c>
      <c r="B92" s="1" t="s">
        <v>8</v>
      </c>
      <c r="C92" s="5">
        <v>8340833.333333334</v>
      </c>
      <c r="D92" s="5">
        <v>51601.86</v>
      </c>
      <c r="E92" s="5">
        <v>8392435.1933333334</v>
      </c>
      <c r="F92" s="5"/>
      <c r="G92" s="11">
        <f>'5b. Variables'!C92</f>
        <v>9.4</v>
      </c>
      <c r="H92" s="11">
        <f>'5b. Variables'!D92</f>
        <v>37.800000000000004</v>
      </c>
      <c r="I92" s="1">
        <f>'5b. Variables'!E92</f>
        <v>31</v>
      </c>
      <c r="J92" s="5">
        <f>'5b. Variables'!I92</f>
        <v>747.1</v>
      </c>
      <c r="K92" s="5">
        <f>'5b. Variables'!T92</f>
        <v>346130.6370885197</v>
      </c>
      <c r="L92" s="5">
        <f>'5b. Variables'!R92</f>
        <v>4242128.5584000004</v>
      </c>
      <c r="M92" s="5"/>
      <c r="N92" s="269"/>
      <c r="O92" s="5"/>
      <c r="Q92" s="5">
        <f t="shared" si="7"/>
        <v>8223285.5717771435</v>
      </c>
      <c r="R92" s="5">
        <f t="shared" si="8"/>
        <v>-169149.62155618984</v>
      </c>
      <c r="S92" s="273">
        <f t="shared" si="9"/>
        <v>-2.0155010751891963E-2</v>
      </c>
      <c r="T92" s="273">
        <f t="shared" si="10"/>
        <v>2.0155010751891963E-2</v>
      </c>
      <c r="V92" s="151"/>
      <c r="W92" s="151"/>
      <c r="X92" s="151"/>
      <c r="Y92" s="151"/>
      <c r="Z92" s="151"/>
      <c r="AA92" s="151"/>
      <c r="AB92" s="151"/>
      <c r="AC92" s="151"/>
      <c r="AD92" s="151"/>
    </row>
    <row r="93" spans="1:30">
      <c r="A93" s="1">
        <v>2017</v>
      </c>
      <c r="B93" s="1" t="s">
        <v>9</v>
      </c>
      <c r="C93" s="5">
        <v>8979966.666666666</v>
      </c>
      <c r="D93" s="5">
        <v>48390.44</v>
      </c>
      <c r="E93" s="5">
        <v>9028357.1066666655</v>
      </c>
      <c r="F93" s="5"/>
      <c r="G93" s="11">
        <f>'5b. Variables'!C93</f>
        <v>47.399999999999991</v>
      </c>
      <c r="H93" s="11">
        <f>'5b. Variables'!D93</f>
        <v>26.3</v>
      </c>
      <c r="I93" s="1">
        <f>'5b. Variables'!E93</f>
        <v>31</v>
      </c>
      <c r="J93" s="5">
        <f>'5b. Variables'!I93</f>
        <v>752.8</v>
      </c>
      <c r="K93" s="5">
        <f>'5b. Variables'!T93</f>
        <v>349315.65508450929</v>
      </c>
      <c r="L93" s="5">
        <f>'5b. Variables'!R93</f>
        <v>4968790.0761599997</v>
      </c>
      <c r="M93" s="5"/>
      <c r="N93" s="269"/>
      <c r="O93" s="5"/>
      <c r="Q93" s="5">
        <f t="shared" si="7"/>
        <v>8873972.4326234274</v>
      </c>
      <c r="R93" s="5">
        <f t="shared" si="8"/>
        <v>-154384.67404323816</v>
      </c>
      <c r="S93" s="273">
        <f t="shared" si="9"/>
        <v>-1.7099974249937273E-2</v>
      </c>
      <c r="T93" s="273">
        <f t="shared" si="10"/>
        <v>1.7099974249937273E-2</v>
      </c>
      <c r="V93" s="151"/>
      <c r="W93" s="151"/>
      <c r="X93" s="151"/>
      <c r="Y93" s="151"/>
      <c r="Z93" s="151"/>
      <c r="AA93" s="151"/>
      <c r="AB93" s="151"/>
      <c r="AC93" s="151"/>
      <c r="AD93" s="151"/>
    </row>
    <row r="94" spans="1:30">
      <c r="A94" s="1">
        <v>2017</v>
      </c>
      <c r="B94" s="1" t="s">
        <v>10</v>
      </c>
      <c r="C94" s="5">
        <v>8504666.6666666679</v>
      </c>
      <c r="D94" s="5">
        <v>44462.16</v>
      </c>
      <c r="E94" s="5">
        <v>8549128.8266666681</v>
      </c>
      <c r="F94" s="5"/>
      <c r="G94" s="11">
        <f>'5b. Variables'!C94</f>
        <v>92.4</v>
      </c>
      <c r="H94" s="11">
        <f>'5b. Variables'!D94</f>
        <v>38.799999999999997</v>
      </c>
      <c r="I94" s="1">
        <f>'5b. Variables'!E94</f>
        <v>30</v>
      </c>
      <c r="J94" s="5">
        <f>'5b. Variables'!I94</f>
        <v>744.4</v>
      </c>
      <c r="K94" s="5">
        <f>'5b. Variables'!T94</f>
        <v>352500.67308049888</v>
      </c>
      <c r="L94" s="5">
        <f>'5b. Variables'!R94</f>
        <v>4504351.1932799993</v>
      </c>
      <c r="M94" s="5"/>
      <c r="N94" s="269"/>
      <c r="O94" s="5"/>
      <c r="Q94" s="5">
        <f t="shared" si="7"/>
        <v>8550387.2287872471</v>
      </c>
      <c r="R94" s="5">
        <f t="shared" si="8"/>
        <v>1258.4021205790341</v>
      </c>
      <c r="S94" s="273">
        <f t="shared" si="9"/>
        <v>1.4719653266351455E-4</v>
      </c>
      <c r="T94" s="273">
        <f t="shared" si="10"/>
        <v>1.4719653266351455E-4</v>
      </c>
      <c r="V94" s="151"/>
      <c r="W94" s="151"/>
      <c r="X94" s="151"/>
      <c r="Y94" s="151"/>
      <c r="Z94" s="151"/>
      <c r="AA94" s="151"/>
      <c r="AB94" s="151"/>
      <c r="AC94" s="151"/>
      <c r="AD94" s="151"/>
    </row>
    <row r="95" spans="1:30">
      <c r="A95" s="1">
        <v>2017</v>
      </c>
      <c r="B95" s="1" t="s">
        <v>11</v>
      </c>
      <c r="C95" s="5">
        <v>8854833.333333334</v>
      </c>
      <c r="D95" s="5">
        <v>29071.199999999993</v>
      </c>
      <c r="E95" s="5">
        <v>8883904.5333333332</v>
      </c>
      <c r="F95" s="5"/>
      <c r="G95" s="11">
        <f>'5b. Variables'!C95</f>
        <v>206.3</v>
      </c>
      <c r="H95" s="11">
        <f>'5b. Variables'!D95</f>
        <v>1.4</v>
      </c>
      <c r="I95" s="1">
        <f>'5b. Variables'!E95</f>
        <v>31</v>
      </c>
      <c r="J95" s="5">
        <f>'5b. Variables'!I95</f>
        <v>735</v>
      </c>
      <c r="K95" s="5">
        <f>'5b. Variables'!T95</f>
        <v>355685.69107648847</v>
      </c>
      <c r="L95" s="5">
        <f>'5b. Variables'!R95</f>
        <v>4755960.1324800001</v>
      </c>
      <c r="M95" s="5"/>
      <c r="N95" s="269"/>
      <c r="O95" s="5"/>
      <c r="Q95" s="5">
        <f t="shared" si="7"/>
        <v>8801107.4387958236</v>
      </c>
      <c r="R95" s="5">
        <f t="shared" si="8"/>
        <v>-82797.094537509605</v>
      </c>
      <c r="S95" s="273">
        <f t="shared" si="9"/>
        <v>-9.3198991757336321E-3</v>
      </c>
      <c r="T95" s="273">
        <f t="shared" si="10"/>
        <v>9.3198991757336321E-3</v>
      </c>
      <c r="V95" s="151"/>
      <c r="W95" s="151"/>
      <c r="X95" s="151"/>
      <c r="Y95" s="151"/>
      <c r="Z95" s="151"/>
      <c r="AA95" s="151"/>
      <c r="AB95" s="151"/>
      <c r="AC95" s="151"/>
      <c r="AD95" s="151"/>
    </row>
    <row r="96" spans="1:30">
      <c r="A96" s="1">
        <v>2017</v>
      </c>
      <c r="B96" s="1" t="s">
        <v>12</v>
      </c>
      <c r="C96" s="5">
        <v>9238000.0000000019</v>
      </c>
      <c r="D96" s="5">
        <v>10901.419999999998</v>
      </c>
      <c r="E96" s="5">
        <v>9248901.4200000018</v>
      </c>
      <c r="F96" s="5"/>
      <c r="G96" s="11">
        <f>'5b. Variables'!C96</f>
        <v>506.2999999999999</v>
      </c>
      <c r="H96" s="11">
        <f>'5b. Variables'!D96</f>
        <v>0</v>
      </c>
      <c r="I96" s="1">
        <f>'5b. Variables'!E96</f>
        <v>30</v>
      </c>
      <c r="J96" s="5">
        <f>'5b. Variables'!I96</f>
        <v>726.2</v>
      </c>
      <c r="K96" s="5">
        <f>'5b. Variables'!T96</f>
        <v>358870.70907247806</v>
      </c>
      <c r="L96" s="5">
        <f>'5b. Variables'!R96</f>
        <v>4578001.3094400009</v>
      </c>
      <c r="M96" s="5"/>
      <c r="N96" s="269"/>
      <c r="O96" s="5"/>
      <c r="Q96" s="5">
        <f t="shared" si="7"/>
        <v>9260536.4328025728</v>
      </c>
      <c r="R96" s="5">
        <f t="shared" si="8"/>
        <v>11635.012802571058</v>
      </c>
      <c r="S96" s="273">
        <f t="shared" si="9"/>
        <v>1.2579886274289055E-3</v>
      </c>
      <c r="T96" s="273">
        <f t="shared" si="10"/>
        <v>1.2579886274289055E-3</v>
      </c>
      <c r="V96" s="151"/>
      <c r="W96" s="151"/>
      <c r="X96" s="151"/>
      <c r="Y96" s="151"/>
      <c r="Z96" s="151"/>
      <c r="AA96" s="151"/>
      <c r="AB96" s="151"/>
      <c r="AC96" s="151"/>
      <c r="AD96" s="151"/>
    </row>
    <row r="97" spans="1:54">
      <c r="A97" s="1">
        <v>2017</v>
      </c>
      <c r="B97" s="1" t="s">
        <v>13</v>
      </c>
      <c r="C97" s="5">
        <v>9018400</v>
      </c>
      <c r="D97" s="5">
        <v>4527.1900000000005</v>
      </c>
      <c r="E97" s="5">
        <v>9022927.1899999995</v>
      </c>
      <c r="F97" s="5"/>
      <c r="G97" s="11">
        <f>'5b. Variables'!C97</f>
        <v>775.09999999999991</v>
      </c>
      <c r="H97" s="11">
        <f>'5b. Variables'!D97</f>
        <v>0</v>
      </c>
      <c r="I97" s="1">
        <f>'5b. Variables'!E97</f>
        <v>31</v>
      </c>
      <c r="J97" s="5">
        <f>'5b. Variables'!I97</f>
        <v>716.5</v>
      </c>
      <c r="K97" s="5">
        <f>'5b. Variables'!T97</f>
        <v>362055.72706846765</v>
      </c>
      <c r="L97" s="5">
        <f>'5b. Variables'!R97</f>
        <v>3605478.5923200008</v>
      </c>
      <c r="M97" s="5"/>
      <c r="N97" s="269"/>
      <c r="O97" s="5"/>
      <c r="Q97" s="5">
        <f t="shared" si="7"/>
        <v>9174941.5758937821</v>
      </c>
      <c r="R97" s="5">
        <f t="shared" si="8"/>
        <v>152014.3858937826</v>
      </c>
      <c r="S97" s="273">
        <f t="shared" si="9"/>
        <v>1.6847568720521018E-2</v>
      </c>
      <c r="T97" s="273">
        <f t="shared" si="10"/>
        <v>1.6847568720521018E-2</v>
      </c>
      <c r="V97" s="151"/>
      <c r="W97" s="151"/>
      <c r="X97" s="151"/>
      <c r="Y97" s="151"/>
      <c r="Z97" s="151"/>
      <c r="AA97" s="151"/>
      <c r="AB97" s="151"/>
      <c r="AC97" s="151"/>
      <c r="AD97" s="151"/>
    </row>
    <row r="98" spans="1:54">
      <c r="A98" s="268">
        <v>2018</v>
      </c>
      <c r="B98" s="268" t="s">
        <v>2</v>
      </c>
      <c r="C98" s="5">
        <v>10120900</v>
      </c>
      <c r="D98" s="5">
        <v>7990.8499999999985</v>
      </c>
      <c r="E98" s="5">
        <v>10128890.85</v>
      </c>
      <c r="F98" s="5"/>
      <c r="G98" s="11">
        <f>'5b. Variables'!C98</f>
        <v>792.89999999999986</v>
      </c>
      <c r="H98" s="11">
        <f>'5b. Variables'!D98</f>
        <v>0</v>
      </c>
      <c r="I98" s="1">
        <f>'5b. Variables'!E98</f>
        <v>31</v>
      </c>
      <c r="J98" s="5">
        <f>'5b. Variables'!I98</f>
        <v>703.7</v>
      </c>
      <c r="K98" s="5">
        <f>'5b. Variables'!T98</f>
        <v>365308.45476769638</v>
      </c>
      <c r="L98" s="5">
        <f>'5b. Variables'!R98</f>
        <v>4526352.5299200006</v>
      </c>
      <c r="M98" s="5"/>
      <c r="N98" s="269"/>
      <c r="O98" s="5"/>
      <c r="Q98" s="5">
        <f t="shared" si="7"/>
        <v>10036139.268943857</v>
      </c>
      <c r="R98" s="5">
        <f t="shared" si="8"/>
        <v>-92751.581056142226</v>
      </c>
      <c r="S98" s="273">
        <f t="shared" si="9"/>
        <v>-9.1571310649617901E-3</v>
      </c>
      <c r="T98" s="273">
        <f t="shared" si="10"/>
        <v>9.1571310649617901E-3</v>
      </c>
      <c r="V98" s="151"/>
      <c r="W98" s="151"/>
      <c r="X98" s="151"/>
      <c r="Y98" s="151"/>
      <c r="Z98" s="151"/>
      <c r="AA98" s="151"/>
      <c r="AB98" s="151"/>
      <c r="AC98" s="151"/>
      <c r="AD98" s="151"/>
    </row>
    <row r="99" spans="1:54">
      <c r="A99" s="1">
        <v>2018</v>
      </c>
      <c r="B99" s="1" t="s">
        <v>3</v>
      </c>
      <c r="C99" s="5">
        <v>8889933.333333334</v>
      </c>
      <c r="D99" s="5">
        <v>14039.759999999998</v>
      </c>
      <c r="E99" s="5">
        <v>8903973.0933333337</v>
      </c>
      <c r="F99" s="5"/>
      <c r="G99" s="11">
        <f>'5b. Variables'!C99</f>
        <v>619.6</v>
      </c>
      <c r="H99" s="11">
        <f>'5b. Variables'!D99</f>
        <v>0</v>
      </c>
      <c r="I99" s="1">
        <f>'5b. Variables'!E99</f>
        <v>28</v>
      </c>
      <c r="J99" s="5">
        <f>'5b. Variables'!I99</f>
        <v>692.6</v>
      </c>
      <c r="K99" s="5">
        <f>'5b. Variables'!T99</f>
        <v>368561.18246692512</v>
      </c>
      <c r="L99" s="5">
        <f>'5b. Variables'!R99</f>
        <v>4091881.8355200007</v>
      </c>
      <c r="M99" s="5"/>
      <c r="N99" s="269"/>
      <c r="O99" s="5"/>
      <c r="Q99" s="5">
        <f t="shared" si="7"/>
        <v>8791778.7447224949</v>
      </c>
      <c r="R99" s="5">
        <f t="shared" si="8"/>
        <v>-112194.34861083888</v>
      </c>
      <c r="S99" s="273">
        <f t="shared" si="9"/>
        <v>-1.2600481541756015E-2</v>
      </c>
      <c r="T99" s="273">
        <f t="shared" si="10"/>
        <v>1.2600481541756015E-2</v>
      </c>
      <c r="V99" s="151"/>
      <c r="W99" s="151"/>
      <c r="X99" s="151"/>
      <c r="Y99" s="151"/>
      <c r="Z99" s="151"/>
      <c r="AA99" s="151"/>
      <c r="AB99" s="151"/>
      <c r="AC99" s="151"/>
      <c r="AD99" s="151"/>
    </row>
    <row r="100" spans="1:54">
      <c r="A100" s="1">
        <v>2018</v>
      </c>
      <c r="B100" s="1" t="s">
        <v>4</v>
      </c>
      <c r="C100" s="5">
        <v>9293433.333333334</v>
      </c>
      <c r="D100" s="5">
        <v>41769.879999999997</v>
      </c>
      <c r="E100" s="5">
        <v>9335203.2133333348</v>
      </c>
      <c r="F100" s="5"/>
      <c r="G100" s="11">
        <f>'5b. Variables'!C100</f>
        <v>631.59999999999991</v>
      </c>
      <c r="H100" s="11">
        <f>'5b. Variables'!D100</f>
        <v>0</v>
      </c>
      <c r="I100" s="1">
        <f>'5b. Variables'!E100</f>
        <v>31</v>
      </c>
      <c r="J100" s="5">
        <f>'5b. Variables'!I100</f>
        <v>688.9</v>
      </c>
      <c r="K100" s="5">
        <f>'5b. Variables'!T100</f>
        <v>371813.91016615386</v>
      </c>
      <c r="L100" s="5">
        <f>'5b. Variables'!R100</f>
        <v>4458043.20096</v>
      </c>
      <c r="M100" s="5"/>
      <c r="N100" s="269"/>
      <c r="O100" s="5"/>
      <c r="Q100" s="5">
        <f t="shared" si="7"/>
        <v>9520111.5205362607</v>
      </c>
      <c r="R100" s="5">
        <f t="shared" si="8"/>
        <v>184908.30720292591</v>
      </c>
      <c r="S100" s="273">
        <f t="shared" si="9"/>
        <v>1.9807635996485225E-2</v>
      </c>
      <c r="T100" s="273">
        <f t="shared" si="10"/>
        <v>1.9807635996485225E-2</v>
      </c>
      <c r="V100" s="151"/>
      <c r="W100" s="151"/>
      <c r="X100" s="151"/>
      <c r="Y100" s="151"/>
      <c r="Z100" s="151"/>
      <c r="AA100" s="151"/>
      <c r="AB100" s="151"/>
      <c r="AC100" s="151"/>
      <c r="AD100" s="151"/>
    </row>
    <row r="101" spans="1:54">
      <c r="A101" s="1">
        <v>2018</v>
      </c>
      <c r="B101" s="1" t="s">
        <v>5</v>
      </c>
      <c r="C101" s="5">
        <v>8633466.6666666679</v>
      </c>
      <c r="D101" s="5">
        <v>37676.380000000005</v>
      </c>
      <c r="E101" s="5">
        <v>8671143.0466666687</v>
      </c>
      <c r="F101" s="5"/>
      <c r="G101" s="11">
        <f>'5b. Variables'!C101</f>
        <v>515.69999999999993</v>
      </c>
      <c r="H101" s="11">
        <f>'5b. Variables'!D101</f>
        <v>0</v>
      </c>
      <c r="I101" s="1">
        <f>'5b. Variables'!E101</f>
        <v>30</v>
      </c>
      <c r="J101" s="5">
        <f>'5b. Variables'!I101</f>
        <v>695.4</v>
      </c>
      <c r="K101" s="5">
        <f>'5b. Variables'!T101</f>
        <v>375066.6378653826</v>
      </c>
      <c r="L101" s="5">
        <f>'5b. Variables'!R101</f>
        <v>4217020.4649599995</v>
      </c>
      <c r="M101" s="5"/>
      <c r="N101" s="269"/>
      <c r="O101" s="5"/>
      <c r="Q101" s="5">
        <f t="shared" si="7"/>
        <v>8880185.2447425071</v>
      </c>
      <c r="R101" s="5">
        <f t="shared" si="8"/>
        <v>209042.19807583839</v>
      </c>
      <c r="S101" s="273">
        <f t="shared" si="9"/>
        <v>2.4107801814686667E-2</v>
      </c>
      <c r="T101" s="273">
        <f t="shared" si="10"/>
        <v>2.4107801814686667E-2</v>
      </c>
      <c r="V101" s="151"/>
      <c r="W101" s="151"/>
      <c r="X101" s="151"/>
      <c r="Y101" s="151"/>
      <c r="Z101" s="151"/>
      <c r="AA101" s="151"/>
      <c r="AB101" s="151"/>
      <c r="AC101" s="151"/>
      <c r="AD101" s="151"/>
    </row>
    <row r="102" spans="1:54">
      <c r="A102" s="1">
        <v>2018</v>
      </c>
      <c r="B102" s="1" t="s">
        <v>6</v>
      </c>
      <c r="C102" s="5">
        <v>8484266.6666666679</v>
      </c>
      <c r="D102" s="5">
        <v>57043.030000000006</v>
      </c>
      <c r="E102" s="5">
        <v>8541309.6966666672</v>
      </c>
      <c r="F102" s="5"/>
      <c r="G102" s="11">
        <f>'5b. Variables'!C102</f>
        <v>120</v>
      </c>
      <c r="H102" s="11">
        <f>'5b. Variables'!D102</f>
        <v>30.699999999999996</v>
      </c>
      <c r="I102" s="1">
        <f>'5b. Variables'!E102</f>
        <v>31</v>
      </c>
      <c r="J102" s="5">
        <f>'5b. Variables'!I102</f>
        <v>704.2</v>
      </c>
      <c r="K102" s="5">
        <f>'5b. Variables'!T102</f>
        <v>378319.36556461133</v>
      </c>
      <c r="L102" s="5">
        <f>'5b. Variables'!R102</f>
        <v>4625443.2067200011</v>
      </c>
      <c r="M102" s="5"/>
      <c r="N102" s="269"/>
      <c r="O102" s="5"/>
      <c r="Q102" s="5">
        <f t="shared" si="7"/>
        <v>8670264.2047584094</v>
      </c>
      <c r="R102" s="5">
        <f t="shared" si="8"/>
        <v>128954.50809174217</v>
      </c>
      <c r="S102" s="273">
        <f t="shared" si="9"/>
        <v>1.509774410147755E-2</v>
      </c>
      <c r="T102" s="273">
        <f t="shared" si="10"/>
        <v>1.509774410147755E-2</v>
      </c>
      <c r="V102" s="151"/>
      <c r="W102" s="151"/>
      <c r="X102" s="151"/>
      <c r="Y102" s="151"/>
      <c r="Z102" s="151"/>
      <c r="AA102" s="151"/>
      <c r="AB102" s="151"/>
      <c r="AC102" s="151"/>
      <c r="AD102" s="151"/>
    </row>
    <row r="103" spans="1:54">
      <c r="A103" s="1">
        <v>2018</v>
      </c>
      <c r="B103" s="1" t="s">
        <v>7</v>
      </c>
      <c r="C103" s="5">
        <v>8312400</v>
      </c>
      <c r="D103" s="5">
        <v>54834.23000000001</v>
      </c>
      <c r="E103" s="5">
        <v>8367234.2300000004</v>
      </c>
      <c r="F103" s="5"/>
      <c r="G103" s="11">
        <f>'5b. Variables'!C103</f>
        <v>46.500000000000007</v>
      </c>
      <c r="H103" s="11">
        <f>'5b. Variables'!D103</f>
        <v>28.7</v>
      </c>
      <c r="I103" s="1">
        <f>'5b. Variables'!E103</f>
        <v>30</v>
      </c>
      <c r="J103" s="5">
        <f>'5b. Variables'!I103</f>
        <v>720.2</v>
      </c>
      <c r="K103" s="5">
        <f>'5b. Variables'!T103</f>
        <v>381572.09326384007</v>
      </c>
      <c r="L103" s="5">
        <f>'5b. Variables'!R103</f>
        <v>4420601.9596800003</v>
      </c>
      <c r="M103" s="5"/>
      <c r="N103" s="269"/>
      <c r="O103" s="5"/>
      <c r="Q103" s="5">
        <f t="shared" si="7"/>
        <v>8169216.5490855323</v>
      </c>
      <c r="R103" s="5">
        <f t="shared" si="8"/>
        <v>-198017.68091446813</v>
      </c>
      <c r="S103" s="273">
        <f t="shared" si="9"/>
        <v>-2.3665846499730189E-2</v>
      </c>
      <c r="T103" s="273">
        <f t="shared" si="10"/>
        <v>2.3665846499730189E-2</v>
      </c>
      <c r="V103" s="151"/>
      <c r="W103" s="151"/>
      <c r="X103" s="151"/>
      <c r="Y103" s="151"/>
      <c r="Z103" s="151"/>
      <c r="AA103" s="151"/>
      <c r="AB103" s="151"/>
      <c r="AC103" s="151"/>
      <c r="AD103" s="151"/>
    </row>
    <row r="104" spans="1:54">
      <c r="A104" s="1">
        <v>2018</v>
      </c>
      <c r="B104" s="1" t="s">
        <v>8</v>
      </c>
      <c r="C104" s="5">
        <v>8610466.6666666679</v>
      </c>
      <c r="D104" s="5">
        <v>59166.259999999995</v>
      </c>
      <c r="E104" s="5">
        <v>8669632.9266666677</v>
      </c>
      <c r="F104" s="5"/>
      <c r="G104" s="11">
        <f>'5b. Variables'!C104</f>
        <v>11</v>
      </c>
      <c r="H104" s="11">
        <f>'5b. Variables'!D104</f>
        <v>77.300000000000026</v>
      </c>
      <c r="I104" s="1">
        <f>'5b. Variables'!E104</f>
        <v>31</v>
      </c>
      <c r="J104" s="5">
        <f>'5b. Variables'!I104</f>
        <v>739.3</v>
      </c>
      <c r="K104" s="5">
        <f>'5b. Variables'!T104</f>
        <v>384824.82096306881</v>
      </c>
      <c r="L104" s="5">
        <f>'5b. Variables'!R104</f>
        <v>4194517.0176000008</v>
      </c>
      <c r="M104" s="5"/>
      <c r="N104" s="269"/>
      <c r="O104" s="5"/>
      <c r="Q104" s="5">
        <f t="shared" si="7"/>
        <v>8515198.3842547704</v>
      </c>
      <c r="R104" s="5">
        <f t="shared" si="8"/>
        <v>-154434.54241189733</v>
      </c>
      <c r="S104" s="273">
        <f t="shared" si="9"/>
        <v>-1.7813273493607402E-2</v>
      </c>
      <c r="T104" s="273">
        <f t="shared" si="10"/>
        <v>1.7813273493607402E-2</v>
      </c>
      <c r="V104" s="151"/>
      <c r="W104" s="151"/>
      <c r="X104" s="151"/>
      <c r="Y104" s="151"/>
      <c r="Z104" s="151"/>
      <c r="AA104" s="151"/>
      <c r="AB104" s="151"/>
      <c r="AC104" s="151"/>
      <c r="AD104" s="151"/>
    </row>
    <row r="105" spans="1:54">
      <c r="A105" s="1">
        <v>2018</v>
      </c>
      <c r="B105" s="1" t="s">
        <v>9</v>
      </c>
      <c r="C105" s="5">
        <v>9144333.333333334</v>
      </c>
      <c r="D105" s="5">
        <v>47775.59</v>
      </c>
      <c r="E105" s="5">
        <v>9192108.9233333338</v>
      </c>
      <c r="F105" s="5"/>
      <c r="G105" s="11">
        <f>'5b. Variables'!C105</f>
        <v>5.7</v>
      </c>
      <c r="H105" s="11">
        <f>'5b. Variables'!D105</f>
        <v>80.900000000000006</v>
      </c>
      <c r="I105" s="1">
        <f>'5b. Variables'!E105</f>
        <v>31</v>
      </c>
      <c r="J105" s="5">
        <f>'5b. Variables'!I105</f>
        <v>747.9</v>
      </c>
      <c r="K105" s="5">
        <f>'5b. Variables'!T105</f>
        <v>388077.54866229754</v>
      </c>
      <c r="L105" s="5">
        <f>'5b. Variables'!R105</f>
        <v>4725688.9939200003</v>
      </c>
      <c r="M105" s="5"/>
      <c r="N105" s="269"/>
      <c r="O105" s="5"/>
      <c r="Q105" s="5">
        <f t="shared" si="7"/>
        <v>9032692.8885994758</v>
      </c>
      <c r="R105" s="5">
        <f t="shared" si="8"/>
        <v>-159416.03473385796</v>
      </c>
      <c r="S105" s="273">
        <f t="shared" si="9"/>
        <v>-1.7342705146715008E-2</v>
      </c>
      <c r="T105" s="273">
        <f t="shared" si="10"/>
        <v>1.7342705146715008E-2</v>
      </c>
      <c r="V105" s="151"/>
      <c r="W105" s="151"/>
      <c r="X105" s="151"/>
      <c r="Y105" s="151"/>
      <c r="Z105" s="151"/>
      <c r="AA105" s="151"/>
      <c r="AB105" s="151"/>
      <c r="AC105" s="151"/>
      <c r="AD105" s="151"/>
    </row>
    <row r="106" spans="1:54" s="275" customFormat="1">
      <c r="A106" s="1">
        <v>2018</v>
      </c>
      <c r="B106" s="1" t="s">
        <v>10</v>
      </c>
      <c r="C106" s="5">
        <v>8298633.3333333349</v>
      </c>
      <c r="D106" s="5">
        <v>38626.42</v>
      </c>
      <c r="E106" s="5">
        <v>8337259.7533333348</v>
      </c>
      <c r="F106" s="5"/>
      <c r="G106" s="11">
        <f>'5b. Variables'!C106</f>
        <v>87.899999999999991</v>
      </c>
      <c r="H106" s="11">
        <f>'5b. Variables'!D106</f>
        <v>46.099999999999994</v>
      </c>
      <c r="I106" s="1">
        <f>'5b. Variables'!E106</f>
        <v>30</v>
      </c>
      <c r="J106" s="5">
        <f>'5b. Variables'!I106</f>
        <v>745.5</v>
      </c>
      <c r="K106" s="5">
        <f>'5b. Variables'!T106</f>
        <v>391330.27636152628</v>
      </c>
      <c r="L106" s="5">
        <f>'5b. Variables'!R106</f>
        <v>4238331.9321600003</v>
      </c>
      <c r="M106" s="5"/>
      <c r="N106" s="269"/>
      <c r="O106" s="5"/>
      <c r="P106" s="1"/>
      <c r="Q106" s="5">
        <f t="shared" si="7"/>
        <v>8314959.8917839713</v>
      </c>
      <c r="R106" s="5">
        <f t="shared" si="8"/>
        <v>-22299.861549363472</v>
      </c>
      <c r="S106" s="273">
        <f t="shared" si="9"/>
        <v>-2.6747231355539478E-3</v>
      </c>
      <c r="T106" s="273">
        <f t="shared" si="10"/>
        <v>2.6747231355539478E-3</v>
      </c>
      <c r="U106" s="3"/>
      <c r="V106" s="151"/>
      <c r="W106" s="151"/>
      <c r="X106" s="151"/>
      <c r="Y106" s="151"/>
      <c r="Z106" s="151"/>
      <c r="AA106" s="151"/>
      <c r="AB106" s="151"/>
      <c r="AC106" s="151"/>
      <c r="AD106" s="151"/>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row>
    <row r="107" spans="1:54" s="275" customFormat="1">
      <c r="A107" s="1">
        <v>2018</v>
      </c>
      <c r="B107" s="1" t="s">
        <v>11</v>
      </c>
      <c r="C107" s="5">
        <v>8833466.6666666679</v>
      </c>
      <c r="D107" s="5">
        <v>21692.31</v>
      </c>
      <c r="E107" s="5">
        <v>8855158.9766666684</v>
      </c>
      <c r="F107" s="5"/>
      <c r="G107" s="11">
        <f>'5b. Variables'!C107</f>
        <v>338.7</v>
      </c>
      <c r="H107" s="11">
        <f>'5b. Variables'!D107</f>
        <v>7.9</v>
      </c>
      <c r="I107" s="1">
        <f>'5b. Variables'!E107</f>
        <v>31</v>
      </c>
      <c r="J107" s="5">
        <f>'5b. Variables'!I107</f>
        <v>742.1</v>
      </c>
      <c r="K107" s="5">
        <f>'5b. Variables'!T107</f>
        <v>394583.00406075502</v>
      </c>
      <c r="L107" s="5">
        <f>'5b. Variables'!R107</f>
        <v>4538667.4560000002</v>
      </c>
      <c r="M107" s="5"/>
      <c r="N107" s="269"/>
      <c r="O107" s="5"/>
      <c r="P107" s="1"/>
      <c r="Q107" s="5">
        <f t="shared" si="7"/>
        <v>8967963.5710806567</v>
      </c>
      <c r="R107" s="5">
        <f t="shared" si="8"/>
        <v>112804.59441398829</v>
      </c>
      <c r="S107" s="273">
        <f t="shared" si="9"/>
        <v>1.2738855926949278E-2</v>
      </c>
      <c r="T107" s="273">
        <f t="shared" si="10"/>
        <v>1.2738855926949278E-2</v>
      </c>
      <c r="U107" s="3"/>
      <c r="V107" s="151"/>
      <c r="W107" s="151"/>
      <c r="X107" s="151"/>
      <c r="Y107" s="151"/>
      <c r="Z107" s="151"/>
      <c r="AA107" s="151"/>
      <c r="AB107" s="151"/>
      <c r="AC107" s="151"/>
      <c r="AD107" s="151"/>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row>
    <row r="108" spans="1:54" s="275" customFormat="1">
      <c r="A108" s="1">
        <v>2018</v>
      </c>
      <c r="B108" s="1" t="s">
        <v>12</v>
      </c>
      <c r="C108" s="5">
        <v>8985166.6666666679</v>
      </c>
      <c r="D108" s="5">
        <v>4955.49</v>
      </c>
      <c r="E108" s="5">
        <v>8990122.1566666681</v>
      </c>
      <c r="F108" s="5"/>
      <c r="G108" s="11">
        <f>'5b. Variables'!C108</f>
        <v>568.90000000000009</v>
      </c>
      <c r="H108" s="11">
        <f>'5b. Variables'!D108</f>
        <v>0</v>
      </c>
      <c r="I108" s="1">
        <f>'5b. Variables'!E108</f>
        <v>30</v>
      </c>
      <c r="J108" s="5">
        <f>'5b. Variables'!I108</f>
        <v>745.7</v>
      </c>
      <c r="K108" s="5">
        <f>'5b. Variables'!T108</f>
        <v>397835.73175998376</v>
      </c>
      <c r="L108" s="5">
        <f>'5b. Variables'!R108</f>
        <v>4247842.6252800003</v>
      </c>
      <c r="M108" s="5"/>
      <c r="N108" s="269"/>
      <c r="O108" s="5"/>
      <c r="P108" s="1"/>
      <c r="Q108" s="5">
        <f t="shared" si="7"/>
        <v>9097492.8805790767</v>
      </c>
      <c r="R108" s="5">
        <f t="shared" si="8"/>
        <v>107370.72391240858</v>
      </c>
      <c r="S108" s="273">
        <f t="shared" si="9"/>
        <v>1.1943188539744957E-2</v>
      </c>
      <c r="T108" s="273">
        <f t="shared" si="10"/>
        <v>1.1943188539744957E-2</v>
      </c>
      <c r="U108" s="3"/>
      <c r="V108" s="151"/>
      <c r="W108" s="151"/>
      <c r="X108" s="151"/>
      <c r="Y108" s="151"/>
      <c r="Z108" s="151"/>
      <c r="AA108" s="151"/>
      <c r="AB108" s="151"/>
      <c r="AC108" s="151"/>
      <c r="AD108" s="151"/>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row>
    <row r="109" spans="1:54" s="275" customFormat="1">
      <c r="A109" s="1">
        <v>2018</v>
      </c>
      <c r="B109" s="1" t="s">
        <v>13</v>
      </c>
      <c r="C109" s="5">
        <v>8669133.333333334</v>
      </c>
      <c r="D109" s="5">
        <v>5517.38</v>
      </c>
      <c r="E109" s="5">
        <v>8674650.7133333348</v>
      </c>
      <c r="F109" s="5"/>
      <c r="G109" s="11">
        <f>'5b. Variables'!C109</f>
        <v>623.70000000000005</v>
      </c>
      <c r="H109" s="11">
        <f>'5b. Variables'!D109</f>
        <v>0</v>
      </c>
      <c r="I109" s="1">
        <f>'5b. Variables'!E109</f>
        <v>31</v>
      </c>
      <c r="J109" s="5">
        <f>'5b. Variables'!I109</f>
        <v>751</v>
      </c>
      <c r="K109" s="5">
        <f>'5b. Variables'!T109</f>
        <v>401088.45945921249</v>
      </c>
      <c r="L109" s="5">
        <f>'5b. Variables'!R109</f>
        <v>3518108.4499200005</v>
      </c>
      <c r="M109" s="5"/>
      <c r="N109" s="269"/>
      <c r="O109" s="5"/>
      <c r="P109" s="1"/>
      <c r="Q109" s="5">
        <f t="shared" si="7"/>
        <v>8702161.7576761041</v>
      </c>
      <c r="R109" s="5">
        <f t="shared" si="8"/>
        <v>27511.04434276931</v>
      </c>
      <c r="S109" s="273">
        <f t="shared" si="9"/>
        <v>3.1714296346806881E-3</v>
      </c>
      <c r="T109" s="273">
        <f t="shared" si="10"/>
        <v>3.1714296346806881E-3</v>
      </c>
      <c r="U109" s="3"/>
      <c r="V109" s="151"/>
      <c r="W109" s="151"/>
      <c r="X109" s="151"/>
      <c r="Y109" s="151"/>
      <c r="Z109" s="151"/>
      <c r="AA109" s="151"/>
      <c r="AB109" s="151"/>
      <c r="AC109" s="151"/>
      <c r="AD109" s="151"/>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row>
    <row r="110" spans="1:54" s="275" customFormat="1">
      <c r="A110" s="268">
        <v>2019</v>
      </c>
      <c r="B110" s="268" t="s">
        <v>2</v>
      </c>
      <c r="C110" s="5">
        <v>9946980</v>
      </c>
      <c r="D110" s="5">
        <v>9214.18</v>
      </c>
      <c r="E110" s="5">
        <v>9956194.1799999997</v>
      </c>
      <c r="F110" s="5"/>
      <c r="G110" s="11">
        <f>'5b. Variables'!C110</f>
        <v>848.80000000000007</v>
      </c>
      <c r="H110" s="11">
        <f>'5b. Variables'!D110</f>
        <v>0</v>
      </c>
      <c r="I110" s="1">
        <f>'5b. Variables'!E110</f>
        <v>31</v>
      </c>
      <c r="J110" s="5">
        <f>'5b. Variables'!I110</f>
        <v>748.7</v>
      </c>
      <c r="K110" s="5">
        <f>'5b. Variables'!T110</f>
        <v>403813.56917890575</v>
      </c>
      <c r="L110" s="5">
        <f>'5b. Variables'!R110</f>
        <v>4403212.0070400005</v>
      </c>
      <c r="M110" s="5"/>
      <c r="N110" s="269"/>
      <c r="O110" s="5"/>
      <c r="P110" s="1"/>
      <c r="Q110" s="5">
        <f t="shared" si="7"/>
        <v>10088030.209318049</v>
      </c>
      <c r="R110" s="5">
        <f t="shared" si="8"/>
        <v>131836.02931804955</v>
      </c>
      <c r="S110" s="273">
        <f t="shared" si="9"/>
        <v>1.3241608885339111E-2</v>
      </c>
      <c r="T110" s="273">
        <f t="shared" si="10"/>
        <v>1.3241608885339111E-2</v>
      </c>
      <c r="U110" s="3"/>
      <c r="V110" s="151"/>
      <c r="W110" s="151"/>
      <c r="X110" s="151"/>
      <c r="Y110" s="151"/>
      <c r="Z110" s="151"/>
      <c r="AA110" s="151"/>
      <c r="AB110" s="151"/>
      <c r="AC110" s="151"/>
      <c r="AD110" s="151"/>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row>
    <row r="111" spans="1:54" s="275" customFormat="1">
      <c r="A111" s="1">
        <v>2019</v>
      </c>
      <c r="B111" s="1" t="s">
        <v>3</v>
      </c>
      <c r="C111" s="5">
        <v>8808860</v>
      </c>
      <c r="D111" s="5">
        <v>12654.52</v>
      </c>
      <c r="E111" s="5">
        <v>8821514.5199999996</v>
      </c>
      <c r="F111" s="5"/>
      <c r="G111" s="11">
        <f>'5b. Variables'!C111</f>
        <v>690</v>
      </c>
      <c r="H111" s="11">
        <f>'5b. Variables'!D111</f>
        <v>0</v>
      </c>
      <c r="I111" s="1">
        <f>'5b. Variables'!E111</f>
        <v>28</v>
      </c>
      <c r="J111" s="5">
        <f>'5b. Variables'!I111</f>
        <v>741.3</v>
      </c>
      <c r="K111" s="5">
        <f>'5b. Variables'!T111</f>
        <v>406538.678898599</v>
      </c>
      <c r="L111" s="5">
        <f>'5b. Variables'!R111</f>
        <v>3946641.8342400002</v>
      </c>
      <c r="M111" s="5"/>
      <c r="N111" s="269"/>
      <c r="O111" s="5"/>
      <c r="P111" s="1"/>
      <c r="Q111" s="5">
        <f t="shared" si="7"/>
        <v>8868141.7867427189</v>
      </c>
      <c r="R111" s="5">
        <f t="shared" si="8"/>
        <v>46627.266742719337</v>
      </c>
      <c r="S111" s="273">
        <f t="shared" si="9"/>
        <v>5.2856305611702764E-3</v>
      </c>
      <c r="T111" s="273">
        <f t="shared" si="10"/>
        <v>5.2856305611702764E-3</v>
      </c>
      <c r="U111" s="3"/>
      <c r="V111" s="151"/>
      <c r="W111" s="151"/>
      <c r="X111" s="151"/>
      <c r="Y111" s="151"/>
      <c r="Z111" s="151"/>
      <c r="AA111" s="151"/>
      <c r="AB111" s="151"/>
      <c r="AC111" s="151"/>
      <c r="AD111" s="151"/>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row>
    <row r="112" spans="1:54" s="275" customFormat="1">
      <c r="A112" s="1">
        <v>2019</v>
      </c>
      <c r="B112" s="1" t="s">
        <v>4</v>
      </c>
      <c r="C112" s="5">
        <v>9361540</v>
      </c>
      <c r="D112" s="5">
        <v>35597.689999999995</v>
      </c>
      <c r="E112" s="5">
        <v>9397137.6899999995</v>
      </c>
      <c r="F112" s="5"/>
      <c r="G112" s="11">
        <f>'5b. Variables'!C112</f>
        <v>674.125</v>
      </c>
      <c r="H112" s="11">
        <f>'5b. Variables'!D112</f>
        <v>0</v>
      </c>
      <c r="I112" s="1">
        <f>'5b. Variables'!E112</f>
        <v>31</v>
      </c>
      <c r="J112" s="5">
        <f>'5b. Variables'!I112</f>
        <v>733.8</v>
      </c>
      <c r="K112" s="5">
        <f>'5b. Variables'!T112</f>
        <v>409263.78861829225</v>
      </c>
      <c r="L112" s="5">
        <f>'5b. Variables'!R112</f>
        <v>4369392.9532800009</v>
      </c>
      <c r="M112" s="5"/>
      <c r="N112" s="269"/>
      <c r="O112" s="5"/>
      <c r="P112" s="1"/>
      <c r="Q112" s="5">
        <f t="shared" si="7"/>
        <v>9570097.976141572</v>
      </c>
      <c r="R112" s="5">
        <f t="shared" si="8"/>
        <v>172960.28614157252</v>
      </c>
      <c r="S112" s="273">
        <f t="shared" si="9"/>
        <v>1.8405634976023485E-2</v>
      </c>
      <c r="T112" s="273">
        <f t="shared" si="10"/>
        <v>1.8405634976023485E-2</v>
      </c>
      <c r="U112" s="3"/>
      <c r="V112" s="151"/>
      <c r="W112" s="151"/>
      <c r="X112" s="151"/>
      <c r="Y112" s="151"/>
      <c r="Z112" s="151"/>
      <c r="AA112" s="151"/>
      <c r="AB112" s="151"/>
      <c r="AC112" s="151"/>
      <c r="AD112" s="151"/>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row>
    <row r="113" spans="1:54" s="275" customFormat="1">
      <c r="A113" s="1">
        <v>2019</v>
      </c>
      <c r="B113" s="1" t="s">
        <v>5</v>
      </c>
      <c r="C113" s="5">
        <v>8484459.9999999981</v>
      </c>
      <c r="D113" s="5">
        <v>35834</v>
      </c>
      <c r="E113" s="5">
        <v>8520293.9999999981</v>
      </c>
      <c r="F113" s="5"/>
      <c r="G113" s="11">
        <f>'5b. Variables'!C113</f>
        <v>412.49999999999994</v>
      </c>
      <c r="H113" s="11">
        <f>'5b. Variables'!D113</f>
        <v>0</v>
      </c>
      <c r="I113" s="1">
        <f>'5b. Variables'!E113</f>
        <v>30</v>
      </c>
      <c r="J113" s="5">
        <f>'5b. Variables'!I113</f>
        <v>734</v>
      </c>
      <c r="K113" s="5">
        <f>'5b. Variables'!T113</f>
        <v>411988.89833798551</v>
      </c>
      <c r="L113" s="5">
        <f>'5b. Variables'!R113</f>
        <v>4248725.9011200005</v>
      </c>
      <c r="M113" s="5"/>
      <c r="N113" s="269"/>
      <c r="O113" s="5"/>
      <c r="P113" s="1"/>
      <c r="Q113" s="5">
        <f t="shared" si="7"/>
        <v>8651420.69458781</v>
      </c>
      <c r="R113" s="5">
        <f t="shared" si="8"/>
        <v>131126.69458781183</v>
      </c>
      <c r="S113" s="273">
        <f t="shared" si="9"/>
        <v>1.5389926050417023E-2</v>
      </c>
      <c r="T113" s="273">
        <f t="shared" si="10"/>
        <v>1.5389926050417023E-2</v>
      </c>
      <c r="U113" s="3"/>
      <c r="V113" s="151"/>
      <c r="W113" s="151"/>
      <c r="X113" s="151"/>
      <c r="Y113" s="151"/>
      <c r="Z113" s="151"/>
      <c r="AA113" s="151"/>
      <c r="AB113" s="151"/>
      <c r="AC113" s="151"/>
      <c r="AD113" s="151"/>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row>
    <row r="114" spans="1:54" s="275" customFormat="1">
      <c r="A114" s="1">
        <v>2019</v>
      </c>
      <c r="B114" s="1" t="s">
        <v>6</v>
      </c>
      <c r="C114" s="5">
        <v>8296559.9999999991</v>
      </c>
      <c r="D114" s="5">
        <v>44721.200000000004</v>
      </c>
      <c r="E114" s="5">
        <v>8341281.1999999993</v>
      </c>
      <c r="F114" s="5"/>
      <c r="G114" s="11">
        <f>'5b. Variables'!C114</f>
        <v>227.05000000000004</v>
      </c>
      <c r="H114" s="11">
        <f>'5b. Variables'!D114</f>
        <v>1</v>
      </c>
      <c r="I114" s="1">
        <f>'5b. Variables'!E114</f>
        <v>31</v>
      </c>
      <c r="J114" s="5">
        <f>'5b. Variables'!I114</f>
        <v>747.1</v>
      </c>
      <c r="K114" s="5">
        <f>'5b. Variables'!T114</f>
        <v>414714.00805767876</v>
      </c>
      <c r="L114" s="5">
        <f>'5b. Variables'!R114</f>
        <v>4400982.5587200001</v>
      </c>
      <c r="M114" s="5"/>
      <c r="N114" s="269"/>
      <c r="O114" s="5"/>
      <c r="P114" s="1"/>
      <c r="Q114" s="5">
        <f t="shared" si="7"/>
        <v>8460874.6536490358</v>
      </c>
      <c r="R114" s="5">
        <f t="shared" si="8"/>
        <v>119593.45364903659</v>
      </c>
      <c r="S114" s="273">
        <f t="shared" si="9"/>
        <v>1.4337540095043984E-2</v>
      </c>
      <c r="T114" s="273">
        <f t="shared" si="10"/>
        <v>1.4337540095043984E-2</v>
      </c>
      <c r="U114" s="3"/>
      <c r="V114" s="151"/>
      <c r="W114" s="151"/>
      <c r="X114" s="151"/>
      <c r="Y114" s="151"/>
      <c r="Z114" s="151"/>
      <c r="AA114" s="151"/>
      <c r="AB114" s="151"/>
      <c r="AC114" s="151"/>
      <c r="AD114" s="151"/>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row>
    <row r="115" spans="1:54" s="275" customFormat="1">
      <c r="A115" s="1">
        <v>2019</v>
      </c>
      <c r="B115" s="1" t="s">
        <v>7</v>
      </c>
      <c r="C115" s="5">
        <v>7886820</v>
      </c>
      <c r="D115" s="5">
        <v>55081.819999999992</v>
      </c>
      <c r="E115" s="5">
        <v>7941901.8200000003</v>
      </c>
      <c r="F115" s="5"/>
      <c r="G115" s="11">
        <f>'5b. Variables'!C115</f>
        <v>70.2</v>
      </c>
      <c r="H115" s="11">
        <f>'5b. Variables'!D115</f>
        <v>16.399999999999999</v>
      </c>
      <c r="I115" s="1">
        <f>'5b. Variables'!E115</f>
        <v>30</v>
      </c>
      <c r="J115" s="5">
        <f>'5b. Variables'!I115</f>
        <v>762.3</v>
      </c>
      <c r="K115" s="5">
        <f>'5b. Variables'!T115</f>
        <v>417439.11777737201</v>
      </c>
      <c r="L115" s="5">
        <f>'5b. Variables'!R115</f>
        <v>4127497.0646400009</v>
      </c>
      <c r="M115" s="5"/>
      <c r="N115" s="269"/>
      <c r="O115" s="5"/>
      <c r="P115" s="1"/>
      <c r="Q115" s="5">
        <f t="shared" si="7"/>
        <v>7856366.0837003421</v>
      </c>
      <c r="R115" s="5">
        <f t="shared" si="8"/>
        <v>-85535.736299658194</v>
      </c>
      <c r="S115" s="273">
        <f t="shared" si="9"/>
        <v>-1.0770183041580108E-2</v>
      </c>
      <c r="T115" s="273">
        <f t="shared" si="10"/>
        <v>1.0770183041580108E-2</v>
      </c>
      <c r="U115" s="3"/>
      <c r="V115" s="151"/>
      <c r="W115" s="151"/>
      <c r="X115" s="151"/>
      <c r="Y115" s="151"/>
      <c r="Z115" s="151"/>
      <c r="AA115" s="151"/>
      <c r="AB115" s="151"/>
      <c r="AC115" s="151"/>
      <c r="AD115" s="151"/>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row>
    <row r="116" spans="1:54" s="275" customFormat="1">
      <c r="A116" s="1">
        <v>2019</v>
      </c>
      <c r="B116" s="1" t="s">
        <v>8</v>
      </c>
      <c r="C116" s="5">
        <v>8759520</v>
      </c>
      <c r="D116" s="5">
        <v>61228.27</v>
      </c>
      <c r="E116" s="5">
        <v>8820748.2699999996</v>
      </c>
      <c r="F116" s="5"/>
      <c r="G116" s="11">
        <f>'5b. Variables'!C116</f>
        <v>6.6000000000000005</v>
      </c>
      <c r="H116" s="11">
        <f>'5b. Variables'!D116</f>
        <v>92.500000000000014</v>
      </c>
      <c r="I116" s="1">
        <f>'5b. Variables'!E116</f>
        <v>31</v>
      </c>
      <c r="J116" s="5">
        <f>'5b. Variables'!I116</f>
        <v>764.2</v>
      </c>
      <c r="K116" s="5">
        <f>'5b. Variables'!T116</f>
        <v>420164.22749706527</v>
      </c>
      <c r="L116" s="5">
        <f>'5b. Variables'!R116</f>
        <v>4161543.8371200003</v>
      </c>
      <c r="M116" s="5"/>
      <c r="N116" s="269"/>
      <c r="O116" s="5"/>
      <c r="P116" s="1"/>
      <c r="Q116" s="5">
        <f t="shared" si="7"/>
        <v>8617887.8575666063</v>
      </c>
      <c r="R116" s="5">
        <f t="shared" si="8"/>
        <v>-202860.4124333933</v>
      </c>
      <c r="S116" s="273">
        <f t="shared" si="9"/>
        <v>-2.2998095651741494E-2</v>
      </c>
      <c r="T116" s="273">
        <f t="shared" si="10"/>
        <v>2.2998095651741494E-2</v>
      </c>
      <c r="U116" s="3"/>
      <c r="V116" s="151"/>
      <c r="W116" s="151"/>
      <c r="X116" s="151"/>
      <c r="Y116" s="151"/>
      <c r="Z116" s="151"/>
      <c r="AA116" s="151"/>
      <c r="AB116" s="151"/>
      <c r="AC116" s="151"/>
      <c r="AD116" s="151"/>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row>
    <row r="117" spans="1:54" s="275" customFormat="1">
      <c r="A117" s="1">
        <v>2019</v>
      </c>
      <c r="B117" s="1" t="s">
        <v>9</v>
      </c>
      <c r="C117" s="5">
        <v>8748640</v>
      </c>
      <c r="D117" s="5">
        <v>57103.76</v>
      </c>
      <c r="E117" s="5">
        <v>8805743.7599999998</v>
      </c>
      <c r="F117" s="5"/>
      <c r="G117" s="11">
        <f>'5b. Variables'!C117</f>
        <v>25.1</v>
      </c>
      <c r="H117" s="11">
        <f>'5b. Variables'!D117</f>
        <v>33.300000000000004</v>
      </c>
      <c r="I117" s="1">
        <f>'5b. Variables'!E117</f>
        <v>31</v>
      </c>
      <c r="J117" s="5">
        <f>'5b. Variables'!I117</f>
        <v>760.2</v>
      </c>
      <c r="K117" s="5">
        <f>'5b. Variables'!T117</f>
        <v>422889.33721675852</v>
      </c>
      <c r="L117" s="5">
        <f>'5b. Variables'!R117</f>
        <v>4590395.5161600001</v>
      </c>
      <c r="M117" s="5"/>
      <c r="N117" s="269"/>
      <c r="O117" s="5"/>
      <c r="P117" s="1"/>
      <c r="Q117" s="5">
        <f t="shared" si="7"/>
        <v>8446407.9809330925</v>
      </c>
      <c r="R117" s="5">
        <f t="shared" si="8"/>
        <v>-359335.77906690724</v>
      </c>
      <c r="S117" s="273">
        <f t="shared" si="9"/>
        <v>-4.0806976544012823E-2</v>
      </c>
      <c r="T117" s="273">
        <f t="shared" si="10"/>
        <v>4.0806976544012823E-2</v>
      </c>
      <c r="U117" s="3"/>
      <c r="V117" s="151"/>
      <c r="W117" s="151"/>
      <c r="X117" s="151"/>
      <c r="Y117" s="151"/>
      <c r="Z117" s="151"/>
      <c r="AA117" s="151"/>
      <c r="AB117" s="151"/>
      <c r="AC117" s="151"/>
      <c r="AD117" s="151"/>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row>
    <row r="118" spans="1:54" s="275" customFormat="1">
      <c r="A118" s="1">
        <v>2019</v>
      </c>
      <c r="B118" s="1" t="s">
        <v>10</v>
      </c>
      <c r="C118" s="5">
        <v>8164120</v>
      </c>
      <c r="D118" s="5">
        <v>36922.69</v>
      </c>
      <c r="E118" s="5">
        <v>8201042.6900000004</v>
      </c>
      <c r="F118" s="5"/>
      <c r="G118" s="11">
        <f>'5b. Variables'!C118</f>
        <v>90.899999999999991</v>
      </c>
      <c r="H118" s="11">
        <f>'5b. Variables'!D118</f>
        <v>13.200000000000001</v>
      </c>
      <c r="I118" s="1">
        <f>'5b. Variables'!E118</f>
        <v>30</v>
      </c>
      <c r="J118" s="5">
        <f>'5b. Variables'!I118</f>
        <v>756.5</v>
      </c>
      <c r="K118" s="5">
        <f>'5b. Variables'!T118</f>
        <v>425614.44693645177</v>
      </c>
      <c r="L118" s="5">
        <f>'5b. Variables'!R118</f>
        <v>4357474.9632000001</v>
      </c>
      <c r="M118" s="5"/>
      <c r="N118" s="269"/>
      <c r="O118" s="5"/>
      <c r="P118" s="1"/>
      <c r="Q118" s="5">
        <f t="shared" si="7"/>
        <v>8066145.8939459939</v>
      </c>
      <c r="R118" s="5">
        <f t="shared" si="8"/>
        <v>-134896.79605400655</v>
      </c>
      <c r="S118" s="273">
        <f t="shared" si="9"/>
        <v>-1.6448737209781131E-2</v>
      </c>
      <c r="T118" s="273">
        <f t="shared" si="10"/>
        <v>1.6448737209781131E-2</v>
      </c>
      <c r="U118" s="3"/>
      <c r="V118" s="151"/>
      <c r="W118" s="151"/>
      <c r="X118" s="151"/>
      <c r="Y118" s="151"/>
      <c r="Z118" s="151"/>
      <c r="AA118" s="151"/>
      <c r="AB118" s="151"/>
      <c r="AC118" s="151"/>
      <c r="AD118" s="151"/>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row>
    <row r="119" spans="1:54" s="275" customFormat="1">
      <c r="A119" s="1">
        <v>2019</v>
      </c>
      <c r="B119" s="1" t="s">
        <v>11</v>
      </c>
      <c r="C119" s="5">
        <v>8548680</v>
      </c>
      <c r="D119" s="5">
        <v>29568.800000000003</v>
      </c>
      <c r="E119" s="5">
        <v>8578248.8000000007</v>
      </c>
      <c r="F119" s="5"/>
      <c r="G119" s="11">
        <f>'5b. Variables'!C119</f>
        <v>293.8</v>
      </c>
      <c r="H119" s="11">
        <f>'5b. Variables'!D119</f>
        <v>2.1</v>
      </c>
      <c r="I119" s="1">
        <f>'5b. Variables'!E119</f>
        <v>31</v>
      </c>
      <c r="J119" s="5">
        <f>'5b. Variables'!I119</f>
        <v>760.7</v>
      </c>
      <c r="K119" s="5">
        <f>'5b. Variables'!T119</f>
        <v>428339.55665614503</v>
      </c>
      <c r="L119" s="5">
        <f>'5b. Variables'!R119</f>
        <v>4416877.5811200002</v>
      </c>
      <c r="M119" s="5"/>
      <c r="N119" s="269"/>
      <c r="O119" s="5"/>
      <c r="P119" s="1"/>
      <c r="Q119" s="5">
        <f t="shared" si="7"/>
        <v>8662958.0292746332</v>
      </c>
      <c r="R119" s="5">
        <f t="shared" si="8"/>
        <v>84709.229274632409</v>
      </c>
      <c r="S119" s="273">
        <f t="shared" si="9"/>
        <v>9.8748860343887898E-3</v>
      </c>
      <c r="T119" s="273">
        <f t="shared" si="10"/>
        <v>9.8748860343887898E-3</v>
      </c>
      <c r="U119" s="3"/>
      <c r="V119" s="151"/>
      <c r="W119" s="151"/>
      <c r="X119" s="151"/>
      <c r="Y119" s="151"/>
      <c r="Z119" s="151"/>
      <c r="AA119" s="151"/>
      <c r="AB119" s="151"/>
      <c r="AC119" s="151"/>
      <c r="AD119" s="151"/>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row>
    <row r="120" spans="1:54" s="275" customFormat="1">
      <c r="A120" s="1">
        <v>2019</v>
      </c>
      <c r="B120" s="1" t="s">
        <v>12</v>
      </c>
      <c r="C120" s="5">
        <v>8807700</v>
      </c>
      <c r="D120" s="5">
        <v>8600.64</v>
      </c>
      <c r="E120" s="5">
        <v>8816300.6400000006</v>
      </c>
      <c r="F120" s="5"/>
      <c r="G120" s="11">
        <f>'5b. Variables'!C120</f>
        <v>576.79999999999984</v>
      </c>
      <c r="H120" s="11">
        <f>'5b. Variables'!D120</f>
        <v>0</v>
      </c>
      <c r="I120" s="1">
        <f>'5b. Variables'!E120</f>
        <v>30</v>
      </c>
      <c r="J120" s="5">
        <f>'5b. Variables'!I120</f>
        <v>758.4</v>
      </c>
      <c r="K120" s="5">
        <f>'5b. Variables'!T120</f>
        <v>431064.66637583828</v>
      </c>
      <c r="L120" s="5">
        <f>'5b. Variables'!R120</f>
        <v>4037559.1459200005</v>
      </c>
      <c r="M120" s="5"/>
      <c r="N120" s="269"/>
      <c r="O120" s="5"/>
      <c r="P120" s="1"/>
      <c r="Q120" s="5">
        <f t="shared" si="7"/>
        <v>8898709.4029035941</v>
      </c>
      <c r="R120" s="5">
        <f t="shared" si="8"/>
        <v>82408.762903593481</v>
      </c>
      <c r="S120" s="273">
        <f t="shared" si="9"/>
        <v>9.3473176867064599E-3</v>
      </c>
      <c r="T120" s="273">
        <f t="shared" si="10"/>
        <v>9.3473176867064599E-3</v>
      </c>
      <c r="U120" s="3"/>
      <c r="V120" s="151"/>
      <c r="W120" s="151"/>
      <c r="X120" s="151"/>
      <c r="Y120" s="151"/>
      <c r="Z120" s="151"/>
      <c r="AA120" s="151"/>
      <c r="AB120" s="151"/>
      <c r="AC120" s="151"/>
      <c r="AD120" s="151"/>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row>
    <row r="121" spans="1:54" s="275" customFormat="1">
      <c r="A121" s="276">
        <v>2019</v>
      </c>
      <c r="B121" s="276" t="s">
        <v>13</v>
      </c>
      <c r="C121" s="277">
        <v>8708680</v>
      </c>
      <c r="D121" s="277">
        <v>5498.57</v>
      </c>
      <c r="E121" s="277">
        <v>8714178.5700000003</v>
      </c>
      <c r="F121" s="277"/>
      <c r="G121" s="278">
        <f>'5b. Variables'!C121</f>
        <v>647.29999999999995</v>
      </c>
      <c r="H121" s="278">
        <f>'5b. Variables'!D121</f>
        <v>0</v>
      </c>
      <c r="I121" s="276">
        <f>'5b. Variables'!E121</f>
        <v>31</v>
      </c>
      <c r="J121" s="277">
        <f>'5b. Variables'!I121</f>
        <v>756.5</v>
      </c>
      <c r="K121" s="277">
        <f>'5b. Variables'!T121</f>
        <v>433789.77609553153</v>
      </c>
      <c r="L121" s="277">
        <f>'5b. Variables'!R121</f>
        <v>3487388.6937600006</v>
      </c>
      <c r="M121" s="277"/>
      <c r="N121" s="279"/>
      <c r="O121" s="277"/>
      <c r="P121" s="276"/>
      <c r="Q121" s="277">
        <f t="shared" si="7"/>
        <v>8696938.7617864311</v>
      </c>
      <c r="R121" s="277">
        <f t="shared" si="8"/>
        <v>-17239.808213569224</v>
      </c>
      <c r="S121" s="292">
        <f t="shared" si="9"/>
        <v>-1.9783629719179858E-3</v>
      </c>
      <c r="T121" s="292">
        <f t="shared" si="10"/>
        <v>1.9783629719179858E-3</v>
      </c>
      <c r="U121" s="280"/>
      <c r="V121" s="151"/>
      <c r="W121" s="151"/>
      <c r="X121" s="151"/>
      <c r="Y121" s="151"/>
      <c r="Z121" s="151"/>
      <c r="AA121" s="151"/>
      <c r="AB121" s="151"/>
      <c r="AC121" s="151"/>
      <c r="AD121" s="151"/>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row>
    <row r="122" spans="1:54" s="275" customFormat="1">
      <c r="A122" s="1">
        <v>2020</v>
      </c>
      <c r="B122" s="1" t="s">
        <v>2</v>
      </c>
      <c r="C122" s="11"/>
      <c r="D122" s="11"/>
      <c r="E122" s="5"/>
      <c r="F122" s="11"/>
      <c r="G122" s="11">
        <f>'5b. Variables'!C122</f>
        <v>789.65166666666664</v>
      </c>
      <c r="H122" s="11">
        <f>'5b. Variables'!D122</f>
        <v>0</v>
      </c>
      <c r="I122" s="1">
        <f>'5b. Variables'!E122</f>
        <v>31</v>
      </c>
      <c r="J122" s="5">
        <f>'5b. Variables'!I122</f>
        <v>749.30128291316532</v>
      </c>
      <c r="K122" s="5">
        <f>'5b. Variables'!T122</f>
        <v>432170.08919414127</v>
      </c>
      <c r="L122" s="467">
        <f>'5b. Variables'!R122</f>
        <v>4403212.0070400005</v>
      </c>
      <c r="M122" s="5"/>
      <c r="N122" s="269"/>
      <c r="O122" s="5"/>
      <c r="P122" s="1"/>
      <c r="Q122" s="5">
        <f t="shared" ref="Q122:Q130" si="11">$W$17+$W$18*G122+$W$19*H122+$W$20*I122+$W$21*J122+$W$22*K122+$W$23*L122</f>
        <v>9893855.1609051079</v>
      </c>
      <c r="R122" s="5"/>
      <c r="S122" s="273"/>
      <c r="T122" s="273"/>
      <c r="U122" s="3"/>
      <c r="V122" s="151"/>
      <c r="W122" s="151"/>
      <c r="X122" s="151"/>
      <c r="Y122" s="151"/>
      <c r="Z122" s="151"/>
      <c r="AA122" s="151"/>
      <c r="AB122" s="151"/>
      <c r="AC122" s="151"/>
      <c r="AD122" s="151"/>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row>
    <row r="123" spans="1:54" s="275" customFormat="1">
      <c r="A123" s="1">
        <v>2020</v>
      </c>
      <c r="B123" s="1" t="s">
        <v>3</v>
      </c>
      <c r="C123" s="11"/>
      <c r="D123" s="11"/>
      <c r="E123" s="5"/>
      <c r="F123" s="11"/>
      <c r="G123" s="11">
        <f>'5b. Variables'!C123</f>
        <v>698.95166666666671</v>
      </c>
      <c r="H123" s="11">
        <f>'5b. Variables'!D123</f>
        <v>0</v>
      </c>
      <c r="I123" s="1">
        <f>'5b. Variables'!E123</f>
        <v>29</v>
      </c>
      <c r="J123" s="5">
        <f>'5b. Variables'!I123</f>
        <v>749.79574444444438</v>
      </c>
      <c r="K123" s="5">
        <f>'5b. Variables'!T123</f>
        <v>430550.40229275101</v>
      </c>
      <c r="L123" s="467">
        <f>'5b. Variables'!R123</f>
        <v>3946641.8342400002</v>
      </c>
      <c r="M123" s="5"/>
      <c r="N123" s="269"/>
      <c r="O123" s="5"/>
      <c r="P123" s="1"/>
      <c r="Q123" s="5">
        <f t="shared" si="11"/>
        <v>8995119.949440483</v>
      </c>
      <c r="R123" s="5"/>
      <c r="S123" s="273"/>
      <c r="T123" s="273"/>
      <c r="U123" s="3"/>
      <c r="V123" s="151"/>
      <c r="W123" s="151"/>
      <c r="X123" s="151"/>
      <c r="Y123" s="151"/>
      <c r="Z123" s="151"/>
      <c r="AA123" s="151"/>
      <c r="AB123" s="151"/>
      <c r="AC123" s="151"/>
      <c r="AD123" s="151"/>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row>
    <row r="124" spans="1:54" s="275" customFormat="1">
      <c r="A124" s="1">
        <v>2020</v>
      </c>
      <c r="B124" s="1" t="s">
        <v>4</v>
      </c>
      <c r="C124" s="11"/>
      <c r="D124" s="11"/>
      <c r="E124" s="5"/>
      <c r="F124" s="11"/>
      <c r="G124" s="11">
        <f>'5b. Variables'!C124</f>
        <v>614.92805555555549</v>
      </c>
      <c r="H124" s="11">
        <f>'5b. Variables'!D124</f>
        <v>0.34</v>
      </c>
      <c r="I124" s="1">
        <f>'5b. Variables'!E124</f>
        <v>31</v>
      </c>
      <c r="J124" s="5">
        <f>'5b. Variables'!I124</f>
        <v>750.20510485467389</v>
      </c>
      <c r="K124" s="5">
        <f>'5b. Variables'!T124</f>
        <v>428930.71539136075</v>
      </c>
      <c r="L124" s="467">
        <f>'5b. Variables'!R124</f>
        <v>4369392.9532800009</v>
      </c>
      <c r="M124" s="5"/>
      <c r="N124" s="269"/>
      <c r="O124" s="5"/>
      <c r="P124" s="1"/>
      <c r="Q124" s="5">
        <f t="shared" si="11"/>
        <v>9418335.7085044738</v>
      </c>
      <c r="R124" s="5"/>
      <c r="S124" s="273"/>
      <c r="T124" s="273"/>
      <c r="U124" s="3"/>
      <c r="V124" s="151"/>
      <c r="W124" s="151"/>
      <c r="X124" s="151"/>
      <c r="Y124" s="151"/>
      <c r="Z124" s="151"/>
      <c r="AA124" s="151"/>
      <c r="AB124" s="151"/>
      <c r="AC124" s="151"/>
      <c r="AD124" s="151"/>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row>
    <row r="125" spans="1:54" s="275" customFormat="1">
      <c r="A125" s="1">
        <v>2020</v>
      </c>
      <c r="B125" s="1" t="s">
        <v>5</v>
      </c>
      <c r="C125" s="11"/>
      <c r="D125" s="11"/>
      <c r="E125" s="5"/>
      <c r="F125" s="11"/>
      <c r="G125" s="11">
        <f>'5b. Variables'!C125</f>
        <v>394.48666666666668</v>
      </c>
      <c r="H125" s="11">
        <f>'5b. Variables'!D125</f>
        <v>0.1</v>
      </c>
      <c r="I125" s="1">
        <f>'5b. Variables'!E125</f>
        <v>30</v>
      </c>
      <c r="J125" s="5">
        <f>'5b. Variables'!I125</f>
        <v>750.52672584533764</v>
      </c>
      <c r="K125" s="5">
        <f>'5b. Variables'!T125</f>
        <v>427311.02848997049</v>
      </c>
      <c r="L125" s="467">
        <f>'5b. Variables'!R125</f>
        <v>4248725.9011200005</v>
      </c>
      <c r="M125" s="5"/>
      <c r="N125" s="269"/>
      <c r="O125" s="5"/>
      <c r="P125" s="1"/>
      <c r="Q125" s="5">
        <f t="shared" si="11"/>
        <v>8610853.5155872796</v>
      </c>
      <c r="R125" s="5"/>
      <c r="S125" s="273"/>
      <c r="T125" s="273"/>
      <c r="U125" s="3"/>
      <c r="V125" s="151"/>
      <c r="W125" s="151"/>
      <c r="X125" s="151"/>
      <c r="Y125" s="151"/>
      <c r="Z125" s="151"/>
      <c r="AA125" s="151"/>
      <c r="AB125" s="151"/>
      <c r="AC125" s="151"/>
      <c r="AD125" s="151"/>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row>
    <row r="126" spans="1:54" s="275" customFormat="1">
      <c r="A126" s="1">
        <v>2020</v>
      </c>
      <c r="B126" s="1" t="s">
        <v>6</v>
      </c>
      <c r="C126" s="11"/>
      <c r="D126" s="11"/>
      <c r="E126" s="5"/>
      <c r="F126" s="11"/>
      <c r="G126" s="11">
        <f>'5b. Variables'!C126</f>
        <v>168.45166666666665</v>
      </c>
      <c r="H126" s="11">
        <f>'5b. Variables'!D126</f>
        <v>16.080000000000002</v>
      </c>
      <c r="I126" s="1">
        <f>'5b. Variables'!E126</f>
        <v>31</v>
      </c>
      <c r="J126" s="5">
        <f>'5b. Variables'!I126</f>
        <v>750.8775667913535</v>
      </c>
      <c r="K126" s="5">
        <f>'5b. Variables'!T126</f>
        <v>425691.34158858022</v>
      </c>
      <c r="L126" s="467">
        <f>'5b. Variables'!R126</f>
        <v>4400982.5587200001</v>
      </c>
      <c r="M126" s="5"/>
      <c r="N126" s="269"/>
      <c r="O126" s="5"/>
      <c r="P126" s="1"/>
      <c r="Q126" s="5">
        <f t="shared" si="11"/>
        <v>8451790.1325449385</v>
      </c>
      <c r="R126" s="5"/>
      <c r="S126" s="273"/>
      <c r="T126" s="273"/>
      <c r="U126" s="3"/>
      <c r="V126" s="151"/>
      <c r="W126" s="151"/>
      <c r="X126" s="151"/>
      <c r="Y126" s="151"/>
      <c r="Z126" s="151"/>
      <c r="AA126" s="151"/>
      <c r="AB126" s="151"/>
      <c r="AC126" s="151"/>
      <c r="AD126" s="151"/>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row>
    <row r="127" spans="1:54" s="275" customFormat="1">
      <c r="A127" s="1">
        <v>2020</v>
      </c>
      <c r="B127" s="1" t="s">
        <v>7</v>
      </c>
      <c r="C127" s="11"/>
      <c r="D127" s="11"/>
      <c r="E127" s="5"/>
      <c r="F127" s="11"/>
      <c r="G127" s="11">
        <f>'5b. Variables'!C127</f>
        <v>57.868333333333339</v>
      </c>
      <c r="H127" s="11">
        <f>'5b. Variables'!D127</f>
        <v>28.274999999999999</v>
      </c>
      <c r="I127" s="1">
        <f>'5b. Variables'!E127</f>
        <v>30</v>
      </c>
      <c r="J127" s="5">
        <f>'5b. Variables'!I127</f>
        <v>751.35929288689545</v>
      </c>
      <c r="K127" s="5">
        <f>'5b. Variables'!T127</f>
        <v>424071.65468718996</v>
      </c>
      <c r="L127" s="467">
        <f>'5b. Variables'!R127</f>
        <v>4127497.0646400009</v>
      </c>
      <c r="M127" s="5"/>
      <c r="N127" s="269"/>
      <c r="O127" s="5"/>
      <c r="P127" s="1"/>
      <c r="Q127" s="5">
        <f t="shared" si="11"/>
        <v>7916814.8718956392</v>
      </c>
      <c r="R127" s="5"/>
      <c r="S127" s="273"/>
      <c r="T127" s="273"/>
      <c r="U127" s="3"/>
      <c r="V127" s="151"/>
      <c r="W127" s="151"/>
      <c r="X127" s="151"/>
      <c r="Y127" s="151"/>
      <c r="Z127" s="151"/>
      <c r="AA127" s="151"/>
      <c r="AB127" s="151"/>
      <c r="AC127" s="151"/>
      <c r="AD127" s="151"/>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row>
    <row r="128" spans="1:54" s="275" customFormat="1">
      <c r="A128" s="1">
        <v>2020</v>
      </c>
      <c r="B128" s="1" t="s">
        <v>8</v>
      </c>
      <c r="C128" s="11"/>
      <c r="D128" s="11"/>
      <c r="E128" s="5"/>
      <c r="F128" s="11"/>
      <c r="G128" s="11">
        <f>'5b. Variables'!C128</f>
        <v>17.11</v>
      </c>
      <c r="H128" s="11">
        <f>'5b. Variables'!D128</f>
        <v>72.36</v>
      </c>
      <c r="I128" s="1">
        <f>'5b. Variables'!E128</f>
        <v>31</v>
      </c>
      <c r="J128" s="5">
        <f>'5b. Variables'!I128</f>
        <v>752.07938286344097</v>
      </c>
      <c r="K128" s="5">
        <f>'5b. Variables'!T128</f>
        <v>422451.9677857997</v>
      </c>
      <c r="L128" s="467">
        <f>'5b. Variables'!R128</f>
        <v>4161543.8371200003</v>
      </c>
      <c r="M128" s="5"/>
      <c r="N128" s="269"/>
      <c r="O128" s="5"/>
      <c r="P128" s="1"/>
      <c r="Q128" s="5">
        <f t="shared" si="11"/>
        <v>8417297.6104867216</v>
      </c>
      <c r="R128" s="5"/>
      <c r="S128" s="273"/>
      <c r="T128" s="273"/>
      <c r="U128" s="3"/>
      <c r="V128" s="151"/>
      <c r="W128" s="151"/>
      <c r="X128" s="151"/>
      <c r="Y128" s="151"/>
      <c r="Z128" s="151"/>
      <c r="AA128" s="151"/>
      <c r="AB128" s="151"/>
      <c r="AC128" s="151"/>
      <c r="AD128" s="151"/>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row>
    <row r="129" spans="1:54" s="275" customFormat="1">
      <c r="A129" s="1">
        <v>2020</v>
      </c>
      <c r="B129" s="1" t="s">
        <v>9</v>
      </c>
      <c r="C129" s="11"/>
      <c r="D129" s="11"/>
      <c r="E129" s="5"/>
      <c r="F129" s="11"/>
      <c r="G129" s="11">
        <f>'5b. Variables'!C129</f>
        <v>24.599999999999998</v>
      </c>
      <c r="H129" s="11">
        <f>'5b. Variables'!D129</f>
        <v>52.274999999999999</v>
      </c>
      <c r="I129" s="1">
        <f>'5b. Variables'!E129</f>
        <v>31</v>
      </c>
      <c r="J129" s="5">
        <f>'5b. Variables'!I129</f>
        <v>752.99920722874788</v>
      </c>
      <c r="K129" s="5">
        <f>'5b. Variables'!T129</f>
        <v>420832.28088440944</v>
      </c>
      <c r="L129" s="467">
        <f>'5b. Variables'!R129</f>
        <v>4590395.5161600001</v>
      </c>
      <c r="M129" s="5"/>
      <c r="N129" s="269"/>
      <c r="O129" s="5"/>
      <c r="P129" s="1"/>
      <c r="Q129" s="5">
        <f t="shared" si="11"/>
        <v>8628583.6273555104</v>
      </c>
      <c r="R129" s="5"/>
      <c r="S129" s="273"/>
      <c r="T129" s="273"/>
      <c r="U129" s="3"/>
      <c r="V129" s="151"/>
      <c r="W129" s="151"/>
      <c r="X129" s="151"/>
      <c r="Y129" s="151"/>
      <c r="Z129" s="151"/>
      <c r="AA129" s="151"/>
      <c r="AB129" s="151"/>
      <c r="AC129" s="151"/>
      <c r="AD129" s="151"/>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row>
    <row r="130" spans="1:54" s="275" customFormat="1">
      <c r="A130" s="1">
        <v>2020</v>
      </c>
      <c r="B130" s="1" t="s">
        <v>10</v>
      </c>
      <c r="C130" s="11"/>
      <c r="D130" s="11"/>
      <c r="E130" s="5"/>
      <c r="F130" s="11"/>
      <c r="G130" s="11">
        <f>'5b. Variables'!C130</f>
        <v>102.41333333333333</v>
      </c>
      <c r="H130" s="11">
        <f>'5b. Variables'!D130</f>
        <v>25.174999999999997</v>
      </c>
      <c r="I130" s="1">
        <f>'5b. Variables'!E130</f>
        <v>30</v>
      </c>
      <c r="J130" s="5">
        <f>'5b. Variables'!I130</f>
        <v>753.9527122733756</v>
      </c>
      <c r="K130" s="5">
        <f>'5b. Variables'!T130</f>
        <v>419212.59398301918</v>
      </c>
      <c r="L130" s="467">
        <f>'5b. Variables'!R130</f>
        <v>4357474.9632000001</v>
      </c>
      <c r="M130" s="5"/>
      <c r="N130" s="269"/>
      <c r="O130" s="5"/>
      <c r="P130" s="1"/>
      <c r="Q130" s="5">
        <f t="shared" si="11"/>
        <v>8222658.5172153302</v>
      </c>
      <c r="R130" s="5"/>
      <c r="S130" s="273"/>
      <c r="T130" s="273"/>
      <c r="U130" s="3"/>
      <c r="V130" s="151"/>
      <c r="W130" s="151"/>
      <c r="X130" s="151"/>
      <c r="Y130" s="151"/>
      <c r="Z130" s="151"/>
      <c r="AA130" s="151"/>
      <c r="AB130" s="151"/>
      <c r="AC130" s="151"/>
      <c r="AD130" s="151"/>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row>
    <row r="131" spans="1:54" s="275" customFormat="1">
      <c r="A131" s="1">
        <v>2020</v>
      </c>
      <c r="B131" s="1" t="s">
        <v>11</v>
      </c>
      <c r="C131" s="11"/>
      <c r="D131" s="11"/>
      <c r="E131" s="5"/>
      <c r="F131" s="11"/>
      <c r="G131" s="11">
        <f>'5b. Variables'!C131</f>
        <v>283.29888888888888</v>
      </c>
      <c r="H131" s="11">
        <f>'5b. Variables'!D131</f>
        <v>1.32</v>
      </c>
      <c r="I131" s="1">
        <f>'5b. Variables'!E131</f>
        <v>31</v>
      </c>
      <c r="J131" s="5">
        <f>'5b. Variables'!I131</f>
        <v>754.78606837947939</v>
      </c>
      <c r="K131" s="5">
        <f>'5b. Variables'!T131</f>
        <v>417592.90708162892</v>
      </c>
      <c r="L131" s="467">
        <f>'5b. Variables'!R131</f>
        <v>4416877.5811200002</v>
      </c>
      <c r="M131" s="5"/>
      <c r="N131" s="269"/>
      <c r="O131" s="5"/>
      <c r="P131" s="1"/>
      <c r="Q131" s="5">
        <f t="shared" ref="Q131:Q145" si="12">$W$17+$W$18*G131+$W$19*H131+$W$20*I131+$W$21*J131+$W$22*K131+$W$23*L131</f>
        <v>8633540.0211288966</v>
      </c>
      <c r="R131" s="5"/>
      <c r="S131" s="273"/>
      <c r="T131" s="273"/>
      <c r="U131" s="3"/>
      <c r="V131" s="151"/>
      <c r="W131" s="151"/>
      <c r="X131" s="151"/>
      <c r="Y131" s="151"/>
      <c r="Z131" s="151"/>
      <c r="AA131" s="151"/>
      <c r="AB131" s="151"/>
      <c r="AC131" s="151"/>
      <c r="AD131" s="151"/>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row>
    <row r="132" spans="1:54" s="275" customFormat="1">
      <c r="A132" s="1">
        <v>2020</v>
      </c>
      <c r="B132" s="1" t="s">
        <v>12</v>
      </c>
      <c r="C132" s="11"/>
      <c r="D132" s="11"/>
      <c r="E132" s="5"/>
      <c r="F132" s="11"/>
      <c r="G132" s="11">
        <f>'5b. Variables'!C132</f>
        <v>487.20722222222219</v>
      </c>
      <c r="H132" s="11">
        <f>'5b. Variables'!D132</f>
        <v>0</v>
      </c>
      <c r="I132" s="1">
        <f>'5b. Variables'!E132</f>
        <v>30</v>
      </c>
      <c r="J132" s="5">
        <f>'5b. Variables'!I132</f>
        <v>755.47488395567143</v>
      </c>
      <c r="K132" s="5">
        <f>'5b. Variables'!T132</f>
        <v>415973.22018023866</v>
      </c>
      <c r="L132" s="467">
        <f>'5b. Variables'!R132</f>
        <v>4037559.1459200005</v>
      </c>
      <c r="M132" s="5"/>
      <c r="N132" s="269"/>
      <c r="O132" s="5"/>
      <c r="P132" s="1"/>
      <c r="Q132" s="5">
        <f t="shared" si="12"/>
        <v>8682884.285214629</v>
      </c>
      <c r="R132" s="5"/>
      <c r="S132" s="273"/>
      <c r="T132" s="273"/>
      <c r="U132" s="3"/>
      <c r="V132" s="151"/>
      <c r="W132" s="151"/>
      <c r="X132" s="151"/>
      <c r="Y132" s="151"/>
      <c r="Z132" s="151"/>
      <c r="AA132" s="151"/>
      <c r="AB132" s="151"/>
      <c r="AC132" s="151"/>
      <c r="AD132" s="151"/>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row>
    <row r="133" spans="1:54" s="275" customFormat="1">
      <c r="A133" s="276">
        <v>2020</v>
      </c>
      <c r="B133" s="276" t="s">
        <v>13</v>
      </c>
      <c r="C133" s="278"/>
      <c r="D133" s="278"/>
      <c r="E133" s="277"/>
      <c r="F133" s="278"/>
      <c r="G133" s="278">
        <f>'5b. Variables'!C133</f>
        <v>655.25333333333333</v>
      </c>
      <c r="H133" s="278">
        <f>'5b. Variables'!D133</f>
        <v>0</v>
      </c>
      <c r="I133" s="276">
        <f>'5b. Variables'!E133</f>
        <v>31</v>
      </c>
      <c r="J133" s="277">
        <f>'5b. Variables'!I133</f>
        <v>755.54761828564449</v>
      </c>
      <c r="K133" s="277">
        <f>'5b. Variables'!T133</f>
        <v>414353.53327884839</v>
      </c>
      <c r="L133" s="468">
        <f>'5b. Variables'!R133</f>
        <v>3487388.6937600006</v>
      </c>
      <c r="M133" s="277"/>
      <c r="N133" s="279"/>
      <c r="O133" s="277"/>
      <c r="P133" s="276"/>
      <c r="Q133" s="277">
        <f t="shared" si="12"/>
        <v>8744391.5025304724</v>
      </c>
      <c r="R133" s="277"/>
      <c r="S133" s="292"/>
      <c r="T133" s="292"/>
      <c r="U133" s="280"/>
      <c r="V133" s="151"/>
      <c r="W133" s="151"/>
      <c r="X133" s="151"/>
      <c r="Y133" s="151"/>
      <c r="Z133" s="151"/>
      <c r="AA133" s="151"/>
      <c r="AB133" s="151"/>
      <c r="AC133" s="151"/>
      <c r="AD133" s="151"/>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row>
    <row r="134" spans="1:54" s="275" customFormat="1">
      <c r="A134" s="1">
        <v>2021</v>
      </c>
      <c r="B134" s="1" t="s">
        <v>2</v>
      </c>
      <c r="C134" s="11"/>
      <c r="D134" s="11"/>
      <c r="E134" s="5"/>
      <c r="F134" s="11"/>
      <c r="G134" s="11">
        <f>'5b. Variables'!C134</f>
        <v>789.46683333333328</v>
      </c>
      <c r="H134" s="11">
        <f>'5b. Variables'!D134</f>
        <v>0</v>
      </c>
      <c r="I134" s="1">
        <f>'5b. Variables'!E134</f>
        <v>31</v>
      </c>
      <c r="J134" s="5">
        <f>'5b. Variables'!I134</f>
        <v>756.09817980310584</v>
      </c>
      <c r="K134" s="5">
        <f>'5b. Variables'!T134</f>
        <v>416912.4493734921</v>
      </c>
      <c r="L134" s="467">
        <f>'5b. Variables'!R134</f>
        <v>4403212.0070400005</v>
      </c>
      <c r="M134" s="5"/>
      <c r="N134" s="269"/>
      <c r="O134" s="5"/>
      <c r="P134" s="1"/>
      <c r="Q134" s="5">
        <f t="shared" si="12"/>
        <v>9926998.3299124762</v>
      </c>
      <c r="R134" s="5"/>
      <c r="S134" s="273"/>
      <c r="T134" s="273"/>
      <c r="U134" s="3"/>
      <c r="V134" s="151"/>
      <c r="W134" s="151"/>
      <c r="X134" s="151"/>
      <c r="Y134" s="151"/>
      <c r="Z134" s="151"/>
      <c r="AA134" s="151"/>
      <c r="AB134" s="151"/>
      <c r="AC134" s="151"/>
      <c r="AD134" s="151"/>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row>
    <row r="135" spans="1:54" s="275" customFormat="1">
      <c r="A135" s="1">
        <v>2021</v>
      </c>
      <c r="B135" s="1" t="s">
        <v>3</v>
      </c>
      <c r="C135" s="11"/>
      <c r="D135" s="11"/>
      <c r="E135" s="5"/>
      <c r="F135" s="11"/>
      <c r="G135" s="11">
        <f>'5b. Variables'!C135</f>
        <v>700.8368333333334</v>
      </c>
      <c r="H135" s="11">
        <f>'5b. Variables'!D135</f>
        <v>0</v>
      </c>
      <c r="I135" s="1">
        <f>'5b. Variables'!E135</f>
        <v>28</v>
      </c>
      <c r="J135" s="5">
        <f>'5b. Variables'!I135</f>
        <v>756.55578484805983</v>
      </c>
      <c r="K135" s="5">
        <f>'5b. Variables'!T135</f>
        <v>419471.3654681358</v>
      </c>
      <c r="L135" s="467">
        <f>'5b. Variables'!R135</f>
        <v>3946641.8342400002</v>
      </c>
      <c r="M135" s="5"/>
      <c r="N135" s="269"/>
      <c r="O135" s="5"/>
      <c r="P135" s="1"/>
      <c r="Q135" s="5">
        <f t="shared" si="12"/>
        <v>8902939.9011978358</v>
      </c>
      <c r="R135" s="5"/>
      <c r="S135" s="273"/>
      <c r="T135" s="273"/>
      <c r="U135" s="3"/>
      <c r="V135" s="151"/>
      <c r="W135" s="151"/>
      <c r="X135" s="151"/>
      <c r="Y135" s="151"/>
      <c r="Z135" s="151"/>
      <c r="AA135" s="151"/>
      <c r="AB135" s="151"/>
      <c r="AC135" s="151"/>
      <c r="AD135" s="151"/>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row>
    <row r="136" spans="1:54" s="275" customFormat="1">
      <c r="A136" s="1">
        <v>2021</v>
      </c>
      <c r="B136" s="1" t="s">
        <v>4</v>
      </c>
      <c r="C136" s="11"/>
      <c r="D136" s="11"/>
      <c r="E136" s="5"/>
      <c r="F136" s="11"/>
      <c r="G136" s="11">
        <f>'5b. Variables'!C136</f>
        <v>625.95086111111118</v>
      </c>
      <c r="H136" s="11">
        <f>'5b. Variables'!D136</f>
        <v>0.374</v>
      </c>
      <c r="I136" s="1">
        <f>'5b. Variables'!E136</f>
        <v>31</v>
      </c>
      <c r="J136" s="5">
        <f>'5b. Variables'!I136</f>
        <v>757.01623519571558</v>
      </c>
      <c r="K136" s="5">
        <f>'5b. Variables'!T136</f>
        <v>422030.28156277951</v>
      </c>
      <c r="L136" s="467">
        <f>'5b. Variables'!R136</f>
        <v>4369392.9532800009</v>
      </c>
      <c r="M136" s="5"/>
      <c r="N136" s="269"/>
      <c r="O136" s="5"/>
      <c r="P136" s="1"/>
      <c r="Q136" s="5">
        <f t="shared" si="12"/>
        <v>9468793.9764939267</v>
      </c>
      <c r="R136" s="5"/>
      <c r="S136" s="273"/>
      <c r="T136" s="273"/>
      <c r="U136" s="3"/>
      <c r="V136" s="151"/>
      <c r="W136" s="151"/>
      <c r="X136" s="151"/>
      <c r="Y136" s="151"/>
      <c r="Z136" s="151"/>
      <c r="AA136" s="151"/>
      <c r="AB136" s="151"/>
      <c r="AC136" s="151"/>
      <c r="AD136" s="151"/>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row>
    <row r="137" spans="1:54" s="275" customFormat="1">
      <c r="A137" s="1">
        <v>2021</v>
      </c>
      <c r="B137" s="1" t="s">
        <v>5</v>
      </c>
      <c r="C137" s="11"/>
      <c r="D137" s="11"/>
      <c r="E137" s="5"/>
      <c r="F137" s="11"/>
      <c r="G137" s="11">
        <f>'5b. Variables'!C137</f>
        <v>406.6153333333333</v>
      </c>
      <c r="H137" s="11">
        <f>'5b. Variables'!D137</f>
        <v>0.01</v>
      </c>
      <c r="I137" s="1">
        <f>'5b. Variables'!E137</f>
        <v>30</v>
      </c>
      <c r="J137" s="5">
        <f>'5b. Variables'!I137</f>
        <v>757.54857907673227</v>
      </c>
      <c r="K137" s="5">
        <f>'5b. Variables'!T137</f>
        <v>424589.19765742321</v>
      </c>
      <c r="L137" s="467">
        <f>'5b. Variables'!R137</f>
        <v>4248725.9011200005</v>
      </c>
      <c r="M137" s="5"/>
      <c r="N137" s="269"/>
      <c r="O137" s="5"/>
      <c r="P137" s="1"/>
      <c r="Q137" s="5">
        <f t="shared" si="12"/>
        <v>8657183.424320709</v>
      </c>
      <c r="R137" s="5"/>
      <c r="S137" s="273"/>
      <c r="T137" s="273"/>
      <c r="U137" s="3"/>
      <c r="V137" s="151"/>
      <c r="W137" s="151"/>
      <c r="X137" s="151"/>
      <c r="Y137" s="151"/>
      <c r="Z137" s="151"/>
      <c r="AA137" s="151"/>
      <c r="AB137" s="151"/>
      <c r="AC137" s="151"/>
      <c r="AD137" s="151"/>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row>
    <row r="138" spans="1:54" s="275" customFormat="1">
      <c r="A138" s="1">
        <v>2021</v>
      </c>
      <c r="B138" s="1" t="s">
        <v>6</v>
      </c>
      <c r="C138" s="11"/>
      <c r="D138" s="11"/>
      <c r="E138" s="5"/>
      <c r="F138" s="11"/>
      <c r="G138" s="11">
        <f>'5b. Variables'!C138</f>
        <v>170.47683333333333</v>
      </c>
      <c r="H138" s="11">
        <f>'5b. Variables'!D138</f>
        <v>15.288000000000002</v>
      </c>
      <c r="I138" s="1">
        <f>'5b. Variables'!E138</f>
        <v>31</v>
      </c>
      <c r="J138" s="5">
        <f>'5b. Variables'!I138</f>
        <v>758.21559370538125</v>
      </c>
      <c r="K138" s="5">
        <f>'5b. Variables'!T138</f>
        <v>427148.11375206691</v>
      </c>
      <c r="L138" s="467">
        <f>'5b. Variables'!R138</f>
        <v>4400982.5587200001</v>
      </c>
      <c r="M138" s="5"/>
      <c r="N138" s="269"/>
      <c r="O138" s="5"/>
      <c r="P138" s="1"/>
      <c r="Q138" s="5">
        <f t="shared" si="12"/>
        <v>8459157.1749818847</v>
      </c>
      <c r="R138" s="5"/>
      <c r="S138" s="273"/>
      <c r="T138" s="273"/>
      <c r="U138" s="3"/>
      <c r="V138" s="151"/>
      <c r="W138" s="151"/>
      <c r="X138" s="151"/>
      <c r="Y138" s="151"/>
      <c r="Z138" s="151"/>
      <c r="AA138" s="151"/>
      <c r="AB138" s="151"/>
      <c r="AC138" s="151"/>
      <c r="AD138" s="151"/>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row>
    <row r="139" spans="1:54" s="275" customFormat="1">
      <c r="A139" s="1">
        <v>2021</v>
      </c>
      <c r="B139" s="1" t="s">
        <v>7</v>
      </c>
      <c r="C139" s="11"/>
      <c r="D139" s="11"/>
      <c r="E139" s="5"/>
      <c r="F139" s="11"/>
      <c r="G139" s="11">
        <f>'5b. Variables'!C139</f>
        <v>58.13183333333334</v>
      </c>
      <c r="H139" s="11">
        <f>'5b. Variables'!D139</f>
        <v>29.232499999999998</v>
      </c>
      <c r="I139" s="1">
        <f>'5b. Variables'!E139</f>
        <v>30</v>
      </c>
      <c r="J139" s="5">
        <f>'5b. Variables'!I139</f>
        <v>758.95368728982714</v>
      </c>
      <c r="K139" s="5">
        <f>'5b. Variables'!T139</f>
        <v>429707.02984671062</v>
      </c>
      <c r="L139" s="467">
        <f>'5b. Variables'!R139</f>
        <v>4127497.0646400009</v>
      </c>
      <c r="M139" s="5"/>
      <c r="N139" s="269"/>
      <c r="O139" s="5"/>
      <c r="P139" s="1"/>
      <c r="Q139" s="5">
        <f t="shared" si="12"/>
        <v>7931680.8189851018</v>
      </c>
      <c r="R139" s="5"/>
      <c r="S139" s="273"/>
      <c r="T139" s="273"/>
      <c r="U139" s="3"/>
      <c r="V139" s="151"/>
      <c r="W139" s="151"/>
      <c r="X139" s="151"/>
      <c r="Y139" s="151"/>
      <c r="Z139" s="151"/>
      <c r="AA139" s="151"/>
      <c r="AB139" s="151"/>
      <c r="AC139" s="151"/>
      <c r="AD139" s="151"/>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row>
    <row r="140" spans="1:54" s="275" customFormat="1">
      <c r="A140" s="1">
        <v>2021</v>
      </c>
      <c r="B140" s="1" t="s">
        <v>8</v>
      </c>
      <c r="C140" s="11"/>
      <c r="D140" s="11"/>
      <c r="E140" s="5"/>
      <c r="F140" s="11"/>
      <c r="G140" s="11">
        <f>'5b. Variables'!C140</f>
        <v>17.550999999999998</v>
      </c>
      <c r="H140" s="11">
        <f>'5b. Variables'!D140</f>
        <v>70.626000000000005</v>
      </c>
      <c r="I140" s="1">
        <f>'5b. Variables'!E140</f>
        <v>31</v>
      </c>
      <c r="J140" s="5">
        <f>'5b. Variables'!I140</f>
        <v>759.85594326810815</v>
      </c>
      <c r="K140" s="5">
        <f>'5b. Variables'!T140</f>
        <v>432265.94594135432</v>
      </c>
      <c r="L140" s="467">
        <f>'5b. Variables'!R140</f>
        <v>4161543.8371200003</v>
      </c>
      <c r="M140" s="5"/>
      <c r="N140" s="269"/>
      <c r="O140" s="5"/>
      <c r="P140" s="1"/>
      <c r="Q140" s="5">
        <f t="shared" si="12"/>
        <v>8399525.538421886</v>
      </c>
      <c r="R140" s="5"/>
      <c r="S140" s="273"/>
      <c r="T140" s="273"/>
      <c r="U140" s="3"/>
      <c r="V140" s="151"/>
      <c r="W140" s="151"/>
      <c r="X140" s="151"/>
      <c r="Y140" s="151"/>
      <c r="Z140" s="151"/>
      <c r="AA140" s="151"/>
      <c r="AB140" s="151"/>
      <c r="AC140" s="151"/>
      <c r="AD140" s="151"/>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row>
    <row r="141" spans="1:54" s="275" customFormat="1">
      <c r="A141" s="1">
        <v>2021</v>
      </c>
      <c r="B141" s="1" t="s">
        <v>9</v>
      </c>
      <c r="C141" s="11"/>
      <c r="D141" s="11"/>
      <c r="E141" s="5"/>
      <c r="F141" s="11"/>
      <c r="G141" s="11">
        <f>'5b. Variables'!C141</f>
        <v>25.129999999999995</v>
      </c>
      <c r="H141" s="11">
        <f>'5b. Variables'!D141</f>
        <v>49.302500000000002</v>
      </c>
      <c r="I141" s="1">
        <f>'5b. Variables'!E141</f>
        <v>31</v>
      </c>
      <c r="J141" s="5">
        <f>'5b. Variables'!I141</f>
        <v>760.92159922691576</v>
      </c>
      <c r="K141" s="5">
        <f>'5b. Variables'!T141</f>
        <v>434824.86203599803</v>
      </c>
      <c r="L141" s="467">
        <f>'5b. Variables'!R141</f>
        <v>4590395.5161600001</v>
      </c>
      <c r="M141" s="5"/>
      <c r="N141" s="269"/>
      <c r="O141" s="5"/>
      <c r="P141" s="1"/>
      <c r="Q141" s="5">
        <f t="shared" si="12"/>
        <v>8592623.7900178358</v>
      </c>
      <c r="R141" s="5"/>
      <c r="S141" s="273"/>
      <c r="T141" s="273"/>
      <c r="U141" s="3"/>
      <c r="V141" s="151"/>
      <c r="W141" s="151"/>
      <c r="X141" s="151"/>
      <c r="Y141" s="151"/>
      <c r="Z141" s="151"/>
      <c r="AA141" s="151"/>
      <c r="AB141" s="151"/>
      <c r="AC141" s="151"/>
      <c r="AD141" s="151"/>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row>
    <row r="142" spans="1:54" s="275" customFormat="1">
      <c r="A142" s="1">
        <v>2021</v>
      </c>
      <c r="B142" s="1" t="s">
        <v>10</v>
      </c>
      <c r="C142" s="11"/>
      <c r="D142" s="11"/>
      <c r="E142" s="5"/>
      <c r="F142" s="11"/>
      <c r="G142" s="11">
        <f>'5b. Variables'!C142</f>
        <v>98.954666666666654</v>
      </c>
      <c r="H142" s="11">
        <f>'5b. Variables'!D142</f>
        <v>26.142499999999995</v>
      </c>
      <c r="I142" s="1">
        <f>'5b. Variables'!E142</f>
        <v>30</v>
      </c>
      <c r="J142" s="5">
        <f>'5b. Variables'!I142</f>
        <v>762.05215130454576</v>
      </c>
      <c r="K142" s="5">
        <f>'5b. Variables'!T142</f>
        <v>437383.77813064173</v>
      </c>
      <c r="L142" s="467">
        <f>'5b. Variables'!R142</f>
        <v>4357474.9632000001</v>
      </c>
      <c r="M142" s="5"/>
      <c r="N142" s="269"/>
      <c r="O142" s="5"/>
      <c r="P142" s="1"/>
      <c r="Q142" s="5">
        <f t="shared" si="12"/>
        <v>8210497.589869732</v>
      </c>
      <c r="R142" s="5"/>
      <c r="S142" s="273"/>
      <c r="T142" s="273"/>
      <c r="U142" s="3"/>
      <c r="V142" s="151"/>
      <c r="W142" s="151"/>
      <c r="X142" s="151"/>
      <c r="Y142" s="151"/>
      <c r="Z142" s="151"/>
      <c r="AA142" s="151"/>
      <c r="AB142" s="151"/>
      <c r="AC142" s="151"/>
      <c r="AD142" s="151"/>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row>
    <row r="143" spans="1:54" s="275" customFormat="1">
      <c r="A143" s="1">
        <v>2021</v>
      </c>
      <c r="B143" s="1" t="s">
        <v>11</v>
      </c>
      <c r="C143" s="11"/>
      <c r="D143" s="11"/>
      <c r="E143" s="5"/>
      <c r="F143" s="11"/>
      <c r="G143" s="11">
        <f>'5b. Variables'!C143</f>
        <v>281.5287777777778</v>
      </c>
      <c r="H143" s="11">
        <f>'5b. Variables'!D143</f>
        <v>1.4520000000000002</v>
      </c>
      <c r="I143" s="1">
        <f>'5b. Variables'!E143</f>
        <v>31</v>
      </c>
      <c r="J143" s="5">
        <f>'5b. Variables'!I143</f>
        <v>763.08500122486407</v>
      </c>
      <c r="K143" s="5">
        <f>'5b. Variables'!T143</f>
        <v>439942.69422528544</v>
      </c>
      <c r="L143" s="467">
        <f>'5b. Variables'!R143</f>
        <v>4416877.5811200002</v>
      </c>
      <c r="M143" s="5"/>
      <c r="N143" s="269"/>
      <c r="O143" s="5"/>
      <c r="P143" s="1"/>
      <c r="Q143" s="5">
        <f t="shared" si="12"/>
        <v>8611528.7356982566</v>
      </c>
      <c r="R143" s="5"/>
      <c r="S143" s="273"/>
      <c r="T143" s="273"/>
      <c r="U143" s="3"/>
      <c r="V143" s="151"/>
      <c r="W143" s="151"/>
      <c r="X143" s="151"/>
      <c r="Y143" s="151"/>
      <c r="Z143" s="151"/>
      <c r="AA143" s="151"/>
      <c r="AB143" s="151"/>
      <c r="AC143" s="151"/>
      <c r="AD143" s="151"/>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row>
    <row r="144" spans="1:54" s="275" customFormat="1">
      <c r="A144" s="1">
        <v>2021</v>
      </c>
      <c r="B144" s="1" t="s">
        <v>12</v>
      </c>
      <c r="C144" s="11"/>
      <c r="D144" s="11"/>
      <c r="E144" s="5"/>
      <c r="F144" s="11"/>
      <c r="G144" s="11">
        <f>'5b. Variables'!C144</f>
        <v>492.00127777777777</v>
      </c>
      <c r="H144" s="11">
        <f>'5b. Variables'!D144</f>
        <v>0</v>
      </c>
      <c r="I144" s="1">
        <f>'5b. Variables'!E144</f>
        <v>30</v>
      </c>
      <c r="J144" s="5">
        <f>'5b. Variables'!I144</f>
        <v>764.01206148511562</v>
      </c>
      <c r="K144" s="5">
        <f>'5b. Variables'!T144</f>
        <v>442501.61031992914</v>
      </c>
      <c r="L144" s="467">
        <f>'5b. Variables'!R144</f>
        <v>4037559.1459200005</v>
      </c>
      <c r="M144" s="5"/>
      <c r="N144" s="269"/>
      <c r="O144" s="5"/>
      <c r="P144" s="1"/>
      <c r="Q144" s="5">
        <f t="shared" si="12"/>
        <v>8670902.236274574</v>
      </c>
      <c r="R144" s="5"/>
      <c r="S144" s="273"/>
      <c r="T144" s="273"/>
      <c r="U144" s="3"/>
      <c r="V144" s="151"/>
      <c r="W144" s="151"/>
      <c r="X144" s="151"/>
      <c r="Y144" s="151"/>
      <c r="Z144" s="151"/>
      <c r="AA144" s="151"/>
      <c r="AB144" s="151"/>
      <c r="AC144" s="151"/>
      <c r="AD144" s="151"/>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row>
    <row r="145" spans="1:54" s="275" customFormat="1">
      <c r="A145" s="1">
        <v>2021</v>
      </c>
      <c r="B145" s="1" t="s">
        <v>13</v>
      </c>
      <c r="C145" s="11"/>
      <c r="D145" s="11"/>
      <c r="E145" s="5"/>
      <c r="F145" s="11"/>
      <c r="G145" s="11">
        <f>'5b. Variables'!C145</f>
        <v>646.34866666666665</v>
      </c>
      <c r="H145" s="11">
        <f>'5b. Variables'!D145</f>
        <v>0</v>
      </c>
      <c r="I145" s="1">
        <f>'5b. Variables'!E145</f>
        <v>31</v>
      </c>
      <c r="J145" s="5">
        <f>'5b. Variables'!I145</f>
        <v>764.8471869187938</v>
      </c>
      <c r="K145" s="5">
        <f>'5b. Variables'!T145</f>
        <v>445060.52641457284</v>
      </c>
      <c r="L145" s="467">
        <f>'5b. Variables'!R145</f>
        <v>3487388.6937600006</v>
      </c>
      <c r="M145" s="5"/>
      <c r="N145" s="269"/>
      <c r="O145" s="5"/>
      <c r="P145" s="1"/>
      <c r="Q145" s="5">
        <f t="shared" si="12"/>
        <v>8691965.8692719452</v>
      </c>
      <c r="R145" s="5"/>
      <c r="S145" s="273"/>
      <c r="T145" s="273"/>
      <c r="U145" s="3"/>
      <c r="V145" s="151"/>
      <c r="W145" s="151"/>
      <c r="X145" s="151"/>
      <c r="Y145" s="151"/>
      <c r="Z145" s="151"/>
      <c r="AA145" s="151"/>
      <c r="AB145" s="151"/>
      <c r="AC145" s="151"/>
      <c r="AD145" s="151"/>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row>
    <row r="146" spans="1:54">
      <c r="C146" s="11"/>
      <c r="D146" s="11"/>
      <c r="E146" s="11"/>
      <c r="F146" s="11"/>
      <c r="V146" s="151"/>
      <c r="W146" s="151"/>
      <c r="X146" s="151"/>
      <c r="Y146" s="151"/>
      <c r="Z146" s="151"/>
      <c r="AA146" s="151"/>
      <c r="AB146" s="151"/>
      <c r="AC146" s="151"/>
      <c r="AD146" s="151"/>
    </row>
    <row r="147" spans="1:54">
      <c r="C147" s="11"/>
      <c r="D147" s="11"/>
      <c r="E147" s="11"/>
      <c r="F147" s="11"/>
      <c r="L147" s="469" t="s">
        <v>300</v>
      </c>
      <c r="V147" s="151"/>
      <c r="W147" s="151"/>
      <c r="X147" s="151"/>
      <c r="Y147" s="151"/>
      <c r="Z147" s="151"/>
      <c r="AA147" s="151"/>
      <c r="AB147" s="151"/>
      <c r="AC147" s="151"/>
      <c r="AD147" s="151"/>
    </row>
    <row r="148" spans="1:54">
      <c r="C148" s="11"/>
      <c r="D148" s="11"/>
      <c r="E148" s="11"/>
      <c r="F148" s="11"/>
      <c r="K148" s="470" t="s">
        <v>301</v>
      </c>
      <c r="V148" s="151"/>
      <c r="W148" s="151"/>
      <c r="X148" s="151"/>
      <c r="Y148" s="151"/>
      <c r="Z148" s="151"/>
      <c r="AA148" s="151"/>
      <c r="AB148" s="151"/>
      <c r="AC148" s="151"/>
      <c r="AD148" s="151"/>
    </row>
    <row r="149" spans="1:54">
      <c r="C149" s="11"/>
      <c r="D149" s="11"/>
      <c r="E149" s="11"/>
      <c r="F149" s="11"/>
      <c r="V149" s="151"/>
      <c r="W149" s="151"/>
      <c r="X149" s="151"/>
      <c r="Y149" s="151"/>
      <c r="Z149" s="151"/>
      <c r="AA149" s="151"/>
      <c r="AB149" s="151"/>
      <c r="AC149" s="151"/>
      <c r="AD149" s="151"/>
    </row>
    <row r="150" spans="1:54">
      <c r="C150" s="11"/>
      <c r="D150" s="11"/>
      <c r="E150" s="11"/>
      <c r="F150" s="11"/>
      <c r="V150" s="151"/>
      <c r="W150" s="151"/>
      <c r="X150" s="151"/>
      <c r="Y150" s="151"/>
      <c r="Z150" s="151"/>
      <c r="AA150" s="151"/>
      <c r="AB150" s="151"/>
      <c r="AC150" s="151"/>
      <c r="AD150" s="151"/>
    </row>
    <row r="151" spans="1:54">
      <c r="C151" s="11"/>
      <c r="D151" s="11"/>
      <c r="E151" s="11"/>
      <c r="F151" s="11"/>
      <c r="V151" s="151"/>
      <c r="W151" s="151"/>
      <c r="X151" s="151"/>
      <c r="Y151" s="151"/>
      <c r="Z151" s="151"/>
      <c r="AA151" s="151"/>
      <c r="AB151" s="151"/>
      <c r="AC151" s="151"/>
      <c r="AD151" s="151"/>
    </row>
    <row r="152" spans="1:54">
      <c r="A152" s="1">
        <v>2010</v>
      </c>
      <c r="C152" s="11">
        <f>SUM(C2:C13)</f>
        <v>102608221.91384616</v>
      </c>
      <c r="D152" s="11">
        <f t="shared" ref="D152:E152" si="13">SUM(D2:D13)</f>
        <v>24.24</v>
      </c>
      <c r="E152" s="11">
        <f t="shared" si="13"/>
        <v>102608246.15384616</v>
      </c>
      <c r="F152" s="11"/>
      <c r="Q152" s="11">
        <f t="shared" ref="Q152" si="14">SUM(Q2:Q13)</f>
        <v>102190501.117531</v>
      </c>
      <c r="V152" s="151"/>
      <c r="W152" s="151"/>
      <c r="X152" s="151"/>
      <c r="Y152" s="151"/>
      <c r="Z152" s="151"/>
      <c r="AA152" s="151"/>
      <c r="AB152" s="151"/>
      <c r="AC152" s="151"/>
      <c r="AD152" s="151"/>
    </row>
    <row r="153" spans="1:54">
      <c r="A153" s="1">
        <v>2011</v>
      </c>
      <c r="C153" s="11">
        <f>SUM(C14:C25)</f>
        <v>105408568.24846154</v>
      </c>
      <c r="D153" s="11">
        <f t="shared" ref="D153:E153" si="15">SUM(D14:D25)</f>
        <v>83693.289999999994</v>
      </c>
      <c r="E153" s="11">
        <f t="shared" si="15"/>
        <v>105492261.53846154</v>
      </c>
      <c r="F153" s="11"/>
      <c r="Q153" s="11">
        <f t="shared" ref="Q153" si="16">SUM(Q14:Q25)</f>
        <v>105682945.46662551</v>
      </c>
      <c r="V153" s="151"/>
      <c r="W153" s="151"/>
      <c r="X153" s="151"/>
      <c r="Y153" s="151"/>
      <c r="Z153" s="151"/>
      <c r="AA153" s="151"/>
      <c r="AB153" s="151"/>
      <c r="AC153" s="151"/>
      <c r="AD153" s="151"/>
    </row>
    <row r="154" spans="1:54">
      <c r="A154" s="1">
        <v>2012</v>
      </c>
      <c r="C154" s="11">
        <f>SUM(C26:C37)</f>
        <v>108150644.08454545</v>
      </c>
      <c r="D154" s="11">
        <f t="shared" ref="D154:E154" si="17">SUM(D26:D37)</f>
        <v>135101.37</v>
      </c>
      <c r="E154" s="11">
        <f t="shared" si="17"/>
        <v>108285745.45454547</v>
      </c>
      <c r="F154" s="11"/>
      <c r="Q154" s="11">
        <f t="shared" ref="Q154" si="18">SUM(Q26:Q37)</f>
        <v>108058467.87176648</v>
      </c>
      <c r="V154" s="151"/>
      <c r="W154" s="151"/>
      <c r="X154" s="151"/>
      <c r="Y154" s="151"/>
      <c r="Z154" s="151"/>
      <c r="AA154" s="151"/>
      <c r="AB154" s="151"/>
      <c r="AC154" s="151"/>
      <c r="AD154" s="151"/>
    </row>
    <row r="155" spans="1:54">
      <c r="A155" s="1">
        <v>2013</v>
      </c>
      <c r="C155" s="11">
        <f>SUM(C38:C49)</f>
        <v>110742929.67</v>
      </c>
      <c r="D155" s="11">
        <f t="shared" ref="D155:E155" si="19">SUM(D38:D49)</f>
        <v>220117.15</v>
      </c>
      <c r="E155" s="11">
        <f t="shared" si="19"/>
        <v>110963046.82000002</v>
      </c>
      <c r="F155" s="11"/>
      <c r="Q155" s="11">
        <f t="shared" ref="Q155" si="20">SUM(Q38:Q49)</f>
        <v>111218768.0377281</v>
      </c>
      <c r="V155" s="151"/>
      <c r="W155" s="151"/>
      <c r="X155" s="151"/>
      <c r="Y155" s="151"/>
      <c r="Z155" s="151"/>
      <c r="AA155" s="151"/>
      <c r="AB155" s="151"/>
      <c r="AC155" s="151"/>
      <c r="AD155" s="151"/>
    </row>
    <row r="156" spans="1:54">
      <c r="A156" s="1">
        <v>2014</v>
      </c>
      <c r="C156" s="11">
        <f>SUM(C50:C61)</f>
        <v>111901997.43589744</v>
      </c>
      <c r="D156" s="11">
        <f t="shared" ref="D156:E156" si="21">SUM(D50:D61)</f>
        <v>301047.27999999997</v>
      </c>
      <c r="E156" s="11">
        <f t="shared" si="21"/>
        <v>112203044.71589744</v>
      </c>
      <c r="F156" s="11"/>
      <c r="Q156" s="11">
        <f t="shared" ref="Q156" si="22">SUM(Q50:Q61)</f>
        <v>112396107.01670578</v>
      </c>
      <c r="V156" s="151"/>
      <c r="W156" s="151"/>
      <c r="X156" s="151"/>
      <c r="Y156" s="151"/>
      <c r="Z156" s="151"/>
      <c r="AA156" s="151"/>
      <c r="AB156" s="151"/>
      <c r="AC156" s="151"/>
      <c r="AD156" s="151"/>
    </row>
    <row r="157" spans="1:54">
      <c r="A157" s="1">
        <v>2015</v>
      </c>
      <c r="C157" s="11">
        <f>SUM(C62:C73)</f>
        <v>111789846.15384617</v>
      </c>
      <c r="D157" s="11">
        <f t="shared" ref="D157:E157" si="23">SUM(D62:D73)</f>
        <v>388572.35</v>
      </c>
      <c r="E157" s="11">
        <f t="shared" si="23"/>
        <v>112178418.50384614</v>
      </c>
      <c r="F157" s="11"/>
      <c r="Q157" s="11">
        <f t="shared" ref="Q157" si="24">SUM(Q62:Q73)</f>
        <v>112114282.25233763</v>
      </c>
      <c r="V157" s="151"/>
      <c r="W157" s="151"/>
      <c r="X157" s="151"/>
      <c r="Y157" s="151"/>
      <c r="Z157" s="151"/>
      <c r="AA157" s="151"/>
      <c r="AB157" s="151"/>
      <c r="AC157" s="151"/>
      <c r="AD157" s="151"/>
    </row>
    <row r="158" spans="1:54">
      <c r="A158" s="1">
        <v>2016</v>
      </c>
      <c r="C158" s="11">
        <f>SUM(C74:C85)</f>
        <v>108698807.69230768</v>
      </c>
      <c r="D158" s="11">
        <f t="shared" ref="D158:E158" si="25">SUM(D74:D85)</f>
        <v>413214.74000000005</v>
      </c>
      <c r="E158" s="11">
        <f t="shared" si="25"/>
        <v>109112022.43230771</v>
      </c>
      <c r="F158" s="11"/>
      <c r="Q158" s="11">
        <f t="shared" ref="Q158" si="26">SUM(Q74:Q85)</f>
        <v>108957567.81613356</v>
      </c>
      <c r="V158" s="151"/>
      <c r="W158" s="151"/>
      <c r="X158" s="151"/>
      <c r="Y158" s="151"/>
      <c r="Z158" s="151"/>
      <c r="AA158" s="151"/>
      <c r="AB158" s="151"/>
      <c r="AC158" s="151"/>
      <c r="AD158" s="151"/>
    </row>
    <row r="159" spans="1:54">
      <c r="A159" s="1">
        <v>2017</v>
      </c>
      <c r="C159" s="11">
        <f>SUM(C86:C97)</f>
        <v>106743638.0952381</v>
      </c>
      <c r="D159" s="11">
        <f t="shared" ref="D159:E159" si="27">SUM(D86:D97)</f>
        <v>379103.91</v>
      </c>
      <c r="E159" s="11">
        <f t="shared" si="27"/>
        <v>107122742.0052381</v>
      </c>
      <c r="F159" s="11"/>
      <c r="Q159" s="11">
        <f t="shared" ref="Q159" si="28">SUM(Q86:Q97)</f>
        <v>107346017.52800176</v>
      </c>
      <c r="V159" s="151"/>
      <c r="W159" s="151"/>
      <c r="X159" s="151"/>
      <c r="Y159" s="151"/>
      <c r="Z159" s="151"/>
      <c r="AA159" s="151"/>
      <c r="AB159" s="151"/>
      <c r="AC159" s="151"/>
      <c r="AD159" s="151"/>
    </row>
    <row r="160" spans="1:54">
      <c r="A160" s="1">
        <v>2018</v>
      </c>
      <c r="C160" s="11">
        <f>SUM(C98:C109)</f>
        <v>106275600.00000001</v>
      </c>
      <c r="D160" s="11">
        <f t="shared" ref="D160:E160" si="29">SUM(D98:D109)</f>
        <v>391087.57999999996</v>
      </c>
      <c r="E160" s="11">
        <f t="shared" si="29"/>
        <v>106666687.58000003</v>
      </c>
      <c r="F160" s="11"/>
      <c r="Q160" s="11">
        <f t="shared" ref="Q160" si="30">SUM(Q98:Q109)</f>
        <v>106698164.90676312</v>
      </c>
      <c r="V160" s="151"/>
      <c r="W160" s="151"/>
      <c r="X160" s="151"/>
      <c r="Y160" s="151"/>
      <c r="Z160" s="151"/>
      <c r="AA160" s="151"/>
      <c r="AB160" s="151"/>
      <c r="AC160" s="151"/>
      <c r="AD160" s="151"/>
    </row>
    <row r="161" spans="1:30">
      <c r="A161" s="1">
        <v>2019</v>
      </c>
      <c r="C161" s="11">
        <f>SUM(C110:C121)</f>
        <v>104522560</v>
      </c>
      <c r="D161" s="11">
        <f t="shared" ref="D161:E161" si="31">SUM(D110:D121)</f>
        <v>392026.13999999996</v>
      </c>
      <c r="E161" s="11">
        <f t="shared" si="31"/>
        <v>104914586.14000002</v>
      </c>
      <c r="F161" s="11"/>
      <c r="Q161" s="11">
        <f t="shared" ref="Q161" si="32">SUM(Q110:Q121)</f>
        <v>104883979.3305499</v>
      </c>
      <c r="V161" s="151"/>
      <c r="W161" s="151"/>
      <c r="X161" s="151"/>
      <c r="Y161" s="151"/>
      <c r="Z161" s="151"/>
      <c r="AA161" s="151"/>
      <c r="AB161" s="151"/>
      <c r="AC161" s="151"/>
      <c r="AD161" s="151"/>
    </row>
    <row r="162" spans="1:30">
      <c r="C162" s="11"/>
      <c r="D162" s="11"/>
      <c r="E162" s="11"/>
      <c r="F162" s="11"/>
      <c r="R162" s="358" t="s">
        <v>266</v>
      </c>
      <c r="V162" s="151"/>
      <c r="W162" s="151"/>
      <c r="X162" s="151"/>
      <c r="Y162" s="151"/>
      <c r="Z162" s="151"/>
      <c r="AA162" s="151"/>
      <c r="AB162" s="151"/>
      <c r="AC162" s="151"/>
      <c r="AD162" s="151"/>
    </row>
    <row r="163" spans="1:30">
      <c r="C163" s="11"/>
      <c r="D163" s="357" t="s">
        <v>32</v>
      </c>
      <c r="E163" s="357">
        <f>SUM(E152:E161)</f>
        <v>1079546801.3441427</v>
      </c>
      <c r="F163" s="11"/>
      <c r="P163" s="357" t="s">
        <v>32</v>
      </c>
      <c r="Q163" s="357">
        <f>SUM(Q152:Q161)</f>
        <v>1079546801.3441427</v>
      </c>
      <c r="R163" s="359">
        <f>E163-Q163</f>
        <v>0</v>
      </c>
      <c r="V163" s="151"/>
      <c r="W163" s="151"/>
      <c r="X163" s="151"/>
      <c r="Y163" s="151"/>
      <c r="Z163" s="151"/>
      <c r="AA163" s="151"/>
      <c r="AB163" s="151"/>
      <c r="AC163" s="151"/>
      <c r="AD163" s="151"/>
    </row>
  </sheetData>
  <pageMargins left="0.47" right="0.38" top="0.48" bottom="0.28000000000000003" header="0.3" footer="0.3"/>
  <pageSetup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S65"/>
  <sheetViews>
    <sheetView workbookViewId="0">
      <pane ySplit="1" topLeftCell="A2" activePane="bottomLeft" state="frozen"/>
      <selection activeCell="F49" sqref="F49"/>
      <selection pane="bottomLeft"/>
    </sheetView>
  </sheetViews>
  <sheetFormatPr defaultColWidth="8.6640625" defaultRowHeight="14.5"/>
  <cols>
    <col min="1" max="1" width="8.6640625" style="61"/>
    <col min="2" max="2" width="13.5" style="62" customWidth="1"/>
    <col min="3" max="3" width="17.5" style="62" bestFit="1" customWidth="1"/>
    <col min="4" max="4" width="9.33203125" style="62" bestFit="1" customWidth="1"/>
    <col min="5" max="5" width="8.6640625" style="62"/>
    <col min="6" max="6" width="14.4140625" style="62" bestFit="1" customWidth="1"/>
    <col min="7" max="8" width="8.6640625" style="61"/>
    <col min="9" max="9" width="10.6640625" style="61" bestFit="1" customWidth="1"/>
    <col min="10" max="10" width="14.08203125" style="61" customWidth="1"/>
    <col min="11" max="11" width="12.4140625" style="61" bestFit="1" customWidth="1"/>
    <col min="12" max="12" width="9.6640625" style="61" bestFit="1" customWidth="1"/>
    <col min="13" max="13" width="10.5" style="61" bestFit="1" customWidth="1"/>
    <col min="14" max="14" width="13.33203125" style="61" bestFit="1" customWidth="1"/>
    <col min="15" max="16" width="7.1640625" style="61" bestFit="1" customWidth="1"/>
    <col min="17" max="18" width="9.83203125" style="61" bestFit="1" customWidth="1"/>
    <col min="19" max="19" width="16" style="61" bestFit="1" customWidth="1"/>
    <col min="20" max="16384" width="8.6640625" style="61"/>
  </cols>
  <sheetData>
    <row r="1" spans="1:19">
      <c r="B1" s="95" t="s">
        <v>97</v>
      </c>
      <c r="C1" s="95" t="s">
        <v>98</v>
      </c>
      <c r="D1" s="95" t="s">
        <v>99</v>
      </c>
      <c r="E1" s="95" t="s">
        <v>100</v>
      </c>
      <c r="F1" s="95"/>
      <c r="G1" s="96" t="s">
        <v>101</v>
      </c>
      <c r="H1" s="96"/>
      <c r="I1" s="96" t="s">
        <v>102</v>
      </c>
      <c r="K1" s="2" t="s">
        <v>14</v>
      </c>
      <c r="L1" s="2" t="s">
        <v>48</v>
      </c>
      <c r="M1" s="2" t="s">
        <v>54</v>
      </c>
      <c r="N1" s="2" t="s">
        <v>55</v>
      </c>
      <c r="O1" s="2" t="s">
        <v>56</v>
      </c>
      <c r="P1" s="2" t="s">
        <v>57</v>
      </c>
      <c r="Q1" s="2" t="s">
        <v>58</v>
      </c>
    </row>
    <row r="3" spans="1:19">
      <c r="A3" s="61">
        <v>2010</v>
      </c>
      <c r="B3" s="57">
        <v>102608265.94153847</v>
      </c>
      <c r="C3" s="57">
        <f>'2. Power Purchased Model '!Y31</f>
        <v>102190501.117531</v>
      </c>
      <c r="D3" s="57">
        <f>C3-B3</f>
        <v>-417764.82400746644</v>
      </c>
      <c r="E3" s="63">
        <f>D3/B3</f>
        <v>-4.0714538948108713E-3</v>
      </c>
      <c r="F3" s="63"/>
      <c r="G3" s="61">
        <f>1+(B3-I3)/I3</f>
        <v>1.064082952525476</v>
      </c>
      <c r="I3" s="64">
        <f>SUM(K3:Q3)</f>
        <v>96428822.299999997</v>
      </c>
      <c r="J3" s="64"/>
      <c r="K3" s="64">
        <v>25348494</v>
      </c>
      <c r="L3" s="64">
        <v>11387103</v>
      </c>
      <c r="M3" s="64">
        <v>20855253</v>
      </c>
      <c r="N3" s="64">
        <v>38077454.969999999</v>
      </c>
      <c r="O3" s="64">
        <v>9732</v>
      </c>
      <c r="P3" s="64">
        <v>31586.329999999994</v>
      </c>
      <c r="Q3" s="64">
        <v>719199</v>
      </c>
    </row>
    <row r="4" spans="1:19">
      <c r="A4" s="61">
        <v>2011</v>
      </c>
      <c r="B4" s="57">
        <v>105542004.78000002</v>
      </c>
      <c r="C4" s="57">
        <f>'2. Power Purchased Model '!Y32</f>
        <v>105682945.46662551</v>
      </c>
      <c r="D4" s="57">
        <f t="shared" ref="D4:D12" si="0">C4-B4</f>
        <v>140940.68662549555</v>
      </c>
      <c r="E4" s="63">
        <f t="shared" ref="E4:E12" si="1">D4/B4</f>
        <v>1.3353989903762329E-3</v>
      </c>
      <c r="F4" s="63"/>
      <c r="G4" s="61">
        <f t="shared" ref="G4:G12" si="2">1+(B4-I4)/I4</f>
        <v>1.0683208864550457</v>
      </c>
      <c r="I4" s="64">
        <f t="shared" ref="I4:I12" si="3">SUM(K4:Q4)</f>
        <v>98792419.129999995</v>
      </c>
      <c r="J4" s="64"/>
      <c r="K4" s="64">
        <v>25466302</v>
      </c>
      <c r="L4" s="64">
        <v>11698450.35</v>
      </c>
      <c r="M4" s="64">
        <v>21357589</v>
      </c>
      <c r="N4" s="64">
        <v>39521514.93</v>
      </c>
      <c r="O4" s="64">
        <v>7563</v>
      </c>
      <c r="P4" s="64">
        <v>27611.850000000006</v>
      </c>
      <c r="Q4" s="64">
        <v>713388</v>
      </c>
    </row>
    <row r="5" spans="1:19">
      <c r="A5" s="61">
        <v>2012</v>
      </c>
      <c r="B5" s="57">
        <v>108276715.14999999</v>
      </c>
      <c r="C5" s="57">
        <f>'2. Power Purchased Model '!Y33</f>
        <v>108058467.87176648</v>
      </c>
      <c r="D5" s="57">
        <f t="shared" si="0"/>
        <v>-218247.27823351324</v>
      </c>
      <c r="E5" s="63">
        <f t="shared" si="1"/>
        <v>-2.0156436952410931E-3</v>
      </c>
      <c r="F5" s="63"/>
      <c r="G5" s="61">
        <f t="shared" si="2"/>
        <v>1.0670870565130715</v>
      </c>
      <c r="I5" s="64">
        <f t="shared" si="3"/>
        <v>101469429.77999999</v>
      </c>
      <c r="J5" s="64"/>
      <c r="K5" s="64">
        <v>24774725.299999997</v>
      </c>
      <c r="L5" s="64">
        <v>11692349.939999999</v>
      </c>
      <c r="M5" s="64">
        <v>21917336.890000001</v>
      </c>
      <c r="N5" s="64">
        <v>42337528.850000001</v>
      </c>
      <c r="O5" s="64">
        <v>5733</v>
      </c>
      <c r="P5" s="64">
        <v>26092.800000000007</v>
      </c>
      <c r="Q5" s="64">
        <v>715663</v>
      </c>
    </row>
    <row r="6" spans="1:19">
      <c r="A6" s="61">
        <v>2013</v>
      </c>
      <c r="B6" s="57">
        <v>110093942.35000001</v>
      </c>
      <c r="C6" s="57">
        <f>'2. Power Purchased Model '!Y34</f>
        <v>111218768.0377281</v>
      </c>
      <c r="D6" s="57">
        <f t="shared" si="0"/>
        <v>1124825.6877280921</v>
      </c>
      <c r="E6" s="63">
        <f t="shared" si="1"/>
        <v>1.0216962565952585E-2</v>
      </c>
      <c r="F6" s="63"/>
      <c r="G6" s="61">
        <f t="shared" si="2"/>
        <v>1.0555576243929512</v>
      </c>
      <c r="I6" s="64">
        <f t="shared" si="3"/>
        <v>104299319.90999998</v>
      </c>
      <c r="J6" s="64"/>
      <c r="K6" s="64">
        <v>25587070.509999998</v>
      </c>
      <c r="L6" s="64">
        <v>12087561.67</v>
      </c>
      <c r="M6" s="64">
        <v>16562845.530000001</v>
      </c>
      <c r="N6" s="64">
        <v>49310777.399999991</v>
      </c>
      <c r="O6" s="64">
        <v>5733</v>
      </c>
      <c r="P6" s="64">
        <v>26092.800000000007</v>
      </c>
      <c r="Q6" s="64">
        <v>719239</v>
      </c>
    </row>
    <row r="7" spans="1:19">
      <c r="A7" s="61">
        <v>2014</v>
      </c>
      <c r="B7" s="57">
        <v>112119464.67</v>
      </c>
      <c r="C7" s="57">
        <f>'2. Power Purchased Model '!Y35</f>
        <v>112396107.01670578</v>
      </c>
      <c r="D7" s="57">
        <f t="shared" si="0"/>
        <v>276642.34670577943</v>
      </c>
      <c r="E7" s="63">
        <f t="shared" si="1"/>
        <v>2.4673891149945984E-3</v>
      </c>
      <c r="F7" s="63"/>
      <c r="G7" s="61">
        <f t="shared" si="2"/>
        <v>1.0648965245577888</v>
      </c>
      <c r="I7" s="64">
        <f t="shared" si="3"/>
        <v>105286722.30999999</v>
      </c>
      <c r="J7" s="64"/>
      <c r="K7" s="64">
        <v>25720643.669999994</v>
      </c>
      <c r="L7" s="64">
        <v>11853212.560000001</v>
      </c>
      <c r="M7" s="64">
        <v>15962528.779999999</v>
      </c>
      <c r="N7" s="64">
        <v>50998403.280000001</v>
      </c>
      <c r="O7" s="64">
        <v>5733</v>
      </c>
      <c r="P7" s="64">
        <v>25409.019999999997</v>
      </c>
      <c r="Q7" s="64">
        <v>720792</v>
      </c>
    </row>
    <row r="8" spans="1:19">
      <c r="A8" s="61">
        <v>2015</v>
      </c>
      <c r="B8" s="57">
        <v>112172940.44</v>
      </c>
      <c r="C8" s="57">
        <f>'2. Power Purchased Model '!Y36</f>
        <v>112114282.25233763</v>
      </c>
      <c r="D8" s="57">
        <f t="shared" si="0"/>
        <v>-58658.187662363052</v>
      </c>
      <c r="E8" s="63">
        <f t="shared" si="1"/>
        <v>-5.2292636202880532E-4</v>
      </c>
      <c r="F8" s="63"/>
      <c r="G8" s="61">
        <f t="shared" si="2"/>
        <v>1.0646968172467803</v>
      </c>
      <c r="I8" s="64">
        <f t="shared" si="3"/>
        <v>105356697.44</v>
      </c>
      <c r="J8" s="64"/>
      <c r="K8" s="64">
        <v>24960131.039999999</v>
      </c>
      <c r="L8" s="64">
        <v>12033955.310000002</v>
      </c>
      <c r="M8" s="64">
        <v>20081441.440000001</v>
      </c>
      <c r="N8" s="64">
        <v>47530354.799999997</v>
      </c>
      <c r="O8" s="64">
        <v>5184</v>
      </c>
      <c r="P8" s="64">
        <v>24838.850000000002</v>
      </c>
      <c r="Q8" s="64">
        <v>720792</v>
      </c>
    </row>
    <row r="9" spans="1:19">
      <c r="A9" s="61">
        <v>2016</v>
      </c>
      <c r="B9" s="57">
        <v>109107155.55</v>
      </c>
      <c r="C9" s="57">
        <f>'2. Power Purchased Model '!Y37</f>
        <v>108957567.81613356</v>
      </c>
      <c r="D9" s="57">
        <f t="shared" si="0"/>
        <v>-149587.73386643827</v>
      </c>
      <c r="E9" s="63">
        <f t="shared" si="1"/>
        <v>-1.3710167139119253E-3</v>
      </c>
      <c r="F9" s="63"/>
      <c r="G9" s="61">
        <f t="shared" si="2"/>
        <v>1.0630729689821459</v>
      </c>
      <c r="I9" s="64">
        <f t="shared" si="3"/>
        <v>102633740.8</v>
      </c>
      <c r="J9" s="64"/>
      <c r="K9" s="64">
        <v>24523575.810000002</v>
      </c>
      <c r="L9" s="64">
        <v>11967605.530000001</v>
      </c>
      <c r="M9" s="64">
        <v>19893743.399999999</v>
      </c>
      <c r="N9" s="64">
        <v>45496516.099999994</v>
      </c>
      <c r="O9" s="64">
        <v>6816</v>
      </c>
      <c r="P9" s="64">
        <v>22056.959999999995</v>
      </c>
      <c r="Q9" s="64">
        <v>723427</v>
      </c>
    </row>
    <row r="10" spans="1:19">
      <c r="A10" s="61">
        <v>2017</v>
      </c>
      <c r="B10" s="57">
        <v>107119020.61</v>
      </c>
      <c r="C10" s="57">
        <f>'2. Power Purchased Model '!Y38</f>
        <v>107346017.52800176</v>
      </c>
      <c r="D10" s="57">
        <f t="shared" si="0"/>
        <v>226996.91800175607</v>
      </c>
      <c r="E10" s="63">
        <f t="shared" si="1"/>
        <v>2.1191093487328335E-3</v>
      </c>
      <c r="F10" s="63"/>
      <c r="G10" s="61">
        <f t="shared" si="2"/>
        <v>1.0629262209947836</v>
      </c>
      <c r="I10" s="64">
        <f t="shared" si="3"/>
        <v>100777474.95000002</v>
      </c>
      <c r="J10" s="64"/>
      <c r="K10" s="64">
        <v>23863110.25</v>
      </c>
      <c r="L10" s="64">
        <v>11410391.09</v>
      </c>
      <c r="M10" s="64">
        <v>19029613.010000002</v>
      </c>
      <c r="N10" s="64">
        <v>45750527.200000003</v>
      </c>
      <c r="O10" s="64">
        <v>6801</v>
      </c>
      <c r="P10" s="64">
        <v>19673.28</v>
      </c>
      <c r="Q10" s="64">
        <v>697359.11999999988</v>
      </c>
    </row>
    <row r="11" spans="1:19">
      <c r="A11" s="61">
        <v>2018</v>
      </c>
      <c r="B11" s="57">
        <v>106664335.26000001</v>
      </c>
      <c r="C11" s="57">
        <f>'2. Power Purchased Model '!Y39</f>
        <v>106698164.90676312</v>
      </c>
      <c r="D11" s="57">
        <f t="shared" si="0"/>
        <v>33829.646763116121</v>
      </c>
      <c r="E11" s="63">
        <f t="shared" si="1"/>
        <v>3.171598705476817E-4</v>
      </c>
      <c r="F11" s="63"/>
      <c r="G11" s="61">
        <f t="shared" si="2"/>
        <v>1.0680861334959446</v>
      </c>
      <c r="I11" s="64">
        <f t="shared" si="3"/>
        <v>99864919.050000012</v>
      </c>
      <c r="J11" s="64"/>
      <c r="K11" s="64">
        <v>25345904.98</v>
      </c>
      <c r="L11" s="64">
        <v>11582140.129999999</v>
      </c>
      <c r="M11" s="64">
        <v>18305428.530000001</v>
      </c>
      <c r="N11" s="64">
        <v>43913955.700000003</v>
      </c>
      <c r="O11" s="64">
        <v>6801</v>
      </c>
      <c r="P11" s="64">
        <v>19673.28</v>
      </c>
      <c r="Q11" s="64">
        <v>691015.42999999993</v>
      </c>
    </row>
    <row r="12" spans="1:19" s="65" customFormat="1">
      <c r="A12" s="65">
        <v>2019</v>
      </c>
      <c r="B12" s="66">
        <v>104914411.96000001</v>
      </c>
      <c r="C12" s="66">
        <f>'2. Power Purchased Model '!Y40</f>
        <v>104883979.3305499</v>
      </c>
      <c r="D12" s="66">
        <f t="shared" si="0"/>
        <v>-30432.629450112581</v>
      </c>
      <c r="E12" s="67">
        <f t="shared" si="1"/>
        <v>-2.9007101008882765E-4</v>
      </c>
      <c r="F12" s="67"/>
      <c r="G12" s="65">
        <f t="shared" si="2"/>
        <v>1.0643178066267027</v>
      </c>
      <c r="I12" s="68">
        <f t="shared" si="3"/>
        <v>98574327.429999992</v>
      </c>
      <c r="J12" s="68"/>
      <c r="K12" s="68">
        <v>25253896.18</v>
      </c>
      <c r="L12" s="68">
        <v>11138172.100000001</v>
      </c>
      <c r="M12" s="68">
        <v>18739879.539999999</v>
      </c>
      <c r="N12" s="68">
        <v>42766148</v>
      </c>
      <c r="O12" s="68">
        <v>6288</v>
      </c>
      <c r="P12" s="68">
        <v>19673.28</v>
      </c>
      <c r="Q12" s="68">
        <v>650270.32999999996</v>
      </c>
      <c r="S12" s="462"/>
    </row>
    <row r="13" spans="1:19">
      <c r="A13" s="61">
        <v>2020</v>
      </c>
      <c r="C13" s="57">
        <f>'2. Power Purchased Model '!Y46</f>
        <v>104616124.90280947</v>
      </c>
      <c r="D13" s="57"/>
      <c r="F13" s="61"/>
      <c r="I13" s="109">
        <f>C13/$G$14</f>
        <v>98295295.174927026</v>
      </c>
      <c r="Q13" s="64">
        <f>'4a. Streetlights LED Conv'!B17</f>
        <v>229832.84868997012</v>
      </c>
    </row>
    <row r="14" spans="1:19">
      <c r="A14" s="61">
        <v>2021</v>
      </c>
      <c r="C14" s="57">
        <f>'2. Power Purchased Model '!Y47+'1. Summary'!N7</f>
        <v>104523797.38544616</v>
      </c>
      <c r="D14" s="57"/>
      <c r="F14" s="62" t="s">
        <v>103</v>
      </c>
      <c r="G14" s="69">
        <f>AVERAGE(G3:G12)</f>
        <v>1.0643044991790691</v>
      </c>
      <c r="I14" s="109">
        <f>C14/$G$14</f>
        <v>98208546.01861459</v>
      </c>
      <c r="Q14" s="64">
        <f>'4a. Streetlights LED Conv'!B17</f>
        <v>229832.84868997012</v>
      </c>
    </row>
    <row r="16" spans="1:19">
      <c r="F16" s="365" t="s">
        <v>272</v>
      </c>
      <c r="G16" s="61">
        <v>1.0656000000000001</v>
      </c>
    </row>
    <row r="17" spans="10:18">
      <c r="J17" s="97" t="s">
        <v>110</v>
      </c>
    </row>
    <row r="18" spans="10:18">
      <c r="J18" s="382"/>
      <c r="K18" s="367" t="s">
        <v>14</v>
      </c>
      <c r="L18" s="367" t="s">
        <v>48</v>
      </c>
      <c r="M18" s="367" t="s">
        <v>54</v>
      </c>
      <c r="N18" s="367" t="s">
        <v>55</v>
      </c>
      <c r="O18" s="367" t="s">
        <v>56</v>
      </c>
      <c r="P18" s="367" t="s">
        <v>57</v>
      </c>
      <c r="Q18" s="367" t="s">
        <v>58</v>
      </c>
    </row>
    <row r="19" spans="10:18">
      <c r="J19" s="453">
        <v>2010</v>
      </c>
      <c r="K19" s="451">
        <f>K3/'3b. Rate Class Customer Model'!B3</f>
        <v>8249.001437288136</v>
      </c>
      <c r="L19" s="451">
        <f>L3/'3b. Rate Class Customer Model'!C3</f>
        <v>23772.657620041755</v>
      </c>
      <c r="M19" s="451">
        <f>M3/'3b. Rate Class Customer Model'!D3</f>
        <v>525762.68067226897</v>
      </c>
      <c r="N19" s="451">
        <f>N3/'3b. Rate Class Customer Model'!E3</f>
        <v>7615490.9939999999</v>
      </c>
      <c r="O19" s="451">
        <f>O3/'3b. Rate Class Customer Model'!F3</f>
        <v>8341.7142857142844</v>
      </c>
      <c r="P19" s="451">
        <f>P3/'3b. Rate Class Customer Model'!G3</f>
        <v>1128.0832142857141</v>
      </c>
      <c r="Q19" s="451">
        <f>Q3/'3b. Rate Class Customer Model'!H3</f>
        <v>799.11</v>
      </c>
    </row>
    <row r="20" spans="10:18">
      <c r="J20" s="453">
        <v>2011</v>
      </c>
      <c r="K20" s="451">
        <f>K4/'3b. Rate Class Customer Model'!B4</f>
        <v>8206.3327157012809</v>
      </c>
      <c r="L20" s="451">
        <f>L4/'3b. Rate Class Customer Model'!C4</f>
        <v>24486.552276295133</v>
      </c>
      <c r="M20" s="451">
        <f>M4/'3b. Rate Class Customer Model'!D4</f>
        <v>557154.49565217388</v>
      </c>
      <c r="N20" s="451">
        <f>N4/'3b. Rate Class Customer Model'!E4</f>
        <v>7904302.9859999996</v>
      </c>
      <c r="O20" s="451">
        <f>O4/'3b. Rate Class Customer Model'!F4</f>
        <v>4776.6315789473683</v>
      </c>
      <c r="P20" s="451">
        <f>P4/'3b. Rate Class Customer Model'!G4</f>
        <v>986.13750000000016</v>
      </c>
      <c r="Q20" s="451">
        <f>Q4/'3b. Rate Class Customer Model'!H4</f>
        <v>793.387951807229</v>
      </c>
    </row>
    <row r="21" spans="10:18">
      <c r="J21" s="453">
        <v>2012</v>
      </c>
      <c r="K21" s="451">
        <f>K5/'3b. Rate Class Customer Model'!B5</f>
        <v>7924.5309627892084</v>
      </c>
      <c r="L21" s="451">
        <f>L5/'3b. Rate Class Customer Model'!C5</f>
        <v>24473.783233908947</v>
      </c>
      <c r="M21" s="451">
        <f>M5/'3b. Rate Class Customer Model'!D5</f>
        <v>581876.20061946905</v>
      </c>
      <c r="N21" s="451">
        <f>N5/'3b. Rate Class Customer Model'!E5</f>
        <v>8467505.7699999996</v>
      </c>
      <c r="O21" s="451">
        <f>O5/'3b. Rate Class Customer Model'!F5</f>
        <v>4299.75</v>
      </c>
      <c r="P21" s="451">
        <f>P5/'3b. Rate Class Customer Model'!G5</f>
        <v>931.88571428571447</v>
      </c>
      <c r="Q21" s="451">
        <f>Q5/'3b. Rate Class Customer Model'!H5</f>
        <v>796.95211581291755</v>
      </c>
    </row>
    <row r="22" spans="10:18">
      <c r="J22" s="453">
        <v>2013</v>
      </c>
      <c r="K22" s="451">
        <f>K6/'3b. Rate Class Customer Model'!B6</f>
        <v>8095.8932162632491</v>
      </c>
      <c r="L22" s="451">
        <f>L6/'3b. Rate Class Customer Model'!C6</f>
        <v>25487.742055877701</v>
      </c>
      <c r="M22" s="451">
        <f>M6/'3b. Rate Class Customer Model'!D6</f>
        <v>431136.97691973974</v>
      </c>
      <c r="N22" s="451">
        <f>N6/'3b. Rate Class Customer Model'!E6</f>
        <v>8453276.1257142853</v>
      </c>
      <c r="O22" s="451">
        <f>O6/'3b. Rate Class Customer Model'!F6</f>
        <v>3620.8421052631579</v>
      </c>
      <c r="P22" s="451">
        <f>P6/'3b. Rate Class Customer Model'!G6</f>
        <v>931.88571428571447</v>
      </c>
      <c r="Q22" s="451">
        <f>Q6/'3b. Rate Class Customer Model'!H6</f>
        <v>799.59866592551418</v>
      </c>
    </row>
    <row r="23" spans="10:18">
      <c r="J23" s="453">
        <v>2014</v>
      </c>
      <c r="K23" s="451">
        <f>K7/'3b. Rate Class Customer Model'!B7</f>
        <v>8061.844692177091</v>
      </c>
      <c r="L23" s="451">
        <f>L7/'3b. Rate Class Customer Model'!C7</f>
        <v>25055.231763255244</v>
      </c>
      <c r="M23" s="451">
        <f>M7/'3b. Rate Class Customer Model'!D7</f>
        <v>416413.7942608695</v>
      </c>
      <c r="N23" s="451">
        <f>N7/'3b. Rate Class Customer Model'!E7</f>
        <v>8742583.4194285721</v>
      </c>
      <c r="O23" s="451">
        <f>O7/'3b. Rate Class Customer Model'!F7</f>
        <v>4914</v>
      </c>
      <c r="P23" s="451">
        <f>P7/'3b. Rate Class Customer Model'!G7</f>
        <v>910.1738507462685</v>
      </c>
      <c r="Q23" s="451">
        <f>Q7/'3b. Rate Class Customer Model'!H7</f>
        <v>796.45524861878448</v>
      </c>
    </row>
    <row r="24" spans="10:18">
      <c r="J24" s="453">
        <v>2015</v>
      </c>
      <c r="K24" s="451">
        <f>K8/'3b. Rate Class Customer Model'!B8</f>
        <v>7771.1016910982544</v>
      </c>
      <c r="L24" s="451">
        <f>L8/'3b. Rate Class Customer Model'!C8</f>
        <v>25365.79373265414</v>
      </c>
      <c r="M24" s="451">
        <f>M8/'3b. Rate Class Customer Model'!D8</f>
        <v>561718.64167832176</v>
      </c>
      <c r="N24" s="451">
        <f>N8/'3b. Rate Class Customer Model'!E8</f>
        <v>9506070.959999999</v>
      </c>
      <c r="O24" s="451">
        <f>O8/'3b. Rate Class Customer Model'!F8</f>
        <v>5184</v>
      </c>
      <c r="P24" s="451">
        <f>P8/'3b. Rate Class Customer Model'!G8</f>
        <v>937.31509433962276</v>
      </c>
      <c r="Q24" s="451">
        <f>Q8/'3b. Rate Class Customer Model'!H8</f>
        <v>796.45524861878448</v>
      </c>
    </row>
    <row r="25" spans="10:18">
      <c r="J25" s="453">
        <v>2016</v>
      </c>
      <c r="K25" s="451">
        <f>K9/'3b. Rate Class Customer Model'!B9</f>
        <v>7617.5944740111827</v>
      </c>
      <c r="L25" s="451">
        <f>L9/'3b. Rate Class Customer Model'!C9</f>
        <v>25499.159509943187</v>
      </c>
      <c r="M25" s="451">
        <f>M9/'3b. Rate Class Customer Model'!D9</f>
        <v>559074.75597189693</v>
      </c>
      <c r="N25" s="451">
        <f>N9/'3b. Rate Class Customer Model'!E9</f>
        <v>9099303.2199999988</v>
      </c>
      <c r="O25" s="451">
        <f>O9/'3b. Rate Class Customer Model'!F9</f>
        <v>4304.8421052631584</v>
      </c>
      <c r="P25" s="451">
        <f>P9/'3b. Rate Class Customer Model'!G9</f>
        <v>919.03999999999985</v>
      </c>
      <c r="Q25" s="451">
        <f>Q9/'3b. Rate Class Customer Model'!H9</f>
        <v>797.53091410197521</v>
      </c>
    </row>
    <row r="26" spans="10:18">
      <c r="J26" s="453">
        <v>2017</v>
      </c>
      <c r="K26" s="451">
        <f>K10/'3b. Rate Class Customer Model'!B10</f>
        <v>7352.2985262401153</v>
      </c>
      <c r="L26" s="451">
        <f>L10/'3b. Rate Class Customer Model'!C10</f>
        <v>24136.205372818615</v>
      </c>
      <c r="M26" s="451">
        <f>M10/'3b. Rate Class Customer Model'!D10</f>
        <v>547614.76287769794</v>
      </c>
      <c r="N26" s="451">
        <f>N10/'3b. Rate Class Customer Model'!E10</f>
        <v>9150105.4400000013</v>
      </c>
      <c r="O26" s="451">
        <f>O10/'3b. Rate Class Customer Model'!F10</f>
        <v>3400.5</v>
      </c>
      <c r="P26" s="451">
        <f>P10/'3b. Rate Class Customer Model'!G10</f>
        <v>852.27205776173287</v>
      </c>
      <c r="Q26" s="451">
        <f>Q10/'3b. Rate Class Customer Model'!H10</f>
        <v>767.73481100917411</v>
      </c>
    </row>
    <row r="27" spans="10:18">
      <c r="J27" s="453">
        <v>2018</v>
      </c>
      <c r="K27" s="451">
        <f>K11/'3b. Rate Class Customer Model'!B11</f>
        <v>7730.749047098594</v>
      </c>
      <c r="L27" s="451">
        <f>L11/'3b. Rate Class Customer Model'!C11</f>
        <v>24634.115838355188</v>
      </c>
      <c r="M27" s="451">
        <f>M11/'3b. Rate Class Customer Model'!D11</f>
        <v>538394.95676470594</v>
      </c>
      <c r="N27" s="451">
        <f>N11/'3b. Rate Class Customer Model'!E11</f>
        <v>8782791.1400000006</v>
      </c>
      <c r="O27" s="451">
        <f>O11/'3b. Rate Class Customer Model'!F11</f>
        <v>2914.7142857142853</v>
      </c>
      <c r="P27" s="451">
        <f>P11/'3b. Rate Class Customer Model'!G11</f>
        <v>855.3599999999999</v>
      </c>
      <c r="Q27" s="451">
        <f>Q11/'3b. Rate Class Customer Model'!H11</f>
        <v>761.03020925110127</v>
      </c>
    </row>
    <row r="28" spans="10:18">
      <c r="J28" s="454">
        <v>2019</v>
      </c>
      <c r="K28" s="452">
        <f>K12/'3b. Rate Class Customer Model'!B12</f>
        <v>7648.2536446003587</v>
      </c>
      <c r="L28" s="452">
        <f>L12/'3b. Rate Class Customer Model'!C12</f>
        <v>23698.238510638301</v>
      </c>
      <c r="M28" s="452">
        <f>M12/'3b. Rate Class Customer Model'!D12</f>
        <v>535425.12971428572</v>
      </c>
      <c r="N28" s="452">
        <f>N12/'3b. Rate Class Customer Model'!E12</f>
        <v>8553229.5999999996</v>
      </c>
      <c r="O28" s="452">
        <f>O12/'3b. Rate Class Customer Model'!F12</f>
        <v>2694.8571428571427</v>
      </c>
      <c r="P28" s="452">
        <f>P12/'3b. Rate Class Customer Model'!G12</f>
        <v>855.3599999999999</v>
      </c>
      <c r="Q28" s="452">
        <f>Q12/'3b. Rate Class Customer Model'!H12</f>
        <v>716.22248370812292</v>
      </c>
    </row>
    <row r="29" spans="10:18">
      <c r="J29" s="455" t="s">
        <v>292</v>
      </c>
      <c r="K29" s="451">
        <f>K28</f>
        <v>7648.2536446003587</v>
      </c>
      <c r="L29" s="451">
        <f t="shared" ref="L29:P29" si="4">L28</f>
        <v>23698.238510638301</v>
      </c>
      <c r="M29" s="451">
        <f t="shared" si="4"/>
        <v>535425.12971428572</v>
      </c>
      <c r="N29" s="451">
        <f t="shared" si="4"/>
        <v>8553229.5999999996</v>
      </c>
      <c r="O29" s="451">
        <f t="shared" si="4"/>
        <v>2694.8571428571427</v>
      </c>
      <c r="P29" s="451">
        <f t="shared" si="4"/>
        <v>855.3599999999999</v>
      </c>
      <c r="Q29" s="456">
        <f>Q13/'3b. Rate Class Customer Model'!H13</f>
        <v>248.73684923156941</v>
      </c>
      <c r="R29" s="362" t="s">
        <v>267</v>
      </c>
    </row>
    <row r="30" spans="10:18">
      <c r="J30" s="455" t="s">
        <v>293</v>
      </c>
      <c r="K30" s="451">
        <f>K28</f>
        <v>7648.2536446003587</v>
      </c>
      <c r="L30" s="451">
        <f t="shared" ref="L30:P30" si="5">L28</f>
        <v>23698.238510638301</v>
      </c>
      <c r="M30" s="451">
        <f t="shared" si="5"/>
        <v>535425.12971428572</v>
      </c>
      <c r="N30" s="451">
        <f t="shared" si="5"/>
        <v>8553229.5999999996</v>
      </c>
      <c r="O30" s="451">
        <f t="shared" si="5"/>
        <v>2694.8571428571427</v>
      </c>
      <c r="P30" s="451">
        <f t="shared" si="5"/>
        <v>855.3599999999999</v>
      </c>
      <c r="Q30" s="456">
        <f>Q14/'3b. Rate Class Customer Model'!H14</f>
        <v>248.73684923156941</v>
      </c>
      <c r="R30" s="362" t="s">
        <v>267</v>
      </c>
    </row>
    <row r="32" spans="10:18">
      <c r="J32" s="97" t="s">
        <v>111</v>
      </c>
    </row>
    <row r="33" spans="1:18">
      <c r="J33" s="61">
        <v>2011</v>
      </c>
      <c r="K33" s="99">
        <f>K20/K19</f>
        <v>0.99482740766731126</v>
      </c>
      <c r="L33" s="99">
        <f t="shared" ref="K33:Q40" si="6">L20/L19</f>
        <v>1.0300300735266352</v>
      </c>
      <c r="M33" s="99">
        <f t="shared" si="6"/>
        <v>1.0597071951546002</v>
      </c>
      <c r="N33" s="99">
        <f t="shared" si="6"/>
        <v>1.0379242772695214</v>
      </c>
      <c r="O33" s="99">
        <f t="shared" si="6"/>
        <v>0.57261989746252195</v>
      </c>
      <c r="P33" s="99">
        <f t="shared" si="6"/>
        <v>0.87417088341697213</v>
      </c>
      <c r="Q33" s="99">
        <f t="shared" si="6"/>
        <v>0.99283947367349801</v>
      </c>
    </row>
    <row r="34" spans="1:18">
      <c r="J34" s="61">
        <v>2012</v>
      </c>
      <c r="K34" s="99">
        <f t="shared" si="6"/>
        <v>0.96566045240002307</v>
      </c>
      <c r="L34" s="99">
        <f t="shared" si="6"/>
        <v>0.99947852836764828</v>
      </c>
      <c r="M34" s="99">
        <f t="shared" si="6"/>
        <v>1.0443713640654686</v>
      </c>
      <c r="N34" s="99">
        <f t="shared" si="6"/>
        <v>1.0712526816086805</v>
      </c>
      <c r="O34" s="99">
        <f t="shared" si="6"/>
        <v>0.90016362554541851</v>
      </c>
      <c r="P34" s="99">
        <f t="shared" si="6"/>
        <v>0.94498557684472428</v>
      </c>
      <c r="Q34" s="99">
        <f t="shared" si="6"/>
        <v>1.0044923344217289</v>
      </c>
    </row>
    <row r="35" spans="1:18">
      <c r="J35" s="61">
        <v>2013</v>
      </c>
      <c r="K35" s="99">
        <f t="shared" si="6"/>
        <v>1.0216242771059507</v>
      </c>
      <c r="L35" s="99">
        <f t="shared" si="6"/>
        <v>1.0414304078890382</v>
      </c>
      <c r="M35" s="99">
        <f t="shared" si="6"/>
        <v>0.74094279240283178</v>
      </c>
      <c r="N35" s="99">
        <f t="shared" si="6"/>
        <v>0.99831949990088831</v>
      </c>
      <c r="O35" s="99">
        <f t="shared" si="6"/>
        <v>0.84210526315789469</v>
      </c>
      <c r="P35" s="99">
        <f t="shared" si="6"/>
        <v>1</v>
      </c>
      <c r="Q35" s="99">
        <f t="shared" si="6"/>
        <v>1.0033208395587194</v>
      </c>
    </row>
    <row r="36" spans="1:18">
      <c r="J36" s="61">
        <v>2014</v>
      </c>
      <c r="K36" s="99">
        <f t="shared" si="6"/>
        <v>0.99579434619792662</v>
      </c>
      <c r="L36" s="99">
        <f t="shared" si="6"/>
        <v>0.98303065482716168</v>
      </c>
      <c r="M36" s="99">
        <f t="shared" si="6"/>
        <v>0.96585033655878905</v>
      </c>
      <c r="N36" s="99">
        <f t="shared" si="6"/>
        <v>1.0342242805525108</v>
      </c>
      <c r="O36" s="99">
        <f t="shared" si="6"/>
        <v>1.3571428571428572</v>
      </c>
      <c r="P36" s="99">
        <f t="shared" si="6"/>
        <v>0.97670115207626296</v>
      </c>
      <c r="Q36" s="99">
        <f t="shared" si="6"/>
        <v>0.99606875618896729</v>
      </c>
    </row>
    <row r="37" spans="1:18">
      <c r="J37" s="61">
        <v>2015</v>
      </c>
      <c r="K37" s="99">
        <f t="shared" si="6"/>
        <v>0.96393592134552497</v>
      </c>
      <c r="L37" s="99">
        <f t="shared" si="6"/>
        <v>1.0123950946586073</v>
      </c>
      <c r="M37" s="99">
        <f t="shared" si="6"/>
        <v>1.3489434053820599</v>
      </c>
      <c r="N37" s="99">
        <f t="shared" si="6"/>
        <v>1.0873297404145708</v>
      </c>
      <c r="O37" s="99">
        <f t="shared" si="6"/>
        <v>1.054945054945055</v>
      </c>
      <c r="P37" s="99">
        <f t="shared" si="6"/>
        <v>1.0298198454845748</v>
      </c>
      <c r="Q37" s="99">
        <f t="shared" si="6"/>
        <v>1</v>
      </c>
    </row>
    <row r="38" spans="1:18">
      <c r="J38" s="61">
        <v>2016</v>
      </c>
      <c r="K38" s="99">
        <f t="shared" si="6"/>
        <v>0.98024640222339221</v>
      </c>
      <c r="L38" s="99">
        <f t="shared" si="6"/>
        <v>1.0052577017180961</v>
      </c>
      <c r="M38" s="99">
        <f t="shared" si="6"/>
        <v>0.99529322064419057</v>
      </c>
      <c r="N38" s="99">
        <f t="shared" si="6"/>
        <v>0.95720968823906194</v>
      </c>
      <c r="O38" s="99">
        <f t="shared" si="6"/>
        <v>0.83040935672514626</v>
      </c>
      <c r="P38" s="99">
        <f t="shared" si="6"/>
        <v>0.9805027205365785</v>
      </c>
      <c r="Q38" s="99">
        <f t="shared" si="6"/>
        <v>1.0013505661304338</v>
      </c>
    </row>
    <row r="39" spans="1:18">
      <c r="J39" s="61">
        <v>2017</v>
      </c>
      <c r="K39" s="99">
        <f t="shared" si="6"/>
        <v>0.96517326451596064</v>
      </c>
      <c r="L39" s="99">
        <f t="shared" si="6"/>
        <v>0.94654905638779585</v>
      </c>
      <c r="M39" s="99">
        <f t="shared" si="6"/>
        <v>0.97950185914891308</v>
      </c>
      <c r="N39" s="99">
        <f t="shared" si="6"/>
        <v>1.0055830890312942</v>
      </c>
      <c r="O39" s="99">
        <f t="shared" si="6"/>
        <v>0.78992444248826277</v>
      </c>
      <c r="P39" s="99">
        <f t="shared" si="6"/>
        <v>0.9273503414016071</v>
      </c>
      <c r="Q39" s="99">
        <f t="shared" si="6"/>
        <v>0.96263956347528956</v>
      </c>
    </row>
    <row r="40" spans="1:18">
      <c r="J40" s="61">
        <v>2018</v>
      </c>
      <c r="K40" s="99">
        <f t="shared" si="6"/>
        <v>1.0514737696664249</v>
      </c>
      <c r="L40" s="99">
        <f t="shared" si="6"/>
        <v>1.02062919410262</v>
      </c>
      <c r="M40" s="99">
        <f t="shared" si="6"/>
        <v>0.98316370058297509</v>
      </c>
      <c r="N40" s="99">
        <f t="shared" si="6"/>
        <v>0.95985682324552524</v>
      </c>
      <c r="O40" s="99">
        <f t="shared" si="6"/>
        <v>0.85714285714285698</v>
      </c>
      <c r="P40" s="99">
        <f t="shared" si="6"/>
        <v>1.0036231884057969</v>
      </c>
      <c r="Q40" s="99">
        <f t="shared" si="6"/>
        <v>0.99126703431714946</v>
      </c>
    </row>
    <row r="41" spans="1:18">
      <c r="J41" s="65">
        <v>2019</v>
      </c>
      <c r="K41" s="99">
        <f>K28/K27</f>
        <v>0.98932892505038739</v>
      </c>
      <c r="L41" s="99">
        <f t="shared" ref="L41:Q41" si="7">L28/L27</f>
        <v>0.96200889311969007</v>
      </c>
      <c r="M41" s="99">
        <f t="shared" si="7"/>
        <v>0.9944839248341657</v>
      </c>
      <c r="N41" s="99">
        <f t="shared" si="7"/>
        <v>0.973862347818509</v>
      </c>
      <c r="O41" s="99">
        <f t="shared" si="7"/>
        <v>0.9245699161887958</v>
      </c>
      <c r="P41" s="99">
        <f t="shared" si="7"/>
        <v>1</v>
      </c>
      <c r="Q41" s="99">
        <f t="shared" si="7"/>
        <v>0.94112227740989174</v>
      </c>
    </row>
    <row r="43" spans="1:18">
      <c r="J43" s="102" t="s">
        <v>113</v>
      </c>
      <c r="K43" s="103">
        <f>GEOMEAN(K33:K41)</f>
        <v>0.99163354907285395</v>
      </c>
      <c r="L43" s="103">
        <f t="shared" ref="L43:Q43" si="8">GEOMEAN(L33:L41)</f>
        <v>0.99965168736069399</v>
      </c>
      <c r="M43" s="103">
        <f t="shared" si="8"/>
        <v>1.0020255077776705</v>
      </c>
      <c r="N43" s="103">
        <f t="shared" si="8"/>
        <v>1.0129863193852142</v>
      </c>
      <c r="O43" s="103">
        <f t="shared" si="8"/>
        <v>0.88201425484472384</v>
      </c>
      <c r="P43" s="103">
        <f t="shared" si="8"/>
        <v>0.96971767403484033</v>
      </c>
      <c r="Q43" s="103">
        <f t="shared" si="8"/>
        <v>0.98790619636252741</v>
      </c>
    </row>
    <row r="44" spans="1:18">
      <c r="J44" s="101"/>
    </row>
    <row r="45" spans="1:18">
      <c r="J45" s="101" t="s">
        <v>112</v>
      </c>
      <c r="K45" s="100">
        <f>GEOMEAN(K37:K41)</f>
        <v>0.9895222658598295</v>
      </c>
      <c r="L45" s="100">
        <f t="shared" ref="L45:Q45" si="9">GEOMEAN(L37:L41)</f>
        <v>0.98892539249236722</v>
      </c>
      <c r="M45" s="100">
        <f t="shared" si="9"/>
        <v>1.0515616243108423</v>
      </c>
      <c r="N45" s="100">
        <f t="shared" si="9"/>
        <v>0.9956302175809062</v>
      </c>
      <c r="O45" s="100">
        <f t="shared" si="9"/>
        <v>0.88678863605726443</v>
      </c>
      <c r="P45" s="100">
        <f t="shared" si="9"/>
        <v>0.98765420383270897</v>
      </c>
      <c r="Q45" s="100">
        <f t="shared" si="9"/>
        <v>0.97898787802892451</v>
      </c>
    </row>
    <row r="47" spans="1:18">
      <c r="A47" s="10" t="s">
        <v>114</v>
      </c>
      <c r="I47" s="106" t="s">
        <v>116</v>
      </c>
    </row>
    <row r="48" spans="1:18">
      <c r="A48" s="87">
        <v>2020</v>
      </c>
      <c r="I48" s="107">
        <f>SUM(K48:Q48)</f>
        <v>98074119.049289763</v>
      </c>
      <c r="K48" s="98">
        <f>K29*'3b. Rate Class Customer Model'!B13</f>
        <v>25456386.737571422</v>
      </c>
      <c r="L48" s="98">
        <f>L29*'3b. Rate Class Customer Model'!C13</f>
        <v>11114722.623010218</v>
      </c>
      <c r="M48" s="98">
        <f>M29*'3b. Rate Class Customer Model'!D13</f>
        <v>18481067.560018148</v>
      </c>
      <c r="N48" s="98">
        <f>N29*'3b. Rate Class Customer Model'!E13</f>
        <v>42766148</v>
      </c>
      <c r="O48" s="98">
        <f>O29*'3b. Rate Class Customer Model'!F13</f>
        <v>6288</v>
      </c>
      <c r="P48" s="98">
        <f>P29*'3b. Rate Class Customer Model'!G13</f>
        <v>19673.28</v>
      </c>
      <c r="Q48" s="98">
        <f>Q29*'3b. Rate Class Customer Model'!H13</f>
        <v>229832.84868997012</v>
      </c>
      <c r="R48" s="104"/>
    </row>
    <row r="49" spans="1:19">
      <c r="A49" s="87">
        <v>2021</v>
      </c>
      <c r="H49" s="101"/>
      <c r="I49" s="107">
        <f>SUM(K49:Q49)</f>
        <v>97999595.516749665</v>
      </c>
      <c r="K49" s="98">
        <f>K30*'3b. Rate Class Customer Model'!B14</f>
        <v>25660500.903065097</v>
      </c>
      <c r="L49" s="98">
        <f>L30*'3b. Rate Class Customer Model'!C14</f>
        <v>11091322.514800712</v>
      </c>
      <c r="M49" s="98">
        <f>M30*'3b. Rate Class Customer Model'!D14</f>
        <v>18225829.970193878</v>
      </c>
      <c r="N49" s="98">
        <f>N30*'3b. Rate Class Customer Model'!E14</f>
        <v>42766148</v>
      </c>
      <c r="O49" s="98">
        <f>O30*'3b. Rate Class Customer Model'!F14</f>
        <v>6288</v>
      </c>
      <c r="P49" s="98">
        <f>P30*'3b. Rate Class Customer Model'!G14</f>
        <v>19673.28</v>
      </c>
      <c r="Q49" s="98">
        <f>Q30*'3b. Rate Class Customer Model'!H14</f>
        <v>229832.84868997012</v>
      </c>
      <c r="R49" s="104"/>
    </row>
    <row r="50" spans="1:19">
      <c r="I50" s="62"/>
      <c r="R50" s="104"/>
    </row>
    <row r="51" spans="1:19">
      <c r="A51" s="10" t="s">
        <v>115</v>
      </c>
      <c r="I51" s="106" t="s">
        <v>116</v>
      </c>
      <c r="R51" s="106" t="s">
        <v>32</v>
      </c>
    </row>
    <row r="52" spans="1:19">
      <c r="A52" s="87">
        <v>2020</v>
      </c>
      <c r="G52" s="64"/>
      <c r="I52" s="57">
        <f>I13</f>
        <v>98295295.174927026</v>
      </c>
      <c r="K52" s="107">
        <f>K48+K60-K64</f>
        <v>25566500.764901776</v>
      </c>
      <c r="L52" s="107">
        <f t="shared" ref="L52:P52" si="10">L48+L60-L64</f>
        <v>11162800.415168878</v>
      </c>
      <c r="M52" s="107">
        <f t="shared" si="10"/>
        <v>18544051.866166398</v>
      </c>
      <c r="N52" s="107">
        <f t="shared" si="10"/>
        <v>42766148</v>
      </c>
      <c r="O52" s="107">
        <f t="shared" si="10"/>
        <v>6288</v>
      </c>
      <c r="P52" s="107">
        <f t="shared" si="10"/>
        <v>19673.28</v>
      </c>
      <c r="Q52" s="107">
        <f>Q48+Q60-Q64</f>
        <v>229832.84868997012</v>
      </c>
      <c r="R52" s="57">
        <f>SUM(K52:Q52)</f>
        <v>98295295.174927026</v>
      </c>
    </row>
    <row r="53" spans="1:19">
      <c r="A53" s="87">
        <v>2021</v>
      </c>
      <c r="I53" s="57">
        <f>I14</f>
        <v>98208546.01861459</v>
      </c>
      <c r="K53" s="107">
        <f>K49+K61-K65</f>
        <v>25765404.249335423</v>
      </c>
      <c r="L53" s="107">
        <f t="shared" ref="L53:Q53" si="11">L49+L61-L65</f>
        <v>11136665.232418006</v>
      </c>
      <c r="M53" s="107">
        <f t="shared" si="11"/>
        <v>18284534.408171184</v>
      </c>
      <c r="N53" s="107">
        <f t="shared" si="11"/>
        <v>42766148</v>
      </c>
      <c r="O53" s="107">
        <f t="shared" si="11"/>
        <v>6288</v>
      </c>
      <c r="P53" s="107">
        <f t="shared" si="11"/>
        <v>19673.28</v>
      </c>
      <c r="Q53" s="107">
        <f t="shared" si="11"/>
        <v>229832.84868997012</v>
      </c>
      <c r="R53" s="57">
        <f>SUM(K53:Q53)</f>
        <v>98208546.01861459</v>
      </c>
    </row>
    <row r="54" spans="1:19">
      <c r="I54" s="62"/>
    </row>
    <row r="55" spans="1:19">
      <c r="A55" s="10" t="s">
        <v>117</v>
      </c>
      <c r="I55" s="62"/>
      <c r="K55" s="105">
        <v>0.82499999999999996</v>
      </c>
      <c r="L55" s="105">
        <v>0.82499999999999996</v>
      </c>
      <c r="M55" s="105">
        <v>0.65</v>
      </c>
      <c r="N55" s="105">
        <v>0</v>
      </c>
      <c r="O55" s="105">
        <v>0</v>
      </c>
      <c r="P55" s="105">
        <v>0</v>
      </c>
      <c r="Q55" s="105">
        <v>0</v>
      </c>
      <c r="R55" s="106" t="s">
        <v>32</v>
      </c>
    </row>
    <row r="56" spans="1:19">
      <c r="A56" s="87">
        <v>2020</v>
      </c>
      <c r="I56" s="57">
        <f>I52-I48</f>
        <v>221176.12563726306</v>
      </c>
      <c r="K56" s="98">
        <f>K48*K$55</f>
        <v>21001519.058496423</v>
      </c>
      <c r="L56" s="98">
        <f t="shared" ref="K56:Q57" si="12">L48*L$55</f>
        <v>9169646.1639834289</v>
      </c>
      <c r="M56" s="98">
        <f t="shared" si="12"/>
        <v>12012693.914011797</v>
      </c>
      <c r="N56" s="98">
        <f t="shared" si="12"/>
        <v>0</v>
      </c>
      <c r="O56" s="98">
        <f t="shared" si="12"/>
        <v>0</v>
      </c>
      <c r="P56" s="98">
        <f t="shared" si="12"/>
        <v>0</v>
      </c>
      <c r="Q56" s="98">
        <f t="shared" si="12"/>
        <v>0</v>
      </c>
      <c r="R56" s="98">
        <f>SUM(K56:Q56)</f>
        <v>42183859.136491649</v>
      </c>
    </row>
    <row r="57" spans="1:19">
      <c r="A57" s="87">
        <v>2021</v>
      </c>
      <c r="I57" s="57">
        <f>I53-I49</f>
        <v>208950.50186492503</v>
      </c>
      <c r="K57" s="98">
        <f t="shared" si="12"/>
        <v>21169913.245028704</v>
      </c>
      <c r="L57" s="98">
        <f t="shared" si="12"/>
        <v>9150341.074710587</v>
      </c>
      <c r="M57" s="98">
        <f t="shared" si="12"/>
        <v>11846789.480626021</v>
      </c>
      <c r="N57" s="98">
        <f t="shared" si="12"/>
        <v>0</v>
      </c>
      <c r="O57" s="98">
        <f t="shared" si="12"/>
        <v>0</v>
      </c>
      <c r="P57" s="98">
        <f t="shared" si="12"/>
        <v>0</v>
      </c>
      <c r="Q57" s="98">
        <f t="shared" si="12"/>
        <v>0</v>
      </c>
      <c r="R57" s="98">
        <f>SUM(K57:Q57)</f>
        <v>42167043.800365314</v>
      </c>
    </row>
    <row r="58" spans="1:19">
      <c r="I58" s="62"/>
    </row>
    <row r="59" spans="1:19">
      <c r="A59" s="10" t="s">
        <v>118</v>
      </c>
      <c r="I59" s="62"/>
      <c r="R59" s="106" t="s">
        <v>32</v>
      </c>
    </row>
    <row r="60" spans="1:19">
      <c r="A60" s="87">
        <v>2020</v>
      </c>
      <c r="I60" s="62"/>
      <c r="K60" s="98">
        <f>K56/$R$56*$I$56</f>
        <v>110114.02733035246</v>
      </c>
      <c r="L60" s="98">
        <f t="shared" ref="L60:Q60" si="13">L56/$R$56*$I$56</f>
        <v>48077.792158660232</v>
      </c>
      <c r="M60" s="98">
        <f t="shared" si="13"/>
        <v>62984.306148250369</v>
      </c>
      <c r="N60" s="98">
        <f t="shared" si="13"/>
        <v>0</v>
      </c>
      <c r="O60" s="98">
        <f t="shared" si="13"/>
        <v>0</v>
      </c>
      <c r="P60" s="98">
        <f t="shared" si="13"/>
        <v>0</v>
      </c>
      <c r="Q60" s="98">
        <f t="shared" si="13"/>
        <v>0</v>
      </c>
      <c r="R60" s="98">
        <f>SUM(K60:Q60)</f>
        <v>221176.12563726306</v>
      </c>
      <c r="S60" s="108" t="str">
        <f>IF(R60=I56,"OK","ERROR")</f>
        <v>OK</v>
      </c>
    </row>
    <row r="61" spans="1:19">
      <c r="A61" s="87">
        <v>2021</v>
      </c>
      <c r="I61" s="62"/>
      <c r="K61" s="98">
        <f>K57/$R$57*$I$57</f>
        <v>104903.34627032472</v>
      </c>
      <c r="L61" s="98">
        <f t="shared" ref="L61:Q61" si="14">L57/$R$57*$I$57</f>
        <v>45342.717617293587</v>
      </c>
      <c r="M61" s="98">
        <f t="shared" si="14"/>
        <v>58704.437977306719</v>
      </c>
      <c r="N61" s="98">
        <f t="shared" si="14"/>
        <v>0</v>
      </c>
      <c r="O61" s="98">
        <f t="shared" si="14"/>
        <v>0</v>
      </c>
      <c r="P61" s="98">
        <f t="shared" si="14"/>
        <v>0</v>
      </c>
      <c r="Q61" s="98">
        <f t="shared" si="14"/>
        <v>0</v>
      </c>
      <c r="R61" s="98">
        <f>SUM(K61:Q61)</f>
        <v>208950.50186492503</v>
      </c>
      <c r="S61" s="108" t="str">
        <f>IF(R61=I57,"OK","ERROR")</f>
        <v>OK</v>
      </c>
    </row>
    <row r="62" spans="1:19">
      <c r="I62" s="62"/>
    </row>
    <row r="63" spans="1:19">
      <c r="A63" s="10" t="s">
        <v>119</v>
      </c>
      <c r="I63" s="62"/>
      <c r="R63" s="106" t="s">
        <v>32</v>
      </c>
    </row>
    <row r="64" spans="1:19">
      <c r="A64" s="87">
        <v>2020</v>
      </c>
      <c r="I64" s="57">
        <f>'4b. OEB App 2-I_CDM'!G89</f>
        <v>0</v>
      </c>
      <c r="K64" s="98">
        <f>$I$64*K48/($K$48+$L$48+$M$48+$N$48)</f>
        <v>0</v>
      </c>
      <c r="L64" s="98">
        <f t="shared" ref="L64:N64" si="15">$I$64*L48/($K$48+$L$48+$M$48+$N$48)</f>
        <v>0</v>
      </c>
      <c r="M64" s="98">
        <f t="shared" si="15"/>
        <v>0</v>
      </c>
      <c r="N64" s="98">
        <f t="shared" si="15"/>
        <v>0</v>
      </c>
      <c r="O64" s="62">
        <v>0</v>
      </c>
      <c r="P64" s="62">
        <v>0</v>
      </c>
      <c r="Q64" s="62">
        <v>0</v>
      </c>
      <c r="R64" s="98">
        <f>SUM(K64:Q64)</f>
        <v>0</v>
      </c>
    </row>
    <row r="65" spans="1:18">
      <c r="A65" s="87">
        <v>2021</v>
      </c>
      <c r="I65" s="57">
        <f>'4b. OEB App 2-I_CDM'!H89</f>
        <v>0</v>
      </c>
      <c r="K65" s="98">
        <f>$I$65*K49/($K$49+$L$49+$M$49+$N$49)</f>
        <v>0</v>
      </c>
      <c r="L65" s="98">
        <f t="shared" ref="L65:N65" si="16">$I$65*L49/($K$49+$L$49+$M$49+$N$49)</f>
        <v>0</v>
      </c>
      <c r="M65" s="98">
        <f t="shared" si="16"/>
        <v>0</v>
      </c>
      <c r="N65" s="98">
        <f t="shared" si="16"/>
        <v>0</v>
      </c>
      <c r="O65" s="62">
        <v>0</v>
      </c>
      <c r="P65" s="62">
        <v>0</v>
      </c>
      <c r="Q65" s="62">
        <v>0</v>
      </c>
      <c r="R65" s="98">
        <f>SUM(K65:Q65)</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R30"/>
  <sheetViews>
    <sheetView workbookViewId="0"/>
  </sheetViews>
  <sheetFormatPr defaultColWidth="8.6640625" defaultRowHeight="14.5"/>
  <cols>
    <col min="1" max="1" width="8.6640625" style="30"/>
    <col min="2" max="2" width="10.4140625" style="55" bestFit="1" customWidth="1"/>
    <col min="3" max="3" width="12.1640625" style="55" customWidth="1"/>
    <col min="4" max="4" width="11.5" style="55" customWidth="1"/>
    <col min="5" max="5" width="13.33203125" style="55" bestFit="1" customWidth="1"/>
    <col min="6" max="6" width="10.08203125" style="55" customWidth="1"/>
    <col min="7" max="7" width="6.9140625" style="55" bestFit="1" customWidth="1"/>
    <col min="8" max="8" width="9.83203125" style="55" bestFit="1" customWidth="1"/>
    <col min="9" max="10" width="8.6640625" style="30"/>
    <col min="11" max="11" width="9.6640625" style="30" bestFit="1" customWidth="1"/>
    <col min="12" max="12" width="9.1640625" style="30" bestFit="1" customWidth="1"/>
    <col min="13" max="13" width="8.08203125" style="30" bestFit="1" customWidth="1"/>
    <col min="14" max="14" width="10.5" style="30" bestFit="1" customWidth="1"/>
    <col min="15" max="15" width="13.33203125" style="30" bestFit="1" customWidth="1"/>
    <col min="16" max="16" width="6.83203125" style="30" bestFit="1" customWidth="1"/>
    <col min="17" max="17" width="6.9140625" style="30" bestFit="1" customWidth="1"/>
    <col min="18" max="18" width="9.83203125" style="30" bestFit="1" customWidth="1"/>
    <col min="19" max="16384" width="8.6640625" style="30"/>
  </cols>
  <sheetData>
    <row r="1" spans="1:18" ht="43.5">
      <c r="B1" s="2" t="s">
        <v>14</v>
      </c>
      <c r="C1" s="380" t="s">
        <v>279</v>
      </c>
      <c r="D1" s="380" t="s">
        <v>280</v>
      </c>
      <c r="E1" s="380" t="s">
        <v>281</v>
      </c>
      <c r="F1" s="380" t="s">
        <v>145</v>
      </c>
      <c r="G1" s="2" t="s">
        <v>57</v>
      </c>
      <c r="H1" s="2" t="s">
        <v>58</v>
      </c>
      <c r="I1" s="80" t="s">
        <v>32</v>
      </c>
      <c r="K1" s="30" t="s">
        <v>60</v>
      </c>
      <c r="L1" s="2" t="s">
        <v>14</v>
      </c>
      <c r="M1" s="2" t="s">
        <v>48</v>
      </c>
      <c r="N1" s="2" t="s">
        <v>54</v>
      </c>
      <c r="O1" s="2" t="s">
        <v>55</v>
      </c>
      <c r="P1" s="2" t="s">
        <v>56</v>
      </c>
      <c r="Q1" s="2" t="s">
        <v>57</v>
      </c>
      <c r="R1" s="2" t="s">
        <v>58</v>
      </c>
    </row>
    <row r="2" spans="1:18">
      <c r="B2" s="381" t="s">
        <v>273</v>
      </c>
      <c r="C2" s="381" t="s">
        <v>273</v>
      </c>
      <c r="D2" s="381" t="s">
        <v>273</v>
      </c>
      <c r="E2" s="381" t="s">
        <v>273</v>
      </c>
      <c r="F2" s="381" t="s">
        <v>282</v>
      </c>
      <c r="G2" s="381" t="s">
        <v>282</v>
      </c>
      <c r="H2" s="381" t="s">
        <v>294</v>
      </c>
      <c r="I2" s="80"/>
      <c r="L2" s="2"/>
      <c r="M2" s="2"/>
      <c r="N2" s="2"/>
      <c r="O2" s="2"/>
      <c r="P2" s="2"/>
      <c r="Q2" s="2"/>
      <c r="R2" s="2"/>
    </row>
    <row r="3" spans="1:18">
      <c r="A3" s="30">
        <v>2010</v>
      </c>
      <c r="B3" s="70">
        <v>3072.9166666666665</v>
      </c>
      <c r="C3" s="70">
        <v>479</v>
      </c>
      <c r="D3" s="70">
        <v>39.666666666666664</v>
      </c>
      <c r="E3" s="70">
        <v>5</v>
      </c>
      <c r="F3" s="70">
        <v>1.1666666666666667</v>
      </c>
      <c r="G3" s="70">
        <v>28</v>
      </c>
      <c r="H3" s="70">
        <v>900</v>
      </c>
      <c r="I3" s="71">
        <f>SUM(B3:H3)</f>
        <v>4525.75</v>
      </c>
      <c r="L3" s="55"/>
      <c r="M3" s="55"/>
      <c r="N3" s="55"/>
      <c r="O3" s="55"/>
      <c r="P3" s="55"/>
      <c r="Q3" s="55"/>
      <c r="R3" s="55"/>
    </row>
    <row r="4" spans="1:18">
      <c r="A4" s="30">
        <v>2011</v>
      </c>
      <c r="B4" s="70">
        <v>3103.25</v>
      </c>
      <c r="C4" s="70">
        <v>477.75</v>
      </c>
      <c r="D4" s="70">
        <v>38.333333333333336</v>
      </c>
      <c r="E4" s="70">
        <v>5</v>
      </c>
      <c r="F4" s="70">
        <v>1.5833333333333333</v>
      </c>
      <c r="G4" s="70">
        <v>28</v>
      </c>
      <c r="H4" s="70">
        <v>899.16666666666663</v>
      </c>
      <c r="I4" s="71">
        <f t="shared" ref="I4:I14" si="0">SUM(B4:H4)</f>
        <v>4553.0833333333339</v>
      </c>
      <c r="K4" s="30">
        <v>2011</v>
      </c>
      <c r="L4" s="73">
        <f>(B4-B3)/B3</f>
        <v>9.8711864406780155E-3</v>
      </c>
      <c r="M4" s="73">
        <f t="shared" ref="M4:M14" si="1">(C4-C3)/C3</f>
        <v>-2.6096033402922755E-3</v>
      </c>
      <c r="N4" s="73">
        <f t="shared" ref="N4:N14" si="2">(D4-D3)/D3</f>
        <v>-3.3613445378151141E-2</v>
      </c>
      <c r="O4" s="73">
        <f t="shared" ref="O4:O14" si="3">(E4-E3)/E3</f>
        <v>0</v>
      </c>
      <c r="P4" s="73">
        <f t="shared" ref="P4:P14" si="4">(F4-F3)/F3</f>
        <v>0.35714285714285698</v>
      </c>
      <c r="Q4" s="73">
        <f t="shared" ref="Q4:Q14" si="5">(G4-G3)/G3</f>
        <v>0</v>
      </c>
      <c r="R4" s="73">
        <f t="shared" ref="R4:R14" si="6">(H4-H3)/H3</f>
        <v>-9.2592592592596803E-4</v>
      </c>
    </row>
    <row r="5" spans="1:18">
      <c r="A5" s="30">
        <v>2012</v>
      </c>
      <c r="B5" s="70">
        <v>3126.3333333333335</v>
      </c>
      <c r="C5" s="70">
        <v>477.75</v>
      </c>
      <c r="D5" s="70">
        <v>37.666666666666664</v>
      </c>
      <c r="E5" s="70">
        <v>5</v>
      </c>
      <c r="F5" s="70">
        <v>1.3333333333333333</v>
      </c>
      <c r="G5" s="70">
        <v>28</v>
      </c>
      <c r="H5" s="70">
        <v>898</v>
      </c>
      <c r="I5" s="71">
        <f t="shared" si="0"/>
        <v>4574.0833333333339</v>
      </c>
      <c r="K5" s="30">
        <v>2012</v>
      </c>
      <c r="L5" s="73">
        <f t="shared" ref="L5:L14" si="7">(B5-B4)/B4</f>
        <v>7.4384381965144561E-3</v>
      </c>
      <c r="M5" s="73">
        <f t="shared" si="1"/>
        <v>0</v>
      </c>
      <c r="N5" s="73">
        <f t="shared" si="2"/>
        <v>-1.7391304347826209E-2</v>
      </c>
      <c r="O5" s="73">
        <f t="shared" si="3"/>
        <v>0</v>
      </c>
      <c r="P5" s="73">
        <f t="shared" si="4"/>
        <v>-0.15789473684210528</v>
      </c>
      <c r="Q5" s="73">
        <f t="shared" si="5"/>
        <v>0</v>
      </c>
      <c r="R5" s="73">
        <f t="shared" si="6"/>
        <v>-1.2974976830398097E-3</v>
      </c>
    </row>
    <row r="6" spans="1:18">
      <c r="A6" s="30">
        <v>2013</v>
      </c>
      <c r="B6" s="70">
        <v>3160.5</v>
      </c>
      <c r="C6" s="70">
        <v>474.25</v>
      </c>
      <c r="D6" s="70">
        <v>38.416666666666664</v>
      </c>
      <c r="E6" s="70">
        <v>5.833333333333333</v>
      </c>
      <c r="F6" s="70">
        <v>1.5833333333333333</v>
      </c>
      <c r="G6" s="70">
        <v>28</v>
      </c>
      <c r="H6" s="70">
        <v>899.5</v>
      </c>
      <c r="I6" s="71">
        <f t="shared" si="0"/>
        <v>4608.0833333333339</v>
      </c>
      <c r="K6" s="30">
        <v>2013</v>
      </c>
      <c r="L6" s="73">
        <f t="shared" si="7"/>
        <v>1.0928670433948132E-2</v>
      </c>
      <c r="M6" s="73">
        <f t="shared" si="1"/>
        <v>-7.326007326007326E-3</v>
      </c>
      <c r="N6" s="73">
        <f t="shared" si="2"/>
        <v>1.9911504424778761E-2</v>
      </c>
      <c r="O6" s="73">
        <f t="shared" si="3"/>
        <v>0.1666666666666666</v>
      </c>
      <c r="P6" s="73">
        <f t="shared" si="4"/>
        <v>0.1875</v>
      </c>
      <c r="Q6" s="73">
        <f t="shared" si="5"/>
        <v>0</v>
      </c>
      <c r="R6" s="73">
        <f t="shared" si="6"/>
        <v>1.6703786191536749E-3</v>
      </c>
    </row>
    <row r="7" spans="1:18">
      <c r="A7" s="30">
        <v>2014</v>
      </c>
      <c r="B7" s="70">
        <v>3190.4166666666665</v>
      </c>
      <c r="C7" s="70">
        <v>473.08333333333331</v>
      </c>
      <c r="D7" s="70">
        <v>38.333333333333336</v>
      </c>
      <c r="E7" s="70">
        <v>5.833333333333333</v>
      </c>
      <c r="F7" s="70">
        <v>1.1666666666666667</v>
      </c>
      <c r="G7" s="70">
        <v>27.916666666666668</v>
      </c>
      <c r="H7" s="70">
        <v>905</v>
      </c>
      <c r="I7" s="71">
        <f t="shared" si="0"/>
        <v>4641.75</v>
      </c>
      <c r="K7" s="30">
        <v>2014</v>
      </c>
      <c r="L7" s="73">
        <f t="shared" si="7"/>
        <v>9.4658018246057633E-3</v>
      </c>
      <c r="M7" s="73">
        <f t="shared" si="1"/>
        <v>-2.4600246002460424E-3</v>
      </c>
      <c r="N7" s="73">
        <f t="shared" si="2"/>
        <v>-2.1691973969630005E-3</v>
      </c>
      <c r="O7" s="73">
        <f t="shared" si="3"/>
        <v>0</v>
      </c>
      <c r="P7" s="73">
        <f t="shared" si="4"/>
        <v>-0.26315789473684204</v>
      </c>
      <c r="Q7" s="73">
        <f t="shared" si="5"/>
        <v>-2.976190476190434E-3</v>
      </c>
      <c r="R7" s="73">
        <f t="shared" si="6"/>
        <v>6.1145080600333518E-3</v>
      </c>
    </row>
    <row r="8" spans="1:18">
      <c r="A8" s="30">
        <v>2015</v>
      </c>
      <c r="B8" s="70">
        <v>3211.9166666666665</v>
      </c>
      <c r="C8" s="70">
        <v>474.41666666666669</v>
      </c>
      <c r="D8" s="70">
        <v>35.75</v>
      </c>
      <c r="E8" s="70">
        <v>5</v>
      </c>
      <c r="F8" s="70">
        <v>1</v>
      </c>
      <c r="G8" s="70">
        <v>26.5</v>
      </c>
      <c r="H8" s="70">
        <v>905</v>
      </c>
      <c r="I8" s="71">
        <f t="shared" si="0"/>
        <v>4659.583333333333</v>
      </c>
      <c r="K8" s="30">
        <v>2015</v>
      </c>
      <c r="L8" s="73">
        <f t="shared" si="7"/>
        <v>6.7389316964868752E-3</v>
      </c>
      <c r="M8" s="73">
        <f t="shared" si="1"/>
        <v>2.8183899947155991E-3</v>
      </c>
      <c r="N8" s="73">
        <f t="shared" si="2"/>
        <v>-6.7391304347826142E-2</v>
      </c>
      <c r="O8" s="73">
        <f t="shared" si="3"/>
        <v>-0.14285714285714282</v>
      </c>
      <c r="P8" s="73">
        <f t="shared" si="4"/>
        <v>-0.1428571428571429</v>
      </c>
      <c r="Q8" s="73">
        <f t="shared" si="5"/>
        <v>-5.0746268656716456E-2</v>
      </c>
      <c r="R8" s="73">
        <f t="shared" si="6"/>
        <v>0</v>
      </c>
    </row>
    <row r="9" spans="1:18">
      <c r="A9" s="30">
        <v>2016</v>
      </c>
      <c r="B9" s="70">
        <v>3219.3333333333335</v>
      </c>
      <c r="C9" s="70">
        <v>469.33333333333331</v>
      </c>
      <c r="D9" s="70">
        <v>35.583333333333336</v>
      </c>
      <c r="E9" s="70">
        <v>5</v>
      </c>
      <c r="F9" s="70">
        <v>1.5833333333333333</v>
      </c>
      <c r="G9" s="70">
        <v>24</v>
      </c>
      <c r="H9" s="70">
        <v>907.08333333333337</v>
      </c>
      <c r="I9" s="71">
        <f t="shared" si="0"/>
        <v>4661.916666666667</v>
      </c>
      <c r="K9" s="30">
        <v>2016</v>
      </c>
      <c r="L9" s="73">
        <f t="shared" si="7"/>
        <v>2.3091093064889511E-3</v>
      </c>
      <c r="M9" s="73">
        <f t="shared" si="1"/>
        <v>-1.0714913051115485E-2</v>
      </c>
      <c r="N9" s="73">
        <f t="shared" si="2"/>
        <v>-4.6620046620045961E-3</v>
      </c>
      <c r="O9" s="73">
        <f t="shared" si="3"/>
        <v>0</v>
      </c>
      <c r="P9" s="73">
        <f t="shared" si="4"/>
        <v>0.58333333333333326</v>
      </c>
      <c r="Q9" s="73">
        <f t="shared" si="5"/>
        <v>-9.4339622641509441E-2</v>
      </c>
      <c r="R9" s="73">
        <f t="shared" si="6"/>
        <v>2.3020257826888079E-3</v>
      </c>
    </row>
    <row r="10" spans="1:18">
      <c r="A10" s="30">
        <v>2017</v>
      </c>
      <c r="B10" s="70">
        <v>3245.6666666666665</v>
      </c>
      <c r="C10" s="70">
        <v>472.75</v>
      </c>
      <c r="D10" s="70">
        <v>34.75</v>
      </c>
      <c r="E10" s="70">
        <v>5</v>
      </c>
      <c r="F10" s="70">
        <v>2</v>
      </c>
      <c r="G10" s="70">
        <v>23.083333333333332</v>
      </c>
      <c r="H10" s="70">
        <v>908.33333333333337</v>
      </c>
      <c r="I10" s="71">
        <f t="shared" si="0"/>
        <v>4691.583333333333</v>
      </c>
      <c r="K10" s="30">
        <v>2017</v>
      </c>
      <c r="L10" s="73">
        <f t="shared" si="7"/>
        <v>8.179747359701707E-3</v>
      </c>
      <c r="M10" s="73">
        <f t="shared" si="1"/>
        <v>7.2798295454545858E-3</v>
      </c>
      <c r="N10" s="73">
        <f t="shared" si="2"/>
        <v>-2.3419203747072664E-2</v>
      </c>
      <c r="O10" s="73">
        <f t="shared" si="3"/>
        <v>0</v>
      </c>
      <c r="P10" s="73">
        <f t="shared" si="4"/>
        <v>0.26315789473684215</v>
      </c>
      <c r="Q10" s="73">
        <f t="shared" si="5"/>
        <v>-3.8194444444444496E-2</v>
      </c>
      <c r="R10" s="73">
        <f t="shared" si="6"/>
        <v>1.3780431786862655E-3</v>
      </c>
    </row>
    <row r="11" spans="1:18">
      <c r="A11" s="30">
        <v>2018</v>
      </c>
      <c r="B11" s="70">
        <v>3278.5833333333335</v>
      </c>
      <c r="C11" s="70">
        <v>470.16666666666669</v>
      </c>
      <c r="D11" s="70">
        <v>34</v>
      </c>
      <c r="E11" s="70">
        <v>5</v>
      </c>
      <c r="F11" s="70">
        <v>2.3333333333333335</v>
      </c>
      <c r="G11" s="70">
        <v>23</v>
      </c>
      <c r="H11" s="70">
        <v>908</v>
      </c>
      <c r="I11" s="71">
        <f t="shared" si="0"/>
        <v>4721.0833333333339</v>
      </c>
      <c r="K11" s="30">
        <v>2018</v>
      </c>
      <c r="L11" s="73">
        <f t="shared" si="7"/>
        <v>1.0141727431447152E-2</v>
      </c>
      <c r="M11" s="73">
        <f t="shared" si="1"/>
        <v>-5.4644808743169E-3</v>
      </c>
      <c r="N11" s="73">
        <f t="shared" si="2"/>
        <v>-2.1582733812949641E-2</v>
      </c>
      <c r="O11" s="73">
        <f t="shared" si="3"/>
        <v>0</v>
      </c>
      <c r="P11" s="73">
        <f t="shared" si="4"/>
        <v>0.16666666666666674</v>
      </c>
      <c r="Q11" s="73">
        <f t="shared" si="5"/>
        <v>-3.6101083032490464E-3</v>
      </c>
      <c r="R11" s="73">
        <f t="shared" si="6"/>
        <v>-3.6697247706426187E-4</v>
      </c>
    </row>
    <row r="12" spans="1:18">
      <c r="A12" s="30">
        <v>2019</v>
      </c>
      <c r="B12" s="70">
        <v>3301.9166666666665</v>
      </c>
      <c r="C12" s="70">
        <v>470</v>
      </c>
      <c r="D12" s="70">
        <v>35</v>
      </c>
      <c r="E12" s="70">
        <v>5</v>
      </c>
      <c r="F12" s="70">
        <v>2.3333333333333335</v>
      </c>
      <c r="G12" s="70">
        <v>23</v>
      </c>
      <c r="H12" s="70">
        <v>907.91666666666663</v>
      </c>
      <c r="I12" s="71">
        <f t="shared" si="0"/>
        <v>4745.166666666667</v>
      </c>
      <c r="K12" s="30">
        <v>2019</v>
      </c>
      <c r="L12" s="73">
        <f t="shared" si="7"/>
        <v>7.1168950003811697E-3</v>
      </c>
      <c r="M12" s="73">
        <f t="shared" si="1"/>
        <v>-3.5448422545200767E-4</v>
      </c>
      <c r="N12" s="73">
        <f t="shared" si="2"/>
        <v>2.9411764705882353E-2</v>
      </c>
      <c r="O12" s="73">
        <f t="shared" si="3"/>
        <v>0</v>
      </c>
      <c r="P12" s="73">
        <f t="shared" si="4"/>
        <v>0</v>
      </c>
      <c r="Q12" s="73">
        <f t="shared" si="5"/>
        <v>0</v>
      </c>
      <c r="R12" s="73">
        <f t="shared" si="6"/>
        <v>-9.1776798825298712E-5</v>
      </c>
    </row>
    <row r="13" spans="1:18">
      <c r="A13" s="74">
        <v>2020</v>
      </c>
      <c r="B13" s="78">
        <f>B12*B$29</f>
        <v>3328.3920644477507</v>
      </c>
      <c r="C13" s="78">
        <f t="shared" ref="C13:E14" si="8">C12*C$29</f>
        <v>469.01049704688995</v>
      </c>
      <c r="D13" s="78">
        <f t="shared" si="8"/>
        <v>34.516623397710227</v>
      </c>
      <c r="E13" s="78">
        <f t="shared" si="8"/>
        <v>5</v>
      </c>
      <c r="F13" s="78">
        <f t="shared" ref="F13:H14" si="9">F12*F$30</f>
        <v>2.3333333333333335</v>
      </c>
      <c r="G13" s="78">
        <f t="shared" si="9"/>
        <v>23</v>
      </c>
      <c r="H13" s="78">
        <v>924</v>
      </c>
      <c r="I13" s="75">
        <f t="shared" si="0"/>
        <v>4786.252518225685</v>
      </c>
      <c r="K13" s="30">
        <v>2020</v>
      </c>
      <c r="L13" s="73">
        <f t="shared" si="7"/>
        <v>8.0181907824498529E-3</v>
      </c>
      <c r="M13" s="73">
        <f t="shared" si="1"/>
        <v>-2.1053254321490374E-3</v>
      </c>
      <c r="N13" s="73">
        <f t="shared" si="2"/>
        <v>-1.3810760065422098E-2</v>
      </c>
      <c r="O13" s="73">
        <f t="shared" si="3"/>
        <v>0</v>
      </c>
      <c r="P13" s="73">
        <f t="shared" si="4"/>
        <v>0</v>
      </c>
      <c r="Q13" s="73">
        <f t="shared" si="5"/>
        <v>0</v>
      </c>
      <c r="R13" s="73">
        <f t="shared" si="6"/>
        <v>1.771454795777884E-2</v>
      </c>
    </row>
    <row r="14" spans="1:18">
      <c r="A14" s="76">
        <v>2021</v>
      </c>
      <c r="B14" s="79">
        <f>B13*B$29</f>
        <v>3355.0797470192852</v>
      </c>
      <c r="C14" s="79">
        <f t="shared" si="8"/>
        <v>468.02307731951225</v>
      </c>
      <c r="D14" s="79">
        <f t="shared" si="8"/>
        <v>34.039922593695913</v>
      </c>
      <c r="E14" s="79">
        <f t="shared" si="8"/>
        <v>5</v>
      </c>
      <c r="F14" s="79">
        <f t="shared" si="9"/>
        <v>2.3333333333333335</v>
      </c>
      <c r="G14" s="79">
        <f t="shared" si="9"/>
        <v>23</v>
      </c>
      <c r="H14" s="79">
        <f t="shared" si="9"/>
        <v>924</v>
      </c>
      <c r="I14" s="77">
        <f t="shared" si="0"/>
        <v>4811.4760802658266</v>
      </c>
      <c r="K14" s="30">
        <v>2021</v>
      </c>
      <c r="L14" s="73">
        <f t="shared" si="7"/>
        <v>8.0181907824499223E-3</v>
      </c>
      <c r="M14" s="73">
        <f t="shared" si="1"/>
        <v>-2.1053254321490803E-3</v>
      </c>
      <c r="N14" s="73">
        <f t="shared" si="2"/>
        <v>-1.3810760065422199E-2</v>
      </c>
      <c r="O14" s="73">
        <f t="shared" si="3"/>
        <v>0</v>
      </c>
      <c r="P14" s="73">
        <f t="shared" si="4"/>
        <v>0</v>
      </c>
      <c r="Q14" s="73">
        <f t="shared" si="5"/>
        <v>0</v>
      </c>
      <c r="R14" s="73">
        <f t="shared" si="6"/>
        <v>0</v>
      </c>
    </row>
    <row r="18" spans="1:12">
      <c r="A18" s="72" t="s">
        <v>104</v>
      </c>
      <c r="L18" s="296"/>
    </row>
    <row r="19" spans="1:12">
      <c r="A19" s="30">
        <v>2011</v>
      </c>
      <c r="B19" s="360">
        <f>B4/B3</f>
        <v>1.009871186440678</v>
      </c>
      <c r="C19" s="360">
        <f t="shared" ref="C19:H19" si="10">C4/C3</f>
        <v>0.99739039665970775</v>
      </c>
      <c r="D19" s="360">
        <f t="shared" si="10"/>
        <v>0.96638655462184886</v>
      </c>
      <c r="E19" s="360">
        <f t="shared" si="10"/>
        <v>1</v>
      </c>
      <c r="F19" s="360">
        <f t="shared" si="10"/>
        <v>1.357142857142857</v>
      </c>
      <c r="G19" s="360">
        <f t="shared" si="10"/>
        <v>1</v>
      </c>
      <c r="H19" s="360">
        <f t="shared" si="10"/>
        <v>0.999074074074074</v>
      </c>
      <c r="L19" s="296"/>
    </row>
    <row r="20" spans="1:12">
      <c r="A20" s="30">
        <v>2012</v>
      </c>
      <c r="B20" s="360">
        <f t="shared" ref="B20:H27" si="11">B5/B4</f>
        <v>1.0074384381965145</v>
      </c>
      <c r="C20" s="360">
        <f t="shared" si="11"/>
        <v>1</v>
      </c>
      <c r="D20" s="360">
        <f t="shared" si="11"/>
        <v>0.98260869565217379</v>
      </c>
      <c r="E20" s="360">
        <f t="shared" si="11"/>
        <v>1</v>
      </c>
      <c r="F20" s="360">
        <f t="shared" si="11"/>
        <v>0.84210526315789469</v>
      </c>
      <c r="G20" s="360">
        <f t="shared" si="11"/>
        <v>1</v>
      </c>
      <c r="H20" s="360">
        <f t="shared" si="11"/>
        <v>0.99870250231696023</v>
      </c>
      <c r="L20" s="296"/>
    </row>
    <row r="21" spans="1:12">
      <c r="A21" s="30">
        <v>2013</v>
      </c>
      <c r="B21" s="360">
        <f t="shared" si="11"/>
        <v>1.0109286704339482</v>
      </c>
      <c r="C21" s="360">
        <f t="shared" si="11"/>
        <v>0.9926739926739927</v>
      </c>
      <c r="D21" s="360">
        <f t="shared" si="11"/>
        <v>1.0199115044247788</v>
      </c>
      <c r="E21" s="360">
        <f t="shared" si="11"/>
        <v>1.1666666666666665</v>
      </c>
      <c r="F21" s="360">
        <f t="shared" si="11"/>
        <v>1.1875</v>
      </c>
      <c r="G21" s="360">
        <f t="shared" si="11"/>
        <v>1</v>
      </c>
      <c r="H21" s="360">
        <f t="shared" si="11"/>
        <v>1.0016703786191536</v>
      </c>
      <c r="L21" s="296"/>
    </row>
    <row r="22" spans="1:12">
      <c r="A22" s="30">
        <v>2014</v>
      </c>
      <c r="B22" s="360">
        <f t="shared" si="11"/>
        <v>1.0094658018246057</v>
      </c>
      <c r="C22" s="360">
        <f t="shared" si="11"/>
        <v>0.99753997539975392</v>
      </c>
      <c r="D22" s="360">
        <f t="shared" si="11"/>
        <v>0.99783080260303703</v>
      </c>
      <c r="E22" s="360">
        <f t="shared" si="11"/>
        <v>1</v>
      </c>
      <c r="F22" s="360">
        <f t="shared" si="11"/>
        <v>0.73684210526315796</v>
      </c>
      <c r="G22" s="360">
        <f t="shared" si="11"/>
        <v>0.99702380952380953</v>
      </c>
      <c r="H22" s="360">
        <f t="shared" si="11"/>
        <v>1.0061145080600333</v>
      </c>
    </row>
    <row r="23" spans="1:12">
      <c r="A23" s="30">
        <v>2015</v>
      </c>
      <c r="B23" s="360">
        <f t="shared" si="11"/>
        <v>1.006738931696487</v>
      </c>
      <c r="C23" s="360">
        <f t="shared" si="11"/>
        <v>1.0028183899947156</v>
      </c>
      <c r="D23" s="360">
        <f t="shared" si="11"/>
        <v>0.93260869565217386</v>
      </c>
      <c r="E23" s="360">
        <f t="shared" si="11"/>
        <v>0.85714285714285721</v>
      </c>
      <c r="F23" s="360">
        <f t="shared" si="11"/>
        <v>0.8571428571428571</v>
      </c>
      <c r="G23" s="360">
        <f t="shared" si="11"/>
        <v>0.9492537313432835</v>
      </c>
      <c r="H23" s="360">
        <f t="shared" si="11"/>
        <v>1</v>
      </c>
    </row>
    <row r="24" spans="1:12">
      <c r="A24" s="30">
        <v>2016</v>
      </c>
      <c r="B24" s="360">
        <f t="shared" si="11"/>
        <v>1.0023091093064889</v>
      </c>
      <c r="C24" s="360">
        <f t="shared" si="11"/>
        <v>0.98928508694888451</v>
      </c>
      <c r="D24" s="360">
        <f t="shared" si="11"/>
        <v>0.99533799533799538</v>
      </c>
      <c r="E24" s="360">
        <f t="shared" si="11"/>
        <v>1</v>
      </c>
      <c r="F24" s="360">
        <f t="shared" si="11"/>
        <v>1.5833333333333333</v>
      </c>
      <c r="G24" s="360">
        <f t="shared" si="11"/>
        <v>0.90566037735849059</v>
      </c>
      <c r="H24" s="360">
        <f t="shared" si="11"/>
        <v>1.0023020257826889</v>
      </c>
    </row>
    <row r="25" spans="1:12">
      <c r="A25" s="30">
        <v>2017</v>
      </c>
      <c r="B25" s="360">
        <f t="shared" si="11"/>
        <v>1.0081797473597016</v>
      </c>
      <c r="C25" s="360">
        <f t="shared" si="11"/>
        <v>1.0072798295454546</v>
      </c>
      <c r="D25" s="360">
        <f t="shared" si="11"/>
        <v>0.97658079625292737</v>
      </c>
      <c r="E25" s="360">
        <f t="shared" si="11"/>
        <v>1</v>
      </c>
      <c r="F25" s="360">
        <f t="shared" si="11"/>
        <v>1.2631578947368423</v>
      </c>
      <c r="G25" s="360">
        <f t="shared" si="11"/>
        <v>0.96180555555555547</v>
      </c>
      <c r="H25" s="360">
        <f t="shared" si="11"/>
        <v>1.0013780431786863</v>
      </c>
    </row>
    <row r="26" spans="1:12">
      <c r="A26" s="30">
        <v>2018</v>
      </c>
      <c r="B26" s="360">
        <f t="shared" si="11"/>
        <v>1.0101417274314473</v>
      </c>
      <c r="C26" s="360">
        <f t="shared" si="11"/>
        <v>0.99453551912568305</v>
      </c>
      <c r="D26" s="360">
        <f t="shared" si="11"/>
        <v>0.97841726618705038</v>
      </c>
      <c r="E26" s="360">
        <f t="shared" si="11"/>
        <v>1</v>
      </c>
      <c r="F26" s="360">
        <f t="shared" si="11"/>
        <v>1.1666666666666667</v>
      </c>
      <c r="G26" s="360">
        <f t="shared" si="11"/>
        <v>0.99638989169675096</v>
      </c>
      <c r="H26" s="360">
        <f t="shared" si="11"/>
        <v>0.9996330275229357</v>
      </c>
    </row>
    <row r="27" spans="1:12">
      <c r="A27" s="30">
        <v>2019</v>
      </c>
      <c r="B27" s="360">
        <f>B12/B11</f>
        <v>1.0071168950003813</v>
      </c>
      <c r="C27" s="360">
        <f t="shared" si="11"/>
        <v>0.99964551577454797</v>
      </c>
      <c r="D27" s="360">
        <f t="shared" si="11"/>
        <v>1.0294117647058822</v>
      </c>
      <c r="E27" s="360">
        <f t="shared" si="11"/>
        <v>1</v>
      </c>
      <c r="F27" s="360">
        <f t="shared" si="11"/>
        <v>1</v>
      </c>
      <c r="G27" s="360">
        <f t="shared" si="11"/>
        <v>1</v>
      </c>
      <c r="H27" s="360">
        <f t="shared" si="11"/>
        <v>0.99990822320117467</v>
      </c>
    </row>
    <row r="29" spans="1:12">
      <c r="A29" s="72" t="s">
        <v>105</v>
      </c>
      <c r="B29" s="360">
        <f>GEOMEAN(B19:B27)</f>
        <v>1.0080181907824499</v>
      </c>
      <c r="C29" s="360">
        <f>GEOMEAN(C19:C27)</f>
        <v>0.99789467456785097</v>
      </c>
      <c r="D29" s="360">
        <f>GEOMEAN(D19:D27)</f>
        <v>0.98618923993457785</v>
      </c>
      <c r="E29" s="360">
        <f>GEOMEAN(E19:E27)</f>
        <v>1</v>
      </c>
      <c r="F29" s="361"/>
      <c r="G29" s="361"/>
      <c r="H29" s="361"/>
    </row>
    <row r="30" spans="1:12">
      <c r="A30" s="344" t="s">
        <v>265</v>
      </c>
      <c r="B30" s="360"/>
      <c r="C30" s="360"/>
      <c r="D30" s="360"/>
      <c r="E30" s="360"/>
      <c r="F30" s="360">
        <v>1</v>
      </c>
      <c r="G30" s="360">
        <v>1</v>
      </c>
      <c r="H30" s="360">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2:S33"/>
  <sheetViews>
    <sheetView workbookViewId="0"/>
  </sheetViews>
  <sheetFormatPr defaultColWidth="8.6640625" defaultRowHeight="14.5"/>
  <cols>
    <col min="1" max="1" width="13.58203125" style="61" bestFit="1" customWidth="1"/>
    <col min="2" max="2" width="9.1640625" style="61" customWidth="1"/>
    <col min="3" max="3" width="8.1640625" style="61" customWidth="1"/>
    <col min="4" max="4" width="10.58203125" style="61" bestFit="1" customWidth="1"/>
    <col min="5" max="5" width="13.4140625" style="61" bestFit="1" customWidth="1"/>
    <col min="6" max="6" width="3.58203125" style="61" customWidth="1"/>
    <col min="7" max="7" width="7.1640625" style="61" bestFit="1" customWidth="1"/>
    <col min="8" max="8" width="9.9140625" style="61" bestFit="1" customWidth="1"/>
    <col min="9" max="9" width="8.6640625" style="61" bestFit="1" customWidth="1"/>
    <col min="10" max="10" width="8.6640625" style="61"/>
    <col min="11" max="11" width="10.83203125" style="61" bestFit="1" customWidth="1"/>
    <col min="12" max="13" width="8.6640625" style="61" bestFit="1" customWidth="1"/>
    <col min="14" max="14" width="10.58203125" style="61" bestFit="1" customWidth="1"/>
    <col min="15" max="15" width="13.4140625" style="61" bestFit="1" customWidth="1"/>
    <col min="16" max="16" width="3.58203125" style="61" bestFit="1" customWidth="1"/>
    <col min="17" max="17" width="7" style="61" bestFit="1" customWidth="1"/>
    <col min="18" max="18" width="9.9140625" style="61" bestFit="1" customWidth="1"/>
    <col min="19" max="19" width="9" style="61" bestFit="1" customWidth="1"/>
    <col min="20" max="16384" width="8.6640625" style="61"/>
  </cols>
  <sheetData>
    <row r="2" spans="1:19">
      <c r="A2" s="90" t="s">
        <v>106</v>
      </c>
      <c r="K2" s="90" t="s">
        <v>107</v>
      </c>
    </row>
    <row r="3" spans="1:19">
      <c r="A3" s="382"/>
      <c r="B3" s="457" t="s">
        <v>14</v>
      </c>
      <c r="C3" s="457" t="s">
        <v>48</v>
      </c>
      <c r="D3" s="383" t="s">
        <v>54</v>
      </c>
      <c r="E3" s="383" t="s">
        <v>55</v>
      </c>
      <c r="F3" s="383" t="s">
        <v>56</v>
      </c>
      <c r="G3" s="383" t="s">
        <v>57</v>
      </c>
      <c r="H3" s="384" t="s">
        <v>58</v>
      </c>
      <c r="I3" s="81" t="s">
        <v>32</v>
      </c>
      <c r="L3" s="2" t="s">
        <v>14</v>
      </c>
      <c r="M3" s="2" t="s">
        <v>48</v>
      </c>
      <c r="N3" s="2" t="s">
        <v>54</v>
      </c>
      <c r="O3" s="2" t="s">
        <v>55</v>
      </c>
      <c r="P3" s="2" t="s">
        <v>56</v>
      </c>
      <c r="Q3" s="2" t="s">
        <v>57</v>
      </c>
      <c r="R3" s="2" t="s">
        <v>58</v>
      </c>
      <c r="S3" s="81" t="s">
        <v>32</v>
      </c>
    </row>
    <row r="4" spans="1:19">
      <c r="A4" s="453">
        <v>2010</v>
      </c>
      <c r="B4" s="458"/>
      <c r="C4" s="458"/>
      <c r="D4" s="458">
        <v>61885.200000000012</v>
      </c>
      <c r="E4" s="458">
        <v>83976.04</v>
      </c>
      <c r="F4" s="458"/>
      <c r="G4" s="458">
        <v>87.726000000000013</v>
      </c>
      <c r="H4" s="458">
        <v>1964.4000000000003</v>
      </c>
      <c r="I4" s="83">
        <f>SUM(B4:H4)</f>
        <v>147913.36599999998</v>
      </c>
      <c r="K4" s="61">
        <v>2010</v>
      </c>
      <c r="L4" s="82"/>
      <c r="M4" s="82"/>
      <c r="N4" s="57">
        <v>20855253</v>
      </c>
      <c r="O4" s="57">
        <v>38077454.969999999</v>
      </c>
      <c r="P4" s="82"/>
      <c r="Q4" s="57">
        <v>31586.329999999994</v>
      </c>
      <c r="R4" s="57">
        <v>719199</v>
      </c>
      <c r="S4" s="83">
        <f>SUM(L4:R4)</f>
        <v>59683493.299999997</v>
      </c>
    </row>
    <row r="5" spans="1:19">
      <c r="A5" s="453">
        <v>2011</v>
      </c>
      <c r="B5" s="458"/>
      <c r="C5" s="458"/>
      <c r="D5" s="458">
        <v>65743.399999999994</v>
      </c>
      <c r="E5" s="458">
        <v>86114.400000000009</v>
      </c>
      <c r="F5" s="458"/>
      <c r="G5" s="458">
        <v>80.488388888888892</v>
      </c>
      <c r="H5" s="458">
        <v>1963.4999999999995</v>
      </c>
      <c r="I5" s="83">
        <f t="shared" ref="I5:I15" si="0">SUM(B5:H5)</f>
        <v>153901.78838888888</v>
      </c>
      <c r="K5" s="61">
        <v>2011</v>
      </c>
      <c r="L5" s="82"/>
      <c r="M5" s="82"/>
      <c r="N5" s="57">
        <v>21357589</v>
      </c>
      <c r="O5" s="57">
        <v>39521514.93</v>
      </c>
      <c r="P5" s="82"/>
      <c r="Q5" s="57">
        <v>27611.850000000006</v>
      </c>
      <c r="R5" s="57">
        <v>713388</v>
      </c>
      <c r="S5" s="83">
        <f t="shared" ref="S5:S15" si="1">SUM(L5:R5)</f>
        <v>61620103.780000001</v>
      </c>
    </row>
    <row r="6" spans="1:19">
      <c r="A6" s="453">
        <v>2012</v>
      </c>
      <c r="B6" s="458"/>
      <c r="C6" s="458"/>
      <c r="D6" s="458">
        <v>67820.399999999994</v>
      </c>
      <c r="E6" s="458">
        <v>89132.000000000015</v>
      </c>
      <c r="F6" s="458"/>
      <c r="G6" s="458">
        <v>72.48</v>
      </c>
      <c r="H6" s="458">
        <v>1963.1999999999996</v>
      </c>
      <c r="I6" s="83">
        <f t="shared" si="0"/>
        <v>158988.08000000005</v>
      </c>
      <c r="K6" s="61">
        <v>2012</v>
      </c>
      <c r="L6" s="82"/>
      <c r="M6" s="82"/>
      <c r="N6" s="57">
        <v>21917336.890000001</v>
      </c>
      <c r="O6" s="57">
        <v>42337528.850000001</v>
      </c>
      <c r="P6" s="82"/>
      <c r="Q6" s="57">
        <v>26092.800000000007</v>
      </c>
      <c r="R6" s="57">
        <v>715663</v>
      </c>
      <c r="S6" s="83">
        <f t="shared" si="1"/>
        <v>64996621.539999999</v>
      </c>
    </row>
    <row r="7" spans="1:19">
      <c r="A7" s="453">
        <v>2013</v>
      </c>
      <c r="B7" s="458"/>
      <c r="C7" s="458"/>
      <c r="D7" s="458">
        <v>52256</v>
      </c>
      <c r="E7" s="458">
        <v>105091.5</v>
      </c>
      <c r="F7" s="458"/>
      <c r="G7" s="458">
        <v>72.48</v>
      </c>
      <c r="H7" s="458">
        <v>1979.6999999999996</v>
      </c>
      <c r="I7" s="83">
        <f t="shared" si="0"/>
        <v>159399.68000000002</v>
      </c>
      <c r="K7" s="61">
        <v>2013</v>
      </c>
      <c r="L7" s="82"/>
      <c r="M7" s="82"/>
      <c r="N7" s="57">
        <v>16562845.530000001</v>
      </c>
      <c r="O7" s="57">
        <v>49310777.399999991</v>
      </c>
      <c r="P7" s="82"/>
      <c r="Q7" s="57">
        <v>26092.800000000007</v>
      </c>
      <c r="R7" s="57">
        <v>719239</v>
      </c>
      <c r="S7" s="83">
        <f t="shared" si="1"/>
        <v>66618954.729999989</v>
      </c>
    </row>
    <row r="8" spans="1:19">
      <c r="A8" s="453">
        <v>2014</v>
      </c>
      <c r="B8" s="458"/>
      <c r="C8" s="458"/>
      <c r="D8" s="458">
        <v>48273.4</v>
      </c>
      <c r="E8" s="458">
        <v>109682.1</v>
      </c>
      <c r="F8" s="458"/>
      <c r="G8" s="458">
        <v>70.580611111111111</v>
      </c>
      <c r="H8" s="458">
        <v>1983.3099999999997</v>
      </c>
      <c r="I8" s="83">
        <f t="shared" si="0"/>
        <v>160009.3906111111</v>
      </c>
      <c r="K8" s="61">
        <v>2014</v>
      </c>
      <c r="L8" s="82"/>
      <c r="M8" s="82"/>
      <c r="N8" s="57">
        <v>15962528.779999999</v>
      </c>
      <c r="O8" s="57">
        <v>50998403.280000001</v>
      </c>
      <c r="P8" s="82"/>
      <c r="Q8" s="57">
        <v>25409.019999999997</v>
      </c>
      <c r="R8" s="57">
        <v>720792</v>
      </c>
      <c r="S8" s="83">
        <f t="shared" si="1"/>
        <v>67707133.080000013</v>
      </c>
    </row>
    <row r="9" spans="1:19">
      <c r="A9" s="453">
        <v>2015</v>
      </c>
      <c r="B9" s="458"/>
      <c r="C9" s="458"/>
      <c r="D9" s="458">
        <v>55778.200000000012</v>
      </c>
      <c r="E9" s="458">
        <v>99567.400000000009</v>
      </c>
      <c r="F9" s="458"/>
      <c r="G9" s="458">
        <v>69.674000000000007</v>
      </c>
      <c r="H9" s="458">
        <v>1983.5999999999997</v>
      </c>
      <c r="I9" s="83">
        <f t="shared" si="0"/>
        <v>157398.87400000004</v>
      </c>
      <c r="K9" s="61">
        <v>2015</v>
      </c>
      <c r="L9" s="82"/>
      <c r="M9" s="82"/>
      <c r="N9" s="57">
        <v>20081441.440000001</v>
      </c>
      <c r="O9" s="57">
        <v>47530354.799999997</v>
      </c>
      <c r="P9" s="82"/>
      <c r="Q9" s="57">
        <v>24838.850000000002</v>
      </c>
      <c r="R9" s="57">
        <v>720792</v>
      </c>
      <c r="S9" s="83">
        <f t="shared" si="1"/>
        <v>68357427.089999989</v>
      </c>
    </row>
    <row r="10" spans="1:19">
      <c r="A10" s="453">
        <v>2016</v>
      </c>
      <c r="B10" s="458"/>
      <c r="C10" s="458"/>
      <c r="D10" s="458">
        <v>55435.900000000009</v>
      </c>
      <c r="E10" s="458">
        <v>96818.1</v>
      </c>
      <c r="F10" s="458"/>
      <c r="G10" s="458">
        <v>61.269333333333336</v>
      </c>
      <c r="H10" s="458">
        <v>1984.2000000000005</v>
      </c>
      <c r="I10" s="83">
        <f t="shared" si="0"/>
        <v>154299.46933333334</v>
      </c>
      <c r="K10" s="61">
        <v>2016</v>
      </c>
      <c r="L10" s="82"/>
      <c r="M10" s="82"/>
      <c r="N10" s="57">
        <v>19893743.399999999</v>
      </c>
      <c r="O10" s="57">
        <v>45496516.099999994</v>
      </c>
      <c r="P10" s="82"/>
      <c r="Q10" s="57">
        <v>22056.959999999995</v>
      </c>
      <c r="R10" s="57">
        <v>723427</v>
      </c>
      <c r="S10" s="83">
        <f t="shared" si="1"/>
        <v>66135743.459999993</v>
      </c>
    </row>
    <row r="11" spans="1:19">
      <c r="A11" s="453">
        <v>2017</v>
      </c>
      <c r="B11" s="458"/>
      <c r="C11" s="458"/>
      <c r="D11" s="458">
        <v>53405.200000000004</v>
      </c>
      <c r="E11" s="458">
        <v>98592</v>
      </c>
      <c r="F11" s="458"/>
      <c r="G11" s="458">
        <v>54.648000000000017</v>
      </c>
      <c r="H11" s="458">
        <v>1920.3999999999999</v>
      </c>
      <c r="I11" s="83">
        <f t="shared" si="0"/>
        <v>153972.24799999999</v>
      </c>
      <c r="K11" s="61">
        <v>2017</v>
      </c>
      <c r="L11" s="82"/>
      <c r="M11" s="82"/>
      <c r="N11" s="57">
        <v>19029613.010000002</v>
      </c>
      <c r="O11" s="57">
        <v>45750527.200000003</v>
      </c>
      <c r="P11" s="82"/>
      <c r="Q11" s="57">
        <v>19673.28</v>
      </c>
      <c r="R11" s="57">
        <v>697359.11999999988</v>
      </c>
      <c r="S11" s="83">
        <f t="shared" si="1"/>
        <v>65497172.610000007</v>
      </c>
    </row>
    <row r="12" spans="1:19">
      <c r="A12" s="453">
        <v>2018</v>
      </c>
      <c r="B12" s="458"/>
      <c r="C12" s="458"/>
      <c r="D12" s="458">
        <v>52914.899999999994</v>
      </c>
      <c r="E12" s="458">
        <v>98024.8</v>
      </c>
      <c r="F12" s="458"/>
      <c r="G12" s="458">
        <v>54.648000000000017</v>
      </c>
      <c r="H12" s="458">
        <v>1902</v>
      </c>
      <c r="I12" s="83">
        <f t="shared" si="0"/>
        <v>152896.348</v>
      </c>
      <c r="K12" s="61">
        <v>2018</v>
      </c>
      <c r="L12" s="82"/>
      <c r="M12" s="82"/>
      <c r="N12" s="57">
        <v>18305428.530000001</v>
      </c>
      <c r="O12" s="57">
        <v>43913955.700000003</v>
      </c>
      <c r="P12" s="82"/>
      <c r="Q12" s="57">
        <v>19673.28</v>
      </c>
      <c r="R12" s="57">
        <v>691015.42999999993</v>
      </c>
      <c r="S12" s="83">
        <f t="shared" si="1"/>
        <v>62930072.940000005</v>
      </c>
    </row>
    <row r="13" spans="1:19">
      <c r="A13" s="454">
        <v>2019</v>
      </c>
      <c r="B13" s="458"/>
      <c r="C13" s="458"/>
      <c r="D13" s="458">
        <v>51684.799999999988</v>
      </c>
      <c r="E13" s="458">
        <v>96230.2</v>
      </c>
      <c r="F13" s="458"/>
      <c r="G13" s="458">
        <v>54.640000000000008</v>
      </c>
      <c r="H13" s="458">
        <v>1810.1</v>
      </c>
      <c r="I13" s="83">
        <f t="shared" si="0"/>
        <v>149779.74000000002</v>
      </c>
      <c r="K13" s="61">
        <v>2019</v>
      </c>
      <c r="L13" s="82"/>
      <c r="M13" s="82"/>
      <c r="N13" s="57">
        <v>18739879.539999999</v>
      </c>
      <c r="O13" s="57">
        <v>42766148</v>
      </c>
      <c r="P13" s="82"/>
      <c r="Q13" s="57">
        <v>19673.28</v>
      </c>
      <c r="R13" s="57">
        <v>650270.32999999996</v>
      </c>
      <c r="S13" s="83">
        <f t="shared" si="1"/>
        <v>62175971.149999999</v>
      </c>
    </row>
    <row r="14" spans="1:19">
      <c r="A14" s="455" t="s">
        <v>292</v>
      </c>
      <c r="B14" s="459"/>
      <c r="C14" s="459"/>
      <c r="D14" s="459">
        <f>N14*D$33</f>
        <v>51994.938367769304</v>
      </c>
      <c r="E14" s="459">
        <f>E13</f>
        <v>96230.2</v>
      </c>
      <c r="F14" s="459"/>
      <c r="G14" s="459">
        <f>Q14*G$33</f>
        <v>54.753672566322521</v>
      </c>
      <c r="H14" s="459">
        <f>'4a. Streetlights LED Conv'!C17</f>
        <v>632.47200000000009</v>
      </c>
      <c r="I14" s="86">
        <f t="shared" si="0"/>
        <v>148912.36404033564</v>
      </c>
      <c r="K14" s="84">
        <v>2020</v>
      </c>
      <c r="L14" s="118"/>
      <c r="M14" s="118"/>
      <c r="N14" s="85">
        <f>'3a. Rate Class Energy Model'!M52</f>
        <v>18544051.866166398</v>
      </c>
      <c r="O14" s="85">
        <f>'3a. Rate Class Energy Model'!N52</f>
        <v>42766148</v>
      </c>
      <c r="P14" s="118"/>
      <c r="Q14" s="85">
        <f>'3a. Rate Class Energy Model'!P52</f>
        <v>19673.28</v>
      </c>
      <c r="R14" s="85">
        <f>'3a. Rate Class Energy Model'!Q52</f>
        <v>229832.84868997012</v>
      </c>
      <c r="S14" s="86">
        <f t="shared" si="1"/>
        <v>61559705.994856372</v>
      </c>
    </row>
    <row r="15" spans="1:19">
      <c r="A15" s="455" t="s">
        <v>293</v>
      </c>
      <c r="B15" s="460"/>
      <c r="C15" s="460"/>
      <c r="D15" s="460">
        <f>N15*D$33</f>
        <v>51267.287564632788</v>
      </c>
      <c r="E15" s="460">
        <f>E13</f>
        <v>96230.2</v>
      </c>
      <c r="F15" s="460"/>
      <c r="G15" s="460">
        <f>Q15*G$33</f>
        <v>54.753672566322521</v>
      </c>
      <c r="H15" s="460">
        <f>'4a. Streetlights LED Conv'!C17</f>
        <v>632.47200000000009</v>
      </c>
      <c r="I15" s="89">
        <f t="shared" si="0"/>
        <v>148184.71323719912</v>
      </c>
      <c r="K15" s="87">
        <v>2021</v>
      </c>
      <c r="L15" s="119"/>
      <c r="M15" s="119"/>
      <c r="N15" s="88">
        <f>'3a. Rate Class Energy Model'!M53</f>
        <v>18284534.408171184</v>
      </c>
      <c r="O15" s="88">
        <f>'3a. Rate Class Energy Model'!N53</f>
        <v>42766148</v>
      </c>
      <c r="P15" s="119"/>
      <c r="Q15" s="88">
        <f>'3a. Rate Class Energy Model'!P53</f>
        <v>19673.28</v>
      </c>
      <c r="R15" s="88">
        <f>'3a. Rate Class Energy Model'!Q53</f>
        <v>229832.84868997012</v>
      </c>
      <c r="S15" s="89">
        <f t="shared" si="1"/>
        <v>61300188.536861159</v>
      </c>
    </row>
    <row r="16" spans="1:19">
      <c r="E16" s="473" t="s">
        <v>303</v>
      </c>
    </row>
    <row r="19" spans="1:8">
      <c r="A19" s="90" t="s">
        <v>291</v>
      </c>
    </row>
    <row r="20" spans="1:8">
      <c r="A20" s="61">
        <v>2010</v>
      </c>
      <c r="D20" s="91">
        <f>D4/N4</f>
        <v>2.9673675020868849E-3</v>
      </c>
      <c r="E20" s="91">
        <f>E4/O4</f>
        <v>2.2054005464956102E-3</v>
      </c>
      <c r="F20" s="62"/>
      <c r="G20" s="91">
        <f>G4/Q4</f>
        <v>2.7773407040324097E-3</v>
      </c>
      <c r="H20" s="91">
        <f>H4/R4</f>
        <v>2.731371984666275E-3</v>
      </c>
    </row>
    <row r="21" spans="1:8">
      <c r="A21" s="61">
        <v>2011</v>
      </c>
      <c r="D21" s="91">
        <f t="shared" ref="D21:D29" si="2">D5/N5</f>
        <v>3.0782219847006135E-3</v>
      </c>
      <c r="E21" s="91">
        <f t="shared" ref="E21:E29" si="3">E5/O5</f>
        <v>2.1789245719078514E-3</v>
      </c>
      <c r="F21" s="62"/>
      <c r="G21" s="91">
        <f t="shared" ref="G21:G29" si="4">G5/Q5</f>
        <v>2.9149944277145094E-3</v>
      </c>
      <c r="H21" s="91">
        <f t="shared" ref="H21:H29" si="5">H5/R5</f>
        <v>2.7523591649985697E-3</v>
      </c>
    </row>
    <row r="22" spans="1:8">
      <c r="A22" s="61">
        <v>2012</v>
      </c>
      <c r="D22" s="91">
        <f t="shared" si="2"/>
        <v>3.0943722926001886E-3</v>
      </c>
      <c r="E22" s="91">
        <f t="shared" si="3"/>
        <v>2.1052716684478862E-3</v>
      </c>
      <c r="F22" s="62"/>
      <c r="G22" s="91">
        <f t="shared" si="4"/>
        <v>2.777777777777777E-3</v>
      </c>
      <c r="H22" s="91">
        <f t="shared" si="5"/>
        <v>2.7431905799237904E-3</v>
      </c>
    </row>
    <row r="23" spans="1:8">
      <c r="A23" s="61">
        <v>2013</v>
      </c>
      <c r="D23" s="91">
        <f t="shared" si="2"/>
        <v>3.1550134247976648E-3</v>
      </c>
      <c r="E23" s="91">
        <f t="shared" si="3"/>
        <v>2.1312075278699626E-3</v>
      </c>
      <c r="F23" s="62"/>
      <c r="G23" s="91">
        <f t="shared" si="4"/>
        <v>2.777777777777777E-3</v>
      </c>
      <c r="H23" s="91">
        <f t="shared" si="5"/>
        <v>2.7524925650583456E-3</v>
      </c>
    </row>
    <row r="24" spans="1:8">
      <c r="A24" s="61">
        <v>2014</v>
      </c>
      <c r="D24" s="91">
        <f t="shared" si="2"/>
        <v>3.0241699586147906E-3</v>
      </c>
      <c r="E24" s="91">
        <f t="shared" si="3"/>
        <v>2.1506967462844848E-3</v>
      </c>
      <c r="F24" s="62"/>
      <c r="G24" s="91">
        <f t="shared" si="4"/>
        <v>2.7777777777777783E-3</v>
      </c>
      <c r="H24" s="91">
        <f t="shared" si="5"/>
        <v>2.7515704946780759E-3</v>
      </c>
    </row>
    <row r="25" spans="1:8">
      <c r="A25" s="61">
        <v>2015</v>
      </c>
      <c r="D25" s="91">
        <f t="shared" si="2"/>
        <v>2.777599415194172E-3</v>
      </c>
      <c r="E25" s="91">
        <f t="shared" si="3"/>
        <v>2.0948170999135905E-3</v>
      </c>
      <c r="F25" s="62"/>
      <c r="G25" s="91">
        <f t="shared" si="4"/>
        <v>2.8050412961952748E-3</v>
      </c>
      <c r="H25" s="91">
        <f t="shared" si="5"/>
        <v>2.7519728298871235E-3</v>
      </c>
    </row>
    <row r="26" spans="1:8">
      <c r="A26" s="61">
        <v>2016</v>
      </c>
      <c r="D26" s="91">
        <f t="shared" si="2"/>
        <v>2.7865997306469738E-3</v>
      </c>
      <c r="E26" s="91">
        <f t="shared" si="3"/>
        <v>2.1280332715409834E-3</v>
      </c>
      <c r="F26" s="62"/>
      <c r="G26" s="91">
        <f t="shared" si="4"/>
        <v>2.7777777777777783E-3</v>
      </c>
      <c r="H26" s="91">
        <f t="shared" si="5"/>
        <v>2.7427784697004682E-3</v>
      </c>
    </row>
    <row r="27" spans="1:8">
      <c r="A27" s="61">
        <v>2017</v>
      </c>
      <c r="D27" s="91">
        <f t="shared" si="2"/>
        <v>2.8064259621010546E-3</v>
      </c>
      <c r="E27" s="91">
        <f t="shared" si="3"/>
        <v>2.1549915604032644E-3</v>
      </c>
      <c r="F27" s="62"/>
      <c r="G27" s="91">
        <f t="shared" si="4"/>
        <v>2.7777777777777788E-3</v>
      </c>
      <c r="H27" s="91">
        <f t="shared" si="5"/>
        <v>2.7538178607314982E-3</v>
      </c>
    </row>
    <row r="28" spans="1:8">
      <c r="A28" s="61">
        <v>2018</v>
      </c>
      <c r="D28" s="91">
        <f t="shared" si="2"/>
        <v>2.8906670998321607E-3</v>
      </c>
      <c r="E28" s="91">
        <f t="shared" si="3"/>
        <v>2.2322015504515342E-3</v>
      </c>
      <c r="F28" s="62"/>
      <c r="G28" s="91">
        <f t="shared" si="4"/>
        <v>2.7777777777777788E-3</v>
      </c>
      <c r="H28" s="91">
        <f t="shared" si="5"/>
        <v>2.7524710989449254E-3</v>
      </c>
    </row>
    <row r="29" spans="1:8">
      <c r="A29" s="61">
        <v>2019</v>
      </c>
      <c r="D29" s="91">
        <f t="shared" si="2"/>
        <v>2.7580113249756778E-3</v>
      </c>
      <c r="E29" s="91">
        <f t="shared" si="3"/>
        <v>2.2501488794361372E-3</v>
      </c>
      <c r="F29" s="62"/>
      <c r="G29" s="91">
        <f t="shared" si="4"/>
        <v>2.7773711348590582E-3</v>
      </c>
      <c r="H29" s="91">
        <f t="shared" si="5"/>
        <v>2.7836115481387562E-3</v>
      </c>
    </row>
    <row r="31" spans="1:8">
      <c r="A31" s="93" t="s">
        <v>108</v>
      </c>
      <c r="B31" s="93"/>
      <c r="C31" s="93"/>
      <c r="D31" s="94">
        <f>AVERAGE(D20:D29)</f>
        <v>2.9338448695550184E-3</v>
      </c>
      <c r="E31" s="94">
        <f>AVERAGE(E20:E29)</f>
        <v>2.1631693422751305E-3</v>
      </c>
      <c r="F31" s="94"/>
      <c r="G31" s="94">
        <f>AVERAGE(G20:G29)</f>
        <v>2.7941414229467917E-3</v>
      </c>
      <c r="H31" s="94">
        <f>AVERAGE(H20:H29)</f>
        <v>2.7515636596727828E-3</v>
      </c>
    </row>
    <row r="33" spans="1:9">
      <c r="A33" s="61" t="s">
        <v>109</v>
      </c>
      <c r="D33" s="92">
        <f>AVERAGE(D25:D29)</f>
        <v>2.8038607065500078E-3</v>
      </c>
      <c r="E33" s="92">
        <f>AVERAGE(E25:E29)</f>
        <v>2.1720384723491019E-3</v>
      </c>
      <c r="F33" s="92"/>
      <c r="G33" s="92">
        <f>AVERAGE(G25:G29)</f>
        <v>2.7831491528775335E-3</v>
      </c>
      <c r="H33" s="92">
        <f>AVERAGE(H25:H29)</f>
        <v>2.7569303614805546E-3</v>
      </c>
      <c r="I33" s="386" t="s">
        <v>290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19"/>
  <sheetViews>
    <sheetView workbookViewId="0"/>
  </sheetViews>
  <sheetFormatPr defaultColWidth="8.6640625" defaultRowHeight="15.5"/>
  <cols>
    <col min="1" max="1" width="9.08203125" style="151" bestFit="1" customWidth="1"/>
    <col min="2" max="2" width="15.33203125" style="151" bestFit="1" customWidth="1"/>
    <col min="3" max="3" width="6.4140625" style="151" bestFit="1" customWidth="1"/>
    <col min="4" max="4" width="10.58203125" style="323" customWidth="1"/>
    <col min="5" max="5" width="10.4140625" style="151" customWidth="1"/>
    <col min="6" max="6" width="10.6640625" style="151" customWidth="1"/>
    <col min="7" max="7" width="8.1640625" style="151" customWidth="1"/>
    <col min="8" max="8" width="11.08203125" style="151" customWidth="1"/>
    <col min="9" max="9" width="7.9140625" style="151" customWidth="1"/>
    <col min="10" max="10" width="10.33203125" style="151" bestFit="1" customWidth="1"/>
    <col min="11" max="11" width="3.08203125" style="151" customWidth="1"/>
    <col min="12" max="12" width="7" style="151" bestFit="1" customWidth="1"/>
    <col min="13" max="13" width="14.9140625" style="151" customWidth="1"/>
    <col min="14" max="14" width="8.9140625" style="151" bestFit="1" customWidth="1"/>
    <col min="15" max="15" width="9.1640625" style="151" customWidth="1"/>
    <col min="16" max="16" width="11.5" style="151" bestFit="1" customWidth="1"/>
    <col min="17" max="17" width="8.6640625" style="151"/>
    <col min="18" max="18" width="4.33203125" style="151" customWidth="1"/>
    <col min="19" max="19" width="9.5" style="151" bestFit="1" customWidth="1"/>
    <col min="20" max="16384" width="8.6640625" style="151"/>
  </cols>
  <sheetData>
    <row r="2" spans="1:20">
      <c r="A2" s="484" t="s">
        <v>262</v>
      </c>
      <c r="B2" s="484"/>
      <c r="C2" s="484"/>
      <c r="M2" s="484" t="s">
        <v>263</v>
      </c>
      <c r="N2" s="484"/>
    </row>
    <row r="3" spans="1:20">
      <c r="P3" s="487" t="s">
        <v>99</v>
      </c>
      <c r="Q3" s="487"/>
      <c r="S3" s="487" t="s">
        <v>99</v>
      </c>
      <c r="T3" s="487"/>
    </row>
    <row r="4" spans="1:20">
      <c r="A4" s="317" t="s">
        <v>240</v>
      </c>
      <c r="B4" s="317" t="s">
        <v>239</v>
      </c>
      <c r="C4" s="317" t="s">
        <v>59</v>
      </c>
      <c r="L4" s="317" t="s">
        <v>240</v>
      </c>
      <c r="M4" s="317" t="s">
        <v>239</v>
      </c>
      <c r="N4" s="317" t="s">
        <v>59</v>
      </c>
      <c r="O4" s="317"/>
      <c r="P4" s="323" t="s">
        <v>178</v>
      </c>
      <c r="Q4" s="323" t="s">
        <v>170</v>
      </c>
      <c r="S4" s="323" t="s">
        <v>59</v>
      </c>
      <c r="T4" s="323" t="s">
        <v>170</v>
      </c>
    </row>
    <row r="5" spans="1:20">
      <c r="A5" s="314">
        <v>43831</v>
      </c>
      <c r="B5" s="336">
        <f t="shared" ref="B5:C16" si="0">B23+B40+B57</f>
        <v>24919.098087690876</v>
      </c>
      <c r="C5" s="338">
        <f t="shared" si="0"/>
        <v>52.705999999999996</v>
      </c>
      <c r="L5" s="314">
        <v>43831</v>
      </c>
      <c r="M5" s="336">
        <f t="shared" ref="M5:N16" si="1">M23+M40+M56</f>
        <v>74921.419999999605</v>
      </c>
      <c r="N5" s="338">
        <f t="shared" si="1"/>
        <v>158.5</v>
      </c>
      <c r="O5" s="314"/>
      <c r="P5" s="324">
        <f t="shared" ref="P5:P17" si="2">B5-M5</f>
        <v>-50002.321912308733</v>
      </c>
      <c r="Q5" s="325">
        <f t="shared" ref="Q5:Q17" si="3">P5/M5</f>
        <v>-0.66739687945462056</v>
      </c>
      <c r="S5" s="324">
        <f t="shared" ref="S5:S17" si="4">C5-N5</f>
        <v>-105.79400000000001</v>
      </c>
      <c r="T5" s="325">
        <f t="shared" ref="T5:T17" si="5">S5/N5</f>
        <v>-0.66747003154574136</v>
      </c>
    </row>
    <row r="6" spans="1:20">
      <c r="A6" s="314">
        <v>43862</v>
      </c>
      <c r="B6" s="336">
        <f t="shared" si="0"/>
        <v>21400.63556233624</v>
      </c>
      <c r="C6" s="338">
        <f t="shared" si="0"/>
        <v>52.705999999999996</v>
      </c>
      <c r="L6" s="314">
        <v>43862</v>
      </c>
      <c r="M6" s="336">
        <f t="shared" si="1"/>
        <v>64343.439999999711</v>
      </c>
      <c r="N6" s="338">
        <f t="shared" si="1"/>
        <v>158.5</v>
      </c>
      <c r="O6" s="314"/>
      <c r="P6" s="324">
        <f t="shared" si="2"/>
        <v>-42942.804437663472</v>
      </c>
      <c r="Q6" s="325">
        <f t="shared" si="3"/>
        <v>-0.66739988470718481</v>
      </c>
      <c r="S6" s="324">
        <f t="shared" si="4"/>
        <v>-105.79400000000001</v>
      </c>
      <c r="T6" s="325">
        <f t="shared" si="5"/>
        <v>-0.66747003154574136</v>
      </c>
    </row>
    <row r="7" spans="1:20">
      <c r="A7" s="314">
        <v>43891</v>
      </c>
      <c r="B7" s="336">
        <f t="shared" si="0"/>
        <v>21242.504298871339</v>
      </c>
      <c r="C7" s="338">
        <f t="shared" si="0"/>
        <v>52.705999999999996</v>
      </c>
      <c r="L7" s="314">
        <v>43891</v>
      </c>
      <c r="M7" s="336">
        <f t="shared" si="1"/>
        <v>63867.439999999711</v>
      </c>
      <c r="N7" s="338">
        <f t="shared" si="1"/>
        <v>158.5</v>
      </c>
      <c r="O7" s="314"/>
      <c r="P7" s="324">
        <f t="shared" si="2"/>
        <v>-42624.935701128372</v>
      </c>
      <c r="Q7" s="325">
        <f t="shared" si="3"/>
        <v>-0.66739696629657563</v>
      </c>
      <c r="S7" s="324">
        <f t="shared" si="4"/>
        <v>-105.79400000000001</v>
      </c>
      <c r="T7" s="325">
        <f t="shared" si="5"/>
        <v>-0.66747003154574136</v>
      </c>
    </row>
    <row r="8" spans="1:20">
      <c r="A8" s="314">
        <v>43922</v>
      </c>
      <c r="B8" s="336">
        <f t="shared" si="0"/>
        <v>17789.945643164399</v>
      </c>
      <c r="C8" s="338">
        <f t="shared" si="0"/>
        <v>52.705999999999996</v>
      </c>
      <c r="L8" s="314">
        <v>43922</v>
      </c>
      <c r="M8" s="336">
        <f t="shared" si="1"/>
        <v>53486.999999999767</v>
      </c>
      <c r="N8" s="338">
        <f t="shared" si="1"/>
        <v>158.5</v>
      </c>
      <c r="O8" s="314"/>
      <c r="P8" s="324">
        <f t="shared" si="2"/>
        <v>-35697.054356835368</v>
      </c>
      <c r="Q8" s="325">
        <f t="shared" si="3"/>
        <v>-0.66739683206826939</v>
      </c>
      <c r="S8" s="324">
        <f t="shared" si="4"/>
        <v>-105.79400000000001</v>
      </c>
      <c r="T8" s="325">
        <f t="shared" si="5"/>
        <v>-0.66747003154574136</v>
      </c>
    </row>
    <row r="9" spans="1:20">
      <c r="A9" s="314">
        <v>43952</v>
      </c>
      <c r="B9" s="336">
        <f t="shared" si="0"/>
        <v>16340.384366621416</v>
      </c>
      <c r="C9" s="338">
        <f t="shared" si="0"/>
        <v>52.705999999999996</v>
      </c>
      <c r="L9" s="314">
        <v>43952</v>
      </c>
      <c r="M9" s="336">
        <f t="shared" si="1"/>
        <v>49129.109999999819</v>
      </c>
      <c r="N9" s="338">
        <f t="shared" si="1"/>
        <v>158.5</v>
      </c>
      <c r="O9" s="314"/>
      <c r="P9" s="324">
        <f t="shared" si="2"/>
        <v>-32788.725633378403</v>
      </c>
      <c r="Q9" s="325">
        <f t="shared" si="3"/>
        <v>-0.66739913736231993</v>
      </c>
      <c r="S9" s="324">
        <f t="shared" si="4"/>
        <v>-105.79400000000001</v>
      </c>
      <c r="T9" s="325">
        <f t="shared" si="5"/>
        <v>-0.66747003154574136</v>
      </c>
    </row>
    <row r="10" spans="1:20">
      <c r="A10" s="314">
        <v>43983</v>
      </c>
      <c r="B10" s="336">
        <f t="shared" si="0"/>
        <v>13441.292603853599</v>
      </c>
      <c r="C10" s="338">
        <f t="shared" si="0"/>
        <v>52.705999999999996</v>
      </c>
      <c r="L10" s="314">
        <v>43983</v>
      </c>
      <c r="M10" s="336">
        <f t="shared" si="1"/>
        <v>40412.999999999927</v>
      </c>
      <c r="N10" s="338">
        <f t="shared" si="1"/>
        <v>158.5</v>
      </c>
      <c r="O10" s="314"/>
      <c r="P10" s="324">
        <f t="shared" si="2"/>
        <v>-26971.707396146328</v>
      </c>
      <c r="Q10" s="325">
        <f t="shared" si="3"/>
        <v>-0.6674017617139627</v>
      </c>
      <c r="S10" s="324">
        <f t="shared" si="4"/>
        <v>-105.79400000000001</v>
      </c>
      <c r="T10" s="325">
        <f t="shared" si="5"/>
        <v>-0.66747003154574136</v>
      </c>
    </row>
    <row r="11" spans="1:20">
      <c r="A11" s="314">
        <v>44013</v>
      </c>
      <c r="B11" s="336">
        <f t="shared" si="0"/>
        <v>14297.845941522981</v>
      </c>
      <c r="C11" s="338">
        <f t="shared" si="0"/>
        <v>52.705999999999996</v>
      </c>
      <c r="L11" s="314">
        <v>44013</v>
      </c>
      <c r="M11" s="336">
        <f t="shared" si="1"/>
        <v>42988.0099999999</v>
      </c>
      <c r="N11" s="338">
        <f t="shared" si="1"/>
        <v>158.5</v>
      </c>
      <c r="O11" s="314"/>
      <c r="P11" s="324">
        <f t="shared" si="2"/>
        <v>-28690.164058476919</v>
      </c>
      <c r="Q11" s="325">
        <f t="shared" si="3"/>
        <v>-0.66739921337314723</v>
      </c>
      <c r="S11" s="324">
        <f t="shared" si="4"/>
        <v>-105.79400000000001</v>
      </c>
      <c r="T11" s="325">
        <f t="shared" si="5"/>
        <v>-0.66747003154574136</v>
      </c>
    </row>
    <row r="12" spans="1:20">
      <c r="A12" s="314">
        <v>44044</v>
      </c>
      <c r="B12" s="336">
        <f t="shared" si="0"/>
        <v>15931.87051956407</v>
      </c>
      <c r="C12" s="338">
        <f t="shared" si="0"/>
        <v>52.705999999999996</v>
      </c>
      <c r="L12" s="314">
        <v>44044</v>
      </c>
      <c r="M12" s="336">
        <f t="shared" si="1"/>
        <v>47900.889999999854</v>
      </c>
      <c r="N12" s="338">
        <f t="shared" si="1"/>
        <v>158.5</v>
      </c>
      <c r="O12" s="314"/>
      <c r="P12" s="324">
        <f t="shared" si="2"/>
        <v>-31969.019480435782</v>
      </c>
      <c r="Q12" s="325">
        <f t="shared" si="3"/>
        <v>-0.66739927964670132</v>
      </c>
      <c r="S12" s="324">
        <f t="shared" si="4"/>
        <v>-105.79400000000001</v>
      </c>
      <c r="T12" s="325">
        <f t="shared" si="5"/>
        <v>-0.66747003154574136</v>
      </c>
    </row>
    <row r="13" spans="1:20">
      <c r="A13" s="314">
        <v>44075</v>
      </c>
      <c r="B13" s="336">
        <f t="shared" si="0"/>
        <v>17394.612141431397</v>
      </c>
      <c r="C13" s="338">
        <f t="shared" si="0"/>
        <v>52.705999999999996</v>
      </c>
      <c r="L13" s="314">
        <v>44075</v>
      </c>
      <c r="M13" s="336">
        <f t="shared" si="1"/>
        <v>52298.699999999786</v>
      </c>
      <c r="N13" s="338">
        <f t="shared" si="1"/>
        <v>158.5</v>
      </c>
      <c r="O13" s="314"/>
      <c r="P13" s="324">
        <f t="shared" si="2"/>
        <v>-34904.087858568389</v>
      </c>
      <c r="Q13" s="325">
        <f t="shared" si="3"/>
        <v>-0.6673987662899562</v>
      </c>
      <c r="S13" s="324">
        <f t="shared" si="4"/>
        <v>-105.79400000000001</v>
      </c>
      <c r="T13" s="325">
        <f t="shared" si="5"/>
        <v>-0.66747003154574136</v>
      </c>
    </row>
    <row r="14" spans="1:20">
      <c r="A14" s="314">
        <v>44105</v>
      </c>
      <c r="B14" s="336">
        <f t="shared" si="0"/>
        <v>20425.492005766078</v>
      </c>
      <c r="C14" s="338">
        <f t="shared" si="0"/>
        <v>52.705999999999996</v>
      </c>
      <c r="L14" s="314">
        <v>44105</v>
      </c>
      <c r="M14" s="336">
        <f t="shared" si="1"/>
        <v>61410.99999999968</v>
      </c>
      <c r="N14" s="338">
        <f t="shared" si="1"/>
        <v>158.5</v>
      </c>
      <c r="O14" s="314"/>
      <c r="P14" s="324">
        <f t="shared" si="2"/>
        <v>-40985.507994233601</v>
      </c>
      <c r="Q14" s="325">
        <f t="shared" si="3"/>
        <v>-0.66739685063317344</v>
      </c>
      <c r="S14" s="324">
        <f t="shared" si="4"/>
        <v>-105.79400000000001</v>
      </c>
      <c r="T14" s="325">
        <f t="shared" si="5"/>
        <v>-0.66747003154574136</v>
      </c>
    </row>
    <row r="15" spans="1:20">
      <c r="A15" s="314">
        <v>44136</v>
      </c>
      <c r="B15" s="336">
        <f t="shared" si="0"/>
        <v>22138.583281781997</v>
      </c>
      <c r="C15" s="338">
        <f t="shared" si="0"/>
        <v>52.705999999999996</v>
      </c>
      <c r="L15" s="314">
        <v>44136</v>
      </c>
      <c r="M15" s="336">
        <f t="shared" si="1"/>
        <v>48220.199999999779</v>
      </c>
      <c r="N15" s="338">
        <f t="shared" si="1"/>
        <v>110.5</v>
      </c>
      <c r="O15" s="314"/>
      <c r="P15" s="324">
        <f t="shared" si="2"/>
        <v>-26081.616718217781</v>
      </c>
      <c r="Q15" s="325">
        <f t="shared" si="3"/>
        <v>-0.54088570180583861</v>
      </c>
      <c r="S15" s="324">
        <f t="shared" si="4"/>
        <v>-57.794000000000004</v>
      </c>
      <c r="T15" s="325">
        <f t="shared" si="5"/>
        <v>-0.52302262443438918</v>
      </c>
    </row>
    <row r="16" spans="1:20">
      <c r="A16" s="314">
        <v>44166</v>
      </c>
      <c r="B16" s="336">
        <f t="shared" si="0"/>
        <v>24510.584237365758</v>
      </c>
      <c r="C16" s="338">
        <f t="shared" si="0"/>
        <v>52.705999999999996</v>
      </c>
      <c r="L16" s="314">
        <v>44166</v>
      </c>
      <c r="M16" s="336">
        <f t="shared" si="1"/>
        <v>51289.779999999722</v>
      </c>
      <c r="N16" s="338">
        <f t="shared" si="1"/>
        <v>110.30000000000001</v>
      </c>
      <c r="O16" s="314"/>
      <c r="P16" s="326">
        <f t="shared" si="2"/>
        <v>-26779.195762633964</v>
      </c>
      <c r="Q16" s="327">
        <f t="shared" si="3"/>
        <v>-0.52211562932486955</v>
      </c>
      <c r="S16" s="324">
        <f t="shared" si="4"/>
        <v>-57.594000000000015</v>
      </c>
      <c r="T16" s="325">
        <f t="shared" si="5"/>
        <v>-0.52215775158658218</v>
      </c>
    </row>
    <row r="17" spans="1:20">
      <c r="A17" s="315" t="s">
        <v>32</v>
      </c>
      <c r="B17" s="337">
        <f>SUM(B5:B16)</f>
        <v>229832.84868997012</v>
      </c>
      <c r="C17" s="337">
        <f>SUM(C5:C16)</f>
        <v>632.47200000000009</v>
      </c>
      <c r="L17" s="315" t="s">
        <v>32</v>
      </c>
      <c r="M17" s="337">
        <f>SUM(M5:M16)</f>
        <v>650269.98999999731</v>
      </c>
      <c r="N17" s="337">
        <f>SUM(N5:N16)</f>
        <v>1805.8</v>
      </c>
      <c r="O17" s="315"/>
      <c r="P17" s="324">
        <f t="shared" si="2"/>
        <v>-420437.14131002722</v>
      </c>
      <c r="Q17" s="325">
        <f t="shared" si="3"/>
        <v>-0.64655781102558485</v>
      </c>
      <c r="S17" s="339">
        <f t="shared" si="4"/>
        <v>-1173.328</v>
      </c>
      <c r="T17" s="340">
        <f t="shared" si="5"/>
        <v>-0.64975523313766748</v>
      </c>
    </row>
    <row r="21" spans="1:20">
      <c r="A21" s="484" t="s">
        <v>255</v>
      </c>
      <c r="B21" s="484"/>
      <c r="M21" s="151" t="s">
        <v>259</v>
      </c>
      <c r="P21" s="487" t="s">
        <v>99</v>
      </c>
      <c r="Q21" s="487"/>
      <c r="S21" s="487" t="s">
        <v>99</v>
      </c>
      <c r="T21" s="487"/>
    </row>
    <row r="22" spans="1:20" ht="31">
      <c r="A22" s="317" t="s">
        <v>240</v>
      </c>
      <c r="B22" s="317" t="s">
        <v>239</v>
      </c>
      <c r="C22" s="318" t="s">
        <v>59</v>
      </c>
      <c r="D22" s="318" t="s">
        <v>241</v>
      </c>
      <c r="E22" s="318" t="s">
        <v>242</v>
      </c>
      <c r="G22" s="319" t="s">
        <v>258</v>
      </c>
      <c r="M22" s="150" t="s">
        <v>178</v>
      </c>
      <c r="N22" s="150" t="s">
        <v>59</v>
      </c>
      <c r="P22" s="150" t="s">
        <v>178</v>
      </c>
      <c r="Q22" s="150" t="s">
        <v>170</v>
      </c>
      <c r="S22" s="323" t="s">
        <v>59</v>
      </c>
      <c r="T22" s="323" t="s">
        <v>170</v>
      </c>
    </row>
    <row r="23" spans="1:20">
      <c r="A23" s="314">
        <v>43466</v>
      </c>
      <c r="B23" s="333">
        <f t="shared" ref="B23:B34" si="6">C23*D23*E23</f>
        <v>1359.75650021248</v>
      </c>
      <c r="C23" s="312">
        <v>2.8759999999999999</v>
      </c>
      <c r="D23" s="341">
        <v>31</v>
      </c>
      <c r="E23" s="342">
        <v>15.25143008</v>
      </c>
      <c r="G23" s="335" t="s">
        <v>254</v>
      </c>
      <c r="M23" s="320">
        <v>1361.5200000000118</v>
      </c>
      <c r="N23" s="332">
        <v>2.9</v>
      </c>
      <c r="P23" s="324">
        <f t="shared" ref="P23:P35" si="7">B23-M23</f>
        <v>-1.7634997875318277</v>
      </c>
      <c r="Q23" s="325">
        <f t="shared" ref="Q23:Q35" si="8">P23/M23</f>
        <v>-1.2952433952727925E-3</v>
      </c>
      <c r="S23" s="324">
        <f t="shared" ref="S23:S35" si="9">C23-N23</f>
        <v>-2.4000000000000021E-2</v>
      </c>
      <c r="T23" s="325">
        <f t="shared" ref="T23:T35" si="10">S23/N23</f>
        <v>-8.2758620689655244E-3</v>
      </c>
    </row>
    <row r="24" spans="1:20">
      <c r="A24" s="314">
        <v>43497</v>
      </c>
      <c r="B24" s="333">
        <f t="shared" si="6"/>
        <v>1167.7651098030399</v>
      </c>
      <c r="C24" s="312">
        <v>2.8759999999999999</v>
      </c>
      <c r="D24" s="341">
        <v>28</v>
      </c>
      <c r="E24" s="342">
        <v>14.50135493</v>
      </c>
      <c r="M24" s="320">
        <v>1169.2800000000038</v>
      </c>
      <c r="N24" s="332">
        <v>2.9</v>
      </c>
      <c r="P24" s="324">
        <f t="shared" si="7"/>
        <v>-1.514890196963961</v>
      </c>
      <c r="Q24" s="325">
        <f t="shared" si="8"/>
        <v>-1.29557522318346E-3</v>
      </c>
      <c r="S24" s="324">
        <f t="shared" si="9"/>
        <v>-2.4000000000000021E-2</v>
      </c>
      <c r="T24" s="325">
        <f t="shared" si="10"/>
        <v>-8.2758620689655244E-3</v>
      </c>
    </row>
    <row r="25" spans="1:20">
      <c r="A25" s="314">
        <v>43525</v>
      </c>
      <c r="B25" s="333">
        <f t="shared" si="6"/>
        <v>1159.13638605764</v>
      </c>
      <c r="C25" s="312">
        <v>2.8759999999999999</v>
      </c>
      <c r="D25" s="341">
        <v>31</v>
      </c>
      <c r="E25" s="342">
        <v>13.00121569</v>
      </c>
      <c r="M25" s="320">
        <v>1160.6400000000037</v>
      </c>
      <c r="N25" s="332">
        <v>2.9</v>
      </c>
      <c r="P25" s="324">
        <f t="shared" si="7"/>
        <v>-1.5036139423636996</v>
      </c>
      <c r="Q25" s="325">
        <f t="shared" si="8"/>
        <v>-1.2955041549177133E-3</v>
      </c>
      <c r="S25" s="324">
        <f t="shared" si="9"/>
        <v>-2.4000000000000021E-2</v>
      </c>
      <c r="T25" s="325">
        <f t="shared" si="10"/>
        <v>-8.2758620689655244E-3</v>
      </c>
    </row>
    <row r="26" spans="1:20">
      <c r="A26" s="314">
        <v>43556</v>
      </c>
      <c r="B26" s="333">
        <f t="shared" si="6"/>
        <v>970.74116172240008</v>
      </c>
      <c r="C26" s="312">
        <v>2.8759999999999999</v>
      </c>
      <c r="D26" s="341">
        <v>30</v>
      </c>
      <c r="E26" s="342">
        <v>11.25105658</v>
      </c>
      <c r="M26" s="320">
        <v>971.9999999999992</v>
      </c>
      <c r="N26" s="332">
        <v>2.9</v>
      </c>
      <c r="P26" s="324">
        <f t="shared" si="7"/>
        <v>-1.2588382775991249</v>
      </c>
      <c r="Q26" s="325">
        <f t="shared" si="8"/>
        <v>-1.2951011086410761E-3</v>
      </c>
      <c r="S26" s="324">
        <f t="shared" si="9"/>
        <v>-2.4000000000000021E-2</v>
      </c>
      <c r="T26" s="325">
        <f t="shared" si="10"/>
        <v>-8.2758620689655244E-3</v>
      </c>
    </row>
    <row r="27" spans="1:20">
      <c r="A27" s="314">
        <v>43586</v>
      </c>
      <c r="B27" s="333">
        <f t="shared" si="6"/>
        <v>891.64317987331981</v>
      </c>
      <c r="C27" s="312">
        <v>2.8759999999999999</v>
      </c>
      <c r="D27" s="341">
        <v>31</v>
      </c>
      <c r="E27" s="342">
        <v>10.000932969999999</v>
      </c>
      <c r="M27" s="320">
        <v>892.79999999999927</v>
      </c>
      <c r="N27" s="332">
        <v>2.9</v>
      </c>
      <c r="P27" s="324">
        <f t="shared" si="7"/>
        <v>-1.1568201266794631</v>
      </c>
      <c r="Q27" s="325">
        <f t="shared" si="8"/>
        <v>-1.2957214680549551E-3</v>
      </c>
      <c r="S27" s="324">
        <f t="shared" si="9"/>
        <v>-2.4000000000000021E-2</v>
      </c>
      <c r="T27" s="325">
        <f t="shared" si="10"/>
        <v>-8.2758620689655244E-3</v>
      </c>
    </row>
    <row r="28" spans="1:20">
      <c r="A28" s="314">
        <v>43617</v>
      </c>
      <c r="B28" s="333">
        <f t="shared" si="6"/>
        <v>733.44889630559999</v>
      </c>
      <c r="C28" s="312">
        <v>2.8759999999999999</v>
      </c>
      <c r="D28" s="341">
        <v>30</v>
      </c>
      <c r="E28" s="342">
        <v>8.50079852</v>
      </c>
      <c r="M28" s="320">
        <v>734.39999999999907</v>
      </c>
      <c r="N28" s="332">
        <v>2.9</v>
      </c>
      <c r="P28" s="324">
        <f t="shared" si="7"/>
        <v>-0.95110369439908027</v>
      </c>
      <c r="Q28" s="325">
        <f t="shared" si="8"/>
        <v>-1.2950758366000565E-3</v>
      </c>
      <c r="S28" s="324">
        <f t="shared" si="9"/>
        <v>-2.4000000000000021E-2</v>
      </c>
      <c r="T28" s="325">
        <f t="shared" si="10"/>
        <v>-8.2758620689655244E-3</v>
      </c>
    </row>
    <row r="29" spans="1:20" ht="15.5" customHeight="1">
      <c r="A29" s="314">
        <v>43647</v>
      </c>
      <c r="B29" s="333">
        <f t="shared" si="6"/>
        <v>780.18830736197185</v>
      </c>
      <c r="C29" s="312">
        <v>2.8759999999999999</v>
      </c>
      <c r="D29" s="341">
        <v>31</v>
      </c>
      <c r="E29" s="342">
        <v>8.7508222369999995</v>
      </c>
      <c r="M29" s="320">
        <v>781.19999999999891</v>
      </c>
      <c r="N29" s="332">
        <v>2.9</v>
      </c>
      <c r="P29" s="324">
        <f t="shared" si="7"/>
        <v>-1.011692638027057</v>
      </c>
      <c r="Q29" s="325">
        <f t="shared" si="8"/>
        <v>-1.2950494598400646E-3</v>
      </c>
      <c r="S29" s="324">
        <f t="shared" si="9"/>
        <v>-2.4000000000000021E-2</v>
      </c>
      <c r="T29" s="325">
        <f t="shared" si="10"/>
        <v>-8.2758620689655244E-3</v>
      </c>
    </row>
    <row r="30" spans="1:20">
      <c r="A30" s="314">
        <v>43678</v>
      </c>
      <c r="B30" s="333">
        <f t="shared" si="6"/>
        <v>869.35186912811196</v>
      </c>
      <c r="C30" s="312">
        <v>2.8759999999999999</v>
      </c>
      <c r="D30" s="341">
        <v>31</v>
      </c>
      <c r="E30" s="342">
        <v>9.7509070520000005</v>
      </c>
      <c r="M30" s="320">
        <v>870.48000000000013</v>
      </c>
      <c r="N30" s="332">
        <v>2.9</v>
      </c>
      <c r="P30" s="324">
        <f t="shared" si="7"/>
        <v>-1.1281308718881746</v>
      </c>
      <c r="Q30" s="325">
        <f t="shared" si="8"/>
        <v>-1.2959871242167245E-3</v>
      </c>
      <c r="S30" s="324">
        <f t="shared" si="9"/>
        <v>-2.4000000000000021E-2</v>
      </c>
      <c r="T30" s="325">
        <f t="shared" si="10"/>
        <v>-8.2758620689655244E-3</v>
      </c>
    </row>
    <row r="31" spans="1:20">
      <c r="A31" s="314">
        <v>43709</v>
      </c>
      <c r="B31" s="333">
        <f t="shared" si="6"/>
        <v>949.16906080440003</v>
      </c>
      <c r="C31" s="312">
        <v>2.8759999999999999</v>
      </c>
      <c r="D31" s="341">
        <v>30</v>
      </c>
      <c r="E31" s="342">
        <v>11.00103223</v>
      </c>
      <c r="M31" s="320">
        <v>950.39999999999918</v>
      </c>
      <c r="N31" s="332">
        <v>2.9</v>
      </c>
      <c r="P31" s="324">
        <f t="shared" si="7"/>
        <v>-1.2309391955991487</v>
      </c>
      <c r="Q31" s="325">
        <f t="shared" si="8"/>
        <v>-1.2951801300496103E-3</v>
      </c>
      <c r="S31" s="324">
        <f t="shared" si="9"/>
        <v>-2.4000000000000021E-2</v>
      </c>
      <c r="T31" s="325">
        <f t="shared" si="10"/>
        <v>-8.2758620689655244E-3</v>
      </c>
    </row>
    <row r="32" spans="1:20">
      <c r="A32" s="314">
        <v>43739</v>
      </c>
      <c r="B32" s="333">
        <f t="shared" si="6"/>
        <v>1114.5546049516799</v>
      </c>
      <c r="C32" s="312">
        <v>2.8759999999999999</v>
      </c>
      <c r="D32" s="341">
        <v>31</v>
      </c>
      <c r="E32" s="342">
        <v>12.50117328</v>
      </c>
      <c r="M32" s="320">
        <v>1116.0000000000032</v>
      </c>
      <c r="N32" s="332">
        <v>2.9</v>
      </c>
      <c r="P32" s="324">
        <f t="shared" si="7"/>
        <v>-1.4453950483232347</v>
      </c>
      <c r="Q32" s="325">
        <f t="shared" si="8"/>
        <v>-1.2951568533362281E-3</v>
      </c>
      <c r="S32" s="324">
        <f t="shared" si="9"/>
        <v>-2.4000000000000021E-2</v>
      </c>
      <c r="T32" s="325">
        <f t="shared" si="10"/>
        <v>-8.2758620689655244E-3</v>
      </c>
    </row>
    <row r="33" spans="1:20">
      <c r="A33" s="314">
        <v>43770</v>
      </c>
      <c r="B33" s="333">
        <f t="shared" si="6"/>
        <v>1208.0325867719998</v>
      </c>
      <c r="C33" s="312">
        <v>2.8759999999999999</v>
      </c>
      <c r="D33" s="341">
        <v>30</v>
      </c>
      <c r="E33" s="342">
        <v>14.001304899999999</v>
      </c>
      <c r="M33" s="320">
        <v>1209.6000000000056</v>
      </c>
      <c r="N33" s="332">
        <v>2.9</v>
      </c>
      <c r="P33" s="324">
        <f t="shared" si="7"/>
        <v>-1.567413228005762</v>
      </c>
      <c r="Q33" s="325">
        <f t="shared" si="8"/>
        <v>-1.2958112004015829E-3</v>
      </c>
      <c r="S33" s="324">
        <f t="shared" si="9"/>
        <v>-2.4000000000000021E-2</v>
      </c>
      <c r="T33" s="325">
        <f t="shared" si="10"/>
        <v>-8.2758620689655244E-3</v>
      </c>
    </row>
    <row r="34" spans="1:20">
      <c r="A34" s="314">
        <v>43800</v>
      </c>
      <c r="B34" s="333">
        <f t="shared" si="6"/>
        <v>1337.4651892889599</v>
      </c>
      <c r="C34" s="312">
        <v>2.8759999999999999</v>
      </c>
      <c r="D34" s="341">
        <v>31</v>
      </c>
      <c r="E34" s="342">
        <v>15.00140416</v>
      </c>
      <c r="M34" s="320">
        <v>1339.2000000000119</v>
      </c>
      <c r="N34" s="332">
        <v>2.9</v>
      </c>
      <c r="P34" s="326">
        <f t="shared" si="7"/>
        <v>-1.7348107110519777</v>
      </c>
      <c r="Q34" s="327">
        <f t="shared" si="8"/>
        <v>-1.2954082370459695E-3</v>
      </c>
      <c r="S34" s="324">
        <f t="shared" si="9"/>
        <v>-2.4000000000000021E-2</v>
      </c>
      <c r="T34" s="325">
        <f t="shared" si="10"/>
        <v>-8.2758620689655244E-3</v>
      </c>
    </row>
    <row r="35" spans="1:20">
      <c r="A35" s="315" t="s">
        <v>32</v>
      </c>
      <c r="B35" s="334">
        <f>SUM(B23:B34)</f>
        <v>12541.252852281603</v>
      </c>
      <c r="C35" s="337">
        <f>SUM(C23:C34)</f>
        <v>34.512000000000008</v>
      </c>
      <c r="M35" s="322">
        <f>SUM(M23:M34)</f>
        <v>12557.520000000037</v>
      </c>
      <c r="N35" s="322">
        <f>SUM(N23:N34)</f>
        <v>34.79999999999999</v>
      </c>
      <c r="P35" s="324">
        <f t="shared" si="7"/>
        <v>-16.267147718433989</v>
      </c>
      <c r="Q35" s="325">
        <f t="shared" si="8"/>
        <v>-1.2954108548848772E-3</v>
      </c>
      <c r="S35" s="339">
        <f t="shared" si="9"/>
        <v>-0.28799999999998249</v>
      </c>
      <c r="T35" s="340">
        <f t="shared" si="10"/>
        <v>-8.2758620689650161E-3</v>
      </c>
    </row>
    <row r="36" spans="1:20">
      <c r="A36" s="328"/>
      <c r="B36" s="329"/>
      <c r="M36" s="330"/>
      <c r="N36" s="321"/>
      <c r="P36" s="324"/>
      <c r="Q36" s="325"/>
    </row>
    <row r="38" spans="1:20">
      <c r="A38" s="488" t="s">
        <v>256</v>
      </c>
      <c r="B38" s="488"/>
      <c r="C38" s="488"/>
      <c r="D38" s="488"/>
      <c r="E38" s="488"/>
      <c r="M38" s="151" t="s">
        <v>260</v>
      </c>
      <c r="P38" s="487" t="s">
        <v>99</v>
      </c>
      <c r="Q38" s="487"/>
      <c r="S38" s="487" t="s">
        <v>99</v>
      </c>
      <c r="T38" s="487"/>
    </row>
    <row r="39" spans="1:20" ht="29">
      <c r="A39" s="388" t="s">
        <v>240</v>
      </c>
      <c r="B39" s="388" t="s">
        <v>239</v>
      </c>
      <c r="C39" s="387" t="s">
        <v>59</v>
      </c>
      <c r="D39" s="387" t="s">
        <v>241</v>
      </c>
      <c r="E39" s="387" t="s">
        <v>242</v>
      </c>
      <c r="H39" s="316"/>
      <c r="M39" s="150" t="s">
        <v>178</v>
      </c>
      <c r="N39" s="150" t="s">
        <v>59</v>
      </c>
      <c r="P39" s="150" t="s">
        <v>178</v>
      </c>
      <c r="Q39" s="150" t="s">
        <v>170</v>
      </c>
      <c r="S39" s="323" t="s">
        <v>59</v>
      </c>
      <c r="T39" s="323" t="s">
        <v>170</v>
      </c>
    </row>
    <row r="40" spans="1:20">
      <c r="A40" s="417" t="s">
        <v>243</v>
      </c>
      <c r="B40" s="418">
        <f t="shared" ref="B40:B51" si="11">C40*D40*E40</f>
        <v>16183.750000790398</v>
      </c>
      <c r="C40" s="419">
        <v>34.229999999999997</v>
      </c>
      <c r="D40" s="341">
        <v>31</v>
      </c>
      <c r="E40" s="342">
        <v>15.25143008</v>
      </c>
      <c r="G40" s="313"/>
      <c r="H40" s="313"/>
      <c r="M40" s="320">
        <v>43507.259999999718</v>
      </c>
      <c r="N40" s="332">
        <v>92</v>
      </c>
      <c r="P40" s="324">
        <f t="shared" ref="P40:P52" si="12">B40-M40</f>
        <v>-27323.50999920932</v>
      </c>
      <c r="Q40" s="325">
        <f t="shared" ref="Q40:Q52" si="13">P40/M40</f>
        <v>-0.62802185196699345</v>
      </c>
      <c r="S40" s="324">
        <f t="shared" ref="S40:S52" si="14">C40-N40</f>
        <v>-57.77</v>
      </c>
      <c r="T40" s="325">
        <f t="shared" ref="T40:T52" si="15">S40/N40</f>
        <v>-0.62793478260869573</v>
      </c>
    </row>
    <row r="41" spans="1:20">
      <c r="A41" s="417" t="s">
        <v>244</v>
      </c>
      <c r="B41" s="418">
        <f t="shared" si="11"/>
        <v>13898.6786191092</v>
      </c>
      <c r="C41" s="419">
        <v>34.229999999999997</v>
      </c>
      <c r="D41" s="341">
        <v>28</v>
      </c>
      <c r="E41" s="342">
        <v>14.50135493</v>
      </c>
      <c r="G41" s="313"/>
      <c r="H41" s="313"/>
      <c r="M41" s="320">
        <v>37364.59999999978</v>
      </c>
      <c r="N41" s="332">
        <v>92</v>
      </c>
      <c r="P41" s="324">
        <f t="shared" si="12"/>
        <v>-23465.921380890581</v>
      </c>
      <c r="Q41" s="325">
        <f t="shared" si="13"/>
        <v>-0.62802549420817344</v>
      </c>
      <c r="S41" s="324">
        <f t="shared" si="14"/>
        <v>-57.77</v>
      </c>
      <c r="T41" s="325">
        <f t="shared" si="15"/>
        <v>-0.62793478260869573</v>
      </c>
    </row>
    <row r="42" spans="1:20">
      <c r="A42" s="417" t="s">
        <v>245</v>
      </c>
      <c r="B42" s="418">
        <f t="shared" si="11"/>
        <v>13795.980005129699</v>
      </c>
      <c r="C42" s="419">
        <v>34.229999999999997</v>
      </c>
      <c r="D42" s="341">
        <v>31</v>
      </c>
      <c r="E42" s="342">
        <v>13.00121569</v>
      </c>
      <c r="G42" s="313"/>
      <c r="H42" s="313"/>
      <c r="M42" s="320">
        <v>37088.089999999793</v>
      </c>
      <c r="N42" s="332">
        <v>92</v>
      </c>
      <c r="P42" s="324">
        <f t="shared" si="12"/>
        <v>-23292.109994870094</v>
      </c>
      <c r="Q42" s="325">
        <f t="shared" si="13"/>
        <v>-0.628021286479574</v>
      </c>
      <c r="S42" s="324">
        <f t="shared" si="14"/>
        <v>-57.77</v>
      </c>
      <c r="T42" s="325">
        <f t="shared" si="15"/>
        <v>-0.62793478260869573</v>
      </c>
    </row>
    <row r="43" spans="1:20">
      <c r="A43" s="417" t="s">
        <v>246</v>
      </c>
      <c r="B43" s="418">
        <f t="shared" si="11"/>
        <v>11553.710002001999</v>
      </c>
      <c r="C43" s="419">
        <v>34.229999999999997</v>
      </c>
      <c r="D43" s="341">
        <v>30</v>
      </c>
      <c r="E43" s="342">
        <v>11.25105658</v>
      </c>
      <c r="G43" s="316"/>
      <c r="H43" s="316"/>
      <c r="M43" s="320">
        <v>31060.199999999848</v>
      </c>
      <c r="N43" s="332">
        <v>92</v>
      </c>
      <c r="P43" s="324">
        <f t="shared" si="12"/>
        <v>-19506.489997997851</v>
      </c>
      <c r="Q43" s="325">
        <f t="shared" si="13"/>
        <v>-0.62802203456506867</v>
      </c>
      <c r="S43" s="324">
        <f t="shared" si="14"/>
        <v>-57.77</v>
      </c>
      <c r="T43" s="325">
        <f t="shared" si="15"/>
        <v>-0.62793478260869573</v>
      </c>
    </row>
    <row r="44" spans="1:20">
      <c r="A44" s="417" t="s">
        <v>6</v>
      </c>
      <c r="B44" s="418">
        <f t="shared" si="11"/>
        <v>10612.290002456099</v>
      </c>
      <c r="C44" s="419">
        <v>34.229999999999997</v>
      </c>
      <c r="D44" s="341">
        <v>31</v>
      </c>
      <c r="E44" s="342">
        <v>10.000932969999999</v>
      </c>
      <c r="G44" s="316"/>
      <c r="H44" s="316"/>
      <c r="M44" s="320">
        <v>28529.609999999881</v>
      </c>
      <c r="N44" s="332">
        <v>92</v>
      </c>
      <c r="P44" s="324">
        <f t="shared" si="12"/>
        <v>-17917.319997543782</v>
      </c>
      <c r="Q44" s="325">
        <f t="shared" si="13"/>
        <v>-0.62802540930436335</v>
      </c>
      <c r="S44" s="324">
        <f t="shared" si="14"/>
        <v>-57.77</v>
      </c>
      <c r="T44" s="325">
        <f t="shared" si="15"/>
        <v>-0.62793478260869573</v>
      </c>
    </row>
    <row r="45" spans="1:20">
      <c r="A45" s="417" t="s">
        <v>247</v>
      </c>
      <c r="B45" s="418">
        <f t="shared" si="11"/>
        <v>8729.4700001879992</v>
      </c>
      <c r="C45" s="419">
        <v>34.229999999999997</v>
      </c>
      <c r="D45" s="341">
        <v>30</v>
      </c>
      <c r="E45" s="342">
        <v>8.50079852</v>
      </c>
      <c r="G45" s="316"/>
      <c r="H45" s="316"/>
      <c r="M45" s="320">
        <v>23468.099999999959</v>
      </c>
      <c r="N45" s="332">
        <v>92</v>
      </c>
      <c r="P45" s="324">
        <f t="shared" si="12"/>
        <v>-14738.629999811959</v>
      </c>
      <c r="Q45" s="325">
        <f t="shared" si="13"/>
        <v>-0.62802825962953901</v>
      </c>
      <c r="S45" s="324">
        <f t="shared" si="14"/>
        <v>-57.77</v>
      </c>
      <c r="T45" s="325">
        <f t="shared" si="15"/>
        <v>-0.62793478260869573</v>
      </c>
    </row>
    <row r="46" spans="1:20">
      <c r="A46" s="417" t="s">
        <v>248</v>
      </c>
      <c r="B46" s="418">
        <f t="shared" si="11"/>
        <v>9285.7600003478092</v>
      </c>
      <c r="C46" s="419">
        <v>34.229999999999997</v>
      </c>
      <c r="D46" s="341">
        <v>31</v>
      </c>
      <c r="E46" s="342">
        <v>8.7508222369999995</v>
      </c>
      <c r="G46" s="316"/>
      <c r="H46" s="316"/>
      <c r="M46" s="320">
        <v>24963.369999999941</v>
      </c>
      <c r="N46" s="332">
        <v>92</v>
      </c>
      <c r="P46" s="324">
        <f t="shared" si="12"/>
        <v>-15677.609999652132</v>
      </c>
      <c r="Q46" s="325">
        <f t="shared" si="13"/>
        <v>-0.62802458160305152</v>
      </c>
      <c r="S46" s="324">
        <f t="shared" si="14"/>
        <v>-57.77</v>
      </c>
      <c r="T46" s="325">
        <f t="shared" si="15"/>
        <v>-0.62793478260869573</v>
      </c>
    </row>
    <row r="47" spans="1:20">
      <c r="A47" s="417" t="s">
        <v>249</v>
      </c>
      <c r="B47" s="418">
        <f t="shared" si="11"/>
        <v>10346.980000088759</v>
      </c>
      <c r="C47" s="419">
        <v>34.229999999999997</v>
      </c>
      <c r="D47" s="341">
        <v>31</v>
      </c>
      <c r="E47" s="342">
        <v>9.7509070520000005</v>
      </c>
      <c r="G47" s="316"/>
      <c r="H47" s="316"/>
      <c r="M47" s="320">
        <v>27816.299999999908</v>
      </c>
      <c r="N47" s="332">
        <v>92</v>
      </c>
      <c r="P47" s="324">
        <f t="shared" si="12"/>
        <v>-17469.319999911149</v>
      </c>
      <c r="Q47" s="325">
        <f t="shared" si="13"/>
        <v>-0.62802457551547863</v>
      </c>
      <c r="S47" s="324">
        <f t="shared" si="14"/>
        <v>-57.77</v>
      </c>
      <c r="T47" s="325">
        <f t="shared" si="15"/>
        <v>-0.62793478260869573</v>
      </c>
    </row>
    <row r="48" spans="1:20">
      <c r="A48" s="417" t="s">
        <v>250</v>
      </c>
      <c r="B48" s="418">
        <f t="shared" si="11"/>
        <v>11296.959996986998</v>
      </c>
      <c r="C48" s="419">
        <v>34.229999999999997</v>
      </c>
      <c r="D48" s="341">
        <v>30</v>
      </c>
      <c r="E48" s="342">
        <v>11.00103223</v>
      </c>
      <c r="G48" s="316"/>
      <c r="H48" s="316"/>
      <c r="M48" s="320">
        <v>30370.199999999855</v>
      </c>
      <c r="N48" s="332">
        <v>92</v>
      </c>
      <c r="P48" s="324">
        <f t="shared" si="12"/>
        <v>-19073.240003012856</v>
      </c>
      <c r="Q48" s="325">
        <f t="shared" si="13"/>
        <v>-0.62802484023855443</v>
      </c>
      <c r="S48" s="324">
        <f t="shared" si="14"/>
        <v>-57.77</v>
      </c>
      <c r="T48" s="325">
        <f t="shared" si="15"/>
        <v>-0.62793478260869573</v>
      </c>
    </row>
    <row r="49" spans="1:20">
      <c r="A49" s="417" t="s">
        <v>251</v>
      </c>
      <c r="B49" s="418">
        <f t="shared" si="11"/>
        <v>13265.370002606398</v>
      </c>
      <c r="C49" s="419">
        <v>34.229999999999997</v>
      </c>
      <c r="D49" s="341">
        <v>31</v>
      </c>
      <c r="E49" s="342">
        <v>12.50117328</v>
      </c>
      <c r="G49" s="316"/>
      <c r="H49" s="316"/>
      <c r="M49" s="320">
        <v>35661.779999999788</v>
      </c>
      <c r="N49" s="332">
        <v>92</v>
      </c>
      <c r="P49" s="324">
        <f t="shared" si="12"/>
        <v>-22396.409997393392</v>
      </c>
      <c r="Q49" s="325">
        <f t="shared" si="13"/>
        <v>-0.62802277388827832</v>
      </c>
      <c r="S49" s="324">
        <f t="shared" si="14"/>
        <v>-57.77</v>
      </c>
      <c r="T49" s="325">
        <f t="shared" si="15"/>
        <v>-0.62793478260869573</v>
      </c>
    </row>
    <row r="50" spans="1:20">
      <c r="A50" s="417" t="s">
        <v>252</v>
      </c>
      <c r="B50" s="418">
        <f t="shared" si="11"/>
        <v>14377.940001809997</v>
      </c>
      <c r="C50" s="419">
        <v>34.229999999999997</v>
      </c>
      <c r="D50" s="341">
        <v>30</v>
      </c>
      <c r="E50" s="342">
        <v>14.001304899999999</v>
      </c>
      <c r="G50" s="316"/>
      <c r="H50" s="316"/>
      <c r="M50" s="320">
        <v>38652.599999999773</v>
      </c>
      <c r="N50" s="332">
        <v>92</v>
      </c>
      <c r="P50" s="324">
        <f t="shared" si="12"/>
        <v>-24274.659998189774</v>
      </c>
      <c r="Q50" s="325">
        <f t="shared" si="13"/>
        <v>-0.62802140084211455</v>
      </c>
      <c r="S50" s="324">
        <f t="shared" si="14"/>
        <v>-57.77</v>
      </c>
      <c r="T50" s="325">
        <f t="shared" si="15"/>
        <v>-0.62793478260869573</v>
      </c>
    </row>
    <row r="51" spans="1:20">
      <c r="A51" s="417" t="s">
        <v>253</v>
      </c>
      <c r="B51" s="418">
        <f t="shared" si="11"/>
        <v>15918.439996300798</v>
      </c>
      <c r="C51" s="419">
        <v>34.229999999999997</v>
      </c>
      <c r="D51" s="341">
        <v>31</v>
      </c>
      <c r="E51" s="342">
        <v>15.00140416</v>
      </c>
      <c r="G51" s="316"/>
      <c r="H51" s="316"/>
      <c r="M51" s="320">
        <v>42794.259999999711</v>
      </c>
      <c r="N51" s="332">
        <v>92</v>
      </c>
      <c r="P51" s="326">
        <f t="shared" si="12"/>
        <v>-26875.820003698915</v>
      </c>
      <c r="Q51" s="327">
        <f t="shared" si="13"/>
        <v>-0.62802394535386508</v>
      </c>
      <c r="S51" s="324">
        <f t="shared" si="14"/>
        <v>-57.77</v>
      </c>
      <c r="T51" s="325">
        <f t="shared" si="15"/>
        <v>-0.62793478260869573</v>
      </c>
    </row>
    <row r="52" spans="1:20">
      <c r="A52" s="420" t="s">
        <v>32</v>
      </c>
      <c r="B52" s="421">
        <f>SUM(B40:B51)</f>
        <v>149265.32862781617</v>
      </c>
      <c r="C52" s="422">
        <f>SUM(C40:C51)</f>
        <v>410.76000000000005</v>
      </c>
      <c r="D52" s="423"/>
      <c r="E52" s="386"/>
      <c r="M52" s="322">
        <f>SUM(M40:M51)</f>
        <v>401276.36999999796</v>
      </c>
      <c r="N52" s="322">
        <f>SUM(N40:N51)</f>
        <v>1104</v>
      </c>
      <c r="P52" s="324">
        <f t="shared" si="12"/>
        <v>-252011.04137218179</v>
      </c>
      <c r="Q52" s="325">
        <f t="shared" si="13"/>
        <v>-0.62802362713803228</v>
      </c>
      <c r="S52" s="339">
        <f t="shared" si="14"/>
        <v>-693.24</v>
      </c>
      <c r="T52" s="340">
        <f t="shared" si="15"/>
        <v>-0.62793478260869562</v>
      </c>
    </row>
    <row r="54" spans="1:20">
      <c r="B54" s="488" t="s">
        <v>257</v>
      </c>
      <c r="C54" s="488"/>
      <c r="D54" s="488"/>
      <c r="E54" s="488"/>
      <c r="M54" s="151" t="s">
        <v>261</v>
      </c>
      <c r="P54" s="487" t="s">
        <v>99</v>
      </c>
      <c r="Q54" s="487"/>
      <c r="S54" s="487" t="s">
        <v>99</v>
      </c>
      <c r="T54" s="487"/>
    </row>
    <row r="55" spans="1:20" ht="40.5" customHeight="1">
      <c r="A55" s="388" t="s">
        <v>240</v>
      </c>
      <c r="B55" s="387" t="s">
        <v>239</v>
      </c>
      <c r="C55" s="387" t="s">
        <v>59</v>
      </c>
      <c r="D55" s="387" t="s">
        <v>241</v>
      </c>
      <c r="E55" s="387" t="s">
        <v>242</v>
      </c>
      <c r="M55" s="150" t="s">
        <v>178</v>
      </c>
      <c r="N55" s="150" t="s">
        <v>59</v>
      </c>
      <c r="P55" s="150" t="s">
        <v>178</v>
      </c>
      <c r="Q55" s="150" t="s">
        <v>170</v>
      </c>
      <c r="S55" s="323" t="s">
        <v>59</v>
      </c>
      <c r="T55" s="323" t="s">
        <v>170</v>
      </c>
    </row>
    <row r="56" spans="1:20">
      <c r="A56" s="425"/>
      <c r="B56" s="426" t="s">
        <v>288</v>
      </c>
      <c r="C56" s="426" t="s">
        <v>226</v>
      </c>
      <c r="D56" s="426" t="s">
        <v>147</v>
      </c>
      <c r="E56" s="426" t="s">
        <v>148</v>
      </c>
      <c r="M56" s="331">
        <v>30052.639999999876</v>
      </c>
      <c r="N56" s="332">
        <v>63.6</v>
      </c>
      <c r="P56" s="324">
        <f t="shared" ref="P56:P68" si="16">B57-M56</f>
        <v>-22677.048413311877</v>
      </c>
      <c r="Q56" s="325">
        <f t="shared" ref="Q56:Q68" si="17">P56/M56</f>
        <v>-0.75457758164713551</v>
      </c>
      <c r="S56" s="324">
        <f t="shared" ref="S56:S68" si="18">C57-N56</f>
        <v>-48</v>
      </c>
      <c r="T56" s="325">
        <f t="shared" ref="T56:T68" si="19">S56/N56</f>
        <v>-0.75471698113207542</v>
      </c>
    </row>
    <row r="57" spans="1:20">
      <c r="A57" s="417" t="s">
        <v>243</v>
      </c>
      <c r="B57" s="418">
        <f t="shared" ref="B57:B68" si="20">C57*D57*E57</f>
        <v>7375.5915866879996</v>
      </c>
      <c r="C57" s="424">
        <v>15.6</v>
      </c>
      <c r="D57" s="341">
        <v>31</v>
      </c>
      <c r="E57" s="342">
        <v>15.25143008</v>
      </c>
      <c r="M57" s="331">
        <v>25809.559999999929</v>
      </c>
      <c r="N57" s="332">
        <v>63.6</v>
      </c>
      <c r="P57" s="324">
        <f t="shared" si="16"/>
        <v>-19475.368166575929</v>
      </c>
      <c r="Q57" s="325">
        <f t="shared" si="17"/>
        <v>-0.75457962733870643</v>
      </c>
      <c r="S57" s="324">
        <f t="shared" si="18"/>
        <v>-48</v>
      </c>
      <c r="T57" s="325">
        <f t="shared" si="19"/>
        <v>-0.75471698113207542</v>
      </c>
    </row>
    <row r="58" spans="1:20">
      <c r="A58" s="417" t="s">
        <v>244</v>
      </c>
      <c r="B58" s="418">
        <f t="shared" si="20"/>
        <v>6334.1918334239999</v>
      </c>
      <c r="C58" s="424">
        <v>15.6</v>
      </c>
      <c r="D58" s="341">
        <v>28</v>
      </c>
      <c r="E58" s="342">
        <v>14.50135493</v>
      </c>
      <c r="M58" s="331">
        <v>25618.709999999908</v>
      </c>
      <c r="N58" s="332">
        <v>63.6</v>
      </c>
      <c r="P58" s="324">
        <f t="shared" si="16"/>
        <v>-19331.32209231591</v>
      </c>
      <c r="Q58" s="325">
        <f t="shared" si="17"/>
        <v>-0.75457827862199067</v>
      </c>
      <c r="S58" s="324">
        <f t="shared" si="18"/>
        <v>-48</v>
      </c>
      <c r="T58" s="325">
        <f t="shared" si="19"/>
        <v>-0.75471698113207542</v>
      </c>
    </row>
    <row r="59" spans="1:20">
      <c r="A59" s="417" t="s">
        <v>245</v>
      </c>
      <c r="B59" s="418">
        <f t="shared" si="20"/>
        <v>6287.3879076839994</v>
      </c>
      <c r="C59" s="424">
        <v>15.6</v>
      </c>
      <c r="D59" s="341">
        <v>31</v>
      </c>
      <c r="E59" s="342">
        <v>13.00121569</v>
      </c>
      <c r="M59" s="331">
        <v>21454.799999999919</v>
      </c>
      <c r="N59" s="332">
        <v>63.6</v>
      </c>
      <c r="P59" s="324">
        <f t="shared" si="16"/>
        <v>-16189.305520559919</v>
      </c>
      <c r="Q59" s="325">
        <f t="shared" si="17"/>
        <v>-0.75457732165109814</v>
      </c>
      <c r="S59" s="324">
        <f t="shared" si="18"/>
        <v>-48</v>
      </c>
      <c r="T59" s="325">
        <f t="shared" si="19"/>
        <v>-0.75471698113207542</v>
      </c>
    </row>
    <row r="60" spans="1:20">
      <c r="A60" s="417" t="s">
        <v>246</v>
      </c>
      <c r="B60" s="418">
        <f t="shared" si="20"/>
        <v>5265.4944794399999</v>
      </c>
      <c r="C60" s="424">
        <v>15.6</v>
      </c>
      <c r="D60" s="341">
        <v>30</v>
      </c>
      <c r="E60" s="342">
        <v>11.25105658</v>
      </c>
      <c r="M60" s="331">
        <v>19706.699999999939</v>
      </c>
      <c r="N60" s="332">
        <v>63.6</v>
      </c>
      <c r="P60" s="324">
        <f t="shared" si="16"/>
        <v>-14870.248815707939</v>
      </c>
      <c r="Q60" s="325">
        <f t="shared" si="17"/>
        <v>-0.75457833202453906</v>
      </c>
      <c r="S60" s="324">
        <f t="shared" si="18"/>
        <v>-48</v>
      </c>
      <c r="T60" s="325">
        <f t="shared" si="19"/>
        <v>-0.75471698113207542</v>
      </c>
    </row>
    <row r="61" spans="1:20">
      <c r="A61" s="417" t="s">
        <v>6</v>
      </c>
      <c r="B61" s="418">
        <f t="shared" si="20"/>
        <v>4836.4511842919992</v>
      </c>
      <c r="C61" s="424">
        <v>15.6</v>
      </c>
      <c r="D61" s="341">
        <v>31</v>
      </c>
      <c r="E61" s="342">
        <v>10.000932969999999</v>
      </c>
      <c r="M61" s="331">
        <v>16210.499999999971</v>
      </c>
      <c r="N61" s="332">
        <v>63.6</v>
      </c>
      <c r="P61" s="324">
        <f t="shared" si="16"/>
        <v>-12232.12629263997</v>
      </c>
      <c r="Q61" s="325">
        <f t="shared" si="17"/>
        <v>-0.75458044431942217</v>
      </c>
      <c r="S61" s="324">
        <f t="shared" si="18"/>
        <v>-48</v>
      </c>
      <c r="T61" s="325">
        <f t="shared" si="19"/>
        <v>-0.75471698113207542</v>
      </c>
    </row>
    <row r="62" spans="1:20">
      <c r="A62" s="417" t="s">
        <v>247</v>
      </c>
      <c r="B62" s="418">
        <f t="shared" si="20"/>
        <v>3978.37370736</v>
      </c>
      <c r="C62" s="424">
        <v>15.6</v>
      </c>
      <c r="D62" s="341">
        <v>30</v>
      </c>
      <c r="E62" s="342">
        <v>8.50079852</v>
      </c>
      <c r="M62" s="331">
        <v>17243.439999999959</v>
      </c>
      <c r="N62" s="332">
        <v>63.6</v>
      </c>
      <c r="P62" s="324">
        <f t="shared" si="16"/>
        <v>-13011.542366186759</v>
      </c>
      <c r="Q62" s="325">
        <f t="shared" si="17"/>
        <v>-0.75457926992449242</v>
      </c>
      <c r="S62" s="324">
        <f t="shared" si="18"/>
        <v>-48</v>
      </c>
      <c r="T62" s="325">
        <f t="shared" si="19"/>
        <v>-0.75471698113207542</v>
      </c>
    </row>
    <row r="63" spans="1:20">
      <c r="A63" s="417" t="s">
        <v>248</v>
      </c>
      <c r="B63" s="418">
        <f t="shared" si="20"/>
        <v>4231.8976338131997</v>
      </c>
      <c r="C63" s="424">
        <v>15.6</v>
      </c>
      <c r="D63" s="341">
        <v>31</v>
      </c>
      <c r="E63" s="342">
        <v>8.7508222369999995</v>
      </c>
      <c r="M63" s="331">
        <v>19214.10999999995</v>
      </c>
      <c r="N63" s="332">
        <v>63.6</v>
      </c>
      <c r="P63" s="324">
        <f t="shared" si="16"/>
        <v>-14498.57134965275</v>
      </c>
      <c r="Q63" s="325">
        <f t="shared" si="17"/>
        <v>-0.75457938721350026</v>
      </c>
      <c r="S63" s="324">
        <f t="shared" si="18"/>
        <v>-48</v>
      </c>
      <c r="T63" s="325">
        <f t="shared" si="19"/>
        <v>-0.75471698113207542</v>
      </c>
    </row>
    <row r="64" spans="1:20">
      <c r="A64" s="417" t="s">
        <v>249</v>
      </c>
      <c r="B64" s="418">
        <f t="shared" si="20"/>
        <v>4715.5386503472</v>
      </c>
      <c r="C64" s="424">
        <v>15.6</v>
      </c>
      <c r="D64" s="341">
        <v>31</v>
      </c>
      <c r="E64" s="342">
        <v>9.7509070520000005</v>
      </c>
      <c r="M64" s="331">
        <v>20978.099999999933</v>
      </c>
      <c r="N64" s="332">
        <v>63.6</v>
      </c>
      <c r="P64" s="324">
        <f t="shared" si="16"/>
        <v>-15829.616916359933</v>
      </c>
      <c r="Q64" s="325">
        <f t="shared" si="17"/>
        <v>-0.75457819899609513</v>
      </c>
      <c r="S64" s="324">
        <f t="shared" si="18"/>
        <v>-48</v>
      </c>
      <c r="T64" s="325">
        <f t="shared" si="19"/>
        <v>-0.75471698113207542</v>
      </c>
    </row>
    <row r="65" spans="1:20">
      <c r="A65" s="417" t="s">
        <v>250</v>
      </c>
      <c r="B65" s="418">
        <f t="shared" si="20"/>
        <v>5148.4830836399997</v>
      </c>
      <c r="C65" s="424">
        <v>15.6</v>
      </c>
      <c r="D65" s="341">
        <v>30</v>
      </c>
      <c r="E65" s="342">
        <v>11.00103223</v>
      </c>
      <c r="M65" s="331">
        <v>24633.219999999896</v>
      </c>
      <c r="N65" s="332">
        <v>63.6</v>
      </c>
      <c r="P65" s="324">
        <f t="shared" si="16"/>
        <v>-18587.652601791895</v>
      </c>
      <c r="Q65" s="325">
        <f t="shared" si="17"/>
        <v>-0.75457664900455457</v>
      </c>
      <c r="S65" s="324">
        <f t="shared" si="18"/>
        <v>-48</v>
      </c>
      <c r="T65" s="325">
        <f t="shared" si="19"/>
        <v>-0.75471698113207542</v>
      </c>
    </row>
    <row r="66" spans="1:20">
      <c r="A66" s="417" t="s">
        <v>251</v>
      </c>
      <c r="B66" s="418">
        <f t="shared" si="20"/>
        <v>6045.5673982079998</v>
      </c>
      <c r="C66" s="424">
        <v>15.6</v>
      </c>
      <c r="D66" s="341">
        <v>31</v>
      </c>
      <c r="E66" s="342">
        <v>12.50117328</v>
      </c>
      <c r="M66" s="331">
        <v>8358</v>
      </c>
      <c r="N66" s="332">
        <v>15.6</v>
      </c>
      <c r="P66" s="324">
        <f t="shared" si="16"/>
        <v>-1805.3893068000007</v>
      </c>
      <c r="Q66" s="325">
        <f t="shared" si="17"/>
        <v>-0.21600733510409198</v>
      </c>
      <c r="S66" s="324">
        <f t="shared" si="18"/>
        <v>0</v>
      </c>
      <c r="T66" s="325">
        <f t="shared" si="19"/>
        <v>0</v>
      </c>
    </row>
    <row r="67" spans="1:20">
      <c r="A67" s="417" t="s">
        <v>252</v>
      </c>
      <c r="B67" s="418">
        <f t="shared" si="20"/>
        <v>6552.6106931999993</v>
      </c>
      <c r="C67" s="424">
        <v>15.6</v>
      </c>
      <c r="D67" s="341">
        <v>30</v>
      </c>
      <c r="E67" s="342">
        <v>14.001304899999999</v>
      </c>
      <c r="M67" s="331">
        <v>7156.32</v>
      </c>
      <c r="N67" s="332">
        <v>15.4</v>
      </c>
      <c r="P67" s="326">
        <f t="shared" si="16"/>
        <v>98.359051775999433</v>
      </c>
      <c r="Q67" s="327">
        <f t="shared" si="17"/>
        <v>1.374436187537721E-2</v>
      </c>
      <c r="S67" s="324">
        <f t="shared" si="18"/>
        <v>0.19999999999999929</v>
      </c>
      <c r="T67" s="325">
        <f t="shared" si="19"/>
        <v>1.2987012987012941E-2</v>
      </c>
    </row>
    <row r="68" spans="1:20">
      <c r="A68" s="417" t="s">
        <v>253</v>
      </c>
      <c r="B68" s="418">
        <f t="shared" si="20"/>
        <v>7254.6790517759991</v>
      </c>
      <c r="C68" s="424">
        <v>15.6</v>
      </c>
      <c r="D68" s="341">
        <v>31</v>
      </c>
      <c r="E68" s="342">
        <v>15.00140416</v>
      </c>
      <c r="M68" s="322">
        <f>SUM(M56:M67)</f>
        <v>236436.09999999931</v>
      </c>
      <c r="N68" s="322">
        <f>SUM(N56:N67)</f>
        <v>667.00000000000011</v>
      </c>
      <c r="P68" s="324">
        <f t="shared" si="16"/>
        <v>-168409.83279012691</v>
      </c>
      <c r="Q68" s="325">
        <f t="shared" si="17"/>
        <v>-0.71228476865473334</v>
      </c>
      <c r="S68" s="339">
        <f t="shared" si="18"/>
        <v>-479.80000000000018</v>
      </c>
      <c r="T68" s="340">
        <f t="shared" si="19"/>
        <v>-0.71934032983508256</v>
      </c>
    </row>
    <row r="69" spans="1:20">
      <c r="A69" s="420" t="s">
        <v>32</v>
      </c>
      <c r="B69" s="421">
        <f>SUM(B57:B68)</f>
        <v>68026.267209872385</v>
      </c>
      <c r="C69" s="422">
        <f>SUM(C57:C68)</f>
        <v>187.19999999999996</v>
      </c>
      <c r="D69" s="423"/>
      <c r="E69" s="386"/>
      <c r="F69" s="364"/>
    </row>
    <row r="70" spans="1:20">
      <c r="B70" s="488" t="s">
        <v>257</v>
      </c>
      <c r="C70" s="488"/>
      <c r="D70" s="488"/>
      <c r="E70" s="488"/>
      <c r="F70" s="364"/>
      <c r="G70" s="489" t="s">
        <v>256</v>
      </c>
      <c r="H70" s="489"/>
      <c r="I70" s="489"/>
      <c r="J70" s="489"/>
    </row>
    <row r="71" spans="1:20" ht="37" customHeight="1">
      <c r="A71" s="364"/>
      <c r="B71" s="427" t="s">
        <v>59</v>
      </c>
      <c r="C71" s="427" t="s">
        <v>241</v>
      </c>
      <c r="D71" s="427" t="s">
        <v>242</v>
      </c>
      <c r="E71" s="427" t="s">
        <v>239</v>
      </c>
      <c r="F71" s="364"/>
      <c r="G71" s="427" t="s">
        <v>59</v>
      </c>
      <c r="H71" s="427" t="s">
        <v>241</v>
      </c>
      <c r="I71" s="427" t="s">
        <v>242</v>
      </c>
      <c r="J71" s="427" t="s">
        <v>239</v>
      </c>
    </row>
    <row r="72" spans="1:20">
      <c r="A72" s="440"/>
      <c r="B72" s="441" t="s">
        <v>226</v>
      </c>
      <c r="C72" s="441" t="s">
        <v>147</v>
      </c>
      <c r="D72" s="441" t="s">
        <v>148</v>
      </c>
      <c r="E72" s="441" t="s">
        <v>288</v>
      </c>
      <c r="F72" s="440"/>
      <c r="G72" s="441" t="s">
        <v>226</v>
      </c>
      <c r="H72" s="441" t="s">
        <v>147</v>
      </c>
      <c r="I72" s="441" t="s">
        <v>148</v>
      </c>
      <c r="J72" s="441" t="s">
        <v>288</v>
      </c>
    </row>
    <row r="73" spans="1:20">
      <c r="A73" s="428" t="s">
        <v>243</v>
      </c>
      <c r="B73" s="429">
        <f>C57</f>
        <v>15.6</v>
      </c>
      <c r="C73" s="430">
        <f t="shared" ref="C73:D73" si="21">D57</f>
        <v>31</v>
      </c>
      <c r="D73" s="429">
        <f t="shared" si="21"/>
        <v>15.25143008</v>
      </c>
      <c r="E73" s="431">
        <f t="shared" ref="E73:E84" si="22">B73*C73*D73</f>
        <v>7375.5915866879996</v>
      </c>
      <c r="F73" s="364"/>
      <c r="G73" s="430">
        <f>C40</f>
        <v>34.229999999999997</v>
      </c>
      <c r="H73" s="430">
        <f t="shared" ref="H73:I73" si="23">D40</f>
        <v>31</v>
      </c>
      <c r="I73" s="429">
        <f t="shared" si="23"/>
        <v>15.25143008</v>
      </c>
      <c r="J73" s="431">
        <f t="shared" ref="J73:J84" si="24">G73*H73*I73</f>
        <v>16183.750000790398</v>
      </c>
    </row>
    <row r="74" spans="1:20">
      <c r="A74" s="428" t="s">
        <v>244</v>
      </c>
      <c r="B74" s="429">
        <f t="shared" ref="B74:D74" si="25">C58</f>
        <v>15.6</v>
      </c>
      <c r="C74" s="430">
        <f t="shared" si="25"/>
        <v>28</v>
      </c>
      <c r="D74" s="429">
        <f t="shared" si="25"/>
        <v>14.50135493</v>
      </c>
      <c r="E74" s="431">
        <f t="shared" si="22"/>
        <v>6334.1918334239999</v>
      </c>
      <c r="F74" s="364"/>
      <c r="G74" s="430">
        <f t="shared" ref="G74:G84" si="26">C41</f>
        <v>34.229999999999997</v>
      </c>
      <c r="H74" s="430">
        <f t="shared" ref="H74:H84" si="27">D41</f>
        <v>28</v>
      </c>
      <c r="I74" s="429">
        <f t="shared" ref="I74:I84" si="28">E41</f>
        <v>14.50135493</v>
      </c>
      <c r="J74" s="431">
        <f t="shared" si="24"/>
        <v>13898.6786191092</v>
      </c>
    </row>
    <row r="75" spans="1:20">
      <c r="A75" s="428" t="s">
        <v>245</v>
      </c>
      <c r="B75" s="429">
        <f t="shared" ref="B75:D75" si="29">C59</f>
        <v>15.6</v>
      </c>
      <c r="C75" s="430">
        <f t="shared" si="29"/>
        <v>31</v>
      </c>
      <c r="D75" s="429">
        <f t="shared" si="29"/>
        <v>13.00121569</v>
      </c>
      <c r="E75" s="431">
        <f t="shared" si="22"/>
        <v>6287.3879076839994</v>
      </c>
      <c r="F75" s="364"/>
      <c r="G75" s="430">
        <f t="shared" si="26"/>
        <v>34.229999999999997</v>
      </c>
      <c r="H75" s="430">
        <f t="shared" si="27"/>
        <v>31</v>
      </c>
      <c r="I75" s="429">
        <f t="shared" si="28"/>
        <v>13.00121569</v>
      </c>
      <c r="J75" s="431">
        <f t="shared" si="24"/>
        <v>13795.980005129699</v>
      </c>
    </row>
    <row r="76" spans="1:20">
      <c r="A76" s="428" t="s">
        <v>246</v>
      </c>
      <c r="B76" s="429">
        <f t="shared" ref="B76:D76" si="30">C60</f>
        <v>15.6</v>
      </c>
      <c r="C76" s="430">
        <f t="shared" si="30"/>
        <v>30</v>
      </c>
      <c r="D76" s="429">
        <f t="shared" si="30"/>
        <v>11.25105658</v>
      </c>
      <c r="E76" s="431">
        <f t="shared" si="22"/>
        <v>5265.4944794399999</v>
      </c>
      <c r="F76" s="364"/>
      <c r="G76" s="430">
        <f t="shared" si="26"/>
        <v>34.229999999999997</v>
      </c>
      <c r="H76" s="430">
        <f t="shared" si="27"/>
        <v>30</v>
      </c>
      <c r="I76" s="429">
        <f t="shared" si="28"/>
        <v>11.25105658</v>
      </c>
      <c r="J76" s="431">
        <f t="shared" si="24"/>
        <v>11553.710002001999</v>
      </c>
    </row>
    <row r="77" spans="1:20">
      <c r="A77" s="428" t="s">
        <v>6</v>
      </c>
      <c r="B77" s="429">
        <f t="shared" ref="B77:D77" si="31">C61</f>
        <v>15.6</v>
      </c>
      <c r="C77" s="430">
        <f t="shared" si="31"/>
        <v>31</v>
      </c>
      <c r="D77" s="429">
        <f t="shared" si="31"/>
        <v>10.000932969999999</v>
      </c>
      <c r="E77" s="431">
        <f t="shared" si="22"/>
        <v>4836.4511842919992</v>
      </c>
      <c r="F77" s="364"/>
      <c r="G77" s="430">
        <f t="shared" si="26"/>
        <v>34.229999999999997</v>
      </c>
      <c r="H77" s="430">
        <f t="shared" si="27"/>
        <v>31</v>
      </c>
      <c r="I77" s="429">
        <f t="shared" si="28"/>
        <v>10.000932969999999</v>
      </c>
      <c r="J77" s="431">
        <f t="shared" si="24"/>
        <v>10612.290002456099</v>
      </c>
    </row>
    <row r="78" spans="1:20">
      <c r="A78" s="428" t="s">
        <v>247</v>
      </c>
      <c r="B78" s="429">
        <f t="shared" ref="B78:D78" si="32">C62</f>
        <v>15.6</v>
      </c>
      <c r="C78" s="430">
        <f t="shared" si="32"/>
        <v>30</v>
      </c>
      <c r="D78" s="429">
        <f t="shared" si="32"/>
        <v>8.50079852</v>
      </c>
      <c r="E78" s="431">
        <f t="shared" si="22"/>
        <v>3978.37370736</v>
      </c>
      <c r="F78" s="364"/>
      <c r="G78" s="430">
        <f t="shared" si="26"/>
        <v>34.229999999999997</v>
      </c>
      <c r="H78" s="430">
        <f t="shared" si="27"/>
        <v>30</v>
      </c>
      <c r="I78" s="429">
        <f t="shared" si="28"/>
        <v>8.50079852</v>
      </c>
      <c r="J78" s="431">
        <f t="shared" si="24"/>
        <v>8729.4700001879992</v>
      </c>
    </row>
    <row r="79" spans="1:20">
      <c r="A79" s="428" t="s">
        <v>248</v>
      </c>
      <c r="B79" s="429">
        <f t="shared" ref="B79:D79" si="33">C63</f>
        <v>15.6</v>
      </c>
      <c r="C79" s="430">
        <f t="shared" si="33"/>
        <v>31</v>
      </c>
      <c r="D79" s="429">
        <f t="shared" si="33"/>
        <v>8.7508222369999995</v>
      </c>
      <c r="E79" s="431">
        <f t="shared" si="22"/>
        <v>4231.8976338131997</v>
      </c>
      <c r="F79" s="364"/>
      <c r="G79" s="430">
        <f t="shared" si="26"/>
        <v>34.229999999999997</v>
      </c>
      <c r="H79" s="430">
        <f t="shared" si="27"/>
        <v>31</v>
      </c>
      <c r="I79" s="429">
        <f t="shared" si="28"/>
        <v>8.7508222369999995</v>
      </c>
      <c r="J79" s="431">
        <f t="shared" si="24"/>
        <v>9285.7600003478092</v>
      </c>
    </row>
    <row r="80" spans="1:20">
      <c r="A80" s="428" t="s">
        <v>249</v>
      </c>
      <c r="B80" s="429">
        <f t="shared" ref="B80:D80" si="34">C64</f>
        <v>15.6</v>
      </c>
      <c r="C80" s="430">
        <f t="shared" si="34"/>
        <v>31</v>
      </c>
      <c r="D80" s="429">
        <f t="shared" si="34"/>
        <v>9.7509070520000005</v>
      </c>
      <c r="E80" s="431">
        <f t="shared" si="22"/>
        <v>4715.5386503472</v>
      </c>
      <c r="F80" s="364"/>
      <c r="G80" s="430">
        <f t="shared" si="26"/>
        <v>34.229999999999997</v>
      </c>
      <c r="H80" s="430">
        <f t="shared" si="27"/>
        <v>31</v>
      </c>
      <c r="I80" s="429">
        <f t="shared" si="28"/>
        <v>9.7509070520000005</v>
      </c>
      <c r="J80" s="431">
        <f t="shared" si="24"/>
        <v>10346.980000088759</v>
      </c>
    </row>
    <row r="81" spans="1:10">
      <c r="A81" s="428" t="s">
        <v>250</v>
      </c>
      <c r="B81" s="429">
        <f t="shared" ref="B81:D81" si="35">C65</f>
        <v>15.6</v>
      </c>
      <c r="C81" s="430">
        <f t="shared" si="35"/>
        <v>30</v>
      </c>
      <c r="D81" s="429">
        <f t="shared" si="35"/>
        <v>11.00103223</v>
      </c>
      <c r="E81" s="431">
        <f t="shared" si="22"/>
        <v>5148.4830836399997</v>
      </c>
      <c r="F81" s="364"/>
      <c r="G81" s="430">
        <f t="shared" si="26"/>
        <v>34.229999999999997</v>
      </c>
      <c r="H81" s="430">
        <f t="shared" si="27"/>
        <v>30</v>
      </c>
      <c r="I81" s="429">
        <f t="shared" si="28"/>
        <v>11.00103223</v>
      </c>
      <c r="J81" s="431">
        <f t="shared" si="24"/>
        <v>11296.959996986998</v>
      </c>
    </row>
    <row r="82" spans="1:10">
      <c r="A82" s="428" t="s">
        <v>251</v>
      </c>
      <c r="B82" s="429">
        <f t="shared" ref="B82:D82" si="36">C66</f>
        <v>15.6</v>
      </c>
      <c r="C82" s="430">
        <f t="shared" si="36"/>
        <v>31</v>
      </c>
      <c r="D82" s="429">
        <f t="shared" si="36"/>
        <v>12.50117328</v>
      </c>
      <c r="E82" s="431">
        <f t="shared" si="22"/>
        <v>6045.5673982079998</v>
      </c>
      <c r="F82" s="364"/>
      <c r="G82" s="430">
        <f t="shared" si="26"/>
        <v>34.229999999999997</v>
      </c>
      <c r="H82" s="430">
        <f t="shared" si="27"/>
        <v>31</v>
      </c>
      <c r="I82" s="429">
        <f t="shared" si="28"/>
        <v>12.50117328</v>
      </c>
      <c r="J82" s="431">
        <f t="shared" si="24"/>
        <v>13265.370002606398</v>
      </c>
    </row>
    <row r="83" spans="1:10">
      <c r="A83" s="428" t="s">
        <v>252</v>
      </c>
      <c r="B83" s="429">
        <f t="shared" ref="B83:D83" si="37">C67</f>
        <v>15.6</v>
      </c>
      <c r="C83" s="430">
        <f t="shared" si="37"/>
        <v>30</v>
      </c>
      <c r="D83" s="429">
        <f t="shared" si="37"/>
        <v>14.001304899999999</v>
      </c>
      <c r="E83" s="431">
        <f t="shared" si="22"/>
        <v>6552.6106931999993</v>
      </c>
      <c r="F83" s="364"/>
      <c r="G83" s="430">
        <f t="shared" si="26"/>
        <v>34.229999999999997</v>
      </c>
      <c r="H83" s="430">
        <f t="shared" si="27"/>
        <v>30</v>
      </c>
      <c r="I83" s="429">
        <f t="shared" si="28"/>
        <v>14.001304899999999</v>
      </c>
      <c r="J83" s="431">
        <f t="shared" si="24"/>
        <v>14377.940001809997</v>
      </c>
    </row>
    <row r="84" spans="1:10">
      <c r="A84" s="428" t="s">
        <v>253</v>
      </c>
      <c r="B84" s="429">
        <f t="shared" ref="B84:D84" si="38">C68</f>
        <v>15.6</v>
      </c>
      <c r="C84" s="437">
        <f t="shared" si="38"/>
        <v>31</v>
      </c>
      <c r="D84" s="438">
        <f t="shared" si="38"/>
        <v>15.00140416</v>
      </c>
      <c r="E84" s="439">
        <f t="shared" si="22"/>
        <v>7254.6790517759991</v>
      </c>
      <c r="F84" s="440"/>
      <c r="G84" s="437">
        <f t="shared" si="26"/>
        <v>34.229999999999997</v>
      </c>
      <c r="H84" s="437">
        <f t="shared" si="27"/>
        <v>31</v>
      </c>
      <c r="I84" s="438">
        <f t="shared" si="28"/>
        <v>15.00140416</v>
      </c>
      <c r="J84" s="439">
        <f t="shared" si="24"/>
        <v>15918.439996300798</v>
      </c>
    </row>
    <row r="85" spans="1:10">
      <c r="A85" s="432" t="s">
        <v>32</v>
      </c>
      <c r="B85" s="433">
        <f>SUM(B73:B84)</f>
        <v>187.19999999999996</v>
      </c>
      <c r="C85" s="434"/>
      <c r="D85" s="389"/>
      <c r="E85" s="435">
        <f>SUM(E73:E84)</f>
        <v>68026.267209872385</v>
      </c>
      <c r="F85" s="364"/>
      <c r="G85" s="436">
        <f>SUM(G73:G84)</f>
        <v>410.76000000000005</v>
      </c>
      <c r="H85" s="434"/>
      <c r="I85" s="389"/>
      <c r="J85" s="435">
        <f>SUM(J73:J84)</f>
        <v>149265.32862781617</v>
      </c>
    </row>
    <row r="86" spans="1:10" ht="16" thickBot="1">
      <c r="D86" s="385"/>
    </row>
    <row r="87" spans="1:10">
      <c r="A87" s="389"/>
      <c r="B87" s="490" t="s">
        <v>257</v>
      </c>
      <c r="C87" s="491"/>
      <c r="D87" s="490" t="s">
        <v>256</v>
      </c>
      <c r="E87" s="491"/>
      <c r="F87" s="490" t="s">
        <v>255</v>
      </c>
      <c r="G87" s="492"/>
      <c r="H87" s="493" t="s">
        <v>283</v>
      </c>
      <c r="I87" s="494"/>
      <c r="J87" s="364"/>
    </row>
    <row r="88" spans="1:10">
      <c r="A88" s="412" t="s">
        <v>284</v>
      </c>
      <c r="B88" s="485" t="s">
        <v>285</v>
      </c>
      <c r="C88" s="486"/>
      <c r="D88" s="485" t="s">
        <v>285</v>
      </c>
      <c r="E88" s="486"/>
      <c r="F88" s="485" t="s">
        <v>286</v>
      </c>
      <c r="G88" s="486"/>
      <c r="H88" s="410"/>
      <c r="I88" s="411"/>
      <c r="J88" s="364"/>
    </row>
    <row r="89" spans="1:10" ht="27.5">
      <c r="A89" s="389"/>
      <c r="B89" s="390" t="s">
        <v>289</v>
      </c>
      <c r="C89" s="391" t="s">
        <v>59</v>
      </c>
      <c r="D89" s="390" t="s">
        <v>289</v>
      </c>
      <c r="E89" s="391" t="s">
        <v>59</v>
      </c>
      <c r="F89" s="390" t="s">
        <v>289</v>
      </c>
      <c r="G89" s="392" t="s">
        <v>59</v>
      </c>
      <c r="H89" s="447" t="s">
        <v>289</v>
      </c>
      <c r="I89" s="442" t="s">
        <v>59</v>
      </c>
      <c r="J89" s="416" t="s">
        <v>287</v>
      </c>
    </row>
    <row r="90" spans="1:10">
      <c r="A90" s="393">
        <v>43466</v>
      </c>
      <c r="B90" s="394">
        <f>M56</f>
        <v>30052.639999999876</v>
      </c>
      <c r="C90" s="395">
        <f>N56</f>
        <v>63.6</v>
      </c>
      <c r="D90" s="394">
        <f>M40</f>
        <v>43507.259999999718</v>
      </c>
      <c r="E90" s="395">
        <f>N40</f>
        <v>92</v>
      </c>
      <c r="F90" s="394">
        <f>M23</f>
        <v>1361.5200000000118</v>
      </c>
      <c r="G90" s="394">
        <f>N23</f>
        <v>2.9</v>
      </c>
      <c r="H90" s="443">
        <f>B90+D90+F90</f>
        <v>74921.419999999605</v>
      </c>
      <c r="I90" s="444">
        <f>C90+E90+G90</f>
        <v>158.5</v>
      </c>
      <c r="J90" s="413" t="s">
        <v>86</v>
      </c>
    </row>
    <row r="91" spans="1:10">
      <c r="A91" s="393">
        <v>43497</v>
      </c>
      <c r="B91" s="394">
        <f t="shared" ref="B91:C91" si="39">M57</f>
        <v>25809.559999999929</v>
      </c>
      <c r="C91" s="395">
        <f t="shared" si="39"/>
        <v>63.6</v>
      </c>
      <c r="D91" s="394">
        <f t="shared" ref="D91:E91" si="40">M41</f>
        <v>37364.59999999978</v>
      </c>
      <c r="E91" s="395">
        <f t="shared" si="40"/>
        <v>92</v>
      </c>
      <c r="F91" s="394">
        <f t="shared" ref="F91:G91" si="41">M24</f>
        <v>1169.2800000000038</v>
      </c>
      <c r="G91" s="394">
        <f t="shared" si="41"/>
        <v>2.9</v>
      </c>
      <c r="H91" s="443">
        <f t="shared" ref="H91:H101" si="42">B91+D91+F91</f>
        <v>64343.439999999719</v>
      </c>
      <c r="I91" s="444">
        <f t="shared" ref="I91:I101" si="43">C91+E91+G91</f>
        <v>158.5</v>
      </c>
      <c r="J91" s="413" t="s">
        <v>86</v>
      </c>
    </row>
    <row r="92" spans="1:10">
      <c r="A92" s="393">
        <v>43525</v>
      </c>
      <c r="B92" s="394">
        <f t="shared" ref="B92:C92" si="44">M58</f>
        <v>25618.709999999908</v>
      </c>
      <c r="C92" s="395">
        <f t="shared" si="44"/>
        <v>63.6</v>
      </c>
      <c r="D92" s="394">
        <f t="shared" ref="D92:E92" si="45">M42</f>
        <v>37088.089999999793</v>
      </c>
      <c r="E92" s="395">
        <f t="shared" si="45"/>
        <v>92</v>
      </c>
      <c r="F92" s="394">
        <f t="shared" ref="F92:G92" si="46">M25</f>
        <v>1160.6400000000037</v>
      </c>
      <c r="G92" s="394">
        <f t="shared" si="46"/>
        <v>2.9</v>
      </c>
      <c r="H92" s="443">
        <f t="shared" si="42"/>
        <v>63867.439999999704</v>
      </c>
      <c r="I92" s="444">
        <f t="shared" si="43"/>
        <v>158.5</v>
      </c>
      <c r="J92" s="413" t="s">
        <v>86</v>
      </c>
    </row>
    <row r="93" spans="1:10">
      <c r="A93" s="393">
        <v>43556</v>
      </c>
      <c r="B93" s="394">
        <f t="shared" ref="B93:C93" si="47">M59</f>
        <v>21454.799999999919</v>
      </c>
      <c r="C93" s="395">
        <f t="shared" si="47"/>
        <v>63.6</v>
      </c>
      <c r="D93" s="394">
        <f t="shared" ref="D93:E93" si="48">M43</f>
        <v>31060.199999999848</v>
      </c>
      <c r="E93" s="395">
        <f t="shared" si="48"/>
        <v>92</v>
      </c>
      <c r="F93" s="394">
        <f t="shared" ref="F93:G93" si="49">M26</f>
        <v>971.9999999999992</v>
      </c>
      <c r="G93" s="394">
        <f t="shared" si="49"/>
        <v>2.9</v>
      </c>
      <c r="H93" s="443">
        <f t="shared" si="42"/>
        <v>53486.999999999767</v>
      </c>
      <c r="I93" s="444">
        <f t="shared" si="43"/>
        <v>158.5</v>
      </c>
      <c r="J93" s="413" t="s">
        <v>86</v>
      </c>
    </row>
    <row r="94" spans="1:10">
      <c r="A94" s="393">
        <v>43586</v>
      </c>
      <c r="B94" s="394">
        <f t="shared" ref="B94:C94" si="50">M60</f>
        <v>19706.699999999939</v>
      </c>
      <c r="C94" s="395">
        <f t="shared" si="50"/>
        <v>63.6</v>
      </c>
      <c r="D94" s="394">
        <f t="shared" ref="D94:E94" si="51">M44</f>
        <v>28529.609999999881</v>
      </c>
      <c r="E94" s="395">
        <f t="shared" si="51"/>
        <v>92</v>
      </c>
      <c r="F94" s="394">
        <f t="shared" ref="F94:G94" si="52">M27</f>
        <v>892.79999999999927</v>
      </c>
      <c r="G94" s="394">
        <f t="shared" si="52"/>
        <v>2.9</v>
      </c>
      <c r="H94" s="443">
        <f t="shared" si="42"/>
        <v>49129.109999999826</v>
      </c>
      <c r="I94" s="444">
        <f t="shared" si="43"/>
        <v>158.5</v>
      </c>
      <c r="J94" s="413" t="s">
        <v>86</v>
      </c>
    </row>
    <row r="95" spans="1:10">
      <c r="A95" s="393">
        <v>43617</v>
      </c>
      <c r="B95" s="394">
        <f t="shared" ref="B95:C95" si="53">M61</f>
        <v>16210.499999999971</v>
      </c>
      <c r="C95" s="395">
        <f t="shared" si="53"/>
        <v>63.6</v>
      </c>
      <c r="D95" s="394">
        <f t="shared" ref="D95:E95" si="54">M45</f>
        <v>23468.099999999959</v>
      </c>
      <c r="E95" s="395">
        <f t="shared" si="54"/>
        <v>92</v>
      </c>
      <c r="F95" s="394">
        <f t="shared" ref="F95:G95" si="55">M28</f>
        <v>734.39999999999907</v>
      </c>
      <c r="G95" s="394">
        <f t="shared" si="55"/>
        <v>2.9</v>
      </c>
      <c r="H95" s="443">
        <f t="shared" si="42"/>
        <v>40412.999999999935</v>
      </c>
      <c r="I95" s="444">
        <f t="shared" si="43"/>
        <v>158.5</v>
      </c>
      <c r="J95" s="413" t="s">
        <v>86</v>
      </c>
    </row>
    <row r="96" spans="1:10">
      <c r="A96" s="393">
        <v>43647</v>
      </c>
      <c r="B96" s="394">
        <f t="shared" ref="B96:C96" si="56">M62</f>
        <v>17243.439999999959</v>
      </c>
      <c r="C96" s="395">
        <f t="shared" si="56"/>
        <v>63.6</v>
      </c>
      <c r="D96" s="394">
        <f t="shared" ref="D96:E96" si="57">M46</f>
        <v>24963.369999999941</v>
      </c>
      <c r="E96" s="395">
        <f t="shared" si="57"/>
        <v>92</v>
      </c>
      <c r="F96" s="394">
        <f t="shared" ref="F96:G96" si="58">M29</f>
        <v>781.19999999999891</v>
      </c>
      <c r="G96" s="394">
        <f t="shared" si="58"/>
        <v>2.9</v>
      </c>
      <c r="H96" s="443">
        <f t="shared" si="42"/>
        <v>42988.009999999893</v>
      </c>
      <c r="I96" s="444">
        <f t="shared" si="43"/>
        <v>158.5</v>
      </c>
      <c r="J96" s="413" t="s">
        <v>86</v>
      </c>
    </row>
    <row r="97" spans="1:10">
      <c r="A97" s="393">
        <v>43678</v>
      </c>
      <c r="B97" s="394">
        <f t="shared" ref="B97:C97" si="59">M63</f>
        <v>19214.10999999995</v>
      </c>
      <c r="C97" s="395">
        <f t="shared" si="59"/>
        <v>63.6</v>
      </c>
      <c r="D97" s="394">
        <f t="shared" ref="D97:E97" si="60">M47</f>
        <v>27816.299999999908</v>
      </c>
      <c r="E97" s="395">
        <f t="shared" si="60"/>
        <v>92</v>
      </c>
      <c r="F97" s="394">
        <f t="shared" ref="F97:G97" si="61">M30</f>
        <v>870.48000000000013</v>
      </c>
      <c r="G97" s="394">
        <f t="shared" si="61"/>
        <v>2.9</v>
      </c>
      <c r="H97" s="443">
        <f t="shared" si="42"/>
        <v>47900.889999999861</v>
      </c>
      <c r="I97" s="444">
        <f t="shared" si="43"/>
        <v>158.5</v>
      </c>
      <c r="J97" s="413" t="s">
        <v>86</v>
      </c>
    </row>
    <row r="98" spans="1:10">
      <c r="A98" s="393">
        <v>43709</v>
      </c>
      <c r="B98" s="394">
        <f t="shared" ref="B98:C98" si="62">M64</f>
        <v>20978.099999999933</v>
      </c>
      <c r="C98" s="395">
        <f t="shared" si="62"/>
        <v>63.6</v>
      </c>
      <c r="D98" s="394">
        <f t="shared" ref="D98:E98" si="63">M48</f>
        <v>30370.199999999855</v>
      </c>
      <c r="E98" s="395">
        <f t="shared" si="63"/>
        <v>92</v>
      </c>
      <c r="F98" s="394">
        <f t="shared" ref="F98:G98" si="64">M31</f>
        <v>950.39999999999918</v>
      </c>
      <c r="G98" s="394">
        <f t="shared" si="64"/>
        <v>2.9</v>
      </c>
      <c r="H98" s="443">
        <f t="shared" si="42"/>
        <v>52298.699999999786</v>
      </c>
      <c r="I98" s="444">
        <f t="shared" si="43"/>
        <v>158.5</v>
      </c>
      <c r="J98" s="413" t="s">
        <v>86</v>
      </c>
    </row>
    <row r="99" spans="1:10">
      <c r="A99" s="393">
        <v>43739</v>
      </c>
      <c r="B99" s="394">
        <f t="shared" ref="B99:C99" si="65">M65</f>
        <v>24633.219999999896</v>
      </c>
      <c r="C99" s="395">
        <f t="shared" si="65"/>
        <v>63.6</v>
      </c>
      <c r="D99" s="394">
        <f t="shared" ref="D99:E99" si="66">M49</f>
        <v>35661.779999999788</v>
      </c>
      <c r="E99" s="395">
        <f t="shared" si="66"/>
        <v>92</v>
      </c>
      <c r="F99" s="394">
        <f t="shared" ref="F99:G99" si="67">M32</f>
        <v>1116.0000000000032</v>
      </c>
      <c r="G99" s="394">
        <f t="shared" si="67"/>
        <v>2.9</v>
      </c>
      <c r="H99" s="443">
        <f t="shared" si="42"/>
        <v>61410.99999999968</v>
      </c>
      <c r="I99" s="444">
        <f t="shared" si="43"/>
        <v>158.5</v>
      </c>
      <c r="J99" s="413" t="s">
        <v>86</v>
      </c>
    </row>
    <row r="100" spans="1:10">
      <c r="A100" s="393">
        <v>43770</v>
      </c>
      <c r="B100" s="394">
        <v>7356.32</v>
      </c>
      <c r="C100" s="395">
        <f t="shared" ref="C100" si="68">N66</f>
        <v>15.6</v>
      </c>
      <c r="D100" s="394">
        <f t="shared" ref="D100:E100" si="69">M50</f>
        <v>38652.599999999773</v>
      </c>
      <c r="E100" s="395">
        <f t="shared" si="69"/>
        <v>92</v>
      </c>
      <c r="F100" s="394">
        <f t="shared" ref="F100:G100" si="70">M33</f>
        <v>1209.6000000000056</v>
      </c>
      <c r="G100" s="394">
        <f t="shared" si="70"/>
        <v>2.9</v>
      </c>
      <c r="H100" s="443">
        <f t="shared" si="42"/>
        <v>47218.519999999779</v>
      </c>
      <c r="I100" s="444">
        <f t="shared" si="43"/>
        <v>110.5</v>
      </c>
      <c r="J100" s="413" t="s">
        <v>86</v>
      </c>
    </row>
    <row r="101" spans="1:10">
      <c r="A101" s="396">
        <v>43800</v>
      </c>
      <c r="B101" s="397">
        <v>8158.2</v>
      </c>
      <c r="C101" s="398">
        <v>15.6</v>
      </c>
      <c r="D101" s="397">
        <f t="shared" ref="D101:E101" si="71">M51</f>
        <v>42794.259999999711</v>
      </c>
      <c r="E101" s="398">
        <f t="shared" si="71"/>
        <v>92</v>
      </c>
      <c r="F101" s="397">
        <f t="shared" ref="F101:G101" si="72">M34</f>
        <v>1339.2000000000119</v>
      </c>
      <c r="G101" s="397">
        <f t="shared" si="72"/>
        <v>2.9</v>
      </c>
      <c r="H101" s="445">
        <f t="shared" si="42"/>
        <v>52291.65999999972</v>
      </c>
      <c r="I101" s="446">
        <f t="shared" si="43"/>
        <v>110.5</v>
      </c>
      <c r="J101" s="413" t="s">
        <v>86</v>
      </c>
    </row>
    <row r="102" spans="1:10" ht="16" thickBot="1">
      <c r="A102" s="399" t="s">
        <v>32</v>
      </c>
      <c r="B102" s="400">
        <f>SUM(B90:B101)</f>
        <v>236436.29999999932</v>
      </c>
      <c r="C102" s="401">
        <f>SUM(C90:C101)</f>
        <v>667.20000000000016</v>
      </c>
      <c r="D102" s="400">
        <f t="shared" ref="D102:I102" si="73">SUM(D90:D101)</f>
        <v>401276.36999999796</v>
      </c>
      <c r="E102" s="401">
        <f t="shared" si="73"/>
        <v>1104</v>
      </c>
      <c r="F102" s="400">
        <f t="shared" si="73"/>
        <v>12557.520000000037</v>
      </c>
      <c r="G102" s="402">
        <f t="shared" si="73"/>
        <v>34.79999999999999</v>
      </c>
      <c r="H102" s="463">
        <f t="shared" si="73"/>
        <v>650270.18999999727</v>
      </c>
      <c r="I102" s="404">
        <f t="shared" si="73"/>
        <v>1806</v>
      </c>
    </row>
    <row r="103" spans="1:10" ht="16" thickBot="1"/>
    <row r="104" spans="1:10">
      <c r="A104" s="389"/>
      <c r="B104" s="490" t="s">
        <v>257</v>
      </c>
      <c r="C104" s="491"/>
      <c r="D104" s="490" t="s">
        <v>256</v>
      </c>
      <c r="E104" s="491"/>
      <c r="F104" s="490" t="s">
        <v>255</v>
      </c>
      <c r="G104" s="492"/>
      <c r="H104" s="493" t="s">
        <v>283</v>
      </c>
      <c r="I104" s="494"/>
      <c r="J104" s="364"/>
    </row>
    <row r="105" spans="1:10">
      <c r="A105" s="412" t="s">
        <v>284</v>
      </c>
      <c r="B105" s="485" t="s">
        <v>286</v>
      </c>
      <c r="C105" s="486"/>
      <c r="D105" s="485" t="s">
        <v>286</v>
      </c>
      <c r="E105" s="486"/>
      <c r="F105" s="485" t="s">
        <v>286</v>
      </c>
      <c r="G105" s="486"/>
      <c r="H105" s="410"/>
      <c r="I105" s="411"/>
      <c r="J105" s="364"/>
    </row>
    <row r="106" spans="1:10" ht="27.5">
      <c r="A106" s="389"/>
      <c r="B106" s="390" t="s">
        <v>289</v>
      </c>
      <c r="C106" s="391" t="s">
        <v>59</v>
      </c>
      <c r="D106" s="390" t="s">
        <v>289</v>
      </c>
      <c r="E106" s="391" t="s">
        <v>59</v>
      </c>
      <c r="F106" s="390" t="s">
        <v>289</v>
      </c>
      <c r="G106" s="392" t="s">
        <v>59</v>
      </c>
      <c r="H106" s="447" t="s">
        <v>289</v>
      </c>
      <c r="I106" s="442" t="s">
        <v>59</v>
      </c>
      <c r="J106" s="416" t="s">
        <v>287</v>
      </c>
    </row>
    <row r="107" spans="1:10">
      <c r="A107" s="409">
        <v>43831</v>
      </c>
      <c r="B107" s="394">
        <f t="shared" ref="B107:C118" si="74">B57</f>
        <v>7375.5915866879996</v>
      </c>
      <c r="C107" s="395">
        <f t="shared" si="74"/>
        <v>15.6</v>
      </c>
      <c r="D107" s="394">
        <f t="shared" ref="D107:D118" si="75">B40</f>
        <v>16183.750000790398</v>
      </c>
      <c r="E107" s="395">
        <f t="shared" ref="E107:E118" si="76">C40</f>
        <v>34.229999999999997</v>
      </c>
      <c r="F107" s="394">
        <f>B23</f>
        <v>1359.75650021248</v>
      </c>
      <c r="G107" s="394">
        <f>C23</f>
        <v>2.8759999999999999</v>
      </c>
      <c r="H107" s="448">
        <f>B107+D107+F107</f>
        <v>24919.098087690876</v>
      </c>
      <c r="I107" s="444">
        <f>C107+E107+G107</f>
        <v>52.705999999999996</v>
      </c>
      <c r="J107" s="413" t="s">
        <v>86</v>
      </c>
    </row>
    <row r="108" spans="1:10">
      <c r="A108" s="409">
        <v>43862</v>
      </c>
      <c r="B108" s="394">
        <f t="shared" si="74"/>
        <v>6334.1918334239999</v>
      </c>
      <c r="C108" s="395">
        <f t="shared" si="74"/>
        <v>15.6</v>
      </c>
      <c r="D108" s="394">
        <f t="shared" si="75"/>
        <v>13898.6786191092</v>
      </c>
      <c r="E108" s="395">
        <f t="shared" si="76"/>
        <v>34.229999999999997</v>
      </c>
      <c r="F108" s="394">
        <f t="shared" ref="F108:G108" si="77">B24</f>
        <v>1167.7651098030399</v>
      </c>
      <c r="G108" s="394">
        <f t="shared" si="77"/>
        <v>2.8759999999999999</v>
      </c>
      <c r="H108" s="448">
        <f t="shared" ref="H108:H118" si="78">B108+D108+F108</f>
        <v>21400.63556233624</v>
      </c>
      <c r="I108" s="444">
        <f t="shared" ref="I108:I118" si="79">C108+E108+G108</f>
        <v>52.705999999999996</v>
      </c>
      <c r="J108" s="413" t="s">
        <v>86</v>
      </c>
    </row>
    <row r="109" spans="1:10">
      <c r="A109" s="414">
        <v>43891</v>
      </c>
      <c r="B109" s="397">
        <f t="shared" si="74"/>
        <v>6287.3879076839994</v>
      </c>
      <c r="C109" s="398">
        <f t="shared" si="74"/>
        <v>15.6</v>
      </c>
      <c r="D109" s="397">
        <f t="shared" si="75"/>
        <v>13795.980005129699</v>
      </c>
      <c r="E109" s="398">
        <f t="shared" si="76"/>
        <v>34.229999999999997</v>
      </c>
      <c r="F109" s="397">
        <f t="shared" ref="F109:G109" si="80">B25</f>
        <v>1159.13638605764</v>
      </c>
      <c r="G109" s="397">
        <f t="shared" si="80"/>
        <v>2.8759999999999999</v>
      </c>
      <c r="H109" s="449">
        <f t="shared" si="78"/>
        <v>21242.504298871336</v>
      </c>
      <c r="I109" s="446">
        <f t="shared" si="79"/>
        <v>52.705999999999996</v>
      </c>
      <c r="J109" s="415" t="s">
        <v>86</v>
      </c>
    </row>
    <row r="110" spans="1:10">
      <c r="A110" s="409">
        <v>43922</v>
      </c>
      <c r="B110" s="394">
        <f t="shared" si="74"/>
        <v>5265.4944794399999</v>
      </c>
      <c r="C110" s="395">
        <f t="shared" si="74"/>
        <v>15.6</v>
      </c>
      <c r="D110" s="394">
        <f t="shared" si="75"/>
        <v>11553.710002001999</v>
      </c>
      <c r="E110" s="395">
        <f t="shared" si="76"/>
        <v>34.229999999999997</v>
      </c>
      <c r="F110" s="394">
        <f t="shared" ref="F110:G110" si="81">B26</f>
        <v>970.74116172240008</v>
      </c>
      <c r="G110" s="394">
        <f t="shared" si="81"/>
        <v>2.8759999999999999</v>
      </c>
      <c r="H110" s="448">
        <f t="shared" si="78"/>
        <v>17789.945643164399</v>
      </c>
      <c r="I110" s="444">
        <f t="shared" si="79"/>
        <v>52.705999999999996</v>
      </c>
      <c r="J110" s="413" t="s">
        <v>50</v>
      </c>
    </row>
    <row r="111" spans="1:10">
      <c r="A111" s="409">
        <v>43952</v>
      </c>
      <c r="B111" s="394">
        <f t="shared" si="74"/>
        <v>4836.4511842919992</v>
      </c>
      <c r="C111" s="395">
        <f t="shared" si="74"/>
        <v>15.6</v>
      </c>
      <c r="D111" s="394">
        <f t="shared" si="75"/>
        <v>10612.290002456099</v>
      </c>
      <c r="E111" s="395">
        <f t="shared" si="76"/>
        <v>34.229999999999997</v>
      </c>
      <c r="F111" s="394">
        <f t="shared" ref="F111:G111" si="82">B27</f>
        <v>891.64317987331981</v>
      </c>
      <c r="G111" s="394">
        <f t="shared" si="82"/>
        <v>2.8759999999999999</v>
      </c>
      <c r="H111" s="448">
        <f t="shared" si="78"/>
        <v>16340.384366621418</v>
      </c>
      <c r="I111" s="444">
        <f t="shared" si="79"/>
        <v>52.705999999999996</v>
      </c>
      <c r="J111" s="413" t="s">
        <v>50</v>
      </c>
    </row>
    <row r="112" spans="1:10">
      <c r="A112" s="409">
        <v>43983</v>
      </c>
      <c r="B112" s="394">
        <f t="shared" si="74"/>
        <v>3978.37370736</v>
      </c>
      <c r="C112" s="395">
        <f t="shared" si="74"/>
        <v>15.6</v>
      </c>
      <c r="D112" s="394">
        <f t="shared" si="75"/>
        <v>8729.4700001879992</v>
      </c>
      <c r="E112" s="395">
        <f t="shared" si="76"/>
        <v>34.229999999999997</v>
      </c>
      <c r="F112" s="394">
        <f t="shared" ref="F112:G112" si="83">B28</f>
        <v>733.44889630559999</v>
      </c>
      <c r="G112" s="394">
        <f t="shared" si="83"/>
        <v>2.8759999999999999</v>
      </c>
      <c r="H112" s="448">
        <f t="shared" si="78"/>
        <v>13441.292603853599</v>
      </c>
      <c r="I112" s="444">
        <f t="shared" si="79"/>
        <v>52.705999999999996</v>
      </c>
      <c r="J112" s="413" t="s">
        <v>50</v>
      </c>
    </row>
    <row r="113" spans="1:10">
      <c r="A113" s="409">
        <v>44013</v>
      </c>
      <c r="B113" s="394">
        <f t="shared" si="74"/>
        <v>4231.8976338131997</v>
      </c>
      <c r="C113" s="395">
        <f t="shared" si="74"/>
        <v>15.6</v>
      </c>
      <c r="D113" s="394">
        <f t="shared" si="75"/>
        <v>9285.7600003478092</v>
      </c>
      <c r="E113" s="395">
        <f t="shared" si="76"/>
        <v>34.229999999999997</v>
      </c>
      <c r="F113" s="394">
        <f t="shared" ref="F113:G113" si="84">B29</f>
        <v>780.18830736197185</v>
      </c>
      <c r="G113" s="394">
        <f t="shared" si="84"/>
        <v>2.8759999999999999</v>
      </c>
      <c r="H113" s="448">
        <f t="shared" si="78"/>
        <v>14297.845941522981</v>
      </c>
      <c r="I113" s="444">
        <f t="shared" si="79"/>
        <v>52.705999999999996</v>
      </c>
      <c r="J113" s="413" t="s">
        <v>50</v>
      </c>
    </row>
    <row r="114" spans="1:10">
      <c r="A114" s="409">
        <v>44044</v>
      </c>
      <c r="B114" s="394">
        <f t="shared" si="74"/>
        <v>4715.5386503472</v>
      </c>
      <c r="C114" s="395">
        <f t="shared" si="74"/>
        <v>15.6</v>
      </c>
      <c r="D114" s="394">
        <f t="shared" si="75"/>
        <v>10346.980000088759</v>
      </c>
      <c r="E114" s="395">
        <f t="shared" si="76"/>
        <v>34.229999999999997</v>
      </c>
      <c r="F114" s="394">
        <f t="shared" ref="F114:G114" si="85">B30</f>
        <v>869.35186912811196</v>
      </c>
      <c r="G114" s="394">
        <f t="shared" si="85"/>
        <v>2.8759999999999999</v>
      </c>
      <c r="H114" s="448">
        <f t="shared" si="78"/>
        <v>15931.87051956407</v>
      </c>
      <c r="I114" s="444">
        <f t="shared" si="79"/>
        <v>52.705999999999996</v>
      </c>
      <c r="J114" s="413" t="s">
        <v>50</v>
      </c>
    </row>
    <row r="115" spans="1:10">
      <c r="A115" s="409">
        <v>44075</v>
      </c>
      <c r="B115" s="394">
        <f t="shared" si="74"/>
        <v>5148.4830836399997</v>
      </c>
      <c r="C115" s="395">
        <f t="shared" si="74"/>
        <v>15.6</v>
      </c>
      <c r="D115" s="394">
        <f t="shared" si="75"/>
        <v>11296.959996986998</v>
      </c>
      <c r="E115" s="395">
        <f t="shared" si="76"/>
        <v>34.229999999999997</v>
      </c>
      <c r="F115" s="394">
        <f t="shared" ref="F115:G115" si="86">B31</f>
        <v>949.16906080440003</v>
      </c>
      <c r="G115" s="394">
        <f t="shared" si="86"/>
        <v>2.8759999999999999</v>
      </c>
      <c r="H115" s="448">
        <f t="shared" si="78"/>
        <v>17394.612141431397</v>
      </c>
      <c r="I115" s="444">
        <f t="shared" si="79"/>
        <v>52.705999999999996</v>
      </c>
      <c r="J115" s="413" t="s">
        <v>50</v>
      </c>
    </row>
    <row r="116" spans="1:10">
      <c r="A116" s="409">
        <v>44105</v>
      </c>
      <c r="B116" s="394">
        <f t="shared" si="74"/>
        <v>6045.5673982079998</v>
      </c>
      <c r="C116" s="395">
        <f t="shared" si="74"/>
        <v>15.6</v>
      </c>
      <c r="D116" s="394">
        <f t="shared" si="75"/>
        <v>13265.370002606398</v>
      </c>
      <c r="E116" s="395">
        <f t="shared" si="76"/>
        <v>34.229999999999997</v>
      </c>
      <c r="F116" s="394">
        <f t="shared" ref="F116:G116" si="87">B32</f>
        <v>1114.5546049516799</v>
      </c>
      <c r="G116" s="394">
        <f t="shared" si="87"/>
        <v>2.8759999999999999</v>
      </c>
      <c r="H116" s="448">
        <f t="shared" si="78"/>
        <v>20425.492005766078</v>
      </c>
      <c r="I116" s="444">
        <f t="shared" si="79"/>
        <v>52.705999999999996</v>
      </c>
      <c r="J116" s="413" t="s">
        <v>50</v>
      </c>
    </row>
    <row r="117" spans="1:10">
      <c r="A117" s="409">
        <v>44136</v>
      </c>
      <c r="B117" s="394">
        <f t="shared" si="74"/>
        <v>6552.6106931999993</v>
      </c>
      <c r="C117" s="395">
        <f t="shared" si="74"/>
        <v>15.6</v>
      </c>
      <c r="D117" s="394">
        <f t="shared" si="75"/>
        <v>14377.940001809997</v>
      </c>
      <c r="E117" s="395">
        <f t="shared" si="76"/>
        <v>34.229999999999997</v>
      </c>
      <c r="F117" s="394">
        <f t="shared" ref="F117:G117" si="88">B33</f>
        <v>1208.0325867719998</v>
      </c>
      <c r="G117" s="394">
        <f t="shared" si="88"/>
        <v>2.8759999999999999</v>
      </c>
      <c r="H117" s="448">
        <f t="shared" si="78"/>
        <v>22138.583281781994</v>
      </c>
      <c r="I117" s="444">
        <f t="shared" si="79"/>
        <v>52.705999999999996</v>
      </c>
      <c r="J117" s="413" t="s">
        <v>50</v>
      </c>
    </row>
    <row r="118" spans="1:10">
      <c r="A118" s="409">
        <v>44166</v>
      </c>
      <c r="B118" s="394">
        <f t="shared" si="74"/>
        <v>7254.6790517759991</v>
      </c>
      <c r="C118" s="395">
        <f t="shared" si="74"/>
        <v>15.6</v>
      </c>
      <c r="D118" s="394">
        <f t="shared" si="75"/>
        <v>15918.439996300798</v>
      </c>
      <c r="E118" s="395">
        <f t="shared" si="76"/>
        <v>34.229999999999997</v>
      </c>
      <c r="F118" s="394">
        <f t="shared" ref="F118:G118" si="89">B34</f>
        <v>1337.4651892889599</v>
      </c>
      <c r="G118" s="394">
        <f t="shared" si="89"/>
        <v>2.8759999999999999</v>
      </c>
      <c r="H118" s="449">
        <f t="shared" si="78"/>
        <v>24510.584237365758</v>
      </c>
      <c r="I118" s="446">
        <f t="shared" si="79"/>
        <v>52.705999999999996</v>
      </c>
      <c r="J118" s="413" t="s">
        <v>50</v>
      </c>
    </row>
    <row r="119" spans="1:10" ht="16" thickBot="1">
      <c r="A119" s="405" t="s">
        <v>32</v>
      </c>
      <c r="B119" s="406">
        <f>SUM(B107:B118)</f>
        <v>68026.267209872385</v>
      </c>
      <c r="C119" s="407">
        <f>SUM(C107:C118)</f>
        <v>187.19999999999996</v>
      </c>
      <c r="D119" s="406">
        <f t="shared" ref="D119" si="90">SUM(D107:D118)</f>
        <v>149265.32862781617</v>
      </c>
      <c r="E119" s="407">
        <f t="shared" ref="E119" si="91">SUM(E107:E118)</f>
        <v>410.76000000000005</v>
      </c>
      <c r="F119" s="406">
        <f t="shared" ref="F119" si="92">SUM(F107:F118)</f>
        <v>12541.252852281603</v>
      </c>
      <c r="G119" s="408">
        <f t="shared" ref="G119" si="93">SUM(G107:G118)</f>
        <v>34.512000000000008</v>
      </c>
      <c r="H119" s="403">
        <f t="shared" ref="H119" si="94">SUM(H107:H118)</f>
        <v>229832.84868997015</v>
      </c>
      <c r="I119" s="404">
        <f t="shared" ref="I119" si="95">SUM(I107:I118)</f>
        <v>632.47200000000009</v>
      </c>
    </row>
  </sheetData>
  <mergeCells count="29">
    <mergeCell ref="B105:C105"/>
    <mergeCell ref="D105:E105"/>
    <mergeCell ref="F105:G105"/>
    <mergeCell ref="A38:E38"/>
    <mergeCell ref="B54:E54"/>
    <mergeCell ref="G70:J70"/>
    <mergeCell ref="B70:E70"/>
    <mergeCell ref="B87:C87"/>
    <mergeCell ref="D87:E87"/>
    <mergeCell ref="F87:G87"/>
    <mergeCell ref="H87:I87"/>
    <mergeCell ref="B104:C104"/>
    <mergeCell ref="D104:E104"/>
    <mergeCell ref="F104:G104"/>
    <mergeCell ref="H104:I104"/>
    <mergeCell ref="B88:C88"/>
    <mergeCell ref="S3:T3"/>
    <mergeCell ref="S21:T21"/>
    <mergeCell ref="S38:T38"/>
    <mergeCell ref="S54:T54"/>
    <mergeCell ref="P21:Q21"/>
    <mergeCell ref="P38:Q38"/>
    <mergeCell ref="P54:Q54"/>
    <mergeCell ref="P3:Q3"/>
    <mergeCell ref="A21:B21"/>
    <mergeCell ref="A2:C2"/>
    <mergeCell ref="M2:N2"/>
    <mergeCell ref="D88:E88"/>
    <mergeCell ref="F88:G88"/>
  </mergeCells>
  <hyperlinks>
    <hyperlink ref="G23" r:id="rId1" display="https://can01.safelinks.protection.outlook.com/?url=https%3A%2F%2Fwww.timeanddate.com%2Fsun%2Fcanada%2Ftoronto&amp;data=02%7C01%7Crbucknall%40wellingtonnorthpower.com%7C86d34d9cecf84cd33b0208d7ab235d6b%7C1c3b7af9af4a4afab67951076ddca6a8%7C0%7C0%7C637166040695427811&amp;sdata=3bWtQV3vM6Atzl%2BSE5wgdb2wLEzYYxBV8q%2F5dDDqktc%3D&amp;reserved=0"/>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00"/>
  <sheetViews>
    <sheetView topLeftCell="B91" workbookViewId="0">
      <selection activeCell="H89" sqref="H89"/>
    </sheetView>
  </sheetViews>
  <sheetFormatPr defaultColWidth="8.6640625" defaultRowHeight="15.5"/>
  <cols>
    <col min="1" max="1" width="16.08203125" style="151" customWidth="1"/>
    <col min="2" max="2" width="22.4140625" style="151" customWidth="1"/>
    <col min="3" max="3" width="11.08203125" style="151" bestFit="1" customWidth="1"/>
    <col min="4" max="4" width="14.58203125" style="151" customWidth="1"/>
    <col min="5" max="5" width="12.4140625" style="151" bestFit="1" customWidth="1"/>
    <col min="6" max="6" width="13.33203125" style="151" customWidth="1"/>
    <col min="7" max="7" width="28.33203125" style="151" customWidth="1"/>
    <col min="8" max="8" width="51.6640625" style="151" customWidth="1"/>
    <col min="9" max="9" width="27.1640625" style="151" customWidth="1"/>
    <col min="10" max="16384" width="8.6640625" style="151"/>
  </cols>
  <sheetData>
    <row r="1" spans="1:8" ht="18.5">
      <c r="A1" s="512" t="s">
        <v>164</v>
      </c>
      <c r="B1" s="512"/>
      <c r="C1" s="512"/>
      <c r="D1" s="512"/>
      <c r="E1" s="512"/>
      <c r="F1" s="512"/>
      <c r="G1" s="512"/>
      <c r="H1" s="512"/>
    </row>
    <row r="2" spans="1:8" ht="18.5">
      <c r="A2" s="512" t="s">
        <v>165</v>
      </c>
      <c r="B2" s="512"/>
      <c r="C2" s="512"/>
      <c r="D2" s="512"/>
      <c r="E2" s="512"/>
      <c r="F2" s="512"/>
      <c r="G2" s="512"/>
      <c r="H2" s="512"/>
    </row>
    <row r="3" spans="1:8">
      <c r="A3" s="189"/>
      <c r="B3" s="189"/>
      <c r="C3" s="189"/>
      <c r="D3" s="189"/>
      <c r="E3" s="189"/>
      <c r="F3" s="189"/>
      <c r="G3" s="189"/>
      <c r="H3" s="189"/>
    </row>
    <row r="4" spans="1:8" ht="99.5" customHeight="1">
      <c r="A4" s="499" t="s">
        <v>166</v>
      </c>
      <c r="B4" s="496"/>
      <c r="C4" s="496"/>
      <c r="D4" s="496"/>
      <c r="E4" s="496"/>
      <c r="F4" s="496"/>
      <c r="G4" s="496"/>
      <c r="H4" s="496"/>
    </row>
    <row r="5" spans="1:8">
      <c r="A5" s="190"/>
      <c r="B5" s="190"/>
      <c r="C5" s="190"/>
      <c r="D5" s="190"/>
      <c r="E5" s="190"/>
      <c r="F5" s="190"/>
      <c r="G5" s="190"/>
      <c r="H5" s="190"/>
    </row>
    <row r="6" spans="1:8" ht="18.5">
      <c r="A6" s="513" t="s">
        <v>167</v>
      </c>
      <c r="B6" s="513"/>
      <c r="C6" s="513"/>
      <c r="D6" s="513"/>
      <c r="E6" s="513"/>
      <c r="F6" s="513"/>
      <c r="G6" s="513"/>
      <c r="H6" s="513"/>
    </row>
    <row r="7" spans="1:8">
      <c r="A7" s="191"/>
      <c r="B7" s="192"/>
      <c r="C7" s="192"/>
      <c r="D7" s="192"/>
      <c r="E7" s="192"/>
      <c r="F7" s="192"/>
      <c r="G7" s="189"/>
      <c r="H7" s="189"/>
    </row>
    <row r="8" spans="1:8" ht="78.5" customHeight="1">
      <c r="A8" s="499" t="s">
        <v>168</v>
      </c>
      <c r="B8" s="499"/>
      <c r="C8" s="499"/>
      <c r="D8" s="499"/>
      <c r="E8" s="499"/>
      <c r="F8" s="499"/>
      <c r="G8" s="499"/>
      <c r="H8" s="499"/>
    </row>
    <row r="9" spans="1:8" ht="16" thickBot="1">
      <c r="A9" s="193"/>
      <c r="B9" s="193"/>
      <c r="C9" s="193"/>
      <c r="D9" s="193"/>
      <c r="E9" s="193"/>
      <c r="F9" s="193"/>
      <c r="G9" s="193"/>
      <c r="H9" s="193"/>
    </row>
    <row r="10" spans="1:8">
      <c r="A10" s="514" t="s">
        <v>169</v>
      </c>
      <c r="B10" s="515"/>
      <c r="C10" s="515"/>
      <c r="D10" s="515"/>
      <c r="E10" s="515"/>
      <c r="F10" s="515"/>
      <c r="G10" s="515"/>
      <c r="H10" s="516"/>
    </row>
    <row r="11" spans="1:8">
      <c r="A11" s="517">
        <v>5890000</v>
      </c>
      <c r="B11" s="518"/>
      <c r="C11" s="518"/>
      <c r="D11" s="518"/>
      <c r="E11" s="518"/>
      <c r="F11" s="518"/>
      <c r="G11" s="518"/>
      <c r="H11" s="519"/>
    </row>
    <row r="12" spans="1:8">
      <c r="A12" s="194"/>
      <c r="B12" s="195">
        <v>2015</v>
      </c>
      <c r="C12" s="195">
        <v>2016</v>
      </c>
      <c r="D12" s="195">
        <v>2017</v>
      </c>
      <c r="E12" s="195">
        <v>2018</v>
      </c>
      <c r="F12" s="195">
        <v>2019</v>
      </c>
      <c r="G12" s="195">
        <v>2020</v>
      </c>
      <c r="H12" s="196" t="s">
        <v>32</v>
      </c>
    </row>
    <row r="13" spans="1:8">
      <c r="A13" s="520" t="s">
        <v>170</v>
      </c>
      <c r="B13" s="521"/>
      <c r="C13" s="521"/>
      <c r="D13" s="521"/>
      <c r="E13" s="521"/>
      <c r="F13" s="521"/>
      <c r="G13" s="521"/>
      <c r="H13" s="522"/>
    </row>
    <row r="14" spans="1:8">
      <c r="A14" s="197" t="s">
        <v>171</v>
      </c>
      <c r="B14" s="198">
        <f>B22/$H$28</f>
        <v>0.13448743633276741</v>
      </c>
      <c r="C14" s="198">
        <f t="shared" ref="C14:G19" si="0">C22/$H$28</f>
        <v>0.13432597623089984</v>
      </c>
      <c r="D14" s="198">
        <f t="shared" si="0"/>
        <v>0.13425585738539897</v>
      </c>
      <c r="E14" s="198">
        <f t="shared" si="0"/>
        <v>0.13418573853989813</v>
      </c>
      <c r="F14" s="198">
        <f t="shared" si="0"/>
        <v>0.13418573853989813</v>
      </c>
      <c r="G14" s="198">
        <f t="shared" si="0"/>
        <v>0.13418573853989813</v>
      </c>
      <c r="H14" s="199">
        <f>H22/H28</f>
        <v>0.13418573853989813</v>
      </c>
    </row>
    <row r="15" spans="1:8">
      <c r="A15" s="197" t="s">
        <v>172</v>
      </c>
      <c r="B15" s="200"/>
      <c r="C15" s="198">
        <f t="shared" si="0"/>
        <v>0.10093220454277928</v>
      </c>
      <c r="D15" s="198">
        <f t="shared" si="0"/>
        <v>0.10093220454277928</v>
      </c>
      <c r="E15" s="198">
        <f t="shared" si="0"/>
        <v>0.10093220454277928</v>
      </c>
      <c r="F15" s="198">
        <f t="shared" si="0"/>
        <v>0.10093220454277928</v>
      </c>
      <c r="G15" s="198">
        <f t="shared" si="0"/>
        <v>0.10093220454277928</v>
      </c>
      <c r="H15" s="199">
        <f>H23/H28</f>
        <v>0.10093220454277928</v>
      </c>
    </row>
    <row r="16" spans="1:8">
      <c r="A16" s="197" t="s">
        <v>173</v>
      </c>
      <c r="B16" s="200"/>
      <c r="C16" s="200"/>
      <c r="D16" s="198">
        <f t="shared" si="0"/>
        <v>0.14518530653186901</v>
      </c>
      <c r="E16" s="198">
        <f t="shared" si="0"/>
        <v>0.14512197885784522</v>
      </c>
      <c r="F16" s="198">
        <f t="shared" si="0"/>
        <v>0.14512197885784522</v>
      </c>
      <c r="G16" s="198">
        <f t="shared" si="0"/>
        <v>0.14512197885784522</v>
      </c>
      <c r="H16" s="199">
        <f>H24/H28</f>
        <v>0.14512197885784522</v>
      </c>
    </row>
    <row r="17" spans="1:8">
      <c r="A17" s="197" t="s">
        <v>174</v>
      </c>
      <c r="B17" s="200"/>
      <c r="C17" s="200"/>
      <c r="D17" s="201"/>
      <c r="E17" s="198">
        <f t="shared" si="0"/>
        <v>0.10743671855173273</v>
      </c>
      <c r="F17" s="198">
        <f t="shared" si="0"/>
        <v>0.10743671855173273</v>
      </c>
      <c r="G17" s="198">
        <f t="shared" si="0"/>
        <v>0.10710100501698003</v>
      </c>
      <c r="H17" s="199">
        <f>H25/H28</f>
        <v>0.10710100501698003</v>
      </c>
    </row>
    <row r="18" spans="1:8">
      <c r="A18" s="197" t="s">
        <v>175</v>
      </c>
      <c r="B18" s="200"/>
      <c r="C18" s="200"/>
      <c r="D18" s="201"/>
      <c r="E18" s="201"/>
      <c r="F18" s="198">
        <f t="shared" si="0"/>
        <v>6.1987040215161025E-3</v>
      </c>
      <c r="G18" s="198">
        <f t="shared" si="0"/>
        <v>6.1987040215161025E-3</v>
      </c>
      <c r="H18" s="199">
        <f>H26/H28</f>
        <v>6.1987040215161025E-3</v>
      </c>
    </row>
    <row r="19" spans="1:8" ht="16" thickBot="1">
      <c r="A19" s="202" t="s">
        <v>176</v>
      </c>
      <c r="B19" s="203"/>
      <c r="C19" s="203"/>
      <c r="D19" s="203"/>
      <c r="E19" s="203"/>
      <c r="F19" s="203"/>
      <c r="G19" s="198">
        <f t="shared" si="0"/>
        <v>0</v>
      </c>
      <c r="H19" s="204">
        <f>H27/H28</f>
        <v>0</v>
      </c>
    </row>
    <row r="20" spans="1:8" ht="16" thickTop="1">
      <c r="A20" s="205" t="s">
        <v>177</v>
      </c>
      <c r="B20" s="206">
        <f>SUM(B14:B19)</f>
        <v>0.13448743633276741</v>
      </c>
      <c r="C20" s="206">
        <f>SUM(C14:C19)</f>
        <v>0.2352581807736791</v>
      </c>
      <c r="D20" s="206">
        <f>SUM(D14:D19)</f>
        <v>0.38037336846004727</v>
      </c>
      <c r="E20" s="206">
        <f>SUM(E14:E17)</f>
        <v>0.48767664049225534</v>
      </c>
      <c r="F20" s="206">
        <f>SUM(F14:F18)</f>
        <v>0.49387534451377146</v>
      </c>
      <c r="G20" s="207">
        <f>SUM(G14:G19)</f>
        <v>0.49353963097901876</v>
      </c>
      <c r="H20" s="208">
        <f>SUM(H14:H19)</f>
        <v>0.49353963097901876</v>
      </c>
    </row>
    <row r="21" spans="1:8">
      <c r="A21" s="523" t="s">
        <v>178</v>
      </c>
      <c r="B21" s="524"/>
      <c r="C21" s="524"/>
      <c r="D21" s="524"/>
      <c r="E21" s="524"/>
      <c r="F21" s="524"/>
      <c r="G21" s="524"/>
      <c r="H21" s="525"/>
    </row>
    <row r="22" spans="1:8">
      <c r="A22" s="197" t="str">
        <f t="shared" ref="A22:A27" si="1">A14</f>
        <v>2015 CDM Programs</v>
      </c>
      <c r="B22" s="209">
        <v>792131</v>
      </c>
      <c r="C22" s="209">
        <v>791180</v>
      </c>
      <c r="D22" s="209">
        <v>790767</v>
      </c>
      <c r="E22" s="209">
        <v>790354</v>
      </c>
      <c r="F22" s="209">
        <v>790354</v>
      </c>
      <c r="G22" s="210">
        <v>790354</v>
      </c>
      <c r="H22" s="211">
        <f>G22</f>
        <v>790354</v>
      </c>
    </row>
    <row r="23" spans="1:8">
      <c r="A23" s="197" t="str">
        <f t="shared" si="1"/>
        <v>2016 CDM Programs</v>
      </c>
      <c r="B23" s="212"/>
      <c r="C23" s="209">
        <v>594490.68475696992</v>
      </c>
      <c r="D23" s="209">
        <v>594490.68475696992</v>
      </c>
      <c r="E23" s="209">
        <v>594490.68475696992</v>
      </c>
      <c r="F23" s="209">
        <v>594490.68475696992</v>
      </c>
      <c r="G23" s="209">
        <v>594490.68475696992</v>
      </c>
      <c r="H23" s="211">
        <f t="shared" ref="H23:H27" si="2">G23</f>
        <v>594490.68475696992</v>
      </c>
    </row>
    <row r="24" spans="1:8">
      <c r="A24" s="197" t="str">
        <f t="shared" si="1"/>
        <v>2017 CDM Programs</v>
      </c>
      <c r="B24" s="212"/>
      <c r="C24" s="213"/>
      <c r="D24" s="209">
        <v>855141.45547270845</v>
      </c>
      <c r="E24" s="209">
        <v>854768.45547270845</v>
      </c>
      <c r="F24" s="209">
        <v>854768.45547270845</v>
      </c>
      <c r="G24" s="209">
        <v>854768.45547270845</v>
      </c>
      <c r="H24" s="211">
        <f t="shared" si="2"/>
        <v>854768.45547270845</v>
      </c>
    </row>
    <row r="25" spans="1:8">
      <c r="A25" s="197" t="str">
        <f t="shared" si="1"/>
        <v>2018 CDM Programs</v>
      </c>
      <c r="B25" s="212"/>
      <c r="C25" s="213"/>
      <c r="D25" s="213"/>
      <c r="E25" s="209">
        <v>632802.27226970578</v>
      </c>
      <c r="F25" s="209">
        <v>632802.27226970578</v>
      </c>
      <c r="G25" s="209">
        <v>630824.91955001233</v>
      </c>
      <c r="H25" s="211">
        <f t="shared" si="2"/>
        <v>630824.91955001233</v>
      </c>
    </row>
    <row r="26" spans="1:8">
      <c r="A26" s="197" t="str">
        <f t="shared" si="1"/>
        <v>2019 CDM Programs</v>
      </c>
      <c r="B26" s="212"/>
      <c r="C26" s="213"/>
      <c r="D26" s="213"/>
      <c r="E26" s="213"/>
      <c r="F26" s="209">
        <v>36510.366686729845</v>
      </c>
      <c r="G26" s="209">
        <v>36510.366686729845</v>
      </c>
      <c r="H26" s="211">
        <f t="shared" si="2"/>
        <v>36510.366686729845</v>
      </c>
    </row>
    <row r="27" spans="1:8" ht="16" thickBot="1">
      <c r="A27" s="202" t="str">
        <f t="shared" si="1"/>
        <v>2020 CDM Programs</v>
      </c>
      <c r="B27" s="214"/>
      <c r="C27" s="215"/>
      <c r="D27" s="215"/>
      <c r="E27" s="215"/>
      <c r="F27" s="215"/>
      <c r="G27" s="209">
        <v>0</v>
      </c>
      <c r="H27" s="216">
        <f t="shared" si="2"/>
        <v>0</v>
      </c>
    </row>
    <row r="28" spans="1:8" ht="16.5" thickTop="1" thickBot="1">
      <c r="A28" s="217" t="s">
        <v>177</v>
      </c>
      <c r="B28" s="218">
        <f>SUM(B22:B27)</f>
        <v>792131</v>
      </c>
      <c r="C28" s="218">
        <f>SUM(C22:C27)</f>
        <v>1385670.68475697</v>
      </c>
      <c r="D28" s="218">
        <f>SUM(D22:D27)</f>
        <v>2240399.1402296787</v>
      </c>
      <c r="E28" s="218">
        <f>SUM(E22:E25)</f>
        <v>2872415.4124993845</v>
      </c>
      <c r="F28" s="218">
        <f>SUM(F22:F26)</f>
        <v>2908925.7791861142</v>
      </c>
      <c r="G28" s="219">
        <f>SUM(G22:G27)</f>
        <v>2906948.4264664208</v>
      </c>
      <c r="H28" s="220">
        <f>A11</f>
        <v>5890000</v>
      </c>
    </row>
    <row r="29" spans="1:8">
      <c r="A29" s="191"/>
      <c r="B29" s="192"/>
      <c r="C29" s="192"/>
      <c r="D29" s="192"/>
      <c r="E29" s="192"/>
      <c r="F29" s="192"/>
      <c r="G29" s="526" t="str">
        <f>IF(G28-H28&lt;&gt;0,"Inputs do no match 2015-20 CDM target","")</f>
        <v>Inputs do no match 2015-20 CDM target</v>
      </c>
      <c r="H29" s="526"/>
    </row>
    <row r="30" spans="1:8">
      <c r="A30" s="191"/>
      <c r="B30" s="192"/>
      <c r="C30" s="192"/>
      <c r="D30" s="192"/>
      <c r="E30" s="192"/>
      <c r="F30" s="192"/>
      <c r="G30" s="527"/>
      <c r="H30" s="527"/>
    </row>
    <row r="31" spans="1:8" ht="37.5" customHeight="1">
      <c r="A31" s="499" t="s">
        <v>179</v>
      </c>
      <c r="B31" s="499"/>
      <c r="C31" s="499"/>
      <c r="D31" s="499"/>
      <c r="E31" s="499"/>
      <c r="F31" s="499"/>
      <c r="G31" s="499"/>
      <c r="H31" s="499"/>
    </row>
    <row r="32" spans="1:8">
      <c r="A32" s="221"/>
      <c r="B32" s="221"/>
      <c r="C32" s="221"/>
      <c r="D32" s="221"/>
      <c r="E32" s="221"/>
      <c r="F32" s="221"/>
      <c r="G32" s="221"/>
      <c r="H32" s="221"/>
    </row>
    <row r="33" spans="1:8" ht="52.5" customHeight="1">
      <c r="A33" s="499" t="s">
        <v>180</v>
      </c>
      <c r="B33" s="499"/>
      <c r="C33" s="499"/>
      <c r="D33" s="499"/>
      <c r="E33" s="499"/>
      <c r="F33" s="499"/>
      <c r="G33" s="499"/>
      <c r="H33" s="499"/>
    </row>
    <row r="34" spans="1:8">
      <c r="A34" s="221"/>
      <c r="B34" s="221"/>
      <c r="C34" s="221"/>
      <c r="D34" s="221"/>
      <c r="E34" s="221"/>
      <c r="F34" s="221"/>
      <c r="G34" s="221"/>
      <c r="H34" s="221"/>
    </row>
    <row r="35" spans="1:8" ht="18.5">
      <c r="A35" s="498" t="s">
        <v>181</v>
      </c>
      <c r="B35" s="498"/>
      <c r="C35" s="498"/>
      <c r="D35" s="498"/>
      <c r="E35" s="498"/>
      <c r="F35" s="498"/>
      <c r="G35" s="498"/>
      <c r="H35" s="498"/>
    </row>
    <row r="36" spans="1:8">
      <c r="A36" s="191"/>
      <c r="B36" s="192"/>
      <c r="C36" s="192"/>
      <c r="D36" s="192"/>
      <c r="E36" s="192"/>
      <c r="F36" s="192"/>
      <c r="G36" s="189"/>
      <c r="H36" s="189"/>
    </row>
    <row r="37" spans="1:8" ht="45" customHeight="1">
      <c r="A37" s="499" t="s">
        <v>182</v>
      </c>
      <c r="B37" s="500"/>
      <c r="C37" s="500"/>
      <c r="D37" s="500"/>
      <c r="E37" s="500"/>
      <c r="F37" s="500"/>
      <c r="G37" s="500"/>
      <c r="H37" s="500"/>
    </row>
    <row r="38" spans="1:8">
      <c r="A38" s="189"/>
      <c r="B38" s="189"/>
      <c r="C38" s="189"/>
      <c r="D38" s="189"/>
      <c r="E38" s="189"/>
      <c r="F38" s="189"/>
      <c r="G38" s="189"/>
      <c r="H38" s="189"/>
    </row>
    <row r="39" spans="1:8" ht="47.5" customHeight="1">
      <c r="A39" s="499" t="s">
        <v>183</v>
      </c>
      <c r="B39" s="499"/>
      <c r="C39" s="499"/>
      <c r="D39" s="499"/>
      <c r="E39" s="499"/>
      <c r="F39" s="499"/>
      <c r="G39" s="499"/>
      <c r="H39" s="499"/>
    </row>
    <row r="40" spans="1:8" ht="16" thickBot="1">
      <c r="A40" s="193"/>
      <c r="B40" s="193"/>
      <c r="C40" s="193"/>
      <c r="D40" s="193"/>
      <c r="E40" s="193"/>
      <c r="F40" s="193"/>
      <c r="G40" s="189"/>
      <c r="H40" s="189"/>
    </row>
    <row r="41" spans="1:8">
      <c r="A41" s="501" t="s">
        <v>184</v>
      </c>
      <c r="B41" s="502"/>
      <c r="C41" s="502"/>
      <c r="D41" s="502"/>
      <c r="E41" s="502"/>
      <c r="F41" s="503"/>
      <c r="G41" s="189"/>
      <c r="H41" s="189"/>
    </row>
    <row r="42" spans="1:8">
      <c r="A42" s="222"/>
      <c r="B42" s="223"/>
      <c r="C42" s="223"/>
      <c r="D42" s="223"/>
      <c r="E42" s="223"/>
      <c r="F42" s="224"/>
      <c r="G42" s="189"/>
      <c r="H42" s="189"/>
    </row>
    <row r="43" spans="1:8">
      <c r="A43" s="504" t="s">
        <v>185</v>
      </c>
      <c r="B43" s="505"/>
      <c r="C43" s="505"/>
      <c r="D43" s="505"/>
      <c r="E43" s="505"/>
      <c r="F43" s="225" t="s">
        <v>186</v>
      </c>
      <c r="G43" s="189"/>
      <c r="H43" s="189"/>
    </row>
    <row r="44" spans="1:8">
      <c r="A44" s="226"/>
      <c r="B44" s="152"/>
      <c r="C44" s="152"/>
      <c r="D44" s="152"/>
      <c r="E44" s="152"/>
      <c r="F44" s="227"/>
      <c r="G44" s="189"/>
      <c r="H44" s="189"/>
    </row>
    <row r="45" spans="1:8" ht="43.5">
      <c r="A45" s="228"/>
      <c r="B45" s="229"/>
      <c r="C45" s="223" t="s">
        <v>187</v>
      </c>
      <c r="D45" s="223" t="s">
        <v>188</v>
      </c>
      <c r="E45" s="223" t="s">
        <v>99</v>
      </c>
      <c r="F45" s="230" t="s">
        <v>189</v>
      </c>
      <c r="G45" s="189"/>
      <c r="H45" s="189"/>
    </row>
    <row r="46" spans="1:8">
      <c r="A46" s="506" t="s">
        <v>190</v>
      </c>
      <c r="B46" s="507"/>
      <c r="C46" s="152" t="s">
        <v>178</v>
      </c>
      <c r="D46" s="152" t="s">
        <v>178</v>
      </c>
      <c r="E46" s="152" t="s">
        <v>178</v>
      </c>
      <c r="F46" s="153" t="s">
        <v>191</v>
      </c>
      <c r="G46" s="189"/>
      <c r="H46" s="189"/>
    </row>
    <row r="47" spans="1:8">
      <c r="A47" s="197" t="s">
        <v>192</v>
      </c>
      <c r="B47" s="189"/>
      <c r="C47" s="231"/>
      <c r="D47" s="232">
        <v>3584182</v>
      </c>
      <c r="E47" s="298">
        <f t="shared" ref="E47:E56" si="3">C47-D47</f>
        <v>-3584182</v>
      </c>
      <c r="F47" s="233"/>
      <c r="G47" s="189"/>
      <c r="H47" s="189"/>
    </row>
    <row r="48" spans="1:8">
      <c r="A48" s="197" t="s">
        <v>193</v>
      </c>
      <c r="B48" s="189"/>
      <c r="C48" s="234"/>
      <c r="D48" s="235">
        <v>1503695.7154639419</v>
      </c>
      <c r="E48" s="298">
        <f t="shared" si="3"/>
        <v>-1503695.7154639419</v>
      </c>
      <c r="F48" s="233"/>
      <c r="G48" s="189"/>
      <c r="H48" s="189"/>
    </row>
    <row r="49" spans="1:8">
      <c r="A49" s="197" t="s">
        <v>194</v>
      </c>
      <c r="B49" s="189"/>
      <c r="C49" s="231"/>
      <c r="D49" s="232">
        <v>1894712.4139630049</v>
      </c>
      <c r="E49" s="298">
        <f t="shared" si="3"/>
        <v>-1894712.4139630049</v>
      </c>
      <c r="F49" s="233"/>
      <c r="G49" s="189"/>
      <c r="H49" s="189"/>
    </row>
    <row r="50" spans="1:8">
      <c r="A50" s="197" t="s">
        <v>195</v>
      </c>
      <c r="B50" s="189"/>
      <c r="C50" s="231"/>
      <c r="D50" s="232">
        <v>2229382.2915141387</v>
      </c>
      <c r="E50" s="298">
        <f t="shared" si="3"/>
        <v>-2229382.2915141387</v>
      </c>
      <c r="F50" s="233"/>
      <c r="G50" s="189"/>
      <c r="H50" s="189"/>
    </row>
    <row r="51" spans="1:8">
      <c r="A51" s="197" t="s">
        <v>196</v>
      </c>
      <c r="B51" s="189"/>
      <c r="C51" s="231"/>
      <c r="D51" s="232">
        <v>2499648.6719786907</v>
      </c>
      <c r="E51" s="298">
        <f t="shared" si="3"/>
        <v>-2499648.6719786907</v>
      </c>
      <c r="F51" s="233"/>
      <c r="G51" s="189"/>
      <c r="H51" s="189"/>
    </row>
    <row r="52" spans="1:8">
      <c r="A52" s="197" t="s">
        <v>197</v>
      </c>
      <c r="B52" s="189"/>
      <c r="C52" s="231"/>
      <c r="D52" s="236">
        <v>2924006.5788845383</v>
      </c>
      <c r="E52" s="298">
        <f t="shared" si="3"/>
        <v>-2924006.5788845383</v>
      </c>
      <c r="F52" s="233"/>
      <c r="G52" s="189"/>
      <c r="H52" s="189"/>
    </row>
    <row r="53" spans="1:8">
      <c r="A53" s="197" t="s">
        <v>198</v>
      </c>
      <c r="B53" s="189"/>
      <c r="C53" s="231"/>
      <c r="D53" s="236">
        <v>3551549.6119689262</v>
      </c>
      <c r="E53" s="298">
        <f t="shared" si="3"/>
        <v>-3551549.6119689262</v>
      </c>
      <c r="F53" s="233"/>
      <c r="G53" s="189"/>
      <c r="H53" s="189"/>
    </row>
    <row r="54" spans="1:8">
      <c r="A54" s="197" t="s">
        <v>199</v>
      </c>
      <c r="B54" s="189"/>
      <c r="C54" s="231"/>
      <c r="D54" s="236">
        <v>4071967.9050813443</v>
      </c>
      <c r="E54" s="298">
        <f t="shared" si="3"/>
        <v>-4071967.9050813443</v>
      </c>
      <c r="F54" s="233"/>
      <c r="G54" s="189"/>
      <c r="H54" s="189"/>
    </row>
    <row r="55" spans="1:8">
      <c r="A55" s="197" t="s">
        <v>228</v>
      </c>
      <c r="B55" s="189"/>
      <c r="C55" s="231"/>
      <c r="D55" s="236">
        <v>4581874.2059893347</v>
      </c>
      <c r="E55" s="298">
        <f t="shared" ref="E55" si="4">C55-D55</f>
        <v>-4581874.2059893347</v>
      </c>
      <c r="F55" s="233"/>
      <c r="G55" s="189"/>
      <c r="H55" s="189"/>
    </row>
    <row r="56" spans="1:8" ht="16" thickBot="1">
      <c r="A56" s="202" t="s">
        <v>229</v>
      </c>
      <c r="B56" s="237"/>
      <c r="C56" s="238"/>
      <c r="D56" s="239">
        <v>5199528</v>
      </c>
      <c r="E56" s="300">
        <f t="shared" si="3"/>
        <v>-5199528</v>
      </c>
      <c r="F56" s="240"/>
      <c r="G56" s="189"/>
      <c r="H56" s="189"/>
    </row>
    <row r="57" spans="1:8" ht="33" customHeight="1" thickTop="1" thickBot="1">
      <c r="A57" s="508" t="s">
        <v>230</v>
      </c>
      <c r="B57" s="509"/>
      <c r="C57" s="241">
        <f>SUM(C47:C56)</f>
        <v>0</v>
      </c>
      <c r="D57" s="242">
        <f>SUM(D47:D56)</f>
        <v>32040547.394843917</v>
      </c>
      <c r="E57" s="299">
        <f>C57-D57</f>
        <v>-32040547.394843917</v>
      </c>
      <c r="F57" s="243">
        <f>IF(D57=0,0,IF(F43="net",0,E57/D57))</f>
        <v>0</v>
      </c>
      <c r="G57" s="189"/>
      <c r="H57" s="189"/>
    </row>
    <row r="58" spans="1:8">
      <c r="A58" s="244" t="s">
        <v>231</v>
      </c>
      <c r="B58" s="245"/>
      <c r="C58" s="189"/>
      <c r="D58" s="189"/>
      <c r="E58" s="189"/>
      <c r="F58" s="246"/>
      <c r="G58" s="189"/>
      <c r="H58" s="189"/>
    </row>
    <row r="59" spans="1:8">
      <c r="A59" s="244"/>
      <c r="B59" s="245"/>
      <c r="C59" s="189"/>
      <c r="D59" s="189"/>
      <c r="E59" s="189"/>
      <c r="F59" s="246"/>
      <c r="G59" s="189"/>
      <c r="H59" s="189"/>
    </row>
    <row r="60" spans="1:8" ht="33" customHeight="1">
      <c r="A60" s="500" t="s">
        <v>200</v>
      </c>
      <c r="B60" s="500"/>
      <c r="C60" s="500"/>
      <c r="D60" s="500"/>
      <c r="E60" s="500"/>
      <c r="F60" s="500"/>
      <c r="G60" s="500"/>
      <c r="H60" s="500"/>
    </row>
    <row r="61" spans="1:8">
      <c r="A61" s="190"/>
      <c r="B61" s="190"/>
      <c r="C61" s="190"/>
      <c r="D61" s="190"/>
      <c r="E61" s="190"/>
      <c r="F61" s="190"/>
      <c r="G61" s="190"/>
      <c r="H61" s="190"/>
    </row>
    <row r="62" spans="1:8">
      <c r="A62" s="499" t="s">
        <v>201</v>
      </c>
      <c r="B62" s="499"/>
      <c r="C62" s="499"/>
      <c r="D62" s="499"/>
      <c r="E62" s="499"/>
      <c r="F62" s="499"/>
      <c r="G62" s="499"/>
      <c r="H62" s="499"/>
    </row>
    <row r="63" spans="1:8">
      <c r="A63" s="499"/>
      <c r="B63" s="499"/>
      <c r="C63" s="499"/>
      <c r="D63" s="499"/>
      <c r="E63" s="499"/>
      <c r="F63" s="499"/>
      <c r="G63" s="499"/>
      <c r="H63" s="499"/>
    </row>
    <row r="64" spans="1:8">
      <c r="A64" s="247"/>
      <c r="B64" s="247"/>
      <c r="C64" s="247"/>
      <c r="D64" s="247"/>
      <c r="E64" s="247"/>
      <c r="F64" s="247"/>
      <c r="G64" s="247"/>
      <c r="H64" s="247"/>
    </row>
    <row r="65" spans="1:9" ht="16" thickBot="1">
      <c r="A65" s="510" t="s">
        <v>202</v>
      </c>
      <c r="B65" s="510"/>
      <c r="C65" s="510"/>
      <c r="D65" s="510"/>
      <c r="E65" s="510"/>
      <c r="F65" s="510"/>
      <c r="G65" s="189"/>
      <c r="I65" s="189"/>
    </row>
    <row r="66" spans="1:9">
      <c r="A66" s="248"/>
      <c r="B66" s="154">
        <v>2015</v>
      </c>
      <c r="C66" s="154">
        <v>2016</v>
      </c>
      <c r="D66" s="154">
        <v>2017</v>
      </c>
      <c r="E66" s="154" t="s">
        <v>203</v>
      </c>
      <c r="F66" s="155" t="s">
        <v>204</v>
      </c>
      <c r="G66" s="155" t="s">
        <v>205</v>
      </c>
      <c r="H66" s="155" t="s">
        <v>232</v>
      </c>
      <c r="I66" s="249"/>
    </row>
    <row r="67" spans="1:9" ht="58">
      <c r="A67" s="156" t="s">
        <v>206</v>
      </c>
      <c r="B67" s="157">
        <v>0</v>
      </c>
      <c r="C67" s="157">
        <v>0</v>
      </c>
      <c r="D67" s="157">
        <v>0</v>
      </c>
      <c r="E67" s="158">
        <v>0</v>
      </c>
      <c r="F67" s="158">
        <v>1</v>
      </c>
      <c r="G67" s="158">
        <v>0</v>
      </c>
      <c r="H67" s="158">
        <v>0</v>
      </c>
      <c r="I67" s="159" t="s">
        <v>207</v>
      </c>
    </row>
    <row r="68" spans="1:9" ht="305" thickBot="1">
      <c r="A68" s="250" t="s">
        <v>208</v>
      </c>
      <c r="B68" s="251" t="s">
        <v>209</v>
      </c>
      <c r="C68" s="251" t="s">
        <v>210</v>
      </c>
      <c r="D68" s="251" t="s">
        <v>211</v>
      </c>
      <c r="E68" s="251" t="s">
        <v>269</v>
      </c>
      <c r="F68" s="252" t="s">
        <v>270</v>
      </c>
      <c r="G68" s="253" t="s">
        <v>271</v>
      </c>
      <c r="H68" s="254" t="s">
        <v>234</v>
      </c>
      <c r="I68" s="243"/>
    </row>
    <row r="69" spans="1:9">
      <c r="A69" s="244" t="s">
        <v>212</v>
      </c>
      <c r="B69" s="255"/>
      <c r="C69" s="255"/>
      <c r="D69" s="255"/>
      <c r="E69" s="255"/>
      <c r="F69" s="255"/>
      <c r="G69" s="246"/>
      <c r="H69" s="189"/>
    </row>
    <row r="70" spans="1:9">
      <c r="A70" s="256" t="s">
        <v>213</v>
      </c>
      <c r="B70" s="255"/>
      <c r="C70" s="255"/>
      <c r="D70" s="255"/>
      <c r="E70" s="255"/>
      <c r="F70" s="255"/>
      <c r="G70" s="246"/>
      <c r="H70" s="189"/>
    </row>
    <row r="71" spans="1:9">
      <c r="A71" s="257"/>
      <c r="B71" s="255"/>
      <c r="C71" s="255"/>
      <c r="D71" s="255"/>
      <c r="E71" s="255"/>
      <c r="F71" s="255"/>
      <c r="G71" s="246"/>
      <c r="H71" s="189"/>
    </row>
    <row r="72" spans="1:9" ht="18.5">
      <c r="A72" s="511" t="s">
        <v>235</v>
      </c>
      <c r="B72" s="511"/>
      <c r="C72" s="511"/>
      <c r="D72" s="511"/>
      <c r="E72" s="511"/>
      <c r="F72" s="511"/>
      <c r="G72" s="511"/>
      <c r="H72" s="511"/>
    </row>
    <row r="73" spans="1:9" ht="18.5">
      <c r="A73" s="258"/>
      <c r="B73" s="258"/>
      <c r="C73" s="258"/>
      <c r="D73" s="258"/>
      <c r="E73" s="258"/>
      <c r="F73" s="258"/>
      <c r="G73" s="258"/>
      <c r="H73" s="258"/>
    </row>
    <row r="74" spans="1:9">
      <c r="A74" s="496" t="s">
        <v>214</v>
      </c>
      <c r="B74" s="496"/>
      <c r="C74" s="496"/>
      <c r="D74" s="496"/>
      <c r="E74" s="496"/>
      <c r="F74" s="496"/>
      <c r="G74" s="496"/>
      <c r="H74" s="496"/>
    </row>
    <row r="75" spans="1:9">
      <c r="A75" s="245"/>
      <c r="B75" s="255"/>
      <c r="C75" s="255"/>
      <c r="D75" s="255"/>
      <c r="E75" s="255"/>
      <c r="F75" s="246"/>
      <c r="G75" s="189"/>
      <c r="H75" s="189"/>
    </row>
    <row r="76" spans="1:9">
      <c r="A76" s="495" t="s">
        <v>215</v>
      </c>
      <c r="B76" s="495"/>
      <c r="C76" s="495"/>
      <c r="D76" s="495"/>
      <c r="E76" s="495"/>
      <c r="F76" s="495"/>
      <c r="G76" s="495"/>
      <c r="H76" s="495"/>
    </row>
    <row r="77" spans="1:9">
      <c r="A77" s="189"/>
      <c r="B77" s="189"/>
      <c r="C77" s="189"/>
      <c r="D77" s="189"/>
      <c r="E77" s="189"/>
      <c r="F77" s="189"/>
      <c r="G77" s="189"/>
      <c r="H77" s="189"/>
    </row>
    <row r="78" spans="1:9">
      <c r="A78" s="496" t="s">
        <v>216</v>
      </c>
      <c r="B78" s="496"/>
      <c r="C78" s="496"/>
      <c r="D78" s="496"/>
      <c r="E78" s="496"/>
      <c r="F78" s="496"/>
      <c r="G78" s="496"/>
      <c r="H78" s="496"/>
    </row>
    <row r="79" spans="1:9">
      <c r="A79" s="189"/>
      <c r="B79" s="189"/>
      <c r="C79" s="189"/>
      <c r="D79" s="189"/>
      <c r="E79" s="189"/>
      <c r="F79" s="189"/>
      <c r="G79" s="189"/>
      <c r="H79" s="189"/>
    </row>
    <row r="80" spans="1:9" ht="59.5" customHeight="1">
      <c r="A80" s="495" t="s">
        <v>217</v>
      </c>
      <c r="B80" s="495"/>
      <c r="C80" s="495"/>
      <c r="D80" s="495"/>
      <c r="E80" s="495"/>
      <c r="F80" s="495"/>
      <c r="G80" s="495"/>
      <c r="H80" s="495"/>
    </row>
    <row r="81" spans="1:9">
      <c r="A81" s="189"/>
      <c r="B81" s="189"/>
      <c r="C81" s="189"/>
      <c r="D81" s="189"/>
      <c r="E81" s="189"/>
      <c r="F81" s="189"/>
      <c r="G81" s="189"/>
      <c r="H81" s="189"/>
    </row>
    <row r="82" spans="1:9" ht="27.5" customHeight="1">
      <c r="A82" s="495" t="s">
        <v>218</v>
      </c>
      <c r="B82" s="495"/>
      <c r="C82" s="495"/>
      <c r="D82" s="495"/>
      <c r="E82" s="495"/>
      <c r="F82" s="495"/>
      <c r="G82" s="495"/>
      <c r="H82" s="495"/>
    </row>
    <row r="83" spans="1:9" ht="16" thickBot="1">
      <c r="A83" s="245"/>
      <c r="B83" s="245"/>
      <c r="C83" s="189"/>
      <c r="D83" s="189"/>
      <c r="E83" s="189"/>
      <c r="F83" s="246"/>
      <c r="G83" s="189"/>
      <c r="H83" s="189"/>
      <c r="I83" s="189"/>
    </row>
    <row r="84" spans="1:9">
      <c r="A84" s="259"/>
      <c r="B84" s="160">
        <v>2015</v>
      </c>
      <c r="C84" s="160">
        <v>2016</v>
      </c>
      <c r="D84" s="160">
        <v>2017</v>
      </c>
      <c r="E84" s="260">
        <v>2018</v>
      </c>
      <c r="F84" s="260">
        <v>2019</v>
      </c>
      <c r="G84" s="160">
        <v>2020</v>
      </c>
      <c r="H84" s="302" t="s">
        <v>274</v>
      </c>
      <c r="I84" s="297" t="s">
        <v>233</v>
      </c>
    </row>
    <row r="85" spans="1:9">
      <c r="A85" s="261"/>
      <c r="B85" s="161"/>
      <c r="C85" s="161"/>
      <c r="D85" s="161"/>
      <c r="E85" s="161"/>
      <c r="F85" s="161"/>
      <c r="G85" s="161"/>
      <c r="H85" s="303"/>
      <c r="I85" s="162"/>
    </row>
    <row r="86" spans="1:9" ht="39.5" thickBot="1">
      <c r="A86" s="262" t="s">
        <v>238</v>
      </c>
      <c r="B86" s="163">
        <f>G22</f>
        <v>790354</v>
      </c>
      <c r="C86" s="163">
        <f>G23</f>
        <v>594490.68475696992</v>
      </c>
      <c r="D86" s="163">
        <f>G24</f>
        <v>854768.45547270845</v>
      </c>
      <c r="E86" s="163">
        <f>G25</f>
        <v>630824.91955001233</v>
      </c>
      <c r="F86" s="163">
        <f>G26</f>
        <v>36510.366686729845</v>
      </c>
      <c r="G86" s="163">
        <f>G27</f>
        <v>0</v>
      </c>
      <c r="H86" s="304"/>
      <c r="I86" s="164">
        <f>SUM(B86:G86)</f>
        <v>2906948.4264664208</v>
      </c>
    </row>
    <row r="87" spans="1:9" ht="16.5" thickTop="1" thickBot="1">
      <c r="A87" s="263"/>
      <c r="B87" s="165"/>
      <c r="C87" s="166"/>
      <c r="D87" s="166"/>
      <c r="E87" s="166"/>
      <c r="F87" s="167"/>
      <c r="G87" s="167"/>
      <c r="H87" s="305"/>
      <c r="I87" s="168"/>
    </row>
    <row r="88" spans="1:9" ht="39.5" thickTop="1">
      <c r="A88" s="264" t="s">
        <v>219</v>
      </c>
      <c r="B88" s="169">
        <f>B86*(1+F57)*B67</f>
        <v>0</v>
      </c>
      <c r="C88" s="170">
        <f>C86*(1+F57)*C67</f>
        <v>0</v>
      </c>
      <c r="D88" s="170">
        <f>D86*(1+F57)*D67</f>
        <v>0</v>
      </c>
      <c r="E88" s="170">
        <f>E86*(1+F57)*E67</f>
        <v>0</v>
      </c>
      <c r="F88" s="170">
        <f>F86*(1+F57)*F67</f>
        <v>36510.366686729845</v>
      </c>
      <c r="G88" s="170">
        <f>G86*(1+F57)*G67</f>
        <v>0</v>
      </c>
      <c r="H88" s="310"/>
      <c r="I88" s="311"/>
    </row>
    <row r="89" spans="1:9" ht="52.5" thickBot="1">
      <c r="A89" s="265" t="s">
        <v>220</v>
      </c>
      <c r="B89" s="171"/>
      <c r="C89" s="172"/>
      <c r="D89" s="172"/>
      <c r="E89" s="172"/>
      <c r="F89" s="173"/>
      <c r="G89" s="188">
        <v>0</v>
      </c>
      <c r="H89" s="306"/>
      <c r="I89" s="174"/>
    </row>
    <row r="90" spans="1:9" ht="39.5" thickTop="1">
      <c r="A90" s="266" t="s">
        <v>221</v>
      </c>
      <c r="B90" s="175">
        <f>B88+B89</f>
        <v>0</v>
      </c>
      <c r="C90" s="176">
        <f>C88+C89</f>
        <v>0</v>
      </c>
      <c r="D90" s="176">
        <f>D88+D89</f>
        <v>0</v>
      </c>
      <c r="E90" s="176">
        <f t="shared" ref="E90:G90" si="5">E88+E89</f>
        <v>0</v>
      </c>
      <c r="F90" s="176"/>
      <c r="G90" s="176">
        <f t="shared" si="5"/>
        <v>0</v>
      </c>
      <c r="H90" s="310"/>
      <c r="I90" s="310">
        <f>SUM(B90:G90)</f>
        <v>0</v>
      </c>
    </row>
    <row r="91" spans="1:9">
      <c r="A91" s="261"/>
      <c r="B91" s="177"/>
      <c r="C91" s="177"/>
      <c r="D91" s="177"/>
      <c r="E91" s="177"/>
      <c r="F91" s="178"/>
      <c r="G91" s="177"/>
      <c r="H91" s="307"/>
      <c r="I91" s="179"/>
    </row>
    <row r="92" spans="1:9" ht="29">
      <c r="A92" s="180" t="s">
        <v>222</v>
      </c>
      <c r="B92" s="181">
        <v>6.5600000000000006E-2</v>
      </c>
      <c r="C92" s="182" t="s">
        <v>223</v>
      </c>
      <c r="D92" s="183"/>
      <c r="E92" s="182"/>
      <c r="F92" s="182"/>
      <c r="G92" s="301"/>
      <c r="H92" s="308"/>
      <c r="I92" s="184"/>
    </row>
    <row r="93" spans="1:9" ht="52.5" thickBot="1">
      <c r="A93" s="267" t="s">
        <v>237</v>
      </c>
      <c r="B93" s="185">
        <f t="shared" ref="B93:G93" si="6">B90*(1+$B92)</f>
        <v>0</v>
      </c>
      <c r="C93" s="185">
        <f t="shared" si="6"/>
        <v>0</v>
      </c>
      <c r="D93" s="185">
        <f t="shared" si="6"/>
        <v>0</v>
      </c>
      <c r="E93" s="185">
        <f t="shared" si="6"/>
        <v>0</v>
      </c>
      <c r="F93" s="185">
        <f t="shared" si="6"/>
        <v>0</v>
      </c>
      <c r="G93" s="185">
        <f t="shared" si="6"/>
        <v>0</v>
      </c>
      <c r="H93" s="309"/>
      <c r="I93" s="186">
        <f>SUM(B93:G93)</f>
        <v>0</v>
      </c>
    </row>
    <row r="94" spans="1:9">
      <c r="A94" s="193"/>
      <c r="B94" s="187"/>
      <c r="C94" s="187"/>
      <c r="D94" s="187"/>
      <c r="E94" s="187"/>
      <c r="F94" s="187"/>
      <c r="G94" s="187"/>
      <c r="H94" s="187"/>
    </row>
    <row r="95" spans="1:9">
      <c r="A95" s="497" t="s">
        <v>236</v>
      </c>
      <c r="B95" s="497"/>
      <c r="C95" s="497"/>
      <c r="D95" s="497"/>
      <c r="E95" s="497"/>
      <c r="F95" s="497"/>
      <c r="G95" s="497"/>
      <c r="H95" s="497"/>
    </row>
    <row r="96" spans="1:9">
      <c r="A96" s="189"/>
      <c r="B96" s="189"/>
      <c r="C96" s="189"/>
      <c r="D96" s="189"/>
      <c r="E96" s="189"/>
      <c r="F96" s="189"/>
      <c r="G96" s="189"/>
      <c r="H96" s="189"/>
    </row>
    <row r="97" spans="1:8">
      <c r="A97" s="189"/>
      <c r="B97" s="189"/>
      <c r="C97" s="189"/>
      <c r="D97" s="189"/>
      <c r="E97" s="189"/>
      <c r="F97" s="189"/>
      <c r="G97" s="189"/>
      <c r="H97" s="189"/>
    </row>
    <row r="98" spans="1:8">
      <c r="A98" s="189"/>
      <c r="B98" s="189"/>
      <c r="C98" s="189"/>
      <c r="D98" s="189"/>
      <c r="E98" s="189"/>
      <c r="F98" s="189"/>
      <c r="G98" s="189"/>
      <c r="H98" s="189"/>
    </row>
    <row r="99" spans="1:8">
      <c r="A99" s="189"/>
      <c r="B99" s="189"/>
      <c r="C99" s="189"/>
      <c r="D99" s="189"/>
      <c r="E99" s="189"/>
      <c r="F99" s="189"/>
      <c r="G99" s="189"/>
      <c r="H99" s="189"/>
    </row>
    <row r="100" spans="1:8">
      <c r="A100" s="189"/>
      <c r="B100" s="189"/>
      <c r="C100" s="189"/>
      <c r="D100" s="189"/>
      <c r="E100" s="189"/>
      <c r="F100" s="189"/>
      <c r="G100" s="189"/>
      <c r="H100" s="189"/>
    </row>
  </sheetData>
  <mergeCells count="29">
    <mergeCell ref="A33:H33"/>
    <mergeCell ref="A1:H1"/>
    <mergeCell ref="A2:H2"/>
    <mergeCell ref="A4:H4"/>
    <mergeCell ref="A6:H6"/>
    <mergeCell ref="A8:H8"/>
    <mergeCell ref="A10:H10"/>
    <mergeCell ref="A11:H11"/>
    <mergeCell ref="A13:H13"/>
    <mergeCell ref="A21:H21"/>
    <mergeCell ref="G29:H30"/>
    <mergeCell ref="A31:H31"/>
    <mergeCell ref="A74:H74"/>
    <mergeCell ref="A35:H35"/>
    <mergeCell ref="A37:H37"/>
    <mergeCell ref="A39:H39"/>
    <mergeCell ref="A41:F41"/>
    <mergeCell ref="A43:E43"/>
    <mergeCell ref="A46:B46"/>
    <mergeCell ref="A57:B57"/>
    <mergeCell ref="A60:H60"/>
    <mergeCell ref="A62:H63"/>
    <mergeCell ref="A65:F65"/>
    <mergeCell ref="A72:H72"/>
    <mergeCell ref="A76:H76"/>
    <mergeCell ref="A78:H78"/>
    <mergeCell ref="A80:H80"/>
    <mergeCell ref="A82:H82"/>
    <mergeCell ref="A95:H95"/>
  </mergeCells>
  <conditionalFormatting sqref="H28">
    <cfRule type="expression" dxfId="1" priority="2">
      <formula>$H$36=$A$19</formula>
    </cfRule>
  </conditionalFormatting>
  <conditionalFormatting sqref="G29">
    <cfRule type="expression" dxfId="0" priority="1">
      <formula>$G$36&lt;&gt;$H$36</formula>
    </cfRule>
  </conditionalFormatting>
  <dataValidations count="2">
    <dataValidation type="list" allowBlank="1" showInputMessage="1" showErrorMessage="1" sqref="E67:H67">
      <formula1>"0, 0.5, 1"</formula1>
    </dataValidation>
    <dataValidation type="list" allowBlank="1" showInputMessage="1" showErrorMessage="1" sqref="F43">
      <formula1>"net,gross"</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2:AB31"/>
  <sheetViews>
    <sheetView workbookViewId="0"/>
  </sheetViews>
  <sheetFormatPr defaultColWidth="8.6640625" defaultRowHeight="13"/>
  <cols>
    <col min="1" max="1" width="23.58203125" style="33" customWidth="1"/>
    <col min="2" max="2" width="33.1640625" style="33" bestFit="1" customWidth="1"/>
    <col min="3" max="3" width="20.58203125" style="33" bestFit="1" customWidth="1"/>
    <col min="4" max="4" width="20.83203125" style="33" customWidth="1"/>
    <col min="5" max="5" width="8.9140625" style="33" customWidth="1"/>
    <col min="6" max="19" width="8.6640625" style="33"/>
    <col min="20" max="20" width="10.08203125" style="33" bestFit="1" customWidth="1"/>
    <col min="21" max="16384" width="8.6640625" style="33"/>
  </cols>
  <sheetData>
    <row r="2" spans="1:28">
      <c r="A2" s="32" t="s">
        <v>78</v>
      </c>
    </row>
    <row r="3" spans="1:28">
      <c r="A3" s="34" t="s">
        <v>62</v>
      </c>
    </row>
    <row r="4" spans="1:28">
      <c r="A4" s="35" t="s">
        <v>63</v>
      </c>
      <c r="B4" s="36" t="s">
        <v>64</v>
      </c>
      <c r="C4" s="37" t="s">
        <v>65</v>
      </c>
      <c r="D4" s="36" t="s">
        <v>66</v>
      </c>
      <c r="E4" s="36" t="s">
        <v>67</v>
      </c>
      <c r="F4" s="38" t="s">
        <v>68</v>
      </c>
    </row>
    <row r="5" spans="1:28">
      <c r="A5" s="39" t="s">
        <v>69</v>
      </c>
      <c r="B5" s="40" t="s">
        <v>70</v>
      </c>
      <c r="C5" s="41" t="s">
        <v>71</v>
      </c>
      <c r="D5" s="42" t="s">
        <v>72</v>
      </c>
      <c r="E5" s="43"/>
      <c r="F5" s="44"/>
    </row>
    <row r="6" spans="1:28" ht="14.5">
      <c r="A6" s="45" t="s">
        <v>73</v>
      </c>
      <c r="B6" s="145" t="s">
        <v>157</v>
      </c>
      <c r="C6" s="46"/>
      <c r="D6" s="46"/>
      <c r="E6" s="46"/>
      <c r="F6" s="47"/>
    </row>
    <row r="8" spans="1:28">
      <c r="A8" s="32" t="s">
        <v>74</v>
      </c>
    </row>
    <row r="9" spans="1:28">
      <c r="A9" s="34" t="s">
        <v>158</v>
      </c>
      <c r="R9" s="48"/>
      <c r="S9" s="48"/>
      <c r="T9" s="48"/>
      <c r="U9" s="48"/>
      <c r="V9" s="48"/>
      <c r="W9" s="48"/>
      <c r="X9" s="48"/>
      <c r="Y9" s="48"/>
      <c r="Z9" s="48"/>
      <c r="AA9" s="48"/>
      <c r="AB9" s="48"/>
    </row>
    <row r="10" spans="1:28">
      <c r="R10" s="48"/>
      <c r="S10" s="48"/>
      <c r="Z10" s="48"/>
      <c r="AA10" s="48"/>
      <c r="AB10" s="48"/>
    </row>
    <row r="11" spans="1:28">
      <c r="A11" s="49" t="s">
        <v>73</v>
      </c>
      <c r="R11" s="48"/>
      <c r="S11" s="48"/>
      <c r="Z11" s="48"/>
      <c r="AA11" s="48"/>
      <c r="AB11" s="48"/>
    </row>
    <row r="12" spans="1:28">
      <c r="A12" s="31" t="s">
        <v>154</v>
      </c>
      <c r="R12" s="48"/>
      <c r="S12" s="48"/>
      <c r="T12" s="48"/>
      <c r="U12" s="48"/>
      <c r="V12" s="48"/>
      <c r="W12" s="48"/>
      <c r="X12" s="48"/>
      <c r="Y12" s="48"/>
      <c r="Z12" s="48"/>
      <c r="AA12" s="48"/>
      <c r="AB12" s="48"/>
    </row>
    <row r="13" spans="1:28" ht="14.5">
      <c r="A13" s="145" t="s">
        <v>155</v>
      </c>
      <c r="R13" s="48"/>
      <c r="S13" s="48"/>
      <c r="T13" s="48"/>
      <c r="U13" s="48"/>
      <c r="V13" s="48"/>
      <c r="W13" s="48"/>
      <c r="X13" s="48"/>
      <c r="Y13" s="48"/>
      <c r="Z13" s="48"/>
      <c r="AA13" s="48"/>
      <c r="AB13" s="48"/>
    </row>
    <row r="14" spans="1:28">
      <c r="A14" s="50" t="s">
        <v>75</v>
      </c>
      <c r="E14" s="51"/>
      <c r="F14" s="51"/>
      <c r="G14" s="51"/>
      <c r="H14" s="51"/>
      <c r="I14" s="51"/>
      <c r="J14" s="51"/>
      <c r="K14" s="51"/>
      <c r="L14" s="51"/>
      <c r="M14" s="51"/>
      <c r="N14" s="51"/>
      <c r="O14" s="51"/>
      <c r="P14" s="51"/>
      <c r="Q14" s="52"/>
    </row>
    <row r="15" spans="1:28">
      <c r="E15" s="51"/>
      <c r="F15" s="51"/>
      <c r="G15" s="51"/>
      <c r="H15" s="51"/>
      <c r="I15" s="51"/>
      <c r="J15" s="51"/>
      <c r="K15" s="51"/>
      <c r="L15" s="51"/>
      <c r="M15" s="51"/>
      <c r="N15" s="51"/>
      <c r="O15" s="51"/>
      <c r="P15" s="51"/>
      <c r="Q15" s="52"/>
    </row>
    <row r="16" spans="1:28">
      <c r="A16" s="53" t="s">
        <v>76</v>
      </c>
      <c r="E16" s="51"/>
      <c r="F16" s="51"/>
      <c r="G16" s="51"/>
      <c r="H16" s="51"/>
      <c r="I16" s="51"/>
      <c r="J16" s="51"/>
      <c r="K16" s="51"/>
      <c r="L16" s="51"/>
      <c r="M16" s="51"/>
      <c r="N16" s="51"/>
      <c r="O16" s="51"/>
      <c r="P16" s="51"/>
      <c r="Q16" s="52"/>
    </row>
    <row r="17" spans="1:17">
      <c r="A17" s="53" t="s">
        <v>77</v>
      </c>
      <c r="E17" s="51"/>
      <c r="F17" s="51"/>
      <c r="G17" s="51"/>
      <c r="H17" s="51"/>
      <c r="I17" s="51"/>
      <c r="J17" s="51"/>
      <c r="K17" s="51"/>
      <c r="L17" s="51"/>
      <c r="M17" s="51"/>
      <c r="N17" s="51"/>
      <c r="O17" s="51"/>
      <c r="P17" s="51"/>
      <c r="Q17" s="52"/>
    </row>
    <row r="18" spans="1:17">
      <c r="E18" s="51"/>
      <c r="F18" s="51"/>
      <c r="G18" s="51"/>
      <c r="H18" s="51"/>
      <c r="I18" s="51"/>
      <c r="J18" s="51"/>
      <c r="K18" s="51"/>
      <c r="L18" s="51"/>
      <c r="M18" s="51"/>
      <c r="N18" s="51"/>
      <c r="O18" s="51"/>
      <c r="P18" s="51"/>
      <c r="Q18" s="52"/>
    </row>
    <row r="19" spans="1:17">
      <c r="A19" s="49" t="s">
        <v>73</v>
      </c>
      <c r="D19" s="51"/>
      <c r="E19" s="51"/>
      <c r="F19" s="51"/>
      <c r="G19" s="51"/>
      <c r="H19" s="51"/>
      <c r="I19" s="51"/>
      <c r="J19" s="51"/>
      <c r="K19" s="51"/>
      <c r="L19" s="51"/>
      <c r="M19" s="51"/>
      <c r="N19" s="51"/>
      <c r="O19" s="51"/>
      <c r="P19" s="51"/>
      <c r="Q19" s="52"/>
    </row>
    <row r="20" spans="1:17">
      <c r="A20" s="31" t="s">
        <v>156</v>
      </c>
      <c r="D20" s="51"/>
      <c r="E20" s="51"/>
      <c r="F20" s="51"/>
      <c r="G20" s="51"/>
      <c r="H20" s="51"/>
      <c r="I20" s="51"/>
      <c r="J20" s="51"/>
      <c r="K20" s="51"/>
      <c r="L20" s="51"/>
      <c r="M20" s="51"/>
      <c r="N20" s="51"/>
      <c r="O20" s="51"/>
      <c r="P20" s="51"/>
      <c r="Q20" s="52"/>
    </row>
    <row r="21" spans="1:17">
      <c r="D21" s="51"/>
      <c r="E21" s="51"/>
      <c r="F21" s="51"/>
      <c r="G21" s="51"/>
      <c r="H21" s="51"/>
      <c r="I21" s="51"/>
      <c r="J21" s="51"/>
      <c r="K21" s="51"/>
      <c r="L21" s="51"/>
      <c r="M21" s="51"/>
      <c r="N21" s="51"/>
      <c r="O21" s="51"/>
      <c r="P21" s="51"/>
      <c r="Q21" s="52"/>
    </row>
    <row r="22" spans="1:17">
      <c r="D22" s="51"/>
      <c r="E22" s="51"/>
      <c r="F22" s="51"/>
      <c r="G22" s="51"/>
      <c r="H22" s="51"/>
      <c r="I22" s="51"/>
      <c r="J22" s="51"/>
      <c r="K22" s="51"/>
      <c r="L22" s="51"/>
      <c r="M22" s="51"/>
      <c r="N22" s="51"/>
      <c r="O22" s="51"/>
      <c r="P22" s="51"/>
      <c r="Q22" s="52"/>
    </row>
    <row r="23" spans="1:17">
      <c r="A23" s="50" t="s">
        <v>150</v>
      </c>
    </row>
    <row r="24" spans="1:17" ht="14.5">
      <c r="A24" s="33" t="s">
        <v>159</v>
      </c>
      <c r="B24" s="145" t="s">
        <v>162</v>
      </c>
    </row>
    <row r="25" spans="1:17">
      <c r="D25" s="51"/>
      <c r="E25" s="51"/>
      <c r="F25" s="51"/>
      <c r="G25" s="51"/>
      <c r="H25" s="51"/>
      <c r="I25" s="51"/>
      <c r="J25" s="51"/>
      <c r="K25" s="51"/>
      <c r="L25" s="51"/>
      <c r="M25" s="51"/>
      <c r="N25" s="51"/>
      <c r="O25" s="51"/>
      <c r="P25" s="51"/>
      <c r="Q25" s="52"/>
    </row>
    <row r="26" spans="1:17">
      <c r="A26" s="50" t="s">
        <v>119</v>
      </c>
      <c r="D26" s="51"/>
      <c r="E26" s="51"/>
      <c r="F26" s="51"/>
      <c r="G26" s="51"/>
      <c r="H26" s="51"/>
      <c r="I26" s="51"/>
      <c r="J26" s="51"/>
      <c r="K26" s="51"/>
      <c r="L26" s="51"/>
      <c r="M26" s="51"/>
      <c r="N26" s="51"/>
      <c r="O26" s="51"/>
      <c r="P26" s="51"/>
      <c r="Q26" s="52"/>
    </row>
    <row r="27" spans="1:17" ht="14.5">
      <c r="A27" s="33" t="s">
        <v>152</v>
      </c>
      <c r="B27" s="145" t="s">
        <v>153</v>
      </c>
    </row>
    <row r="29" spans="1:17">
      <c r="D29" s="51"/>
      <c r="E29" s="51"/>
      <c r="F29" s="51"/>
      <c r="G29" s="51"/>
      <c r="H29" s="51"/>
      <c r="I29" s="51"/>
      <c r="J29" s="51"/>
      <c r="K29" s="51"/>
      <c r="L29" s="51"/>
      <c r="M29" s="51"/>
      <c r="N29" s="51"/>
      <c r="O29" s="51"/>
      <c r="P29" s="51"/>
      <c r="Q29" s="52"/>
    </row>
    <row r="30" spans="1:17">
      <c r="A30" s="50" t="s">
        <v>46</v>
      </c>
      <c r="D30" s="51"/>
      <c r="E30" s="51"/>
      <c r="F30" s="51"/>
      <c r="G30" s="51"/>
      <c r="H30" s="51"/>
      <c r="I30" s="51"/>
      <c r="J30" s="51"/>
      <c r="K30" s="51"/>
      <c r="L30" s="51"/>
      <c r="M30" s="51"/>
      <c r="N30" s="51"/>
      <c r="O30" s="51"/>
      <c r="P30" s="51"/>
      <c r="Q30" s="52"/>
    </row>
    <row r="31" spans="1:17">
      <c r="A31" s="33" t="s">
        <v>89</v>
      </c>
      <c r="D31" s="51"/>
      <c r="E31" s="51"/>
      <c r="F31" s="51"/>
      <c r="G31" s="51"/>
      <c r="H31" s="51"/>
      <c r="I31" s="51"/>
      <c r="J31" s="51"/>
      <c r="K31" s="51"/>
      <c r="L31" s="51"/>
      <c r="M31" s="51"/>
      <c r="N31" s="51"/>
      <c r="O31" s="51"/>
      <c r="P31" s="51"/>
      <c r="Q31" s="52"/>
    </row>
  </sheetData>
  <hyperlinks>
    <hyperlink ref="A12" r:id="rId1" location="timeframe" display="https://www150.statcan.gc.ca/t1/tbl1/en/cv.action?pid=1810000401 - timeframe"/>
    <hyperlink ref="A20" r:id="rId2" location="timeframe" display="https://www150.statcan.gc.ca/t1/tbl1/en/cv.action?pid=1410029302 - timeframe"/>
    <hyperlink ref="B24" r:id="rId3" display="Sensitive Customers\Usage for Sensitive Customers.xlsx"/>
    <hyperlink ref="B27" r:id="rId4"/>
    <hyperlink ref="A13" r:id="rId5" display="https://www150.statcan.gc.ca/t1/tbl1/en/cv.action?pid=1810000401"/>
    <hyperlink ref="B6" r:id="rId6" display="https://climate.weather.gc.ca/climate_data/daily_data_e.html?hlyRange=1994-02-01%7C2019-09-05&amp;dlyRange=1992-12-02%7C2019-09-05&amp;mlyRange=2003-10-01%7C2006-12-01&amp;StationID=7844&amp;Prov=ON&amp;urlExtension=_e.html&amp;searchType=stnName&amp;optLimit=yearRange&amp;StartYear=1998&amp;EndYear=2018&amp;selRowPerPage=25&amp;Line=0&amp;searchMethod=contains&amp;Month=9&amp;Day=5&amp;txtStationName=MOUNT+FOREST+%28AUT%29&amp;timeframe=2&amp;Year=201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V147"/>
  <sheetViews>
    <sheetView workbookViewId="0">
      <pane xSplit="2" ySplit="1" topLeftCell="C2" activePane="bottomRight" state="frozen"/>
      <selection activeCell="B17" sqref="B17"/>
      <selection pane="topRight" activeCell="B17" sqref="B17"/>
      <selection pane="bottomLeft" activeCell="B17" sqref="B17"/>
      <selection pane="bottomRight"/>
    </sheetView>
  </sheetViews>
  <sheetFormatPr defaultColWidth="8.6640625" defaultRowHeight="14.5"/>
  <cols>
    <col min="1" max="1" width="8.6640625" style="1"/>
    <col min="2" max="2" width="11.1640625" style="1" customWidth="1"/>
    <col min="3" max="4" width="11.08203125" style="1" bestFit="1" customWidth="1"/>
    <col min="5" max="6" width="8.6640625" style="8"/>
    <col min="7" max="7" width="8.6640625" style="3"/>
    <col min="8" max="8" width="10.4140625" style="3" bestFit="1" customWidth="1"/>
    <col min="9" max="9" width="10.4140625" style="1" bestFit="1" customWidth="1"/>
    <col min="10" max="16" width="10.4140625" style="3" bestFit="1" customWidth="1"/>
    <col min="17" max="17" width="10.6640625" style="3" customWidth="1"/>
    <col min="18" max="18" width="10.4140625" style="3" customWidth="1"/>
    <col min="19" max="19" width="8.6640625" style="1"/>
    <col min="20" max="20" width="14.1640625" style="56" customWidth="1"/>
    <col min="21" max="21" width="14.5" style="3" customWidth="1"/>
    <col min="22" max="22" width="8.6640625" style="15"/>
    <col min="23" max="16384" width="8.6640625" style="3"/>
  </cols>
  <sheetData>
    <row r="1" spans="1:22" s="58" customFormat="1" ht="58">
      <c r="A1" s="58" t="s">
        <v>0</v>
      </c>
      <c r="B1" s="149" t="s">
        <v>1</v>
      </c>
      <c r="C1" s="58" t="s">
        <v>15</v>
      </c>
      <c r="D1" s="149" t="s">
        <v>47</v>
      </c>
      <c r="E1" s="58" t="s">
        <v>16</v>
      </c>
      <c r="F1" s="58" t="s">
        <v>17</v>
      </c>
      <c r="G1" s="58" t="s">
        <v>61</v>
      </c>
      <c r="H1" s="149" t="s">
        <v>87</v>
      </c>
      <c r="I1" s="59" t="s">
        <v>88</v>
      </c>
      <c r="J1" s="149" t="s">
        <v>79</v>
      </c>
      <c r="K1" s="149" t="s">
        <v>160</v>
      </c>
      <c r="L1" s="149" t="s">
        <v>80</v>
      </c>
      <c r="M1" s="149" t="s">
        <v>81</v>
      </c>
      <c r="N1" s="149" t="s">
        <v>82</v>
      </c>
      <c r="O1" s="149" t="s">
        <v>83</v>
      </c>
      <c r="P1" s="149" t="s">
        <v>84</v>
      </c>
      <c r="Q1" s="149" t="s">
        <v>93</v>
      </c>
      <c r="R1" s="149" t="s">
        <v>151</v>
      </c>
      <c r="S1" s="149" t="s">
        <v>161</v>
      </c>
      <c r="T1" s="464" t="s">
        <v>295</v>
      </c>
      <c r="V1" s="60" t="s">
        <v>91</v>
      </c>
    </row>
    <row r="2" spans="1:22">
      <c r="A2" s="1">
        <v>2010</v>
      </c>
      <c r="B2" s="1" t="s">
        <v>2</v>
      </c>
      <c r="C2" s="6">
        <v>791.5</v>
      </c>
      <c r="D2" s="6">
        <v>0</v>
      </c>
      <c r="E2" s="8">
        <v>31</v>
      </c>
      <c r="F2" s="9">
        <v>320</v>
      </c>
      <c r="G2" s="1">
        <v>0</v>
      </c>
      <c r="H2" s="147">
        <v>114.5</v>
      </c>
      <c r="I2" s="27">
        <v>633.6</v>
      </c>
      <c r="J2" s="5">
        <v>3058</v>
      </c>
      <c r="K2" s="5">
        <v>481</v>
      </c>
      <c r="L2" s="5">
        <v>42</v>
      </c>
      <c r="M2" s="5">
        <v>5</v>
      </c>
      <c r="N2" s="5">
        <v>1</v>
      </c>
      <c r="O2" s="5">
        <v>28</v>
      </c>
      <c r="P2" s="5">
        <v>900</v>
      </c>
      <c r="Q2" s="5">
        <v>4515</v>
      </c>
      <c r="R2" s="56">
        <v>3487295.6334580001</v>
      </c>
      <c r="S2" s="1">
        <v>1</v>
      </c>
      <c r="T2" s="56">
        <v>123708.66878762332</v>
      </c>
      <c r="V2" s="15">
        <v>1</v>
      </c>
    </row>
    <row r="3" spans="1:22">
      <c r="A3" s="1">
        <v>2010</v>
      </c>
      <c r="B3" s="1" t="s">
        <v>3</v>
      </c>
      <c r="C3" s="6">
        <v>680.1</v>
      </c>
      <c r="D3" s="6">
        <v>0</v>
      </c>
      <c r="E3" s="8">
        <v>28</v>
      </c>
      <c r="F3" s="9">
        <v>304</v>
      </c>
      <c r="G3" s="1">
        <v>0</v>
      </c>
      <c r="H3" s="147">
        <v>115.1</v>
      </c>
      <c r="I3" s="27">
        <v>630.5</v>
      </c>
      <c r="J3" s="5">
        <v>3061</v>
      </c>
      <c r="K3" s="5">
        <v>480</v>
      </c>
      <c r="L3" s="5">
        <v>42</v>
      </c>
      <c r="M3" s="5">
        <v>5</v>
      </c>
      <c r="N3" s="5">
        <v>1</v>
      </c>
      <c r="O3" s="5">
        <v>28</v>
      </c>
      <c r="P3" s="5">
        <v>900</v>
      </c>
      <c r="Q3" s="5">
        <v>4517</v>
      </c>
      <c r="R3" s="56">
        <v>3203840.5107670003</v>
      </c>
      <c r="S3" s="1">
        <v>2</v>
      </c>
      <c r="T3" s="56">
        <v>122523.99878500466</v>
      </c>
      <c r="V3" s="15">
        <v>2</v>
      </c>
    </row>
    <row r="4" spans="1:22">
      <c r="A4" s="1">
        <v>2010</v>
      </c>
      <c r="B4" s="1" t="s">
        <v>4</v>
      </c>
      <c r="C4" s="6">
        <v>504.69999999999987</v>
      </c>
      <c r="D4" s="6">
        <v>0</v>
      </c>
      <c r="E4" s="8">
        <v>31</v>
      </c>
      <c r="F4" s="9">
        <v>368</v>
      </c>
      <c r="G4" s="1">
        <v>1</v>
      </c>
      <c r="H4" s="147">
        <v>115.3</v>
      </c>
      <c r="I4" s="27">
        <v>627.5</v>
      </c>
      <c r="J4" s="5">
        <v>3061</v>
      </c>
      <c r="K4" s="5">
        <v>473</v>
      </c>
      <c r="L4" s="5">
        <v>42</v>
      </c>
      <c r="M4" s="5">
        <v>5</v>
      </c>
      <c r="N4" s="5">
        <v>1</v>
      </c>
      <c r="O4" s="5">
        <v>28</v>
      </c>
      <c r="P4" s="5">
        <v>900</v>
      </c>
      <c r="Q4" s="5">
        <v>4510</v>
      </c>
      <c r="R4" s="56">
        <v>3646819.0608330001</v>
      </c>
      <c r="S4" s="1">
        <v>3</v>
      </c>
      <c r="T4" s="56">
        <v>121339.328782386</v>
      </c>
      <c r="V4" s="15">
        <v>3</v>
      </c>
    </row>
    <row r="5" spans="1:22">
      <c r="A5" s="1">
        <v>2010</v>
      </c>
      <c r="B5" s="1" t="s">
        <v>5</v>
      </c>
      <c r="C5" s="6">
        <v>273.20000000000005</v>
      </c>
      <c r="D5" s="6">
        <v>1</v>
      </c>
      <c r="E5" s="8">
        <v>30</v>
      </c>
      <c r="F5" s="9">
        <v>320</v>
      </c>
      <c r="G5" s="1">
        <v>1</v>
      </c>
      <c r="H5" s="147">
        <v>115.8</v>
      </c>
      <c r="I5" s="27">
        <v>631.6</v>
      </c>
      <c r="J5" s="5">
        <v>3067</v>
      </c>
      <c r="K5" s="5">
        <v>477</v>
      </c>
      <c r="L5" s="5">
        <v>42</v>
      </c>
      <c r="M5" s="5">
        <v>5</v>
      </c>
      <c r="N5" s="5">
        <v>1</v>
      </c>
      <c r="O5" s="5">
        <v>28</v>
      </c>
      <c r="P5" s="5">
        <v>900</v>
      </c>
      <c r="Q5" s="5">
        <v>4520</v>
      </c>
      <c r="R5" s="56">
        <v>3531302.5569770001</v>
      </c>
      <c r="S5" s="1">
        <v>4</v>
      </c>
      <c r="T5" s="56">
        <v>120154.65877976734</v>
      </c>
      <c r="V5" s="15">
        <v>4</v>
      </c>
    </row>
    <row r="6" spans="1:22">
      <c r="A6" s="1">
        <v>2010</v>
      </c>
      <c r="B6" s="1" t="s">
        <v>6</v>
      </c>
      <c r="C6" s="6">
        <v>148.19999999999996</v>
      </c>
      <c r="D6" s="6">
        <v>24</v>
      </c>
      <c r="E6" s="8">
        <v>31</v>
      </c>
      <c r="F6" s="9">
        <v>320</v>
      </c>
      <c r="G6" s="1">
        <v>1</v>
      </c>
      <c r="H6" s="147">
        <v>116.3</v>
      </c>
      <c r="I6" s="27">
        <v>641.5</v>
      </c>
      <c r="J6" s="5">
        <v>3076</v>
      </c>
      <c r="K6" s="5">
        <v>479</v>
      </c>
      <c r="L6" s="5">
        <v>42</v>
      </c>
      <c r="M6" s="5">
        <v>5</v>
      </c>
      <c r="N6" s="5">
        <v>1</v>
      </c>
      <c r="O6" s="5">
        <v>28</v>
      </c>
      <c r="P6" s="5">
        <v>900</v>
      </c>
      <c r="Q6" s="5">
        <v>4531</v>
      </c>
      <c r="R6" s="56">
        <v>3786484.3631810001</v>
      </c>
      <c r="S6" s="1">
        <v>5</v>
      </c>
      <c r="T6" s="56">
        <v>118969.98877714868</v>
      </c>
      <c r="V6" s="15">
        <v>5</v>
      </c>
    </row>
    <row r="7" spans="1:22">
      <c r="A7" s="1">
        <v>2010</v>
      </c>
      <c r="B7" s="1" t="s">
        <v>7</v>
      </c>
      <c r="C7" s="6">
        <v>55.233333333333327</v>
      </c>
      <c r="D7" s="6">
        <v>18.7</v>
      </c>
      <c r="E7" s="8">
        <v>30</v>
      </c>
      <c r="F7" s="9">
        <v>352</v>
      </c>
      <c r="G7" s="1">
        <v>0</v>
      </c>
      <c r="H7" s="147">
        <v>116.1</v>
      </c>
      <c r="I7" s="27">
        <v>657.2</v>
      </c>
      <c r="J7" s="5">
        <v>3072</v>
      </c>
      <c r="K7" s="5">
        <v>482</v>
      </c>
      <c r="L7" s="5">
        <v>39</v>
      </c>
      <c r="M7" s="5">
        <v>5</v>
      </c>
      <c r="N7" s="5">
        <v>1</v>
      </c>
      <c r="O7" s="5">
        <v>28</v>
      </c>
      <c r="P7" s="5">
        <v>900</v>
      </c>
      <c r="Q7" s="5">
        <v>4527</v>
      </c>
      <c r="R7" s="56">
        <v>3861171.0436650002</v>
      </c>
      <c r="S7" s="1">
        <v>6</v>
      </c>
      <c r="T7" s="56">
        <v>117785.31877453002</v>
      </c>
      <c r="V7" s="15">
        <v>6</v>
      </c>
    </row>
    <row r="8" spans="1:22">
      <c r="A8" s="1">
        <v>2010</v>
      </c>
      <c r="B8" s="1" t="s">
        <v>8</v>
      </c>
      <c r="C8" s="6">
        <v>12.7</v>
      </c>
      <c r="D8" s="6">
        <v>89.7</v>
      </c>
      <c r="E8" s="8">
        <v>31</v>
      </c>
      <c r="F8" s="9">
        <v>336</v>
      </c>
      <c r="G8" s="1">
        <v>0</v>
      </c>
      <c r="H8" s="147">
        <v>117.1</v>
      </c>
      <c r="I8" s="27">
        <v>669.8</v>
      </c>
      <c r="J8" s="5">
        <v>3074</v>
      </c>
      <c r="K8" s="5">
        <v>485</v>
      </c>
      <c r="L8" s="5">
        <v>37</v>
      </c>
      <c r="M8" s="5">
        <v>5</v>
      </c>
      <c r="N8" s="5">
        <v>1</v>
      </c>
      <c r="O8" s="5">
        <v>28</v>
      </c>
      <c r="P8" s="5">
        <v>900</v>
      </c>
      <c r="Q8" s="5">
        <v>4530</v>
      </c>
      <c r="R8" s="56">
        <v>3721817.7134580002</v>
      </c>
      <c r="S8" s="1">
        <v>7</v>
      </c>
      <c r="T8" s="56">
        <v>116600.64877191136</v>
      </c>
      <c r="V8" s="15">
        <v>7</v>
      </c>
    </row>
    <row r="9" spans="1:22">
      <c r="A9" s="1">
        <v>2010</v>
      </c>
      <c r="B9" s="1" t="s">
        <v>9</v>
      </c>
      <c r="C9" s="6">
        <v>19.299999999999997</v>
      </c>
      <c r="D9" s="6">
        <v>82.000000000000014</v>
      </c>
      <c r="E9" s="8">
        <v>31</v>
      </c>
      <c r="F9" s="9">
        <v>336</v>
      </c>
      <c r="G9" s="1">
        <v>0</v>
      </c>
      <c r="H9" s="147">
        <v>117.1</v>
      </c>
      <c r="I9" s="27">
        <v>672</v>
      </c>
      <c r="J9" s="5">
        <v>3073</v>
      </c>
      <c r="K9" s="5">
        <v>482</v>
      </c>
      <c r="L9" s="5">
        <v>38</v>
      </c>
      <c r="M9" s="5">
        <v>5</v>
      </c>
      <c r="N9" s="5">
        <v>1</v>
      </c>
      <c r="O9" s="5">
        <v>28</v>
      </c>
      <c r="P9" s="5">
        <v>900</v>
      </c>
      <c r="Q9" s="5">
        <v>4527</v>
      </c>
      <c r="R9" s="56">
        <v>4170740.4139440004</v>
      </c>
      <c r="S9" s="1">
        <v>8</v>
      </c>
      <c r="T9" s="56">
        <v>115415.97876929271</v>
      </c>
      <c r="V9" s="15">
        <v>8</v>
      </c>
    </row>
    <row r="10" spans="1:22">
      <c r="A10" s="1">
        <v>2010</v>
      </c>
      <c r="B10" s="1" t="s">
        <v>10</v>
      </c>
      <c r="C10" s="6">
        <v>137</v>
      </c>
      <c r="D10" s="6">
        <v>15.5</v>
      </c>
      <c r="E10" s="8">
        <v>30</v>
      </c>
      <c r="F10" s="9">
        <v>336</v>
      </c>
      <c r="G10" s="1">
        <v>1</v>
      </c>
      <c r="H10" s="147">
        <v>117.3</v>
      </c>
      <c r="I10" s="27">
        <v>665.1</v>
      </c>
      <c r="J10" s="5">
        <v>3069</v>
      </c>
      <c r="K10" s="5">
        <v>483</v>
      </c>
      <c r="L10" s="5">
        <v>38</v>
      </c>
      <c r="M10" s="5">
        <v>5</v>
      </c>
      <c r="N10" s="5">
        <v>1</v>
      </c>
      <c r="O10" s="5">
        <v>28</v>
      </c>
      <c r="P10" s="5">
        <v>900</v>
      </c>
      <c r="Q10" s="5">
        <v>4524</v>
      </c>
      <c r="R10" s="56">
        <v>3919808.5180150005</v>
      </c>
      <c r="S10" s="1">
        <v>9</v>
      </c>
      <c r="T10" s="56">
        <v>114231.30876667405</v>
      </c>
      <c r="V10" s="15">
        <v>9</v>
      </c>
    </row>
    <row r="11" spans="1:22">
      <c r="A11" s="1">
        <v>2010</v>
      </c>
      <c r="B11" s="1" t="s">
        <v>11</v>
      </c>
      <c r="C11" s="6">
        <v>300.99999999999994</v>
      </c>
      <c r="D11" s="6">
        <v>0</v>
      </c>
      <c r="E11" s="8">
        <v>31</v>
      </c>
      <c r="F11" s="9">
        <v>320</v>
      </c>
      <c r="G11" s="1">
        <v>1</v>
      </c>
      <c r="H11" s="147">
        <v>117.7</v>
      </c>
      <c r="I11" s="27">
        <v>657.2</v>
      </c>
      <c r="J11" s="5">
        <v>3075</v>
      </c>
      <c r="K11" s="5">
        <v>478</v>
      </c>
      <c r="L11" s="5">
        <v>38</v>
      </c>
      <c r="M11" s="5">
        <v>5</v>
      </c>
      <c r="N11" s="5">
        <v>1</v>
      </c>
      <c r="O11" s="5">
        <v>28</v>
      </c>
      <c r="P11" s="5">
        <v>900</v>
      </c>
      <c r="Q11" s="5">
        <v>4525</v>
      </c>
      <c r="R11" s="56">
        <v>3943157.2559859999</v>
      </c>
      <c r="S11" s="1">
        <v>10</v>
      </c>
      <c r="T11" s="56">
        <v>113046.63876405539</v>
      </c>
      <c r="V11" s="15">
        <v>10</v>
      </c>
    </row>
    <row r="12" spans="1:22">
      <c r="A12" s="1">
        <v>2010</v>
      </c>
      <c r="B12" s="1" t="s">
        <v>12</v>
      </c>
      <c r="C12" s="6">
        <v>439.26666666666659</v>
      </c>
      <c r="D12" s="6">
        <v>0</v>
      </c>
      <c r="E12" s="8">
        <v>30</v>
      </c>
      <c r="F12" s="9">
        <v>336</v>
      </c>
      <c r="G12" s="1">
        <v>1</v>
      </c>
      <c r="H12" s="147">
        <v>117.8</v>
      </c>
      <c r="I12" s="27">
        <v>622.20000000000005</v>
      </c>
      <c r="J12" s="5">
        <v>3094</v>
      </c>
      <c r="K12" s="5">
        <v>475</v>
      </c>
      <c r="L12" s="5">
        <v>38</v>
      </c>
      <c r="M12" s="5">
        <v>5</v>
      </c>
      <c r="N12" s="5">
        <v>1</v>
      </c>
      <c r="O12" s="5">
        <v>28</v>
      </c>
      <c r="P12" s="5">
        <v>900</v>
      </c>
      <c r="Q12" s="5">
        <v>4541</v>
      </c>
      <c r="R12" s="56">
        <v>3894738.300245</v>
      </c>
      <c r="S12" s="1">
        <v>11</v>
      </c>
      <c r="T12" s="56">
        <v>111861.96876143673</v>
      </c>
      <c r="V12" s="15">
        <v>11</v>
      </c>
    </row>
    <row r="13" spans="1:22">
      <c r="A13" s="1">
        <v>2010</v>
      </c>
      <c r="B13" s="1" t="s">
        <v>13</v>
      </c>
      <c r="C13" s="6">
        <v>744.29999999999984</v>
      </c>
      <c r="D13" s="6">
        <v>0</v>
      </c>
      <c r="E13" s="8">
        <v>31</v>
      </c>
      <c r="F13" s="9">
        <v>368</v>
      </c>
      <c r="G13" s="1">
        <v>0</v>
      </c>
      <c r="H13" s="147">
        <v>117.6</v>
      </c>
      <c r="I13" s="27">
        <v>653.29999999999995</v>
      </c>
      <c r="J13" s="5">
        <v>3095</v>
      </c>
      <c r="K13" s="5">
        <v>473</v>
      </c>
      <c r="L13" s="5">
        <v>38</v>
      </c>
      <c r="M13" s="5">
        <v>5</v>
      </c>
      <c r="N13" s="5">
        <v>3</v>
      </c>
      <c r="O13" s="5">
        <v>28</v>
      </c>
      <c r="P13" s="5">
        <v>900</v>
      </c>
      <c r="Q13" s="5">
        <v>4542</v>
      </c>
      <c r="R13" s="56">
        <v>3453655.6664740001</v>
      </c>
      <c r="S13" s="1">
        <v>12</v>
      </c>
      <c r="T13" s="56">
        <v>110677.29875881807</v>
      </c>
      <c r="U13" s="461">
        <f>SUM(T2:T13)</f>
        <v>1406315.8052786484</v>
      </c>
      <c r="V13" s="15">
        <v>12</v>
      </c>
    </row>
    <row r="14" spans="1:22">
      <c r="A14" s="1">
        <v>2011</v>
      </c>
      <c r="B14" s="1" t="s">
        <v>2</v>
      </c>
      <c r="C14" s="6">
        <v>866.5</v>
      </c>
      <c r="D14" s="6">
        <v>0</v>
      </c>
      <c r="E14" s="8">
        <v>31</v>
      </c>
      <c r="F14" s="9">
        <v>336</v>
      </c>
      <c r="G14" s="1">
        <v>0</v>
      </c>
      <c r="H14" s="147">
        <v>117.5</v>
      </c>
      <c r="I14" s="27">
        <v>649.29999999999995</v>
      </c>
      <c r="J14" s="5">
        <v>3103</v>
      </c>
      <c r="K14" s="5">
        <v>477</v>
      </c>
      <c r="L14" s="5">
        <v>38</v>
      </c>
      <c r="M14" s="5">
        <v>5</v>
      </c>
      <c r="N14" s="5">
        <v>3</v>
      </c>
      <c r="O14" s="5">
        <v>28</v>
      </c>
      <c r="P14" s="5">
        <v>900</v>
      </c>
      <c r="Q14" s="5">
        <v>4554</v>
      </c>
      <c r="R14" s="56">
        <v>3844682.6114840005</v>
      </c>
      <c r="S14" s="1">
        <v>13</v>
      </c>
      <c r="T14" s="56">
        <v>112928.17222494788</v>
      </c>
      <c r="V14" s="15">
        <v>13</v>
      </c>
    </row>
    <row r="15" spans="1:22">
      <c r="A15" s="1">
        <v>2011</v>
      </c>
      <c r="B15" s="1" t="s">
        <v>3</v>
      </c>
      <c r="C15" s="6">
        <v>720.4000000000002</v>
      </c>
      <c r="D15" s="6">
        <v>0</v>
      </c>
      <c r="E15" s="8">
        <v>29</v>
      </c>
      <c r="F15" s="9">
        <v>304</v>
      </c>
      <c r="G15" s="1">
        <v>0</v>
      </c>
      <c r="H15" s="147">
        <v>117.9</v>
      </c>
      <c r="I15" s="27">
        <v>651.20000000000005</v>
      </c>
      <c r="J15" s="5">
        <v>3097</v>
      </c>
      <c r="K15" s="5">
        <v>473</v>
      </c>
      <c r="L15" s="5">
        <v>38</v>
      </c>
      <c r="M15" s="5">
        <v>5</v>
      </c>
      <c r="N15" s="5">
        <v>3</v>
      </c>
      <c r="O15" s="5">
        <v>28</v>
      </c>
      <c r="P15" s="5">
        <v>900</v>
      </c>
      <c r="Q15" s="5">
        <v>4544</v>
      </c>
      <c r="R15" s="56">
        <v>3768297.0046930001</v>
      </c>
      <c r="S15" s="1">
        <v>14</v>
      </c>
      <c r="T15" s="56">
        <v>115179.04569107768</v>
      </c>
      <c r="V15" s="15">
        <v>14</v>
      </c>
    </row>
    <row r="16" spans="1:22">
      <c r="A16" s="1">
        <v>2011</v>
      </c>
      <c r="B16" s="1" t="s">
        <v>4</v>
      </c>
      <c r="C16" s="6">
        <v>660.1</v>
      </c>
      <c r="D16" s="6">
        <v>0</v>
      </c>
      <c r="E16" s="8">
        <v>31</v>
      </c>
      <c r="F16" s="9">
        <v>368</v>
      </c>
      <c r="G16" s="1">
        <v>1</v>
      </c>
      <c r="H16" s="147">
        <v>119.4</v>
      </c>
      <c r="I16" s="27">
        <v>657.1</v>
      </c>
      <c r="J16" s="5">
        <v>3098</v>
      </c>
      <c r="K16" s="5">
        <v>475</v>
      </c>
      <c r="L16" s="5">
        <v>38</v>
      </c>
      <c r="M16" s="5">
        <v>5</v>
      </c>
      <c r="N16" s="5">
        <v>1</v>
      </c>
      <c r="O16" s="5">
        <v>28</v>
      </c>
      <c r="P16" s="5">
        <v>900</v>
      </c>
      <c r="Q16" s="5">
        <v>4545</v>
      </c>
      <c r="R16" s="56">
        <v>4320214.4097060002</v>
      </c>
      <c r="S16" s="1">
        <v>15</v>
      </c>
      <c r="T16" s="56">
        <v>117429.91915720749</v>
      </c>
      <c r="V16" s="15">
        <v>15</v>
      </c>
    </row>
    <row r="17" spans="1:22">
      <c r="A17" s="1">
        <v>2011</v>
      </c>
      <c r="B17" s="1" t="s">
        <v>5</v>
      </c>
      <c r="C17" s="6">
        <v>379.3</v>
      </c>
      <c r="D17" s="6">
        <v>0</v>
      </c>
      <c r="E17" s="8">
        <v>30</v>
      </c>
      <c r="F17" s="9">
        <v>320</v>
      </c>
      <c r="G17" s="1">
        <v>1</v>
      </c>
      <c r="H17" s="147">
        <v>119.8</v>
      </c>
      <c r="I17" s="27">
        <v>666.4</v>
      </c>
      <c r="J17" s="5">
        <v>3099</v>
      </c>
      <c r="K17" s="5">
        <v>479</v>
      </c>
      <c r="L17" s="5">
        <v>38</v>
      </c>
      <c r="M17" s="5">
        <v>5</v>
      </c>
      <c r="N17" s="5">
        <v>1</v>
      </c>
      <c r="O17" s="5">
        <v>28</v>
      </c>
      <c r="P17" s="5">
        <v>900</v>
      </c>
      <c r="Q17" s="5">
        <v>4550</v>
      </c>
      <c r="R17" s="56">
        <v>3411269.8554350003</v>
      </c>
      <c r="S17" s="1">
        <v>16</v>
      </c>
      <c r="T17" s="56">
        <v>119680.7926233373</v>
      </c>
      <c r="V17" s="15">
        <v>16</v>
      </c>
    </row>
    <row r="18" spans="1:22">
      <c r="A18" s="1">
        <v>2011</v>
      </c>
      <c r="B18" s="1" t="s">
        <v>6</v>
      </c>
      <c r="C18" s="6">
        <v>168.09999999999997</v>
      </c>
      <c r="D18" s="6">
        <v>12.8</v>
      </c>
      <c r="E18" s="8">
        <v>31</v>
      </c>
      <c r="F18" s="9">
        <v>336</v>
      </c>
      <c r="G18" s="1">
        <v>1</v>
      </c>
      <c r="H18" s="147">
        <v>120.8</v>
      </c>
      <c r="I18" s="27">
        <v>671.5</v>
      </c>
      <c r="J18" s="5">
        <v>3090</v>
      </c>
      <c r="K18" s="5">
        <v>478</v>
      </c>
      <c r="L18" s="5">
        <v>39</v>
      </c>
      <c r="M18" s="5">
        <v>5</v>
      </c>
      <c r="N18" s="5">
        <v>1</v>
      </c>
      <c r="O18" s="5">
        <v>28</v>
      </c>
      <c r="P18" s="5">
        <v>900</v>
      </c>
      <c r="Q18" s="5">
        <v>4541</v>
      </c>
      <c r="R18" s="56">
        <v>3753615.9545820006</v>
      </c>
      <c r="S18" s="1">
        <v>17</v>
      </c>
      <c r="T18" s="56">
        <v>121931.66608946711</v>
      </c>
      <c r="V18" s="15">
        <v>17</v>
      </c>
    </row>
    <row r="19" spans="1:22">
      <c r="A19" s="1">
        <v>2011</v>
      </c>
      <c r="B19" s="1" t="s">
        <v>7</v>
      </c>
      <c r="C19" s="6">
        <v>64.099999999999994</v>
      </c>
      <c r="D19" s="6">
        <v>16.400000000000002</v>
      </c>
      <c r="E19" s="8">
        <v>30</v>
      </c>
      <c r="F19" s="9">
        <v>352</v>
      </c>
      <c r="G19" s="1">
        <v>0</v>
      </c>
      <c r="H19" s="147">
        <v>120.2</v>
      </c>
      <c r="I19" s="27">
        <v>681.8</v>
      </c>
      <c r="J19" s="5">
        <v>3098</v>
      </c>
      <c r="K19" s="5">
        <v>482</v>
      </c>
      <c r="L19" s="5">
        <v>39</v>
      </c>
      <c r="M19" s="5">
        <v>5</v>
      </c>
      <c r="N19" s="5">
        <v>1</v>
      </c>
      <c r="O19" s="5">
        <v>28</v>
      </c>
      <c r="P19" s="5">
        <v>900</v>
      </c>
      <c r="Q19" s="5">
        <v>4553</v>
      </c>
      <c r="R19" s="56">
        <v>3885859.6709010005</v>
      </c>
      <c r="S19" s="1">
        <v>18</v>
      </c>
      <c r="T19" s="56">
        <v>124182.53955559692</v>
      </c>
      <c r="V19" s="15">
        <v>18</v>
      </c>
    </row>
    <row r="20" spans="1:22">
      <c r="A20" s="1">
        <v>2011</v>
      </c>
      <c r="B20" s="1" t="s">
        <v>8</v>
      </c>
      <c r="C20" s="6">
        <v>3.7</v>
      </c>
      <c r="D20" s="6">
        <v>104.29999999999998</v>
      </c>
      <c r="E20" s="8">
        <v>31</v>
      </c>
      <c r="F20" s="9">
        <v>320</v>
      </c>
      <c r="G20" s="1">
        <v>0</v>
      </c>
      <c r="H20" s="147">
        <v>120.4</v>
      </c>
      <c r="I20" s="27">
        <v>691.5</v>
      </c>
      <c r="J20" s="5">
        <v>3108</v>
      </c>
      <c r="K20" s="5">
        <v>480</v>
      </c>
      <c r="L20" s="5">
        <v>39</v>
      </c>
      <c r="M20" s="5">
        <v>5</v>
      </c>
      <c r="N20" s="5">
        <v>1</v>
      </c>
      <c r="O20" s="5">
        <v>28</v>
      </c>
      <c r="P20" s="5">
        <v>900</v>
      </c>
      <c r="Q20" s="5">
        <v>4561</v>
      </c>
      <c r="R20" s="56">
        <v>3654592.0448179999</v>
      </c>
      <c r="S20" s="1">
        <v>19</v>
      </c>
      <c r="T20" s="56">
        <v>126433.41302172672</v>
      </c>
      <c r="V20" s="15">
        <v>19</v>
      </c>
    </row>
    <row r="21" spans="1:22">
      <c r="A21" s="1">
        <v>2011</v>
      </c>
      <c r="B21" s="1" t="s">
        <v>9</v>
      </c>
      <c r="C21" s="6">
        <v>13.6</v>
      </c>
      <c r="D21" s="6">
        <v>53.300000000000004</v>
      </c>
      <c r="E21" s="8">
        <v>31</v>
      </c>
      <c r="F21" s="9">
        <v>368</v>
      </c>
      <c r="G21" s="1">
        <v>0</v>
      </c>
      <c r="H21" s="147">
        <v>120.5</v>
      </c>
      <c r="I21" s="27">
        <v>694.9</v>
      </c>
      <c r="J21" s="5">
        <v>3110</v>
      </c>
      <c r="K21" s="5">
        <v>480</v>
      </c>
      <c r="L21" s="5">
        <v>39</v>
      </c>
      <c r="M21" s="5">
        <v>5</v>
      </c>
      <c r="N21" s="5">
        <v>1</v>
      </c>
      <c r="O21" s="5">
        <v>28</v>
      </c>
      <c r="P21" s="5">
        <v>898</v>
      </c>
      <c r="Q21" s="5">
        <v>4561</v>
      </c>
      <c r="R21" s="56">
        <v>4498564.7389930002</v>
      </c>
      <c r="S21" s="1">
        <v>20</v>
      </c>
      <c r="T21" s="56">
        <v>128684.28648785653</v>
      </c>
      <c r="V21" s="15">
        <v>20</v>
      </c>
    </row>
    <row r="22" spans="1:22">
      <c r="A22" s="1">
        <v>2011</v>
      </c>
      <c r="B22" s="1" t="s">
        <v>10</v>
      </c>
      <c r="C22" s="6">
        <v>106.33333333333331</v>
      </c>
      <c r="D22" s="6">
        <v>20.7</v>
      </c>
      <c r="E22" s="8">
        <v>30</v>
      </c>
      <c r="F22" s="9">
        <v>336</v>
      </c>
      <c r="G22" s="1">
        <v>1</v>
      </c>
      <c r="H22" s="147">
        <v>121.2</v>
      </c>
      <c r="I22" s="27">
        <v>688.6</v>
      </c>
      <c r="J22" s="5">
        <v>3101</v>
      </c>
      <c r="K22" s="5">
        <v>480</v>
      </c>
      <c r="L22" s="5">
        <v>39</v>
      </c>
      <c r="M22" s="5">
        <v>5</v>
      </c>
      <c r="N22" s="5">
        <v>1</v>
      </c>
      <c r="O22" s="5">
        <v>28</v>
      </c>
      <c r="P22" s="5">
        <v>898</v>
      </c>
      <c r="Q22" s="5">
        <v>4552</v>
      </c>
      <c r="R22" s="56">
        <v>4242244.9229550008</v>
      </c>
      <c r="S22" s="1">
        <v>21</v>
      </c>
      <c r="T22" s="56">
        <v>130935.15995398634</v>
      </c>
      <c r="V22" s="15">
        <v>21</v>
      </c>
    </row>
    <row r="23" spans="1:22">
      <c r="A23" s="1">
        <v>2011</v>
      </c>
      <c r="B23" s="1" t="s">
        <v>11</v>
      </c>
      <c r="C23" s="6">
        <v>276.60000000000008</v>
      </c>
      <c r="D23" s="6">
        <v>0.3</v>
      </c>
      <c r="E23" s="8">
        <v>31</v>
      </c>
      <c r="F23" s="9">
        <v>320</v>
      </c>
      <c r="G23" s="1">
        <v>1</v>
      </c>
      <c r="H23" s="147">
        <v>121.1</v>
      </c>
      <c r="I23" s="27">
        <v>682.2</v>
      </c>
      <c r="J23" s="5">
        <v>3106</v>
      </c>
      <c r="K23" s="5">
        <v>481</v>
      </c>
      <c r="L23" s="5">
        <v>39</v>
      </c>
      <c r="M23" s="5">
        <v>5</v>
      </c>
      <c r="N23" s="5">
        <v>1</v>
      </c>
      <c r="O23" s="5">
        <v>28</v>
      </c>
      <c r="P23" s="5">
        <v>898</v>
      </c>
      <c r="Q23" s="5">
        <v>4558</v>
      </c>
      <c r="R23" s="56">
        <v>4411473.7128020003</v>
      </c>
      <c r="S23" s="1">
        <v>22</v>
      </c>
      <c r="T23" s="56">
        <v>133186.03342011615</v>
      </c>
      <c r="V23" s="15">
        <v>22</v>
      </c>
    </row>
    <row r="24" spans="1:22">
      <c r="A24" s="1">
        <v>2011</v>
      </c>
      <c r="B24" s="1" t="s">
        <v>12</v>
      </c>
      <c r="C24" s="6">
        <v>399.39999999999992</v>
      </c>
      <c r="D24" s="6">
        <v>0</v>
      </c>
      <c r="E24" s="8">
        <v>30</v>
      </c>
      <c r="F24" s="9">
        <v>352</v>
      </c>
      <c r="G24" s="1">
        <v>1</v>
      </c>
      <c r="H24" s="147">
        <v>120.9</v>
      </c>
      <c r="I24" s="27">
        <v>677</v>
      </c>
      <c r="J24" s="5">
        <v>3112</v>
      </c>
      <c r="K24" s="5">
        <v>474</v>
      </c>
      <c r="L24" s="5">
        <v>37</v>
      </c>
      <c r="M24" s="5">
        <v>5</v>
      </c>
      <c r="N24" s="5">
        <v>2</v>
      </c>
      <c r="O24" s="5">
        <v>28</v>
      </c>
      <c r="P24" s="5">
        <v>898</v>
      </c>
      <c r="Q24" s="5">
        <v>4556</v>
      </c>
      <c r="R24" s="56">
        <v>4082024.3273420003</v>
      </c>
      <c r="S24" s="1">
        <v>23</v>
      </c>
      <c r="T24" s="56">
        <v>135436.90688624597</v>
      </c>
      <c r="V24" s="15">
        <v>23</v>
      </c>
    </row>
    <row r="25" spans="1:22">
      <c r="A25" s="1">
        <v>2011</v>
      </c>
      <c r="B25" s="1" t="s">
        <v>13</v>
      </c>
      <c r="C25" s="6">
        <v>609.79999999999984</v>
      </c>
      <c r="D25" s="6">
        <v>0</v>
      </c>
      <c r="E25" s="8">
        <v>31</v>
      </c>
      <c r="F25" s="9">
        <v>336</v>
      </c>
      <c r="G25" s="1">
        <v>0</v>
      </c>
      <c r="H25" s="147">
        <v>120.2</v>
      </c>
      <c r="I25" s="27">
        <v>676.6</v>
      </c>
      <c r="J25" s="5">
        <v>3117</v>
      </c>
      <c r="K25" s="5">
        <v>474</v>
      </c>
      <c r="L25" s="5">
        <v>37</v>
      </c>
      <c r="M25" s="5">
        <v>5</v>
      </c>
      <c r="N25" s="5">
        <v>3</v>
      </c>
      <c r="O25" s="5">
        <v>28</v>
      </c>
      <c r="P25" s="5">
        <v>898</v>
      </c>
      <c r="Q25" s="5">
        <v>4562</v>
      </c>
      <c r="R25" s="56">
        <v>3790571.2206960004</v>
      </c>
      <c r="S25" s="1">
        <v>24</v>
      </c>
      <c r="T25" s="56">
        <v>137687.78035237579</v>
      </c>
      <c r="U25" s="461">
        <f>SUM(T14:T25)</f>
        <v>1503695.7154639419</v>
      </c>
      <c r="V25" s="15">
        <v>24</v>
      </c>
    </row>
    <row r="26" spans="1:22">
      <c r="A26" s="1">
        <v>2012</v>
      </c>
      <c r="B26" s="1" t="s">
        <v>2</v>
      </c>
      <c r="C26" s="6">
        <v>694.59999999999991</v>
      </c>
      <c r="D26" s="6">
        <v>0</v>
      </c>
      <c r="E26" s="8">
        <v>31</v>
      </c>
      <c r="F26" s="9">
        <v>336</v>
      </c>
      <c r="G26" s="1">
        <v>0</v>
      </c>
      <c r="H26" s="147">
        <v>120.7</v>
      </c>
      <c r="I26" s="27">
        <v>670.9</v>
      </c>
      <c r="J26" s="5">
        <v>3120</v>
      </c>
      <c r="K26" s="5">
        <v>473</v>
      </c>
      <c r="L26" s="5">
        <v>37</v>
      </c>
      <c r="M26" s="5">
        <v>5</v>
      </c>
      <c r="N26" s="5">
        <v>3</v>
      </c>
      <c r="O26" s="5">
        <v>28</v>
      </c>
      <c r="P26" s="5">
        <v>898</v>
      </c>
      <c r="Q26" s="5">
        <v>4564</v>
      </c>
      <c r="R26" s="56">
        <v>4250569.7720590001</v>
      </c>
      <c r="S26" s="1">
        <v>25</v>
      </c>
      <c r="T26" s="56">
        <v>140796.22970794624</v>
      </c>
      <c r="V26" s="15">
        <v>25</v>
      </c>
    </row>
    <row r="27" spans="1:22">
      <c r="A27" s="1">
        <v>2012</v>
      </c>
      <c r="B27" s="1" t="s">
        <v>3</v>
      </c>
      <c r="C27" s="6">
        <v>611.39999999999986</v>
      </c>
      <c r="D27" s="6">
        <v>0</v>
      </c>
      <c r="E27" s="8">
        <v>28</v>
      </c>
      <c r="F27" s="9">
        <v>304</v>
      </c>
      <c r="G27" s="1">
        <v>0</v>
      </c>
      <c r="H27" s="147">
        <v>121.5</v>
      </c>
      <c r="I27" s="27">
        <v>668.7</v>
      </c>
      <c r="J27" s="5">
        <v>3119</v>
      </c>
      <c r="K27" s="5">
        <v>472</v>
      </c>
      <c r="L27" s="5">
        <v>37</v>
      </c>
      <c r="M27" s="5">
        <v>5</v>
      </c>
      <c r="N27" s="5">
        <v>1</v>
      </c>
      <c r="O27" s="5">
        <v>28</v>
      </c>
      <c r="P27" s="5">
        <v>898</v>
      </c>
      <c r="Q27" s="5">
        <v>4560</v>
      </c>
      <c r="R27" s="56">
        <v>4141903.1103710001</v>
      </c>
      <c r="S27" s="1">
        <v>26</v>
      </c>
      <c r="T27" s="56">
        <v>143904.6790635167</v>
      </c>
      <c r="V27" s="15">
        <v>26</v>
      </c>
    </row>
    <row r="28" spans="1:22">
      <c r="A28" s="1">
        <v>2012</v>
      </c>
      <c r="B28" s="1" t="s">
        <v>4</v>
      </c>
      <c r="C28" s="6">
        <v>388.69999999999987</v>
      </c>
      <c r="D28" s="6">
        <v>3.4000000000000004</v>
      </c>
      <c r="E28" s="8">
        <v>31</v>
      </c>
      <c r="F28" s="9">
        <v>352</v>
      </c>
      <c r="G28" s="1">
        <v>1</v>
      </c>
      <c r="H28" s="147">
        <v>122</v>
      </c>
      <c r="I28" s="27">
        <v>666</v>
      </c>
      <c r="J28" s="5">
        <v>3118</v>
      </c>
      <c r="K28" s="5">
        <v>472</v>
      </c>
      <c r="L28" s="5">
        <v>37</v>
      </c>
      <c r="M28" s="5">
        <v>5</v>
      </c>
      <c r="N28" s="5">
        <v>1</v>
      </c>
      <c r="O28" s="5">
        <v>28</v>
      </c>
      <c r="P28" s="5">
        <v>898</v>
      </c>
      <c r="Q28" s="5">
        <v>4559</v>
      </c>
      <c r="R28" s="56">
        <v>4592873.6529520005</v>
      </c>
      <c r="S28" s="1">
        <v>27</v>
      </c>
      <c r="T28" s="56">
        <v>147013.12841908715</v>
      </c>
      <c r="V28" s="15">
        <v>27</v>
      </c>
    </row>
    <row r="29" spans="1:22">
      <c r="A29" s="1">
        <v>2012</v>
      </c>
      <c r="B29" s="1" t="s">
        <v>5</v>
      </c>
      <c r="C29" s="6">
        <v>399</v>
      </c>
      <c r="D29" s="6">
        <v>0</v>
      </c>
      <c r="E29" s="8">
        <v>30</v>
      </c>
      <c r="F29" s="9">
        <v>304</v>
      </c>
      <c r="G29" s="1">
        <v>1</v>
      </c>
      <c r="H29" s="147">
        <v>122.4</v>
      </c>
      <c r="I29" s="27">
        <v>667.4</v>
      </c>
      <c r="J29" s="5">
        <v>3123</v>
      </c>
      <c r="K29" s="5">
        <v>475</v>
      </c>
      <c r="L29" s="5">
        <v>37</v>
      </c>
      <c r="M29" s="5">
        <v>5</v>
      </c>
      <c r="N29" s="5">
        <v>1</v>
      </c>
      <c r="O29" s="5">
        <v>28</v>
      </c>
      <c r="P29" s="5">
        <v>898</v>
      </c>
      <c r="Q29" s="5">
        <v>4567</v>
      </c>
      <c r="R29" s="56">
        <v>4218127.1515630009</v>
      </c>
      <c r="S29" s="1">
        <v>28</v>
      </c>
      <c r="T29" s="56">
        <v>150121.57777465761</v>
      </c>
      <c r="V29" s="15">
        <v>28</v>
      </c>
    </row>
    <row r="30" spans="1:22">
      <c r="A30" s="1">
        <v>2012</v>
      </c>
      <c r="B30" s="1" t="s">
        <v>6</v>
      </c>
      <c r="C30" s="6">
        <v>123.8</v>
      </c>
      <c r="D30" s="6">
        <v>17.400000000000002</v>
      </c>
      <c r="E30" s="8">
        <v>31</v>
      </c>
      <c r="F30" s="9">
        <v>352</v>
      </c>
      <c r="G30" s="1">
        <v>1</v>
      </c>
      <c r="H30" s="147">
        <v>122.4</v>
      </c>
      <c r="I30" s="27">
        <v>672.1</v>
      </c>
      <c r="J30" s="5">
        <v>3123</v>
      </c>
      <c r="K30" s="5">
        <v>480</v>
      </c>
      <c r="L30" s="5">
        <v>38</v>
      </c>
      <c r="M30" s="5">
        <v>5</v>
      </c>
      <c r="N30" s="5">
        <v>1</v>
      </c>
      <c r="O30" s="5">
        <v>28</v>
      </c>
      <c r="P30" s="5">
        <v>898</v>
      </c>
      <c r="Q30" s="5">
        <v>4573</v>
      </c>
      <c r="R30" s="56">
        <v>4557567.8623670004</v>
      </c>
      <c r="S30" s="1">
        <v>29</v>
      </c>
      <c r="T30" s="56">
        <v>153230.02713022806</v>
      </c>
      <c r="V30" s="15">
        <v>29</v>
      </c>
    </row>
    <row r="31" spans="1:22">
      <c r="A31" s="1">
        <v>2012</v>
      </c>
      <c r="B31" s="1" t="s">
        <v>7</v>
      </c>
      <c r="C31" s="6">
        <v>56.4</v>
      </c>
      <c r="D31" s="6">
        <v>57.100000000000009</v>
      </c>
      <c r="E31" s="8">
        <v>30</v>
      </c>
      <c r="F31" s="9">
        <v>336</v>
      </c>
      <c r="G31" s="1">
        <v>0</v>
      </c>
      <c r="H31" s="147">
        <v>121.7</v>
      </c>
      <c r="I31" s="27">
        <v>678.4</v>
      </c>
      <c r="J31" s="5">
        <v>3121</v>
      </c>
      <c r="K31" s="5">
        <v>482</v>
      </c>
      <c r="L31" s="5">
        <v>38</v>
      </c>
      <c r="M31" s="5">
        <v>5</v>
      </c>
      <c r="N31" s="5">
        <v>1</v>
      </c>
      <c r="O31" s="5">
        <v>28</v>
      </c>
      <c r="P31" s="5">
        <v>898</v>
      </c>
      <c r="Q31" s="5">
        <v>4573</v>
      </c>
      <c r="R31" s="56">
        <v>4499265.5448909998</v>
      </c>
      <c r="S31" s="1">
        <v>30</v>
      </c>
      <c r="T31" s="56">
        <v>156338.47648579851</v>
      </c>
      <c r="V31" s="15">
        <v>30</v>
      </c>
    </row>
    <row r="32" spans="1:22">
      <c r="A32" s="1">
        <v>2012</v>
      </c>
      <c r="B32" s="1" t="s">
        <v>8</v>
      </c>
      <c r="C32" s="6">
        <v>0.4</v>
      </c>
      <c r="D32" s="6">
        <v>94.000000000000028</v>
      </c>
      <c r="E32" s="8">
        <v>31</v>
      </c>
      <c r="F32" s="9">
        <v>336</v>
      </c>
      <c r="G32" s="1">
        <v>0</v>
      </c>
      <c r="H32" s="147">
        <v>121.6</v>
      </c>
      <c r="I32" s="27">
        <v>682</v>
      </c>
      <c r="J32" s="5">
        <v>3124</v>
      </c>
      <c r="K32" s="5">
        <v>480</v>
      </c>
      <c r="L32" s="5">
        <v>38</v>
      </c>
      <c r="M32" s="5">
        <v>5</v>
      </c>
      <c r="N32" s="5">
        <v>1</v>
      </c>
      <c r="O32" s="5">
        <v>28</v>
      </c>
      <c r="P32" s="5">
        <v>898</v>
      </c>
      <c r="Q32" s="5">
        <v>4574</v>
      </c>
      <c r="R32" s="56">
        <v>4141164.2481300007</v>
      </c>
      <c r="S32" s="1">
        <v>31</v>
      </c>
      <c r="T32" s="56">
        <v>159446.92584136897</v>
      </c>
      <c r="V32" s="15">
        <v>31</v>
      </c>
    </row>
    <row r="33" spans="1:22">
      <c r="A33" s="1">
        <v>2012</v>
      </c>
      <c r="B33" s="1" t="s">
        <v>9</v>
      </c>
      <c r="C33" s="6">
        <v>22.5</v>
      </c>
      <c r="D33" s="6">
        <v>50.7</v>
      </c>
      <c r="E33" s="8">
        <v>31</v>
      </c>
      <c r="F33" s="9">
        <v>352</v>
      </c>
      <c r="G33" s="1">
        <v>0</v>
      </c>
      <c r="H33" s="147">
        <v>121.8</v>
      </c>
      <c r="I33" s="27">
        <v>678.5</v>
      </c>
      <c r="J33" s="5">
        <v>3134</v>
      </c>
      <c r="K33" s="5">
        <v>480</v>
      </c>
      <c r="L33" s="5">
        <v>38</v>
      </c>
      <c r="M33" s="5">
        <v>5</v>
      </c>
      <c r="N33" s="5">
        <v>1</v>
      </c>
      <c r="O33" s="5">
        <v>28</v>
      </c>
      <c r="P33" s="5">
        <v>898</v>
      </c>
      <c r="Q33" s="5">
        <v>4584</v>
      </c>
      <c r="R33" s="56">
        <v>4856393.7889999999</v>
      </c>
      <c r="S33" s="1">
        <v>32</v>
      </c>
      <c r="T33" s="56">
        <v>162555.37519693942</v>
      </c>
      <c r="V33" s="15">
        <v>32</v>
      </c>
    </row>
    <row r="34" spans="1:22">
      <c r="A34" s="1">
        <v>2012</v>
      </c>
      <c r="B34" s="1" t="s">
        <v>10</v>
      </c>
      <c r="C34" s="6">
        <v>134.69999999999999</v>
      </c>
      <c r="D34" s="6">
        <v>15.300000000000002</v>
      </c>
      <c r="E34" s="8">
        <v>30</v>
      </c>
      <c r="F34" s="9">
        <v>304</v>
      </c>
      <c r="G34" s="1">
        <v>1</v>
      </c>
      <c r="H34" s="147">
        <v>122.1</v>
      </c>
      <c r="I34" s="27">
        <v>671.9</v>
      </c>
      <c r="J34" s="5">
        <v>3126</v>
      </c>
      <c r="K34" s="5">
        <v>480</v>
      </c>
      <c r="L34" s="5">
        <v>38</v>
      </c>
      <c r="M34" s="5">
        <v>5</v>
      </c>
      <c r="N34" s="5">
        <v>1</v>
      </c>
      <c r="O34" s="5">
        <v>28</v>
      </c>
      <c r="P34" s="5">
        <v>898</v>
      </c>
      <c r="Q34" s="5">
        <v>4576</v>
      </c>
      <c r="R34" s="56">
        <v>4216762.1303469995</v>
      </c>
      <c r="S34" s="1">
        <v>33</v>
      </c>
      <c r="T34" s="56">
        <v>165663.82455250988</v>
      </c>
      <c r="V34" s="15">
        <v>33</v>
      </c>
    </row>
    <row r="35" spans="1:22">
      <c r="A35" s="1">
        <v>2012</v>
      </c>
      <c r="B35" s="1" t="s">
        <v>11</v>
      </c>
      <c r="C35" s="6">
        <v>292.2</v>
      </c>
      <c r="D35" s="6">
        <v>0</v>
      </c>
      <c r="E35" s="8">
        <v>31</v>
      </c>
      <c r="F35" s="9">
        <v>352</v>
      </c>
      <c r="G35" s="1">
        <v>1</v>
      </c>
      <c r="H35" s="147">
        <v>122.3</v>
      </c>
      <c r="I35" s="27">
        <v>672.8</v>
      </c>
      <c r="J35" s="5">
        <v>3128</v>
      </c>
      <c r="K35" s="5">
        <v>480</v>
      </c>
      <c r="L35" s="5">
        <v>38</v>
      </c>
      <c r="M35" s="5">
        <v>5</v>
      </c>
      <c r="N35" s="5">
        <v>1</v>
      </c>
      <c r="O35" s="5">
        <v>28</v>
      </c>
      <c r="P35" s="5">
        <v>898</v>
      </c>
      <c r="Q35" s="5">
        <v>4578</v>
      </c>
      <c r="R35" s="56">
        <v>4599891.7149360003</v>
      </c>
      <c r="S35" s="1">
        <v>34</v>
      </c>
      <c r="T35" s="56">
        <v>168772.27390808033</v>
      </c>
      <c r="V35" s="15">
        <v>34</v>
      </c>
    </row>
    <row r="36" spans="1:22">
      <c r="A36" s="1">
        <v>2012</v>
      </c>
      <c r="B36" s="1" t="s">
        <v>12</v>
      </c>
      <c r="C36" s="6">
        <v>505.72222222222223</v>
      </c>
      <c r="D36" s="6">
        <v>0</v>
      </c>
      <c r="E36" s="8">
        <v>30</v>
      </c>
      <c r="F36" s="9">
        <v>336</v>
      </c>
      <c r="G36" s="1">
        <v>1</v>
      </c>
      <c r="H36" s="147">
        <v>122</v>
      </c>
      <c r="I36" s="27">
        <v>676.8</v>
      </c>
      <c r="J36" s="5">
        <v>3139</v>
      </c>
      <c r="K36" s="5">
        <v>480</v>
      </c>
      <c r="L36" s="5">
        <v>38</v>
      </c>
      <c r="M36" s="5">
        <v>5</v>
      </c>
      <c r="N36" s="5">
        <v>1</v>
      </c>
      <c r="O36" s="5">
        <v>28</v>
      </c>
      <c r="P36" s="5">
        <v>898</v>
      </c>
      <c r="Q36" s="5">
        <v>4589</v>
      </c>
      <c r="R36" s="56">
        <v>4092980.1542040003</v>
      </c>
      <c r="S36" s="1">
        <v>35</v>
      </c>
      <c r="T36" s="56">
        <v>171880.72326365078</v>
      </c>
      <c r="V36" s="15">
        <v>35</v>
      </c>
    </row>
    <row r="37" spans="1:22">
      <c r="A37" s="1">
        <v>2012</v>
      </c>
      <c r="B37" s="1" t="s">
        <v>13</v>
      </c>
      <c r="C37" s="6">
        <v>590.9</v>
      </c>
      <c r="D37" s="6">
        <v>0</v>
      </c>
      <c r="E37" s="8">
        <v>31</v>
      </c>
      <c r="F37" s="9">
        <v>304</v>
      </c>
      <c r="G37" s="1">
        <v>0</v>
      </c>
      <c r="H37" s="147">
        <v>121.4</v>
      </c>
      <c r="I37" s="27">
        <v>682.7</v>
      </c>
      <c r="J37" s="5">
        <v>3141</v>
      </c>
      <c r="K37" s="5">
        <v>479</v>
      </c>
      <c r="L37" s="5">
        <v>38</v>
      </c>
      <c r="M37" s="5">
        <v>5</v>
      </c>
      <c r="N37" s="5">
        <v>3</v>
      </c>
      <c r="O37" s="5">
        <v>28</v>
      </c>
      <c r="P37" s="5">
        <v>898</v>
      </c>
      <c r="Q37" s="5">
        <v>4592</v>
      </c>
      <c r="R37" s="56">
        <v>3797850.4767240002</v>
      </c>
      <c r="S37" s="1">
        <v>36</v>
      </c>
      <c r="T37" s="56">
        <v>174989.17261922124</v>
      </c>
      <c r="U37" s="461">
        <f>SUM(T26:T37)</f>
        <v>1894712.4139630049</v>
      </c>
      <c r="V37" s="15">
        <v>36</v>
      </c>
    </row>
    <row r="38" spans="1:22">
      <c r="A38" s="1">
        <v>2013</v>
      </c>
      <c r="B38" s="1" t="s">
        <v>2</v>
      </c>
      <c r="C38" s="6">
        <v>703.36666666666667</v>
      </c>
      <c r="D38" s="6">
        <v>0</v>
      </c>
      <c r="E38" s="8">
        <v>31</v>
      </c>
      <c r="F38" s="9">
        <v>352</v>
      </c>
      <c r="G38" s="1">
        <v>0</v>
      </c>
      <c r="H38" s="147">
        <v>121.5</v>
      </c>
      <c r="I38" s="27">
        <v>681.6</v>
      </c>
      <c r="J38" s="5">
        <v>3146</v>
      </c>
      <c r="K38" s="5">
        <v>479</v>
      </c>
      <c r="L38" s="5">
        <v>40</v>
      </c>
      <c r="M38" s="5">
        <v>5</v>
      </c>
      <c r="N38" s="5">
        <v>3</v>
      </c>
      <c r="O38" s="5">
        <v>28</v>
      </c>
      <c r="P38" s="5">
        <v>898</v>
      </c>
      <c r="Q38" s="5">
        <v>4599</v>
      </c>
      <c r="R38" s="56">
        <v>4525946.9213760002</v>
      </c>
      <c r="S38" s="1">
        <v>37</v>
      </c>
      <c r="T38" s="56">
        <v>176649.58569721461</v>
      </c>
      <c r="V38" s="15">
        <v>37</v>
      </c>
    </row>
    <row r="39" spans="1:22">
      <c r="A39" s="1">
        <v>2013</v>
      </c>
      <c r="B39" s="1" t="s">
        <v>3</v>
      </c>
      <c r="C39" s="6">
        <v>699.59999999999991</v>
      </c>
      <c r="D39" s="6">
        <v>0</v>
      </c>
      <c r="E39" s="8">
        <v>28</v>
      </c>
      <c r="F39" s="9">
        <v>304</v>
      </c>
      <c r="G39" s="1">
        <v>0</v>
      </c>
      <c r="H39" s="147">
        <v>122.9</v>
      </c>
      <c r="I39" s="27">
        <v>682.6</v>
      </c>
      <c r="J39" s="5">
        <v>3153</v>
      </c>
      <c r="K39" s="5">
        <v>479</v>
      </c>
      <c r="L39" s="5">
        <v>40</v>
      </c>
      <c r="M39" s="5">
        <v>5</v>
      </c>
      <c r="N39" s="5">
        <v>2</v>
      </c>
      <c r="O39" s="5">
        <v>28</v>
      </c>
      <c r="P39" s="5">
        <v>898</v>
      </c>
      <c r="Q39" s="5">
        <v>4605</v>
      </c>
      <c r="R39" s="56">
        <v>4293131.7804840002</v>
      </c>
      <c r="S39" s="1">
        <v>38</v>
      </c>
      <c r="T39" s="56">
        <v>178309.99877520799</v>
      </c>
      <c r="V39" s="15">
        <v>38</v>
      </c>
    </row>
    <row r="40" spans="1:22">
      <c r="A40" s="1">
        <v>2013</v>
      </c>
      <c r="B40" s="1" t="s">
        <v>4</v>
      </c>
      <c r="C40" s="6">
        <v>649</v>
      </c>
      <c r="D40" s="6">
        <v>0</v>
      </c>
      <c r="E40" s="8">
        <v>31</v>
      </c>
      <c r="F40" s="9">
        <v>320</v>
      </c>
      <c r="G40" s="1">
        <v>1</v>
      </c>
      <c r="H40" s="147">
        <v>123.3</v>
      </c>
      <c r="I40" s="27">
        <v>683.6</v>
      </c>
      <c r="J40" s="5">
        <v>3153</v>
      </c>
      <c r="K40" s="5">
        <v>475</v>
      </c>
      <c r="L40" s="5">
        <v>38</v>
      </c>
      <c r="M40" s="5">
        <v>6</v>
      </c>
      <c r="N40" s="5">
        <v>2</v>
      </c>
      <c r="O40" s="5">
        <v>28</v>
      </c>
      <c r="P40" s="5">
        <v>898</v>
      </c>
      <c r="Q40" s="5">
        <v>4600</v>
      </c>
      <c r="R40" s="56">
        <v>4392825.450348001</v>
      </c>
      <c r="S40" s="1">
        <v>39</v>
      </c>
      <c r="T40" s="56">
        <v>179970.41185320137</v>
      </c>
      <c r="V40" s="15">
        <v>39</v>
      </c>
    </row>
    <row r="41" spans="1:22">
      <c r="A41" s="1">
        <v>2013</v>
      </c>
      <c r="B41" s="1" t="s">
        <v>5</v>
      </c>
      <c r="C41" s="6">
        <v>414.2</v>
      </c>
      <c r="D41" s="6">
        <v>0</v>
      </c>
      <c r="E41" s="8">
        <v>30</v>
      </c>
      <c r="F41" s="9">
        <v>336</v>
      </c>
      <c r="G41" s="1">
        <v>1</v>
      </c>
      <c r="H41" s="147">
        <v>123.1</v>
      </c>
      <c r="I41" s="27">
        <v>685.4</v>
      </c>
      <c r="J41" s="5">
        <v>3155</v>
      </c>
      <c r="K41" s="5">
        <v>476</v>
      </c>
      <c r="L41" s="5">
        <v>38</v>
      </c>
      <c r="M41" s="5">
        <v>6</v>
      </c>
      <c r="N41" s="5">
        <v>2</v>
      </c>
      <c r="O41" s="5">
        <v>28</v>
      </c>
      <c r="P41" s="5">
        <v>898</v>
      </c>
      <c r="Q41" s="5">
        <v>4603</v>
      </c>
      <c r="R41" s="56">
        <v>4685486.2900200011</v>
      </c>
      <c r="S41" s="1">
        <v>40</v>
      </c>
      <c r="T41" s="56">
        <v>181630.82493119474</v>
      </c>
      <c r="V41" s="15">
        <v>40</v>
      </c>
    </row>
    <row r="42" spans="1:22">
      <c r="A42" s="1">
        <v>2013</v>
      </c>
      <c r="B42" s="1" t="s">
        <v>6</v>
      </c>
      <c r="C42" s="6">
        <v>160.66666666666669</v>
      </c>
      <c r="D42" s="6">
        <v>18.7</v>
      </c>
      <c r="E42" s="8">
        <v>31</v>
      </c>
      <c r="F42" s="9">
        <v>352</v>
      </c>
      <c r="G42" s="1">
        <v>1</v>
      </c>
      <c r="H42" s="147">
        <v>123.2</v>
      </c>
      <c r="I42" s="27">
        <v>690.3</v>
      </c>
      <c r="J42" s="5">
        <v>3156</v>
      </c>
      <c r="K42" s="5">
        <v>475</v>
      </c>
      <c r="L42" s="5">
        <v>38</v>
      </c>
      <c r="M42" s="5">
        <v>6</v>
      </c>
      <c r="N42" s="5">
        <v>2</v>
      </c>
      <c r="O42" s="5">
        <v>28</v>
      </c>
      <c r="P42" s="5">
        <v>898</v>
      </c>
      <c r="Q42" s="5">
        <v>4603</v>
      </c>
      <c r="R42" s="56">
        <v>4795234.6969560003</v>
      </c>
      <c r="S42" s="1">
        <v>41</v>
      </c>
      <c r="T42" s="56">
        <v>183291.23800918812</v>
      </c>
      <c r="V42" s="15">
        <v>41</v>
      </c>
    </row>
    <row r="43" spans="1:22">
      <c r="A43" s="1">
        <v>2013</v>
      </c>
      <c r="B43" s="1" t="s">
        <v>7</v>
      </c>
      <c r="C43" s="6">
        <v>67.399999999999991</v>
      </c>
      <c r="D43" s="6">
        <v>35.000000000000007</v>
      </c>
      <c r="E43" s="8">
        <v>30</v>
      </c>
      <c r="F43" s="9">
        <v>320</v>
      </c>
      <c r="G43" s="1">
        <v>0</v>
      </c>
      <c r="H43" s="147">
        <v>123.4</v>
      </c>
      <c r="I43" s="27">
        <v>696.7</v>
      </c>
      <c r="J43" s="5">
        <v>3157</v>
      </c>
      <c r="K43" s="5">
        <v>473</v>
      </c>
      <c r="L43" s="5">
        <v>38</v>
      </c>
      <c r="M43" s="5">
        <v>6</v>
      </c>
      <c r="N43" s="5">
        <v>1</v>
      </c>
      <c r="O43" s="5">
        <v>28</v>
      </c>
      <c r="P43" s="5">
        <v>898</v>
      </c>
      <c r="Q43" s="5">
        <v>4601</v>
      </c>
      <c r="R43" s="56">
        <v>4516928.1643200004</v>
      </c>
      <c r="S43" s="1">
        <v>42</v>
      </c>
      <c r="T43" s="56">
        <v>184951.6510871815</v>
      </c>
      <c r="V43" s="15">
        <v>42</v>
      </c>
    </row>
    <row r="44" spans="1:22">
      <c r="A44" s="1">
        <v>2013</v>
      </c>
      <c r="B44" s="1" t="s">
        <v>8</v>
      </c>
      <c r="C44" s="6">
        <v>19.599999999999998</v>
      </c>
      <c r="D44" s="6">
        <v>75.899999999999991</v>
      </c>
      <c r="E44" s="8">
        <v>31</v>
      </c>
      <c r="F44" s="9">
        <v>352</v>
      </c>
      <c r="G44" s="1">
        <v>0</v>
      </c>
      <c r="H44" s="147">
        <v>123.6</v>
      </c>
      <c r="I44" s="27">
        <v>702.8</v>
      </c>
      <c r="J44" s="5">
        <v>3161</v>
      </c>
      <c r="K44" s="5">
        <v>473</v>
      </c>
      <c r="L44" s="5">
        <v>38</v>
      </c>
      <c r="M44" s="5">
        <v>6</v>
      </c>
      <c r="N44" s="5">
        <v>1</v>
      </c>
      <c r="O44" s="5">
        <v>28</v>
      </c>
      <c r="P44" s="5">
        <v>898</v>
      </c>
      <c r="Q44" s="5">
        <v>4605</v>
      </c>
      <c r="R44" s="56">
        <v>4372227.4551960006</v>
      </c>
      <c r="S44" s="1">
        <v>43</v>
      </c>
      <c r="T44" s="56">
        <v>186612.06416517487</v>
      </c>
      <c r="V44" s="15">
        <v>43</v>
      </c>
    </row>
    <row r="45" spans="1:22">
      <c r="A45" s="1">
        <v>2013</v>
      </c>
      <c r="B45" s="1" t="s">
        <v>9</v>
      </c>
      <c r="C45" s="6">
        <v>33.9</v>
      </c>
      <c r="D45" s="6">
        <v>34.5</v>
      </c>
      <c r="E45" s="8">
        <v>31</v>
      </c>
      <c r="F45" s="9">
        <v>336</v>
      </c>
      <c r="G45" s="1">
        <v>0</v>
      </c>
      <c r="H45" s="147">
        <v>123.7</v>
      </c>
      <c r="I45" s="27">
        <v>701.4</v>
      </c>
      <c r="J45" s="5">
        <v>3165</v>
      </c>
      <c r="K45" s="5">
        <v>472</v>
      </c>
      <c r="L45" s="5">
        <v>38</v>
      </c>
      <c r="M45" s="5">
        <v>6</v>
      </c>
      <c r="N45" s="5">
        <v>1</v>
      </c>
      <c r="O45" s="5">
        <v>28</v>
      </c>
      <c r="P45" s="5">
        <v>898</v>
      </c>
      <c r="Q45" s="5">
        <v>4608</v>
      </c>
      <c r="R45" s="56">
        <v>4771016.3547840007</v>
      </c>
      <c r="S45" s="1">
        <v>44</v>
      </c>
      <c r="T45" s="56">
        <v>188272.47724316825</v>
      </c>
      <c r="V45" s="15">
        <v>44</v>
      </c>
    </row>
    <row r="46" spans="1:22">
      <c r="A46" s="1">
        <v>2013</v>
      </c>
      <c r="B46" s="1" t="s">
        <v>10</v>
      </c>
      <c r="C46" s="6">
        <v>133.1</v>
      </c>
      <c r="D46" s="6">
        <v>17.2</v>
      </c>
      <c r="E46" s="8">
        <v>30</v>
      </c>
      <c r="F46" s="9">
        <v>320</v>
      </c>
      <c r="G46" s="1">
        <v>1</v>
      </c>
      <c r="H46" s="147">
        <v>123.8</v>
      </c>
      <c r="I46" s="27">
        <v>698.4</v>
      </c>
      <c r="J46" s="5">
        <v>3166</v>
      </c>
      <c r="K46" s="5">
        <v>472</v>
      </c>
      <c r="L46" s="5">
        <v>38</v>
      </c>
      <c r="M46" s="5">
        <v>6</v>
      </c>
      <c r="N46" s="5">
        <v>1</v>
      </c>
      <c r="O46" s="5">
        <v>28</v>
      </c>
      <c r="P46" s="5">
        <v>898</v>
      </c>
      <c r="Q46" s="5">
        <v>4609</v>
      </c>
      <c r="R46" s="56">
        <v>4513364.5799520016</v>
      </c>
      <c r="S46" s="1">
        <v>45</v>
      </c>
      <c r="T46" s="56">
        <v>189932.89032116163</v>
      </c>
      <c r="V46" s="15">
        <v>45</v>
      </c>
    </row>
    <row r="47" spans="1:22">
      <c r="A47" s="1">
        <v>2013</v>
      </c>
      <c r="B47" s="1" t="s">
        <v>11</v>
      </c>
      <c r="C47" s="6">
        <v>270.68888888888893</v>
      </c>
      <c r="D47" s="6">
        <v>0</v>
      </c>
      <c r="E47" s="8">
        <v>31</v>
      </c>
      <c r="F47" s="9">
        <v>352</v>
      </c>
      <c r="G47" s="1">
        <v>1</v>
      </c>
      <c r="H47" s="147">
        <v>123.7</v>
      </c>
      <c r="I47" s="27">
        <v>698.4</v>
      </c>
      <c r="J47" s="5">
        <v>3169</v>
      </c>
      <c r="K47" s="5">
        <v>473</v>
      </c>
      <c r="L47" s="5">
        <v>38</v>
      </c>
      <c r="M47" s="5">
        <v>6</v>
      </c>
      <c r="N47" s="5">
        <v>1</v>
      </c>
      <c r="O47" s="5">
        <v>28</v>
      </c>
      <c r="P47" s="5">
        <v>904</v>
      </c>
      <c r="Q47" s="5">
        <v>4619</v>
      </c>
      <c r="R47" s="56">
        <v>4880786.5687800003</v>
      </c>
      <c r="S47" s="1">
        <v>46</v>
      </c>
      <c r="T47" s="56">
        <v>191593.303399155</v>
      </c>
      <c r="V47" s="15">
        <v>46</v>
      </c>
    </row>
    <row r="48" spans="1:22">
      <c r="A48" s="1">
        <v>2013</v>
      </c>
      <c r="B48" s="1" t="s">
        <v>12</v>
      </c>
      <c r="C48" s="6">
        <v>557.36666666666667</v>
      </c>
      <c r="D48" s="6">
        <v>0</v>
      </c>
      <c r="E48" s="8">
        <v>30</v>
      </c>
      <c r="F48" s="9">
        <v>272</v>
      </c>
      <c r="G48" s="1">
        <v>1</v>
      </c>
      <c r="H48" s="147">
        <v>123.6</v>
      </c>
      <c r="I48" s="27">
        <v>700</v>
      </c>
      <c r="J48" s="5">
        <v>3167</v>
      </c>
      <c r="K48" s="5">
        <v>472</v>
      </c>
      <c r="L48" s="5">
        <v>39</v>
      </c>
      <c r="M48" s="5">
        <v>6</v>
      </c>
      <c r="N48" s="5">
        <v>1</v>
      </c>
      <c r="O48" s="5">
        <v>28</v>
      </c>
      <c r="P48" s="5">
        <v>904</v>
      </c>
      <c r="Q48" s="5">
        <v>4617</v>
      </c>
      <c r="R48" s="56">
        <v>4552412.9659799999</v>
      </c>
      <c r="S48" s="1">
        <v>47</v>
      </c>
      <c r="T48" s="56">
        <v>193253.71647714838</v>
      </c>
      <c r="V48" s="15">
        <v>47</v>
      </c>
    </row>
    <row r="49" spans="1:22">
      <c r="A49" s="1">
        <v>2013</v>
      </c>
      <c r="B49" s="1" t="s">
        <v>13</v>
      </c>
      <c r="C49" s="6">
        <v>767.19999999999993</v>
      </c>
      <c r="D49" s="6">
        <v>0</v>
      </c>
      <c r="E49" s="8">
        <v>31</v>
      </c>
      <c r="F49" s="9">
        <v>320</v>
      </c>
      <c r="G49" s="1">
        <v>0</v>
      </c>
      <c r="H49" s="147">
        <v>123.4</v>
      </c>
      <c r="I49" s="27">
        <v>695.4</v>
      </c>
      <c r="J49" s="5">
        <v>3178</v>
      </c>
      <c r="K49" s="5">
        <v>472</v>
      </c>
      <c r="L49" s="5">
        <v>38</v>
      </c>
      <c r="M49" s="5">
        <v>6</v>
      </c>
      <c r="N49" s="5">
        <v>2</v>
      </c>
      <c r="O49" s="5">
        <v>28</v>
      </c>
      <c r="P49" s="5">
        <v>904</v>
      </c>
      <c r="Q49" s="5">
        <v>4628</v>
      </c>
      <c r="R49" s="56">
        <v>4004842.5651600002</v>
      </c>
      <c r="S49" s="1">
        <v>48</v>
      </c>
      <c r="T49" s="56">
        <v>194914.12955514176</v>
      </c>
      <c r="U49" s="461">
        <f>SUM(T38:T49)</f>
        <v>2229382.2915141382</v>
      </c>
      <c r="V49" s="15">
        <v>48</v>
      </c>
    </row>
    <row r="50" spans="1:22">
      <c r="A50" s="1">
        <v>2014</v>
      </c>
      <c r="B50" s="1" t="s">
        <v>2</v>
      </c>
      <c r="C50" s="6">
        <v>899.69999999999982</v>
      </c>
      <c r="D50" s="6">
        <v>0</v>
      </c>
      <c r="E50" s="8">
        <v>31</v>
      </c>
      <c r="F50" s="9">
        <v>352</v>
      </c>
      <c r="G50" s="1">
        <v>0</v>
      </c>
      <c r="H50" s="147">
        <v>123.7</v>
      </c>
      <c r="I50" s="27">
        <v>689.4</v>
      </c>
      <c r="J50" s="5">
        <v>3166</v>
      </c>
      <c r="K50" s="5">
        <v>472</v>
      </c>
      <c r="L50" s="5">
        <v>39</v>
      </c>
      <c r="M50" s="5">
        <v>6</v>
      </c>
      <c r="N50" s="5">
        <v>3</v>
      </c>
      <c r="O50" s="5">
        <v>28</v>
      </c>
      <c r="P50" s="5">
        <v>905</v>
      </c>
      <c r="Q50" s="5">
        <v>4619</v>
      </c>
      <c r="R50" s="56">
        <v>4667489.5395720005</v>
      </c>
      <c r="S50" s="1">
        <v>49</v>
      </c>
      <c r="T50" s="56">
        <v>196974.1182386929</v>
      </c>
      <c r="V50" s="15">
        <v>49</v>
      </c>
    </row>
    <row r="51" spans="1:22">
      <c r="A51" s="1">
        <v>2014</v>
      </c>
      <c r="B51" s="1" t="s">
        <v>3</v>
      </c>
      <c r="C51" s="6">
        <v>820.9666666666667</v>
      </c>
      <c r="D51" s="6">
        <v>0</v>
      </c>
      <c r="E51" s="8">
        <v>28</v>
      </c>
      <c r="F51" s="9">
        <v>304</v>
      </c>
      <c r="G51" s="1">
        <v>0</v>
      </c>
      <c r="H51" s="147">
        <v>125</v>
      </c>
      <c r="I51" s="27">
        <v>682.3</v>
      </c>
      <c r="J51" s="5">
        <v>3178</v>
      </c>
      <c r="K51" s="5">
        <v>471</v>
      </c>
      <c r="L51" s="5">
        <v>39</v>
      </c>
      <c r="M51" s="5">
        <v>6</v>
      </c>
      <c r="N51" s="5">
        <v>1</v>
      </c>
      <c r="O51" s="5">
        <v>28</v>
      </c>
      <c r="P51" s="5">
        <v>905</v>
      </c>
      <c r="Q51" s="5">
        <v>4628</v>
      </c>
      <c r="R51" s="56">
        <v>4342400.5729440004</v>
      </c>
      <c r="S51" s="1">
        <v>50</v>
      </c>
      <c r="T51" s="56">
        <v>199034.10692224404</v>
      </c>
      <c r="V51" s="15">
        <v>50</v>
      </c>
    </row>
    <row r="52" spans="1:22">
      <c r="A52" s="1">
        <v>2014</v>
      </c>
      <c r="B52" s="1" t="s">
        <v>4</v>
      </c>
      <c r="C52" s="6">
        <v>767.15555555555545</v>
      </c>
      <c r="D52" s="6">
        <v>0</v>
      </c>
      <c r="E52" s="8">
        <v>31</v>
      </c>
      <c r="F52" s="9">
        <v>336</v>
      </c>
      <c r="G52" s="1">
        <v>1</v>
      </c>
      <c r="H52" s="147">
        <v>125.5</v>
      </c>
      <c r="I52" s="27">
        <v>680.2</v>
      </c>
      <c r="J52" s="5">
        <v>3177</v>
      </c>
      <c r="K52" s="5">
        <v>471</v>
      </c>
      <c r="L52" s="5">
        <v>39</v>
      </c>
      <c r="M52" s="5">
        <v>6</v>
      </c>
      <c r="N52" s="5">
        <v>1</v>
      </c>
      <c r="O52" s="5">
        <v>28</v>
      </c>
      <c r="P52" s="5">
        <v>905</v>
      </c>
      <c r="Q52" s="5">
        <v>4627</v>
      </c>
      <c r="R52" s="56">
        <v>4788788.5728840008</v>
      </c>
      <c r="S52" s="1">
        <v>51</v>
      </c>
      <c r="T52" s="56">
        <v>201094.09560579518</v>
      </c>
      <c r="V52" s="15">
        <v>51</v>
      </c>
    </row>
    <row r="53" spans="1:22">
      <c r="A53" s="1">
        <v>2014</v>
      </c>
      <c r="B53" s="1" t="s">
        <v>5</v>
      </c>
      <c r="C53" s="6">
        <v>423.06666666666666</v>
      </c>
      <c r="D53" s="6">
        <v>0</v>
      </c>
      <c r="E53" s="8">
        <v>30</v>
      </c>
      <c r="F53" s="9">
        <v>320</v>
      </c>
      <c r="G53" s="1">
        <v>1</v>
      </c>
      <c r="H53" s="147">
        <v>126.4</v>
      </c>
      <c r="I53" s="27">
        <v>679.4</v>
      </c>
      <c r="J53" s="5">
        <v>3173</v>
      </c>
      <c r="K53" s="5">
        <v>471</v>
      </c>
      <c r="L53" s="5">
        <v>39</v>
      </c>
      <c r="M53" s="5">
        <v>6</v>
      </c>
      <c r="N53" s="5">
        <v>1</v>
      </c>
      <c r="O53" s="5">
        <v>28</v>
      </c>
      <c r="P53" s="5">
        <v>905</v>
      </c>
      <c r="Q53" s="5">
        <v>4623</v>
      </c>
      <c r="R53" s="56">
        <v>4624196.0958720008</v>
      </c>
      <c r="S53" s="1">
        <v>52</v>
      </c>
      <c r="T53" s="56">
        <v>203154.08428934633</v>
      </c>
      <c r="V53" s="15">
        <v>52</v>
      </c>
    </row>
    <row r="54" spans="1:22">
      <c r="A54" s="1">
        <v>2014</v>
      </c>
      <c r="B54" s="1" t="s">
        <v>6</v>
      </c>
      <c r="C54" s="6">
        <v>185.6</v>
      </c>
      <c r="D54" s="6">
        <v>7.6000000000000005</v>
      </c>
      <c r="E54" s="8">
        <v>31</v>
      </c>
      <c r="F54" s="9">
        <v>336</v>
      </c>
      <c r="G54" s="1">
        <v>1</v>
      </c>
      <c r="H54" s="147">
        <v>127</v>
      </c>
      <c r="I54" s="27">
        <v>690</v>
      </c>
      <c r="J54" s="5">
        <v>3183</v>
      </c>
      <c r="K54" s="5">
        <v>471</v>
      </c>
      <c r="L54" s="5">
        <v>39</v>
      </c>
      <c r="M54" s="5">
        <v>6</v>
      </c>
      <c r="N54" s="5">
        <v>1</v>
      </c>
      <c r="O54" s="5">
        <v>28</v>
      </c>
      <c r="P54" s="5">
        <v>905</v>
      </c>
      <c r="Q54" s="5">
        <v>4633</v>
      </c>
      <c r="R54" s="56">
        <v>4967134.5322440006</v>
      </c>
      <c r="S54" s="1">
        <v>53</v>
      </c>
      <c r="T54" s="56">
        <v>205214.07297289747</v>
      </c>
      <c r="V54" s="15">
        <v>53</v>
      </c>
    </row>
    <row r="55" spans="1:22">
      <c r="A55" s="1">
        <v>2014</v>
      </c>
      <c r="B55" s="1" t="s">
        <v>7</v>
      </c>
      <c r="C55" s="6">
        <v>35.999999999999993</v>
      </c>
      <c r="D55" s="6">
        <v>44</v>
      </c>
      <c r="E55" s="8">
        <v>30</v>
      </c>
      <c r="F55" s="9">
        <v>336</v>
      </c>
      <c r="G55" s="1">
        <v>0</v>
      </c>
      <c r="H55" s="147">
        <v>127.4</v>
      </c>
      <c r="I55" s="27">
        <v>704.4</v>
      </c>
      <c r="J55" s="5">
        <v>3185</v>
      </c>
      <c r="K55" s="5">
        <v>470</v>
      </c>
      <c r="L55" s="5">
        <v>39</v>
      </c>
      <c r="M55" s="5">
        <v>6</v>
      </c>
      <c r="N55" s="5">
        <v>1</v>
      </c>
      <c r="O55" s="5">
        <v>28</v>
      </c>
      <c r="P55" s="5">
        <v>905</v>
      </c>
      <c r="Q55" s="5">
        <v>4634</v>
      </c>
      <c r="R55" s="56">
        <v>4578201.0414120005</v>
      </c>
      <c r="S55" s="1">
        <v>54</v>
      </c>
      <c r="T55" s="56">
        <v>207274.06165644861</v>
      </c>
      <c r="V55" s="15">
        <v>54</v>
      </c>
    </row>
    <row r="56" spans="1:22">
      <c r="A56" s="1">
        <v>2014</v>
      </c>
      <c r="B56" s="1" t="s">
        <v>8</v>
      </c>
      <c r="C56" s="6">
        <v>59.100000000000009</v>
      </c>
      <c r="D56" s="6">
        <v>25.700000000000003</v>
      </c>
      <c r="E56" s="8">
        <v>31</v>
      </c>
      <c r="F56" s="9">
        <v>352</v>
      </c>
      <c r="G56" s="1">
        <v>0</v>
      </c>
      <c r="H56" s="147">
        <v>126.9</v>
      </c>
      <c r="I56" s="27">
        <v>715.1</v>
      </c>
      <c r="J56" s="5">
        <v>3182</v>
      </c>
      <c r="K56" s="5">
        <v>472</v>
      </c>
      <c r="L56" s="5">
        <v>39</v>
      </c>
      <c r="M56" s="5">
        <v>6</v>
      </c>
      <c r="N56" s="5">
        <v>1</v>
      </c>
      <c r="O56" s="5">
        <v>28</v>
      </c>
      <c r="P56" s="5">
        <v>905</v>
      </c>
      <c r="Q56" s="5">
        <v>4633</v>
      </c>
      <c r="R56" s="56">
        <v>4518532.7781600012</v>
      </c>
      <c r="S56" s="1">
        <v>55</v>
      </c>
      <c r="T56" s="56">
        <v>209334.05033999975</v>
      </c>
      <c r="V56" s="15">
        <v>55</v>
      </c>
    </row>
    <row r="57" spans="1:22">
      <c r="A57" s="1">
        <v>2014</v>
      </c>
      <c r="B57" s="1" t="s">
        <v>9</v>
      </c>
      <c r="C57" s="6">
        <v>40.5</v>
      </c>
      <c r="D57" s="6">
        <v>32.400000000000006</v>
      </c>
      <c r="E57" s="8">
        <v>31</v>
      </c>
      <c r="F57" s="9">
        <v>320</v>
      </c>
      <c r="G57" s="1">
        <v>0</v>
      </c>
      <c r="H57" s="147">
        <v>126.9</v>
      </c>
      <c r="I57" s="27">
        <v>718.7</v>
      </c>
      <c r="J57" s="5">
        <v>3206</v>
      </c>
      <c r="K57" s="5">
        <v>474</v>
      </c>
      <c r="L57" s="5">
        <v>39</v>
      </c>
      <c r="M57" s="5">
        <v>6</v>
      </c>
      <c r="N57" s="5">
        <v>1</v>
      </c>
      <c r="O57" s="5">
        <v>28</v>
      </c>
      <c r="P57" s="5">
        <v>905</v>
      </c>
      <c r="Q57" s="5">
        <v>4659</v>
      </c>
      <c r="R57" s="56">
        <v>4873161.1167599997</v>
      </c>
      <c r="S57" s="1">
        <v>56</v>
      </c>
      <c r="T57" s="56">
        <v>211394.0390235509</v>
      </c>
      <c r="V57" s="15">
        <v>56</v>
      </c>
    </row>
    <row r="58" spans="1:22">
      <c r="A58" s="1">
        <v>2014</v>
      </c>
      <c r="B58" s="1" t="s">
        <v>10</v>
      </c>
      <c r="C58" s="6">
        <v>117.19999999999999</v>
      </c>
      <c r="D58" s="6">
        <v>12.399999999999999</v>
      </c>
      <c r="E58" s="8">
        <v>30</v>
      </c>
      <c r="F58" s="9">
        <v>336</v>
      </c>
      <c r="G58" s="1">
        <v>1</v>
      </c>
      <c r="H58" s="147">
        <v>127.2</v>
      </c>
      <c r="I58" s="27">
        <v>719.3</v>
      </c>
      <c r="J58" s="5">
        <v>3204</v>
      </c>
      <c r="K58" s="5">
        <v>475</v>
      </c>
      <c r="L58" s="5">
        <v>39</v>
      </c>
      <c r="M58" s="5">
        <v>6</v>
      </c>
      <c r="N58" s="5">
        <v>1</v>
      </c>
      <c r="O58" s="5">
        <v>28</v>
      </c>
      <c r="P58" s="5">
        <v>905</v>
      </c>
      <c r="Q58" s="5">
        <v>4658</v>
      </c>
      <c r="R58" s="56">
        <v>4845022.72248</v>
      </c>
      <c r="S58" s="1">
        <v>57</v>
      </c>
      <c r="T58" s="56">
        <v>213454.02770710204</v>
      </c>
      <c r="V58" s="15">
        <v>57</v>
      </c>
    </row>
    <row r="59" spans="1:22">
      <c r="A59" s="1">
        <v>2014</v>
      </c>
      <c r="B59" s="1" t="s">
        <v>11</v>
      </c>
      <c r="C59" s="6">
        <v>292.40000000000003</v>
      </c>
      <c r="D59" s="6">
        <v>0</v>
      </c>
      <c r="E59" s="8">
        <v>31</v>
      </c>
      <c r="F59" s="9">
        <v>352</v>
      </c>
      <c r="G59" s="1">
        <v>1</v>
      </c>
      <c r="H59" s="147">
        <v>127.4</v>
      </c>
      <c r="I59" s="27">
        <v>723.5</v>
      </c>
      <c r="J59" s="5">
        <v>3208</v>
      </c>
      <c r="K59" s="5">
        <v>474</v>
      </c>
      <c r="L59" s="5">
        <v>39</v>
      </c>
      <c r="M59" s="5">
        <v>6</v>
      </c>
      <c r="N59" s="5">
        <v>1</v>
      </c>
      <c r="O59" s="5">
        <v>28</v>
      </c>
      <c r="P59" s="5">
        <v>905</v>
      </c>
      <c r="Q59" s="5">
        <v>4661</v>
      </c>
      <c r="R59" s="56">
        <v>4964576.7409200007</v>
      </c>
      <c r="S59" s="1">
        <v>58</v>
      </c>
      <c r="T59" s="56">
        <v>215514.01639065318</v>
      </c>
      <c r="V59" s="15">
        <v>58</v>
      </c>
    </row>
    <row r="60" spans="1:22">
      <c r="A60" s="1">
        <v>2014</v>
      </c>
      <c r="B60" s="1" t="s">
        <v>12</v>
      </c>
      <c r="C60" s="6">
        <v>548.06666666666661</v>
      </c>
      <c r="D60" s="6">
        <v>0</v>
      </c>
      <c r="E60" s="8">
        <v>30</v>
      </c>
      <c r="F60" s="9">
        <v>304</v>
      </c>
      <c r="G60" s="1">
        <v>1</v>
      </c>
      <c r="H60" s="147">
        <v>126.9</v>
      </c>
      <c r="I60" s="27">
        <v>721</v>
      </c>
      <c r="J60" s="5">
        <v>3210</v>
      </c>
      <c r="K60" s="5">
        <v>478</v>
      </c>
      <c r="L60" s="5">
        <v>35</v>
      </c>
      <c r="M60" s="5">
        <v>5</v>
      </c>
      <c r="N60" s="5">
        <v>1</v>
      </c>
      <c r="O60" s="5">
        <v>28</v>
      </c>
      <c r="P60" s="5">
        <v>905</v>
      </c>
      <c r="Q60" s="5">
        <v>4662</v>
      </c>
      <c r="R60" s="56">
        <v>4377795.0494400002</v>
      </c>
      <c r="S60" s="1">
        <v>59</v>
      </c>
      <c r="T60" s="56">
        <v>217574.00507420432</v>
      </c>
      <c r="V60" s="15">
        <v>59</v>
      </c>
    </row>
    <row r="61" spans="1:22">
      <c r="A61" s="1">
        <v>2014</v>
      </c>
      <c r="B61" s="1" t="s">
        <v>13</v>
      </c>
      <c r="C61" s="6">
        <v>623.73333333333346</v>
      </c>
      <c r="D61" s="6">
        <v>0</v>
      </c>
      <c r="E61" s="8">
        <v>31</v>
      </c>
      <c r="F61" s="9">
        <v>336</v>
      </c>
      <c r="G61" s="1">
        <v>0</v>
      </c>
      <c r="H61" s="147">
        <v>126.2</v>
      </c>
      <c r="I61" s="27">
        <v>714.3</v>
      </c>
      <c r="J61" s="5">
        <v>3213</v>
      </c>
      <c r="K61" s="5">
        <v>478</v>
      </c>
      <c r="L61" s="5">
        <v>35</v>
      </c>
      <c r="M61" s="5">
        <v>5</v>
      </c>
      <c r="N61" s="5">
        <v>1</v>
      </c>
      <c r="O61" s="5">
        <v>27</v>
      </c>
      <c r="P61" s="5">
        <v>905</v>
      </c>
      <c r="Q61" s="5">
        <v>4664</v>
      </c>
      <c r="R61" s="56">
        <v>3953464.1673599998</v>
      </c>
      <c r="S61" s="1">
        <v>60</v>
      </c>
      <c r="T61" s="56">
        <v>219633.99375775547</v>
      </c>
      <c r="U61" s="461">
        <f>SUM(T50:T61)</f>
        <v>2499648.6719786902</v>
      </c>
      <c r="V61" s="15">
        <v>60</v>
      </c>
    </row>
    <row r="62" spans="1:22">
      <c r="A62" s="1">
        <v>2015</v>
      </c>
      <c r="B62" s="1" t="s">
        <v>2</v>
      </c>
      <c r="C62" s="6">
        <v>871.19999999999993</v>
      </c>
      <c r="D62" s="6">
        <v>0</v>
      </c>
      <c r="E62" s="8">
        <v>31</v>
      </c>
      <c r="F62" s="9">
        <v>336</v>
      </c>
      <c r="G62" s="1">
        <v>0</v>
      </c>
      <c r="H62" s="147">
        <v>126.3</v>
      </c>
      <c r="I62" s="27">
        <v>705.7</v>
      </c>
      <c r="J62" s="5">
        <v>3215</v>
      </c>
      <c r="K62" s="5">
        <v>478</v>
      </c>
      <c r="L62" s="5">
        <v>36</v>
      </c>
      <c r="M62" s="5">
        <v>5</v>
      </c>
      <c r="N62" s="5">
        <v>1</v>
      </c>
      <c r="O62" s="5">
        <v>27</v>
      </c>
      <c r="P62" s="5">
        <v>905</v>
      </c>
      <c r="Q62" s="5">
        <v>4667</v>
      </c>
      <c r="R62" s="56">
        <v>4513683.0380400009</v>
      </c>
      <c r="S62" s="1">
        <v>61</v>
      </c>
      <c r="T62" s="56">
        <v>223426.10725933639</v>
      </c>
      <c r="V62" s="15">
        <v>61</v>
      </c>
    </row>
    <row r="63" spans="1:22">
      <c r="A63" s="1">
        <v>2015</v>
      </c>
      <c r="B63" s="1" t="s">
        <v>3</v>
      </c>
      <c r="C63" s="6">
        <v>928.1</v>
      </c>
      <c r="D63" s="6">
        <v>0</v>
      </c>
      <c r="E63" s="8">
        <v>28</v>
      </c>
      <c r="F63" s="9">
        <v>304</v>
      </c>
      <c r="G63" s="1">
        <v>0</v>
      </c>
      <c r="H63" s="147">
        <v>127.2</v>
      </c>
      <c r="I63" s="27">
        <v>700.1</v>
      </c>
      <c r="J63" s="5">
        <v>3214</v>
      </c>
      <c r="K63" s="5">
        <v>478</v>
      </c>
      <c r="L63" s="5">
        <v>36</v>
      </c>
      <c r="M63" s="5">
        <v>5</v>
      </c>
      <c r="N63" s="5">
        <v>1</v>
      </c>
      <c r="O63" s="5">
        <v>27</v>
      </c>
      <c r="P63" s="5">
        <v>905</v>
      </c>
      <c r="Q63" s="5">
        <v>4666</v>
      </c>
      <c r="R63" s="56">
        <v>4307574.8160000006</v>
      </c>
      <c r="S63" s="1">
        <v>62</v>
      </c>
      <c r="T63" s="56">
        <v>227218.22076091732</v>
      </c>
      <c r="V63" s="15">
        <v>62</v>
      </c>
    </row>
    <row r="64" spans="1:22">
      <c r="A64" s="1">
        <v>2015</v>
      </c>
      <c r="B64" s="1" t="s">
        <v>4</v>
      </c>
      <c r="C64" s="6">
        <v>701.5</v>
      </c>
      <c r="D64" s="6">
        <v>0</v>
      </c>
      <c r="E64" s="8">
        <v>31</v>
      </c>
      <c r="F64" s="9">
        <v>352</v>
      </c>
      <c r="G64" s="1">
        <v>1</v>
      </c>
      <c r="H64" s="147">
        <v>127.9</v>
      </c>
      <c r="I64" s="27">
        <v>698.3</v>
      </c>
      <c r="J64" s="5">
        <v>3216</v>
      </c>
      <c r="K64" s="5">
        <v>479</v>
      </c>
      <c r="L64" s="5">
        <v>36</v>
      </c>
      <c r="M64" s="5">
        <v>5</v>
      </c>
      <c r="N64" s="5">
        <v>1</v>
      </c>
      <c r="O64" s="5">
        <v>27</v>
      </c>
      <c r="P64" s="5">
        <v>905</v>
      </c>
      <c r="Q64" s="5">
        <v>4669</v>
      </c>
      <c r="R64" s="56">
        <v>4884586.8374400008</v>
      </c>
      <c r="S64" s="1">
        <v>63</v>
      </c>
      <c r="T64" s="56">
        <v>231010.33426249825</v>
      </c>
      <c r="V64" s="15">
        <v>63</v>
      </c>
    </row>
    <row r="65" spans="1:22">
      <c r="A65" s="1">
        <v>2015</v>
      </c>
      <c r="B65" s="1" t="s">
        <v>5</v>
      </c>
      <c r="C65" s="6">
        <v>382.84999999999997</v>
      </c>
      <c r="D65" s="6">
        <v>0</v>
      </c>
      <c r="E65" s="8">
        <v>30</v>
      </c>
      <c r="F65" s="9">
        <v>320</v>
      </c>
      <c r="G65" s="1">
        <v>1</v>
      </c>
      <c r="H65" s="147">
        <v>127.7</v>
      </c>
      <c r="I65" s="27">
        <v>697.6</v>
      </c>
      <c r="J65" s="5">
        <v>3216</v>
      </c>
      <c r="K65" s="5">
        <v>480</v>
      </c>
      <c r="L65" s="5">
        <v>36</v>
      </c>
      <c r="M65" s="5">
        <v>5</v>
      </c>
      <c r="N65" s="5">
        <v>1</v>
      </c>
      <c r="O65" s="5">
        <v>27</v>
      </c>
      <c r="P65" s="5">
        <v>905</v>
      </c>
      <c r="Q65" s="5">
        <v>4670</v>
      </c>
      <c r="R65" s="56">
        <v>4732559.1597600011</v>
      </c>
      <c r="S65" s="1">
        <v>64</v>
      </c>
      <c r="T65" s="56">
        <v>234802.44776407917</v>
      </c>
      <c r="V65" s="15">
        <v>64</v>
      </c>
    </row>
    <row r="66" spans="1:22">
      <c r="A66" s="1">
        <v>2015</v>
      </c>
      <c r="B66" s="1" t="s">
        <v>6</v>
      </c>
      <c r="C66" s="6">
        <v>135.30000000000001</v>
      </c>
      <c r="D66" s="6">
        <v>23.4</v>
      </c>
      <c r="E66" s="8">
        <v>31</v>
      </c>
      <c r="F66" s="9">
        <v>320</v>
      </c>
      <c r="G66" s="1">
        <v>1</v>
      </c>
      <c r="H66" s="147">
        <v>128.5</v>
      </c>
      <c r="I66" s="27">
        <v>704.9</v>
      </c>
      <c r="J66" s="5">
        <v>3203</v>
      </c>
      <c r="K66" s="5">
        <v>475</v>
      </c>
      <c r="L66" s="5">
        <v>36</v>
      </c>
      <c r="M66" s="5">
        <v>5</v>
      </c>
      <c r="N66" s="5">
        <v>1</v>
      </c>
      <c r="O66" s="5">
        <v>27</v>
      </c>
      <c r="P66" s="5">
        <v>905</v>
      </c>
      <c r="Q66" s="5">
        <v>4652</v>
      </c>
      <c r="R66" s="56">
        <v>5023122.8568000002</v>
      </c>
      <c r="S66" s="1">
        <v>65</v>
      </c>
      <c r="T66" s="56">
        <v>238594.5612656601</v>
      </c>
      <c r="V66" s="15">
        <v>65</v>
      </c>
    </row>
    <row r="67" spans="1:22">
      <c r="A67" s="1">
        <v>2015</v>
      </c>
      <c r="B67" s="1" t="s">
        <v>7</v>
      </c>
      <c r="C67" s="6">
        <v>59.199999999999996</v>
      </c>
      <c r="D67" s="6">
        <v>5.7</v>
      </c>
      <c r="E67" s="8">
        <v>30</v>
      </c>
      <c r="F67" s="9">
        <v>352</v>
      </c>
      <c r="G67" s="1">
        <v>0</v>
      </c>
      <c r="H67" s="147">
        <v>128.80000000000001</v>
      </c>
      <c r="I67" s="27">
        <v>715.1</v>
      </c>
      <c r="J67" s="5">
        <v>3209</v>
      </c>
      <c r="K67" s="5">
        <v>475</v>
      </c>
      <c r="L67" s="5">
        <v>36</v>
      </c>
      <c r="M67" s="5">
        <v>5</v>
      </c>
      <c r="N67" s="5">
        <v>1</v>
      </c>
      <c r="O67" s="5">
        <v>27</v>
      </c>
      <c r="P67" s="5">
        <v>905</v>
      </c>
      <c r="Q67" s="5">
        <v>4658</v>
      </c>
      <c r="R67" s="56">
        <v>4909277.7873600004</v>
      </c>
      <c r="S67" s="1">
        <v>66</v>
      </c>
      <c r="T67" s="56">
        <v>242386.67476724103</v>
      </c>
      <c r="V67" s="15">
        <v>66</v>
      </c>
    </row>
    <row r="68" spans="1:22">
      <c r="A68" s="1">
        <v>2015</v>
      </c>
      <c r="B68" s="1" t="s">
        <v>8</v>
      </c>
      <c r="C68" s="6">
        <v>31.3</v>
      </c>
      <c r="D68" s="6">
        <v>43.4</v>
      </c>
      <c r="E68" s="8">
        <v>31</v>
      </c>
      <c r="F68" s="9">
        <v>336</v>
      </c>
      <c r="G68" s="1">
        <v>0</v>
      </c>
      <c r="H68" s="147">
        <v>129.19999999999999</v>
      </c>
      <c r="I68" s="27">
        <v>716.6</v>
      </c>
      <c r="J68" s="5">
        <v>3210</v>
      </c>
      <c r="K68" s="5">
        <v>476</v>
      </c>
      <c r="L68" s="5">
        <v>36</v>
      </c>
      <c r="M68" s="5">
        <v>5</v>
      </c>
      <c r="N68" s="5">
        <v>1</v>
      </c>
      <c r="O68" s="5">
        <v>27</v>
      </c>
      <c r="P68" s="5">
        <v>905</v>
      </c>
      <c r="Q68" s="5">
        <v>4660</v>
      </c>
      <c r="R68" s="56">
        <v>4834398.45144</v>
      </c>
      <c r="S68" s="1">
        <v>67</v>
      </c>
      <c r="T68" s="56">
        <v>246178.78826882195</v>
      </c>
      <c r="V68" s="15">
        <v>67</v>
      </c>
    </row>
    <row r="69" spans="1:22">
      <c r="A69" s="1">
        <v>2015</v>
      </c>
      <c r="B69" s="1" t="s">
        <v>9</v>
      </c>
      <c r="C69" s="6">
        <v>35</v>
      </c>
      <c r="D69" s="6">
        <v>38.1</v>
      </c>
      <c r="E69" s="8">
        <v>31</v>
      </c>
      <c r="F69" s="9">
        <v>320</v>
      </c>
      <c r="G69" s="1">
        <v>0</v>
      </c>
      <c r="H69" s="147">
        <v>128.69999999999999</v>
      </c>
      <c r="I69" s="27">
        <v>713.1</v>
      </c>
      <c r="J69" s="5">
        <v>3207</v>
      </c>
      <c r="K69" s="5">
        <v>477</v>
      </c>
      <c r="L69" s="5">
        <v>36</v>
      </c>
      <c r="M69" s="5">
        <v>5</v>
      </c>
      <c r="N69" s="5">
        <v>1</v>
      </c>
      <c r="O69" s="5">
        <v>27</v>
      </c>
      <c r="P69" s="5">
        <v>905</v>
      </c>
      <c r="Q69" s="5">
        <v>4658</v>
      </c>
      <c r="R69" s="56">
        <v>5059556.1852000002</v>
      </c>
      <c r="S69" s="1">
        <v>68</v>
      </c>
      <c r="T69" s="56">
        <v>249970.90177040288</v>
      </c>
      <c r="V69" s="15">
        <v>68</v>
      </c>
    </row>
    <row r="70" spans="1:22">
      <c r="A70" s="1">
        <v>2015</v>
      </c>
      <c r="B70" s="1" t="s">
        <v>10</v>
      </c>
      <c r="C70" s="6">
        <v>58</v>
      </c>
      <c r="D70" s="6">
        <v>47.449999999999996</v>
      </c>
      <c r="E70" s="8">
        <v>30</v>
      </c>
      <c r="F70" s="9">
        <v>336</v>
      </c>
      <c r="G70" s="1">
        <v>1</v>
      </c>
      <c r="H70" s="147">
        <v>129</v>
      </c>
      <c r="I70" s="27">
        <v>710.2</v>
      </c>
      <c r="J70" s="5">
        <v>3208</v>
      </c>
      <c r="K70" s="5">
        <v>475</v>
      </c>
      <c r="L70" s="5">
        <v>36</v>
      </c>
      <c r="M70" s="5">
        <v>5</v>
      </c>
      <c r="N70" s="5">
        <v>1</v>
      </c>
      <c r="O70" s="5">
        <v>27</v>
      </c>
      <c r="P70" s="5">
        <v>905</v>
      </c>
      <c r="Q70" s="5">
        <v>4657</v>
      </c>
      <c r="R70" s="56">
        <v>5022140.1996000009</v>
      </c>
      <c r="S70" s="1">
        <v>69</v>
      </c>
      <c r="T70" s="56">
        <v>253763.01527198381</v>
      </c>
      <c r="V70" s="15">
        <v>69</v>
      </c>
    </row>
    <row r="71" spans="1:22">
      <c r="A71" s="1">
        <v>2015</v>
      </c>
      <c r="B71" s="1" t="s">
        <v>11</v>
      </c>
      <c r="C71" s="6">
        <v>310.5</v>
      </c>
      <c r="D71" s="6">
        <v>0</v>
      </c>
      <c r="E71" s="8">
        <v>31</v>
      </c>
      <c r="F71" s="9">
        <v>336</v>
      </c>
      <c r="G71" s="1">
        <v>1</v>
      </c>
      <c r="H71" s="147">
        <v>129</v>
      </c>
      <c r="I71" s="27">
        <v>716.9</v>
      </c>
      <c r="J71" s="5">
        <v>3213</v>
      </c>
      <c r="K71" s="5">
        <v>467</v>
      </c>
      <c r="L71" s="5">
        <v>35</v>
      </c>
      <c r="M71" s="5">
        <v>5</v>
      </c>
      <c r="N71" s="5">
        <v>1</v>
      </c>
      <c r="O71" s="5">
        <v>26</v>
      </c>
      <c r="P71" s="5">
        <v>905</v>
      </c>
      <c r="Q71" s="5">
        <v>4652</v>
      </c>
      <c r="R71" s="56">
        <v>4871537.3212800017</v>
      </c>
      <c r="S71" s="1">
        <v>70</v>
      </c>
      <c r="T71" s="56">
        <v>257555.12877356473</v>
      </c>
      <c r="V71" s="15">
        <v>70</v>
      </c>
    </row>
    <row r="72" spans="1:22">
      <c r="A72" s="1">
        <v>2015</v>
      </c>
      <c r="B72" s="1" t="s">
        <v>12</v>
      </c>
      <c r="C72" s="6">
        <v>387.09999999999997</v>
      </c>
      <c r="D72" s="6">
        <v>0</v>
      </c>
      <c r="E72" s="8">
        <v>30</v>
      </c>
      <c r="F72" s="9">
        <v>320</v>
      </c>
      <c r="G72" s="1">
        <v>1</v>
      </c>
      <c r="H72" s="147">
        <v>129.1</v>
      </c>
      <c r="I72" s="27">
        <v>721</v>
      </c>
      <c r="J72" s="5">
        <v>3214</v>
      </c>
      <c r="K72" s="5">
        <v>466</v>
      </c>
      <c r="L72" s="5">
        <v>35</v>
      </c>
      <c r="M72" s="5">
        <v>5</v>
      </c>
      <c r="N72" s="5">
        <v>1</v>
      </c>
      <c r="O72" s="5">
        <v>25</v>
      </c>
      <c r="P72" s="5">
        <v>905</v>
      </c>
      <c r="Q72" s="5">
        <v>4651</v>
      </c>
      <c r="R72" s="56">
        <v>4473873.8481600014</v>
      </c>
      <c r="S72" s="1">
        <v>71</v>
      </c>
      <c r="T72" s="56">
        <v>261347.24227514566</v>
      </c>
      <c r="V72" s="15">
        <v>71</v>
      </c>
    </row>
    <row r="73" spans="1:22">
      <c r="A73" s="1">
        <v>2015</v>
      </c>
      <c r="B73" s="1" t="s">
        <v>13</v>
      </c>
      <c r="C73" s="6">
        <v>491.90000000000003</v>
      </c>
      <c r="D73" s="6">
        <v>0</v>
      </c>
      <c r="E73" s="8">
        <v>31</v>
      </c>
      <c r="F73" s="9">
        <v>336</v>
      </c>
      <c r="G73" s="1">
        <v>0</v>
      </c>
      <c r="H73" s="147">
        <v>128.69999999999999</v>
      </c>
      <c r="I73" s="27">
        <v>718.7</v>
      </c>
      <c r="J73" s="5">
        <v>3218</v>
      </c>
      <c r="K73" s="5">
        <v>467</v>
      </c>
      <c r="L73" s="5">
        <v>35</v>
      </c>
      <c r="M73" s="5">
        <v>5</v>
      </c>
      <c r="N73" s="5">
        <v>1</v>
      </c>
      <c r="O73" s="5">
        <v>24</v>
      </c>
      <c r="P73" s="5">
        <v>905</v>
      </c>
      <c r="Q73" s="5">
        <v>4655</v>
      </c>
      <c r="R73" s="56">
        <v>3903048.2806800003</v>
      </c>
      <c r="S73" s="1">
        <v>72</v>
      </c>
      <c r="T73" s="56">
        <v>265139.35577672662</v>
      </c>
      <c r="U73" s="461">
        <f>SUM(T62:T73)</f>
        <v>2931392.7782163788</v>
      </c>
      <c r="V73" s="15">
        <v>72</v>
      </c>
    </row>
    <row r="74" spans="1:22">
      <c r="A74" s="1">
        <v>2016</v>
      </c>
      <c r="B74" s="1" t="s">
        <v>2</v>
      </c>
      <c r="C74" s="6">
        <v>744.95000000000016</v>
      </c>
      <c r="D74" s="6">
        <v>0</v>
      </c>
      <c r="E74" s="8">
        <v>31</v>
      </c>
      <c r="F74" s="9">
        <v>320</v>
      </c>
      <c r="G74" s="1">
        <v>0</v>
      </c>
      <c r="H74" s="147">
        <v>129</v>
      </c>
      <c r="I74" s="27">
        <v>715.8</v>
      </c>
      <c r="J74" s="5">
        <v>3219</v>
      </c>
      <c r="K74" s="5">
        <v>467</v>
      </c>
      <c r="L74" s="5">
        <v>35</v>
      </c>
      <c r="M74" s="5">
        <v>5</v>
      </c>
      <c r="N74" s="5">
        <v>3</v>
      </c>
      <c r="O74" s="5">
        <v>24</v>
      </c>
      <c r="P74" s="5">
        <v>905</v>
      </c>
      <c r="Q74" s="5">
        <v>4658</v>
      </c>
      <c r="R74" s="56">
        <v>4405570.5999600012</v>
      </c>
      <c r="S74" s="1">
        <v>73</v>
      </c>
      <c r="T74" s="56">
        <v>270030.70205504878</v>
      </c>
      <c r="V74" s="15">
        <v>73</v>
      </c>
    </row>
    <row r="75" spans="1:22">
      <c r="A75" s="1">
        <v>2016</v>
      </c>
      <c r="B75" s="1" t="s">
        <v>3</v>
      </c>
      <c r="C75" s="6">
        <v>660.05</v>
      </c>
      <c r="D75" s="6">
        <v>0</v>
      </c>
      <c r="E75" s="8">
        <v>29</v>
      </c>
      <c r="F75" s="9">
        <v>320</v>
      </c>
      <c r="G75" s="1">
        <v>0</v>
      </c>
      <c r="H75" s="147">
        <v>129.4</v>
      </c>
      <c r="I75" s="27">
        <v>710.9</v>
      </c>
      <c r="J75" s="5">
        <v>3221</v>
      </c>
      <c r="K75" s="5">
        <v>466</v>
      </c>
      <c r="L75" s="5">
        <v>35</v>
      </c>
      <c r="M75" s="5">
        <v>5</v>
      </c>
      <c r="N75" s="5">
        <v>1</v>
      </c>
      <c r="O75" s="5">
        <v>24</v>
      </c>
      <c r="P75" s="5">
        <v>905</v>
      </c>
      <c r="Q75" s="5">
        <v>4657</v>
      </c>
      <c r="R75" s="56">
        <v>4328369.4283199999</v>
      </c>
      <c r="S75" s="1">
        <v>74</v>
      </c>
      <c r="T75" s="56">
        <v>274922.04833337094</v>
      </c>
      <c r="V75" s="15">
        <v>74</v>
      </c>
    </row>
    <row r="76" spans="1:22">
      <c r="A76" s="1">
        <v>2016</v>
      </c>
      <c r="B76" s="1" t="s">
        <v>4</v>
      </c>
      <c r="C76" s="6">
        <v>522.60000000000014</v>
      </c>
      <c r="D76" s="6">
        <v>0</v>
      </c>
      <c r="E76" s="8">
        <v>31</v>
      </c>
      <c r="F76" s="9">
        <v>336</v>
      </c>
      <c r="G76" s="1">
        <v>1</v>
      </c>
      <c r="H76" s="147">
        <v>130.30000000000001</v>
      </c>
      <c r="I76" s="27">
        <v>709.4</v>
      </c>
      <c r="J76" s="5">
        <v>3219</v>
      </c>
      <c r="K76" s="5">
        <v>466</v>
      </c>
      <c r="L76" s="5">
        <v>35</v>
      </c>
      <c r="M76" s="5">
        <v>5</v>
      </c>
      <c r="N76" s="5">
        <v>1</v>
      </c>
      <c r="O76" s="5">
        <v>24</v>
      </c>
      <c r="P76" s="5">
        <v>905</v>
      </c>
      <c r="Q76" s="5">
        <v>4655</v>
      </c>
      <c r="R76" s="56">
        <v>4524814.9260000009</v>
      </c>
      <c r="S76" s="1">
        <v>75</v>
      </c>
      <c r="T76" s="56">
        <v>279813.3946116931</v>
      </c>
      <c r="V76" s="15">
        <v>75</v>
      </c>
    </row>
    <row r="77" spans="1:22">
      <c r="A77" s="1">
        <v>2016</v>
      </c>
      <c r="B77" s="1" t="s">
        <v>5</v>
      </c>
      <c r="C77" s="6">
        <v>438.15</v>
      </c>
      <c r="D77" s="6">
        <v>0</v>
      </c>
      <c r="E77" s="8">
        <v>30</v>
      </c>
      <c r="F77" s="9">
        <v>336</v>
      </c>
      <c r="G77" s="1">
        <v>1</v>
      </c>
      <c r="H77" s="147">
        <v>130.69999999999999</v>
      </c>
      <c r="I77" s="27">
        <v>707.4</v>
      </c>
      <c r="J77" s="5">
        <v>3221</v>
      </c>
      <c r="K77" s="5">
        <v>472</v>
      </c>
      <c r="L77" s="5">
        <v>36</v>
      </c>
      <c r="M77" s="5">
        <v>5</v>
      </c>
      <c r="N77" s="5">
        <v>1</v>
      </c>
      <c r="O77" s="5">
        <v>24</v>
      </c>
      <c r="P77" s="5">
        <v>905</v>
      </c>
      <c r="Q77" s="5">
        <v>4664</v>
      </c>
      <c r="R77" s="56">
        <v>4449082.70364</v>
      </c>
      <c r="S77" s="1">
        <v>76</v>
      </c>
      <c r="T77" s="56">
        <v>284704.74089001527</v>
      </c>
      <c r="V77" s="15">
        <v>76</v>
      </c>
    </row>
    <row r="78" spans="1:22">
      <c r="A78" s="1">
        <v>2016</v>
      </c>
      <c r="B78" s="1" t="s">
        <v>6</v>
      </c>
      <c r="C78" s="6">
        <v>187.6</v>
      </c>
      <c r="D78" s="6">
        <v>22.4</v>
      </c>
      <c r="E78" s="8">
        <v>31</v>
      </c>
      <c r="F78" s="9">
        <v>336</v>
      </c>
      <c r="G78" s="1">
        <v>1</v>
      </c>
      <c r="H78" s="147">
        <v>131.19999999999999</v>
      </c>
      <c r="I78" s="27">
        <v>712.4</v>
      </c>
      <c r="J78" s="5">
        <v>3220</v>
      </c>
      <c r="K78" s="5">
        <v>473</v>
      </c>
      <c r="L78" s="5">
        <v>36</v>
      </c>
      <c r="M78" s="5">
        <v>5</v>
      </c>
      <c r="N78" s="5">
        <v>1</v>
      </c>
      <c r="O78" s="5">
        <v>24</v>
      </c>
      <c r="P78" s="5">
        <v>905</v>
      </c>
      <c r="Q78" s="5">
        <v>4664</v>
      </c>
      <c r="R78" s="56">
        <v>4474575.7718400005</v>
      </c>
      <c r="S78" s="1">
        <v>77</v>
      </c>
      <c r="T78" s="56">
        <v>289596.08716833743</v>
      </c>
      <c r="V78" s="15">
        <v>77</v>
      </c>
    </row>
    <row r="79" spans="1:22">
      <c r="A79" s="1">
        <v>2016</v>
      </c>
      <c r="B79" s="1" t="s">
        <v>7</v>
      </c>
      <c r="C79" s="6">
        <v>66.550000000000026</v>
      </c>
      <c r="D79" s="6">
        <v>27.55</v>
      </c>
      <c r="E79" s="8">
        <v>30</v>
      </c>
      <c r="F79" s="9">
        <v>352</v>
      </c>
      <c r="G79" s="1">
        <v>0</v>
      </c>
      <c r="H79" s="147">
        <v>131.5</v>
      </c>
      <c r="I79" s="27">
        <v>714.6</v>
      </c>
      <c r="J79" s="5">
        <v>3214</v>
      </c>
      <c r="K79" s="5">
        <v>472</v>
      </c>
      <c r="L79" s="5">
        <v>36</v>
      </c>
      <c r="M79" s="5">
        <v>5</v>
      </c>
      <c r="N79" s="5">
        <v>1</v>
      </c>
      <c r="O79" s="5">
        <v>24</v>
      </c>
      <c r="P79" s="5">
        <v>905</v>
      </c>
      <c r="Q79" s="5">
        <v>4657</v>
      </c>
      <c r="R79" s="56">
        <v>4649234.5382400006</v>
      </c>
      <c r="S79" s="1">
        <v>78</v>
      </c>
      <c r="T79" s="56">
        <v>294487.43344665959</v>
      </c>
      <c r="V79" s="15">
        <v>78</v>
      </c>
    </row>
    <row r="80" spans="1:22">
      <c r="A80" s="1">
        <v>2016</v>
      </c>
      <c r="B80" s="1" t="s">
        <v>8</v>
      </c>
      <c r="C80" s="6">
        <v>17.3</v>
      </c>
      <c r="D80" s="6">
        <v>83</v>
      </c>
      <c r="E80" s="8">
        <v>31</v>
      </c>
      <c r="F80" s="9">
        <v>320</v>
      </c>
      <c r="G80" s="1">
        <v>0</v>
      </c>
      <c r="H80" s="147">
        <v>131.4</v>
      </c>
      <c r="I80" s="27">
        <v>712.3</v>
      </c>
      <c r="J80" s="5">
        <v>3214</v>
      </c>
      <c r="K80" s="5">
        <v>473</v>
      </c>
      <c r="L80" s="5">
        <v>36</v>
      </c>
      <c r="M80" s="5">
        <v>5</v>
      </c>
      <c r="N80" s="5">
        <v>1</v>
      </c>
      <c r="O80" s="5">
        <v>24</v>
      </c>
      <c r="P80" s="5">
        <v>905</v>
      </c>
      <c r="Q80" s="5">
        <v>4658</v>
      </c>
      <c r="R80" s="56">
        <v>3951977.6131199999</v>
      </c>
      <c r="S80" s="1">
        <v>79</v>
      </c>
      <c r="T80" s="56">
        <v>299378.77972498175</v>
      </c>
      <c r="V80" s="15">
        <v>79</v>
      </c>
    </row>
    <row r="81" spans="1:22">
      <c r="A81" s="1">
        <v>2016</v>
      </c>
      <c r="B81" s="1" t="s">
        <v>9</v>
      </c>
      <c r="C81" s="6">
        <v>3</v>
      </c>
      <c r="D81" s="6">
        <v>91.249999999999986</v>
      </c>
      <c r="E81" s="8">
        <v>31</v>
      </c>
      <c r="F81" s="9">
        <v>352</v>
      </c>
      <c r="G81" s="1">
        <v>0</v>
      </c>
      <c r="H81" s="147">
        <v>131.1</v>
      </c>
      <c r="I81" s="27">
        <v>707.1</v>
      </c>
      <c r="J81" s="5">
        <v>3214</v>
      </c>
      <c r="K81" s="5">
        <v>472</v>
      </c>
      <c r="L81" s="5">
        <v>36</v>
      </c>
      <c r="M81" s="5">
        <v>5</v>
      </c>
      <c r="N81" s="5">
        <v>2</v>
      </c>
      <c r="O81" s="5">
        <v>24</v>
      </c>
      <c r="P81" s="5">
        <v>910</v>
      </c>
      <c r="Q81" s="5">
        <v>4663</v>
      </c>
      <c r="R81" s="56">
        <v>5045746.9622400003</v>
      </c>
      <c r="S81" s="1">
        <v>80</v>
      </c>
      <c r="T81" s="56">
        <v>304270.12600330391</v>
      </c>
      <c r="V81" s="15">
        <v>80</v>
      </c>
    </row>
    <row r="82" spans="1:22">
      <c r="A82" s="1">
        <v>2016</v>
      </c>
      <c r="B82" s="1" t="s">
        <v>10</v>
      </c>
      <c r="C82" s="6">
        <v>66.599999999999994</v>
      </c>
      <c r="D82" s="6">
        <v>25.1</v>
      </c>
      <c r="E82" s="8">
        <v>30</v>
      </c>
      <c r="F82" s="9">
        <v>336</v>
      </c>
      <c r="G82" s="1">
        <v>1</v>
      </c>
      <c r="H82" s="147">
        <v>131.69999999999999</v>
      </c>
      <c r="I82" s="27">
        <v>702.4</v>
      </c>
      <c r="J82" s="5">
        <v>3213</v>
      </c>
      <c r="K82" s="5">
        <v>471</v>
      </c>
      <c r="L82" s="5">
        <v>36</v>
      </c>
      <c r="M82" s="5">
        <v>5</v>
      </c>
      <c r="N82" s="5">
        <v>2</v>
      </c>
      <c r="O82" s="5">
        <v>24</v>
      </c>
      <c r="P82" s="5">
        <v>910</v>
      </c>
      <c r="Q82" s="5">
        <v>4661</v>
      </c>
      <c r="R82" s="56">
        <v>4829712.546240001</v>
      </c>
      <c r="S82" s="1">
        <v>81</v>
      </c>
      <c r="T82" s="56">
        <v>309161.47228162608</v>
      </c>
      <c r="V82" s="15">
        <v>81</v>
      </c>
    </row>
    <row r="83" spans="1:22">
      <c r="A83" s="1">
        <v>2016</v>
      </c>
      <c r="B83" s="1" t="s">
        <v>11</v>
      </c>
      <c r="C83" s="6">
        <v>250.79999999999995</v>
      </c>
      <c r="D83" s="6">
        <v>1.5</v>
      </c>
      <c r="E83" s="8">
        <v>31</v>
      </c>
      <c r="F83" s="9">
        <v>320</v>
      </c>
      <c r="G83" s="1">
        <v>1</v>
      </c>
      <c r="H83" s="147">
        <v>132</v>
      </c>
      <c r="I83" s="27">
        <v>702.3</v>
      </c>
      <c r="J83" s="5">
        <v>3218</v>
      </c>
      <c r="K83" s="5">
        <v>466</v>
      </c>
      <c r="L83" s="5">
        <v>36</v>
      </c>
      <c r="M83" s="5">
        <v>5</v>
      </c>
      <c r="N83" s="5">
        <v>2</v>
      </c>
      <c r="O83" s="5">
        <v>24</v>
      </c>
      <c r="P83" s="5">
        <v>910</v>
      </c>
      <c r="Q83" s="5">
        <v>4661</v>
      </c>
      <c r="R83" s="56">
        <v>4731581.3356800005</v>
      </c>
      <c r="S83" s="1">
        <v>82</v>
      </c>
      <c r="T83" s="56">
        <v>314052.81855994824</v>
      </c>
      <c r="V83" s="15">
        <v>82</v>
      </c>
    </row>
    <row r="84" spans="1:22">
      <c r="A84" s="1">
        <v>2016</v>
      </c>
      <c r="B84" s="1" t="s">
        <v>12</v>
      </c>
      <c r="C84" s="6">
        <v>383.15</v>
      </c>
      <c r="D84" s="6">
        <v>0</v>
      </c>
      <c r="E84" s="8">
        <v>30</v>
      </c>
      <c r="F84" s="9">
        <v>336</v>
      </c>
      <c r="G84" s="1">
        <v>1</v>
      </c>
      <c r="H84" s="147">
        <v>131.69999999999999</v>
      </c>
      <c r="I84" s="27">
        <v>680.08</v>
      </c>
      <c r="J84" s="5">
        <v>3227</v>
      </c>
      <c r="K84" s="5">
        <v>467</v>
      </c>
      <c r="L84" s="5">
        <v>35</v>
      </c>
      <c r="M84" s="5">
        <v>5</v>
      </c>
      <c r="N84" s="5">
        <v>2</v>
      </c>
      <c r="O84" s="5">
        <v>24</v>
      </c>
      <c r="P84" s="5">
        <v>910</v>
      </c>
      <c r="Q84" s="5">
        <v>4670</v>
      </c>
      <c r="R84" s="56">
        <v>4636842.8889600011</v>
      </c>
      <c r="S84" s="1">
        <v>83</v>
      </c>
      <c r="T84" s="56">
        <v>318944.1648382704</v>
      </c>
      <c r="V84" s="15">
        <v>83</v>
      </c>
    </row>
    <row r="85" spans="1:22">
      <c r="A85" s="1">
        <v>2016</v>
      </c>
      <c r="B85" s="1" t="s">
        <v>13</v>
      </c>
      <c r="C85" s="6">
        <v>678.6</v>
      </c>
      <c r="D85" s="6">
        <v>0</v>
      </c>
      <c r="E85" s="8">
        <v>31</v>
      </c>
      <c r="F85" s="9">
        <v>320</v>
      </c>
      <c r="G85" s="1">
        <v>0</v>
      </c>
      <c r="H85" s="147">
        <v>131.5</v>
      </c>
      <c r="I85" s="27">
        <v>678.47</v>
      </c>
      <c r="J85" s="5">
        <v>3232</v>
      </c>
      <c r="K85" s="5">
        <v>467</v>
      </c>
      <c r="L85" s="5">
        <v>35</v>
      </c>
      <c r="M85" s="5">
        <v>5</v>
      </c>
      <c r="N85" s="5">
        <v>2</v>
      </c>
      <c r="O85" s="5">
        <v>24</v>
      </c>
      <c r="P85" s="5">
        <v>910</v>
      </c>
      <c r="Q85" s="5">
        <v>4675</v>
      </c>
      <c r="R85" s="56">
        <v>4074210.2448000005</v>
      </c>
      <c r="S85" s="1">
        <v>84</v>
      </c>
      <c r="T85" s="56">
        <v>323835.51111659256</v>
      </c>
      <c r="U85" s="461">
        <f>SUM(T74:T85)</f>
        <v>3563197.2790298481</v>
      </c>
      <c r="V85" s="15">
        <v>84</v>
      </c>
    </row>
    <row r="86" spans="1:22">
      <c r="A86" s="1">
        <v>2017</v>
      </c>
      <c r="B86" s="1" t="s">
        <v>2</v>
      </c>
      <c r="C86" s="6">
        <v>683</v>
      </c>
      <c r="D86" s="6">
        <v>0</v>
      </c>
      <c r="E86" s="8">
        <v>31</v>
      </c>
      <c r="F86" s="8">
        <f>22*16</f>
        <v>352</v>
      </c>
      <c r="G86" s="1">
        <v>0</v>
      </c>
      <c r="H86" s="147">
        <v>132.1</v>
      </c>
      <c r="I86" s="27">
        <v>695.3</v>
      </c>
      <c r="J86" s="5">
        <v>3230</v>
      </c>
      <c r="K86" s="5">
        <v>467</v>
      </c>
      <c r="L86" s="5">
        <v>35</v>
      </c>
      <c r="M86" s="5">
        <v>5</v>
      </c>
      <c r="N86" s="5">
        <v>2</v>
      </c>
      <c r="O86" s="5">
        <v>24</v>
      </c>
      <c r="P86" s="5">
        <v>910</v>
      </c>
      <c r="Q86" s="5">
        <v>4673</v>
      </c>
      <c r="R86" s="56">
        <v>4687093.2816000003</v>
      </c>
      <c r="S86" s="1">
        <v>85</v>
      </c>
      <c r="T86" s="56">
        <v>327020.52911258215</v>
      </c>
      <c r="V86" s="15">
        <v>85</v>
      </c>
    </row>
    <row r="87" spans="1:22">
      <c r="A87" s="1">
        <v>2017</v>
      </c>
      <c r="B87" s="1" t="s">
        <v>3</v>
      </c>
      <c r="C87" s="6">
        <v>559.29999999999995</v>
      </c>
      <c r="D87" s="6">
        <v>0</v>
      </c>
      <c r="E87" s="8">
        <v>28</v>
      </c>
      <c r="F87" s="8">
        <f>19*16</f>
        <v>304</v>
      </c>
      <c r="G87" s="1">
        <v>0</v>
      </c>
      <c r="H87" s="147">
        <v>132.5</v>
      </c>
      <c r="I87" s="27">
        <v>696.5</v>
      </c>
      <c r="J87" s="5">
        <v>3229</v>
      </c>
      <c r="K87" s="5">
        <v>467</v>
      </c>
      <c r="L87" s="5">
        <v>35</v>
      </c>
      <c r="M87" s="5">
        <v>5</v>
      </c>
      <c r="N87" s="5">
        <v>2</v>
      </c>
      <c r="O87" s="5">
        <v>23</v>
      </c>
      <c r="P87" s="5">
        <v>910</v>
      </c>
      <c r="Q87" s="5">
        <v>4671</v>
      </c>
      <c r="R87" s="56">
        <v>4246252.9632000001</v>
      </c>
      <c r="S87" s="1">
        <v>86</v>
      </c>
      <c r="T87" s="56">
        <v>330205.54710857174</v>
      </c>
      <c r="V87" s="15">
        <v>86</v>
      </c>
    </row>
    <row r="88" spans="1:22">
      <c r="A88" s="1">
        <v>2017</v>
      </c>
      <c r="B88" s="1" t="s">
        <v>4</v>
      </c>
      <c r="C88" s="6">
        <v>649.80000000000007</v>
      </c>
      <c r="D88" s="6">
        <v>0</v>
      </c>
      <c r="E88" s="8">
        <v>31</v>
      </c>
      <c r="F88" s="8">
        <f>23*16</f>
        <v>368</v>
      </c>
      <c r="G88" s="1">
        <v>1</v>
      </c>
      <c r="H88" s="147">
        <v>133</v>
      </c>
      <c r="I88" s="27">
        <v>697.8</v>
      </c>
      <c r="J88" s="5">
        <v>3238</v>
      </c>
      <c r="K88" s="5">
        <v>467</v>
      </c>
      <c r="L88" s="5">
        <v>35</v>
      </c>
      <c r="M88" s="5">
        <v>5</v>
      </c>
      <c r="N88" s="5">
        <v>2</v>
      </c>
      <c r="O88" s="5">
        <v>23</v>
      </c>
      <c r="P88" s="5">
        <v>908</v>
      </c>
      <c r="Q88" s="5">
        <v>4678</v>
      </c>
      <c r="R88" s="56">
        <v>4726110.9715199992</v>
      </c>
      <c r="S88" s="1">
        <v>87</v>
      </c>
      <c r="T88" s="56">
        <v>333390.56510456133</v>
      </c>
      <c r="V88" s="15">
        <v>87</v>
      </c>
    </row>
    <row r="89" spans="1:22">
      <c r="A89" s="1">
        <v>2017</v>
      </c>
      <c r="B89" s="1" t="s">
        <v>5</v>
      </c>
      <c r="C89" s="6">
        <v>306.90000000000003</v>
      </c>
      <c r="D89" s="6">
        <v>0</v>
      </c>
      <c r="E89" s="8">
        <v>30</v>
      </c>
      <c r="F89" s="8">
        <f>19*16</f>
        <v>304</v>
      </c>
      <c r="G89" s="1">
        <v>1</v>
      </c>
      <c r="H89" s="147">
        <v>133.6</v>
      </c>
      <c r="I89" s="27">
        <v>705.6</v>
      </c>
      <c r="J89" s="5">
        <v>3244</v>
      </c>
      <c r="K89" s="5">
        <v>474</v>
      </c>
      <c r="L89" s="5">
        <v>36</v>
      </c>
      <c r="M89" s="5">
        <v>5</v>
      </c>
      <c r="N89" s="5">
        <v>2</v>
      </c>
      <c r="O89" s="5">
        <v>23</v>
      </c>
      <c r="P89" s="5">
        <v>908</v>
      </c>
      <c r="Q89" s="5">
        <v>4692</v>
      </c>
      <c r="R89" s="56">
        <v>4367735.7321600001</v>
      </c>
      <c r="S89" s="1">
        <v>88</v>
      </c>
      <c r="T89" s="56">
        <v>336575.58310055092</v>
      </c>
      <c r="V89" s="15">
        <v>88</v>
      </c>
    </row>
    <row r="90" spans="1:22">
      <c r="A90" s="1">
        <v>2017</v>
      </c>
      <c r="B90" s="1" t="s">
        <v>6</v>
      </c>
      <c r="C90" s="6">
        <v>228.2</v>
      </c>
      <c r="D90" s="6">
        <v>2.8</v>
      </c>
      <c r="E90" s="8">
        <v>31</v>
      </c>
      <c r="F90" s="8">
        <f>22*16</f>
        <v>352</v>
      </c>
      <c r="G90" s="1">
        <v>1</v>
      </c>
      <c r="H90" s="147">
        <v>133.69999999999999</v>
      </c>
      <c r="I90" s="27">
        <v>717.2</v>
      </c>
      <c r="J90" s="5">
        <v>3246</v>
      </c>
      <c r="K90" s="5">
        <v>477</v>
      </c>
      <c r="L90" s="5">
        <v>35</v>
      </c>
      <c r="M90" s="5">
        <v>5</v>
      </c>
      <c r="N90" s="5">
        <v>2</v>
      </c>
      <c r="O90" s="5">
        <v>23</v>
      </c>
      <c r="P90" s="5">
        <v>908</v>
      </c>
      <c r="Q90" s="5">
        <v>4696</v>
      </c>
      <c r="R90" s="56">
        <v>4615335.4579200009</v>
      </c>
      <c r="S90" s="1">
        <v>89</v>
      </c>
      <c r="T90" s="56">
        <v>339760.60109654051</v>
      </c>
      <c r="V90" s="15">
        <v>89</v>
      </c>
    </row>
    <row r="91" spans="1:22">
      <c r="A91" s="1">
        <v>2017</v>
      </c>
      <c r="B91" s="1" t="s">
        <v>7</v>
      </c>
      <c r="C91" s="6">
        <v>57.099999999999994</v>
      </c>
      <c r="D91" s="6">
        <v>33.200000000000003</v>
      </c>
      <c r="E91" s="8">
        <v>30</v>
      </c>
      <c r="F91" s="8">
        <f>22*16</f>
        <v>352</v>
      </c>
      <c r="G91" s="1">
        <v>0</v>
      </c>
      <c r="H91" s="147">
        <v>134.19999999999999</v>
      </c>
      <c r="I91" s="27">
        <v>736.2</v>
      </c>
      <c r="J91" s="5">
        <v>3242</v>
      </c>
      <c r="K91" s="5">
        <v>476</v>
      </c>
      <c r="L91" s="5">
        <v>35</v>
      </c>
      <c r="M91" s="5">
        <v>5</v>
      </c>
      <c r="N91" s="5">
        <v>2</v>
      </c>
      <c r="O91" s="5">
        <v>23</v>
      </c>
      <c r="P91" s="5">
        <v>908</v>
      </c>
      <c r="Q91" s="5">
        <v>4691</v>
      </c>
      <c r="R91" s="56">
        <v>4628753.59968</v>
      </c>
      <c r="S91" s="1">
        <v>90</v>
      </c>
      <c r="T91" s="56">
        <v>342945.61909253011</v>
      </c>
      <c r="V91" s="15">
        <v>90</v>
      </c>
    </row>
    <row r="92" spans="1:22">
      <c r="A92" s="1">
        <v>2017</v>
      </c>
      <c r="B92" s="1" t="s">
        <v>8</v>
      </c>
      <c r="C92" s="6">
        <v>9.4</v>
      </c>
      <c r="D92" s="6">
        <v>37.800000000000004</v>
      </c>
      <c r="E92" s="8">
        <v>31</v>
      </c>
      <c r="F92" s="8">
        <f>20*16</f>
        <v>320</v>
      </c>
      <c r="G92" s="1">
        <v>0</v>
      </c>
      <c r="H92" s="147">
        <v>134</v>
      </c>
      <c r="I92" s="27">
        <v>747.1</v>
      </c>
      <c r="J92" s="5">
        <v>3249</v>
      </c>
      <c r="K92" s="5">
        <v>477</v>
      </c>
      <c r="L92" s="5">
        <v>35</v>
      </c>
      <c r="M92" s="5">
        <v>5</v>
      </c>
      <c r="N92" s="5">
        <v>2</v>
      </c>
      <c r="O92" s="5">
        <v>23</v>
      </c>
      <c r="P92" s="5">
        <v>908</v>
      </c>
      <c r="Q92" s="5">
        <v>4699</v>
      </c>
      <c r="R92" s="56">
        <v>4242128.5584000004</v>
      </c>
      <c r="S92" s="1">
        <v>91</v>
      </c>
      <c r="T92" s="56">
        <v>346130.6370885197</v>
      </c>
      <c r="V92" s="15">
        <v>91</v>
      </c>
    </row>
    <row r="93" spans="1:22">
      <c r="A93" s="1">
        <v>2017</v>
      </c>
      <c r="B93" s="1" t="s">
        <v>9</v>
      </c>
      <c r="C93" s="6">
        <v>47.399999999999991</v>
      </c>
      <c r="D93" s="6">
        <v>26.3</v>
      </c>
      <c r="E93" s="8">
        <v>31</v>
      </c>
      <c r="F93" s="8">
        <f>22*16</f>
        <v>352</v>
      </c>
      <c r="G93" s="1">
        <v>0</v>
      </c>
      <c r="H93" s="147">
        <v>133.80000000000001</v>
      </c>
      <c r="I93" s="27">
        <v>752.8</v>
      </c>
      <c r="J93" s="5">
        <v>3252</v>
      </c>
      <c r="K93" s="5">
        <v>475</v>
      </c>
      <c r="L93" s="5">
        <v>35</v>
      </c>
      <c r="M93" s="5">
        <v>5</v>
      </c>
      <c r="N93" s="5">
        <v>2</v>
      </c>
      <c r="O93" s="5">
        <v>23</v>
      </c>
      <c r="P93" s="5">
        <v>908</v>
      </c>
      <c r="Q93" s="5">
        <v>4700</v>
      </c>
      <c r="R93" s="56">
        <v>4968790.0761599997</v>
      </c>
      <c r="S93" s="1">
        <v>92</v>
      </c>
      <c r="T93" s="56">
        <v>349315.65508450929</v>
      </c>
      <c r="V93" s="15">
        <v>92</v>
      </c>
    </row>
    <row r="94" spans="1:22">
      <c r="A94" s="1">
        <v>2017</v>
      </c>
      <c r="B94" s="1" t="s">
        <v>10</v>
      </c>
      <c r="C94" s="6">
        <v>92.4</v>
      </c>
      <c r="D94" s="6">
        <v>38.799999999999997</v>
      </c>
      <c r="E94" s="8">
        <v>30</v>
      </c>
      <c r="F94" s="8">
        <f>20*16</f>
        <v>320</v>
      </c>
      <c r="G94" s="1">
        <v>1</v>
      </c>
      <c r="H94" s="147">
        <v>134.4</v>
      </c>
      <c r="I94" s="27">
        <v>744.4</v>
      </c>
      <c r="J94" s="5">
        <v>3249</v>
      </c>
      <c r="K94" s="5">
        <v>475</v>
      </c>
      <c r="L94" s="5">
        <v>35</v>
      </c>
      <c r="M94" s="5">
        <v>5</v>
      </c>
      <c r="N94" s="5">
        <v>2</v>
      </c>
      <c r="O94" s="5">
        <v>23</v>
      </c>
      <c r="P94" s="5">
        <v>908</v>
      </c>
      <c r="Q94" s="5">
        <v>4697</v>
      </c>
      <c r="R94" s="56">
        <v>4504351.1932799993</v>
      </c>
      <c r="S94" s="1">
        <v>93</v>
      </c>
      <c r="T94" s="56">
        <v>352500.67308049888</v>
      </c>
      <c r="V94" s="15">
        <v>93</v>
      </c>
    </row>
    <row r="95" spans="1:22">
      <c r="A95" s="1">
        <v>2017</v>
      </c>
      <c r="B95" s="1" t="s">
        <v>11</v>
      </c>
      <c r="C95" s="6">
        <v>206.3</v>
      </c>
      <c r="D95" s="6">
        <v>1.4</v>
      </c>
      <c r="E95" s="8">
        <v>31</v>
      </c>
      <c r="F95" s="8">
        <f>21*16</f>
        <v>336</v>
      </c>
      <c r="G95" s="1">
        <v>1</v>
      </c>
      <c r="H95" s="147">
        <v>134.30000000000001</v>
      </c>
      <c r="I95" s="27">
        <v>735</v>
      </c>
      <c r="J95" s="5">
        <v>3252</v>
      </c>
      <c r="K95" s="5">
        <v>475</v>
      </c>
      <c r="L95" s="5">
        <v>35</v>
      </c>
      <c r="M95" s="5">
        <v>5</v>
      </c>
      <c r="N95" s="5">
        <v>2</v>
      </c>
      <c r="O95" s="5">
        <v>23</v>
      </c>
      <c r="P95" s="5">
        <v>908</v>
      </c>
      <c r="Q95" s="5">
        <v>4700</v>
      </c>
      <c r="R95" s="56">
        <v>4755960.1324800001</v>
      </c>
      <c r="S95" s="1">
        <v>94</v>
      </c>
      <c r="T95" s="56">
        <v>355685.69107648847</v>
      </c>
      <c r="V95" s="15">
        <v>94</v>
      </c>
    </row>
    <row r="96" spans="1:22">
      <c r="A96" s="1">
        <v>2017</v>
      </c>
      <c r="B96" s="1" t="s">
        <v>12</v>
      </c>
      <c r="C96" s="6">
        <v>506.2999999999999</v>
      </c>
      <c r="D96" s="6">
        <v>0</v>
      </c>
      <c r="E96" s="8">
        <v>30</v>
      </c>
      <c r="F96" s="8">
        <f>22*16</f>
        <v>352</v>
      </c>
      <c r="G96" s="1">
        <v>1</v>
      </c>
      <c r="H96" s="147">
        <v>134.6</v>
      </c>
      <c r="I96" s="27">
        <v>726.2</v>
      </c>
      <c r="J96" s="5">
        <v>3256</v>
      </c>
      <c r="K96" s="5">
        <v>472</v>
      </c>
      <c r="L96" s="5">
        <v>33</v>
      </c>
      <c r="M96" s="5">
        <v>5</v>
      </c>
      <c r="N96" s="5">
        <v>2</v>
      </c>
      <c r="O96" s="5">
        <v>23</v>
      </c>
      <c r="P96" s="5">
        <v>908</v>
      </c>
      <c r="Q96" s="5">
        <v>4699</v>
      </c>
      <c r="R96" s="56">
        <v>4578001.3094400009</v>
      </c>
      <c r="S96" s="1">
        <v>95</v>
      </c>
      <c r="T96" s="56">
        <v>358870.70907247806</v>
      </c>
      <c r="V96" s="15">
        <v>95</v>
      </c>
    </row>
    <row r="97" spans="1:22">
      <c r="A97" s="1">
        <v>2017</v>
      </c>
      <c r="B97" s="1" t="s">
        <v>13</v>
      </c>
      <c r="C97" s="6">
        <v>775.09999999999991</v>
      </c>
      <c r="D97" s="6">
        <v>0</v>
      </c>
      <c r="E97" s="8">
        <v>31</v>
      </c>
      <c r="F97" s="8">
        <f>19*16</f>
        <v>304</v>
      </c>
      <c r="G97" s="1">
        <v>0</v>
      </c>
      <c r="H97" s="147">
        <v>134</v>
      </c>
      <c r="I97" s="27">
        <v>716.5</v>
      </c>
      <c r="J97" s="5">
        <v>3261</v>
      </c>
      <c r="K97" s="5">
        <v>471</v>
      </c>
      <c r="L97" s="5">
        <v>33</v>
      </c>
      <c r="M97" s="5">
        <v>5</v>
      </c>
      <c r="N97" s="5">
        <v>2</v>
      </c>
      <c r="O97" s="5">
        <v>23</v>
      </c>
      <c r="P97" s="5">
        <v>908</v>
      </c>
      <c r="Q97" s="5">
        <v>4703</v>
      </c>
      <c r="R97" s="56">
        <v>3605478.5923200008</v>
      </c>
      <c r="S97" s="1">
        <v>96</v>
      </c>
      <c r="T97" s="56">
        <v>362055.72706846765</v>
      </c>
      <c r="U97" s="461">
        <f>SUM(T86:T97)</f>
        <v>4134457.5370862992</v>
      </c>
      <c r="V97" s="15">
        <v>96</v>
      </c>
    </row>
    <row r="98" spans="1:22">
      <c r="A98" s="1">
        <v>2018</v>
      </c>
      <c r="B98" s="1" t="s">
        <v>2</v>
      </c>
      <c r="C98" s="6">
        <v>792.89999999999986</v>
      </c>
      <c r="D98" s="6">
        <v>0</v>
      </c>
      <c r="E98" s="8">
        <v>31</v>
      </c>
      <c r="F98" s="8">
        <f>22*16</f>
        <v>352</v>
      </c>
      <c r="G98" s="1">
        <v>0</v>
      </c>
      <c r="H98" s="147">
        <v>135.30000000000001</v>
      </c>
      <c r="I98" s="27">
        <v>703.7</v>
      </c>
      <c r="J98" s="5">
        <v>3266</v>
      </c>
      <c r="K98" s="5">
        <v>468</v>
      </c>
      <c r="L98" s="5">
        <v>33</v>
      </c>
      <c r="M98" s="5">
        <v>5</v>
      </c>
      <c r="N98" s="5">
        <v>2</v>
      </c>
      <c r="O98" s="5">
        <v>23</v>
      </c>
      <c r="P98" s="5">
        <v>908</v>
      </c>
      <c r="Q98" s="5">
        <v>4705</v>
      </c>
      <c r="R98" s="56">
        <v>4526352.5299200006</v>
      </c>
      <c r="S98" s="1">
        <v>97</v>
      </c>
      <c r="T98" s="56">
        <v>365308.45476769638</v>
      </c>
      <c r="V98" s="15">
        <v>97</v>
      </c>
    </row>
    <row r="99" spans="1:22">
      <c r="A99" s="1">
        <v>2018</v>
      </c>
      <c r="B99" s="1" t="s">
        <v>3</v>
      </c>
      <c r="C99" s="6">
        <v>619.6</v>
      </c>
      <c r="D99" s="6">
        <v>0</v>
      </c>
      <c r="E99" s="8">
        <v>28</v>
      </c>
      <c r="F99" s="8">
        <f>19*16</f>
        <v>304</v>
      </c>
      <c r="G99" s="1">
        <v>0</v>
      </c>
      <c r="H99" s="147">
        <v>136</v>
      </c>
      <c r="I99" s="27">
        <v>692.6</v>
      </c>
      <c r="J99" s="5">
        <v>3266</v>
      </c>
      <c r="K99" s="5">
        <v>468</v>
      </c>
      <c r="L99" s="5">
        <v>33</v>
      </c>
      <c r="M99" s="5">
        <v>5</v>
      </c>
      <c r="N99" s="5">
        <v>4</v>
      </c>
      <c r="O99" s="5">
        <v>23</v>
      </c>
      <c r="P99" s="5">
        <v>908</v>
      </c>
      <c r="Q99" s="5">
        <v>4707</v>
      </c>
      <c r="R99" s="56">
        <v>4091881.8355200007</v>
      </c>
      <c r="S99" s="1">
        <v>98</v>
      </c>
      <c r="T99" s="56">
        <v>368561.18246692512</v>
      </c>
      <c r="V99" s="15">
        <v>98</v>
      </c>
    </row>
    <row r="100" spans="1:22">
      <c r="A100" s="1">
        <v>2018</v>
      </c>
      <c r="B100" s="1" t="s">
        <v>4</v>
      </c>
      <c r="C100" s="6">
        <v>631.59999999999991</v>
      </c>
      <c r="D100" s="6">
        <v>0</v>
      </c>
      <c r="E100" s="8">
        <v>31</v>
      </c>
      <c r="F100" s="8">
        <f>21*16</f>
        <v>336</v>
      </c>
      <c r="G100" s="1">
        <v>1</v>
      </c>
      <c r="H100" s="147">
        <v>136.69999999999999</v>
      </c>
      <c r="I100" s="27">
        <v>688.9</v>
      </c>
      <c r="J100" s="5">
        <v>3265</v>
      </c>
      <c r="K100" s="5">
        <v>469</v>
      </c>
      <c r="L100" s="5">
        <v>33</v>
      </c>
      <c r="M100" s="5">
        <v>5</v>
      </c>
      <c r="N100" s="5">
        <v>2</v>
      </c>
      <c r="O100" s="5">
        <v>23</v>
      </c>
      <c r="P100" s="5">
        <v>908</v>
      </c>
      <c r="Q100" s="5">
        <v>4705</v>
      </c>
      <c r="R100" s="56">
        <v>4458043.20096</v>
      </c>
      <c r="S100" s="1">
        <v>99</v>
      </c>
      <c r="T100" s="56">
        <v>371813.91016615386</v>
      </c>
      <c r="V100" s="15">
        <v>99</v>
      </c>
    </row>
    <row r="101" spans="1:22">
      <c r="A101" s="1">
        <v>2018</v>
      </c>
      <c r="B101" s="1" t="s">
        <v>5</v>
      </c>
      <c r="C101" s="6">
        <v>515.69999999999993</v>
      </c>
      <c r="D101" s="6">
        <v>0</v>
      </c>
      <c r="E101" s="8">
        <v>30</v>
      </c>
      <c r="F101" s="8">
        <f>21*16</f>
        <v>336</v>
      </c>
      <c r="G101" s="1">
        <v>1</v>
      </c>
      <c r="H101" s="147">
        <v>136.80000000000001</v>
      </c>
      <c r="I101" s="27">
        <v>695.4</v>
      </c>
      <c r="J101" s="5">
        <v>3268</v>
      </c>
      <c r="K101" s="5">
        <v>471</v>
      </c>
      <c r="L101" s="5">
        <v>33</v>
      </c>
      <c r="M101" s="5">
        <v>5</v>
      </c>
      <c r="N101" s="5">
        <v>2</v>
      </c>
      <c r="O101" s="5">
        <v>23</v>
      </c>
      <c r="P101" s="5">
        <v>908</v>
      </c>
      <c r="Q101" s="5">
        <v>4710</v>
      </c>
      <c r="R101" s="56">
        <v>4217020.4649599995</v>
      </c>
      <c r="S101" s="1">
        <v>100</v>
      </c>
      <c r="T101" s="56">
        <v>375066.6378653826</v>
      </c>
      <c r="V101" s="15">
        <v>100</v>
      </c>
    </row>
    <row r="102" spans="1:22">
      <c r="A102" s="1">
        <v>2018</v>
      </c>
      <c r="B102" s="1" t="s">
        <v>6</v>
      </c>
      <c r="C102" s="6">
        <v>120</v>
      </c>
      <c r="D102" s="6">
        <v>30.699999999999996</v>
      </c>
      <c r="E102" s="8">
        <v>31</v>
      </c>
      <c r="F102" s="8">
        <f>22*16</f>
        <v>352</v>
      </c>
      <c r="G102" s="1">
        <v>1</v>
      </c>
      <c r="H102" s="147">
        <v>136.69999999999999</v>
      </c>
      <c r="I102" s="27">
        <v>704.2</v>
      </c>
      <c r="J102" s="5">
        <v>3279</v>
      </c>
      <c r="K102" s="5">
        <v>470</v>
      </c>
      <c r="L102" s="5">
        <v>33</v>
      </c>
      <c r="M102" s="5">
        <v>5</v>
      </c>
      <c r="N102" s="5">
        <v>2</v>
      </c>
      <c r="O102" s="5">
        <v>23</v>
      </c>
      <c r="P102" s="5">
        <v>908</v>
      </c>
      <c r="Q102" s="5">
        <v>4720</v>
      </c>
      <c r="R102" s="56">
        <v>4625443.2067200011</v>
      </c>
      <c r="S102" s="1">
        <v>101</v>
      </c>
      <c r="T102" s="56">
        <v>378319.36556461133</v>
      </c>
      <c r="V102" s="15">
        <v>101</v>
      </c>
    </row>
    <row r="103" spans="1:22">
      <c r="A103" s="1">
        <v>2018</v>
      </c>
      <c r="B103" s="1" t="s">
        <v>7</v>
      </c>
      <c r="C103" s="6">
        <v>46.500000000000007</v>
      </c>
      <c r="D103" s="6">
        <v>28.7</v>
      </c>
      <c r="E103" s="8">
        <v>30</v>
      </c>
      <c r="F103" s="8">
        <f>21*16</f>
        <v>336</v>
      </c>
      <c r="G103" s="1">
        <v>0</v>
      </c>
      <c r="H103" s="147">
        <v>137.5</v>
      </c>
      <c r="I103" s="27">
        <v>720.2</v>
      </c>
      <c r="J103" s="5">
        <v>3273</v>
      </c>
      <c r="K103" s="5">
        <v>471</v>
      </c>
      <c r="L103" s="5">
        <v>34</v>
      </c>
      <c r="M103" s="5">
        <v>5</v>
      </c>
      <c r="N103" s="5">
        <v>2</v>
      </c>
      <c r="O103" s="5">
        <v>23</v>
      </c>
      <c r="P103" s="5">
        <v>908</v>
      </c>
      <c r="Q103" s="5">
        <v>4716</v>
      </c>
      <c r="R103" s="56">
        <v>4420601.9596800003</v>
      </c>
      <c r="S103" s="1">
        <v>102</v>
      </c>
      <c r="T103" s="56">
        <v>381572.09326384007</v>
      </c>
      <c r="V103" s="15">
        <v>102</v>
      </c>
    </row>
    <row r="104" spans="1:22">
      <c r="A104" s="1">
        <v>2018</v>
      </c>
      <c r="B104" s="1" t="s">
        <v>8</v>
      </c>
      <c r="C104" s="6">
        <v>11</v>
      </c>
      <c r="D104" s="6">
        <v>77.300000000000026</v>
      </c>
      <c r="E104" s="8">
        <v>31</v>
      </c>
      <c r="F104" s="8">
        <f>21*16</f>
        <v>336</v>
      </c>
      <c r="G104" s="1">
        <v>0</v>
      </c>
      <c r="H104" s="147">
        <v>138</v>
      </c>
      <c r="I104" s="27">
        <v>739.3</v>
      </c>
      <c r="J104" s="5">
        <v>3279</v>
      </c>
      <c r="K104" s="5">
        <v>472</v>
      </c>
      <c r="L104" s="5">
        <v>34</v>
      </c>
      <c r="M104" s="5">
        <v>5</v>
      </c>
      <c r="N104" s="5">
        <v>2</v>
      </c>
      <c r="O104" s="5">
        <v>23</v>
      </c>
      <c r="P104" s="5">
        <v>908</v>
      </c>
      <c r="Q104" s="5">
        <v>4723</v>
      </c>
      <c r="R104" s="56">
        <v>4194517.0176000008</v>
      </c>
      <c r="S104" s="1">
        <v>103</v>
      </c>
      <c r="T104" s="56">
        <v>384824.82096306881</v>
      </c>
      <c r="V104" s="15">
        <v>103</v>
      </c>
    </row>
    <row r="105" spans="1:22">
      <c r="A105" s="1">
        <v>2018</v>
      </c>
      <c r="B105" s="1" t="s">
        <v>9</v>
      </c>
      <c r="C105" s="6">
        <v>5.7</v>
      </c>
      <c r="D105" s="6">
        <v>80.900000000000006</v>
      </c>
      <c r="E105" s="8">
        <v>31</v>
      </c>
      <c r="F105" s="8">
        <f>22*16</f>
        <v>352</v>
      </c>
      <c r="G105" s="1">
        <v>0</v>
      </c>
      <c r="H105" s="147">
        <v>137.9</v>
      </c>
      <c r="I105" s="27">
        <v>747.9</v>
      </c>
      <c r="J105" s="5">
        <v>3285</v>
      </c>
      <c r="K105" s="5">
        <v>470</v>
      </c>
      <c r="L105" s="5">
        <v>35</v>
      </c>
      <c r="M105" s="5">
        <v>5</v>
      </c>
      <c r="N105" s="5">
        <v>2</v>
      </c>
      <c r="O105" s="5">
        <v>23</v>
      </c>
      <c r="P105" s="5">
        <v>908</v>
      </c>
      <c r="Q105" s="5">
        <v>4728</v>
      </c>
      <c r="R105" s="56">
        <v>4725688.9939200003</v>
      </c>
      <c r="S105" s="1">
        <v>104</v>
      </c>
      <c r="T105" s="56">
        <v>388077.54866229754</v>
      </c>
      <c r="V105" s="15">
        <v>104</v>
      </c>
    </row>
    <row r="106" spans="1:22">
      <c r="A106" s="1">
        <v>2018</v>
      </c>
      <c r="B106" s="1" t="s">
        <v>10</v>
      </c>
      <c r="C106" s="6">
        <v>87.899999999999991</v>
      </c>
      <c r="D106" s="6">
        <v>46.099999999999994</v>
      </c>
      <c r="E106" s="8">
        <v>30</v>
      </c>
      <c r="F106" s="8">
        <f>19*16</f>
        <v>304</v>
      </c>
      <c r="G106" s="1">
        <v>1</v>
      </c>
      <c r="H106" s="147">
        <v>137.4</v>
      </c>
      <c r="I106" s="27">
        <v>745.5</v>
      </c>
      <c r="J106" s="5">
        <v>3290</v>
      </c>
      <c r="K106" s="5">
        <v>471</v>
      </c>
      <c r="L106" s="5">
        <v>35</v>
      </c>
      <c r="M106" s="5">
        <v>5</v>
      </c>
      <c r="N106" s="5">
        <v>2</v>
      </c>
      <c r="O106" s="5">
        <v>23</v>
      </c>
      <c r="P106" s="5">
        <v>908</v>
      </c>
      <c r="Q106" s="5">
        <v>4734</v>
      </c>
      <c r="R106" s="56">
        <v>4238331.9321600003</v>
      </c>
      <c r="S106" s="1">
        <v>105</v>
      </c>
      <c r="T106" s="56">
        <v>391330.27636152628</v>
      </c>
      <c r="V106" s="15">
        <v>105</v>
      </c>
    </row>
    <row r="107" spans="1:22">
      <c r="A107" s="1">
        <v>2018</v>
      </c>
      <c r="B107" s="1" t="s">
        <v>11</v>
      </c>
      <c r="C107" s="6">
        <v>338.7</v>
      </c>
      <c r="D107" s="6">
        <v>7.9</v>
      </c>
      <c r="E107" s="8">
        <v>31</v>
      </c>
      <c r="F107" s="8">
        <f>22*16</f>
        <v>352</v>
      </c>
      <c r="G107" s="1">
        <v>1</v>
      </c>
      <c r="H107" s="147">
        <v>137.9</v>
      </c>
      <c r="I107" s="27">
        <v>742.1</v>
      </c>
      <c r="J107" s="5">
        <v>3290</v>
      </c>
      <c r="K107" s="5">
        <v>470</v>
      </c>
      <c r="L107" s="5">
        <v>35</v>
      </c>
      <c r="M107" s="5">
        <v>5</v>
      </c>
      <c r="N107" s="5">
        <v>2</v>
      </c>
      <c r="O107" s="5">
        <v>23</v>
      </c>
      <c r="P107" s="5">
        <v>908</v>
      </c>
      <c r="Q107" s="5">
        <v>4733</v>
      </c>
      <c r="R107" s="56">
        <v>4538667.4560000002</v>
      </c>
      <c r="S107" s="1">
        <v>106</v>
      </c>
      <c r="T107" s="56">
        <v>394583.00406075502</v>
      </c>
      <c r="V107" s="15">
        <v>106</v>
      </c>
    </row>
    <row r="108" spans="1:22">
      <c r="A108" s="1">
        <v>2018</v>
      </c>
      <c r="B108" s="1" t="s">
        <v>12</v>
      </c>
      <c r="C108" s="6">
        <v>568.90000000000009</v>
      </c>
      <c r="D108" s="6">
        <v>0</v>
      </c>
      <c r="E108" s="8">
        <v>30</v>
      </c>
      <c r="F108" s="8">
        <f>22*16</f>
        <v>352</v>
      </c>
      <c r="G108" s="1">
        <v>1</v>
      </c>
      <c r="H108" s="147">
        <v>137.4</v>
      </c>
      <c r="I108" s="27">
        <v>745.7</v>
      </c>
      <c r="J108" s="5">
        <v>3288</v>
      </c>
      <c r="K108" s="5">
        <v>471</v>
      </c>
      <c r="L108" s="5">
        <v>35</v>
      </c>
      <c r="M108" s="5">
        <v>5</v>
      </c>
      <c r="N108" s="5">
        <v>2</v>
      </c>
      <c r="O108" s="5">
        <v>23</v>
      </c>
      <c r="P108" s="5">
        <v>908</v>
      </c>
      <c r="Q108" s="5">
        <v>4732</v>
      </c>
      <c r="R108" s="56">
        <v>4247842.6252800003</v>
      </c>
      <c r="S108" s="1">
        <v>107</v>
      </c>
      <c r="T108" s="56">
        <v>397835.73175998376</v>
      </c>
      <c r="V108" s="15">
        <v>107</v>
      </c>
    </row>
    <row r="109" spans="1:22">
      <c r="A109" s="1">
        <v>2018</v>
      </c>
      <c r="B109" s="1" t="s">
        <v>13</v>
      </c>
      <c r="C109" s="6">
        <v>623.70000000000005</v>
      </c>
      <c r="D109" s="6">
        <v>0</v>
      </c>
      <c r="E109" s="8">
        <v>31</v>
      </c>
      <c r="F109" s="8">
        <f>19*16</f>
        <v>304</v>
      </c>
      <c r="G109" s="1">
        <v>0</v>
      </c>
      <c r="H109" s="147">
        <v>137.5</v>
      </c>
      <c r="I109" s="27">
        <v>751</v>
      </c>
      <c r="J109" s="5">
        <v>3294</v>
      </c>
      <c r="K109" s="5">
        <v>471</v>
      </c>
      <c r="L109" s="5">
        <v>35</v>
      </c>
      <c r="M109" s="5">
        <v>5</v>
      </c>
      <c r="N109" s="5">
        <v>4</v>
      </c>
      <c r="O109" s="5">
        <v>23</v>
      </c>
      <c r="P109" s="5">
        <v>908</v>
      </c>
      <c r="Q109" s="5">
        <v>4740</v>
      </c>
      <c r="R109" s="56">
        <v>3518108.4499200005</v>
      </c>
      <c r="S109" s="1">
        <v>108</v>
      </c>
      <c r="T109" s="56">
        <v>401088.45945921249</v>
      </c>
      <c r="U109" s="461">
        <f>SUM(T98:T109)</f>
        <v>4598381.4853614541</v>
      </c>
      <c r="V109" s="15">
        <v>108</v>
      </c>
    </row>
    <row r="110" spans="1:22">
      <c r="A110" s="1">
        <v>2019</v>
      </c>
      <c r="B110" s="1" t="s">
        <v>2</v>
      </c>
      <c r="C110" s="11">
        <v>848.80000000000007</v>
      </c>
      <c r="D110" s="11">
        <v>0</v>
      </c>
      <c r="E110" s="8">
        <v>31</v>
      </c>
      <c r="F110" s="8">
        <f>22*16</f>
        <v>352</v>
      </c>
      <c r="G110" s="1">
        <v>0</v>
      </c>
      <c r="H110" s="147">
        <v>137.69999999999999</v>
      </c>
      <c r="I110" s="27">
        <v>748.7</v>
      </c>
      <c r="J110" s="5">
        <v>3293</v>
      </c>
      <c r="K110" s="5">
        <v>463</v>
      </c>
      <c r="L110" s="5">
        <v>35</v>
      </c>
      <c r="M110" s="5">
        <v>5</v>
      </c>
      <c r="N110" s="5">
        <v>4</v>
      </c>
      <c r="O110" s="5">
        <v>23</v>
      </c>
      <c r="P110" s="5">
        <v>908</v>
      </c>
      <c r="Q110" s="5">
        <v>4731</v>
      </c>
      <c r="R110" s="56">
        <v>4403212.0070400005</v>
      </c>
      <c r="S110" s="1">
        <v>109</v>
      </c>
      <c r="T110" s="56">
        <v>403813.56917890575</v>
      </c>
      <c r="V110" s="15">
        <v>109</v>
      </c>
    </row>
    <row r="111" spans="1:22">
      <c r="A111" s="1">
        <v>2019</v>
      </c>
      <c r="B111" s="1" t="s">
        <v>3</v>
      </c>
      <c r="C111" s="11">
        <v>690</v>
      </c>
      <c r="D111" s="11">
        <v>0</v>
      </c>
      <c r="E111" s="8">
        <v>28</v>
      </c>
      <c r="F111" s="8">
        <f>19*16</f>
        <v>304</v>
      </c>
      <c r="G111" s="1">
        <v>0</v>
      </c>
      <c r="H111" s="147">
        <v>138.6</v>
      </c>
      <c r="I111" s="27">
        <v>741.3</v>
      </c>
      <c r="J111" s="5">
        <v>3292</v>
      </c>
      <c r="K111" s="5">
        <v>462</v>
      </c>
      <c r="L111" s="5">
        <v>35</v>
      </c>
      <c r="M111" s="5">
        <v>5</v>
      </c>
      <c r="N111" s="5">
        <v>2</v>
      </c>
      <c r="O111" s="5">
        <v>23</v>
      </c>
      <c r="P111" s="5">
        <v>908</v>
      </c>
      <c r="Q111" s="5">
        <v>4727</v>
      </c>
      <c r="R111" s="56">
        <v>3946641.8342400002</v>
      </c>
      <c r="S111" s="1">
        <v>110</v>
      </c>
      <c r="T111" s="56">
        <v>406538.678898599</v>
      </c>
      <c r="V111" s="15">
        <v>110</v>
      </c>
    </row>
    <row r="112" spans="1:22">
      <c r="A112" s="1">
        <v>2019</v>
      </c>
      <c r="B112" s="1" t="s">
        <v>4</v>
      </c>
      <c r="C112" s="11">
        <v>674.125</v>
      </c>
      <c r="D112" s="11">
        <v>0</v>
      </c>
      <c r="E112" s="8">
        <v>31</v>
      </c>
      <c r="F112" s="8">
        <f>21*16</f>
        <v>336</v>
      </c>
      <c r="G112" s="1">
        <v>1</v>
      </c>
      <c r="H112" s="147">
        <v>139.5</v>
      </c>
      <c r="I112" s="27">
        <v>733.8</v>
      </c>
      <c r="J112" s="5">
        <v>3296</v>
      </c>
      <c r="K112" s="5">
        <v>462</v>
      </c>
      <c r="L112" s="5">
        <v>35</v>
      </c>
      <c r="M112" s="5">
        <v>5</v>
      </c>
      <c r="N112" s="5">
        <v>2</v>
      </c>
      <c r="O112" s="5">
        <v>23</v>
      </c>
      <c r="P112" s="5">
        <v>908</v>
      </c>
      <c r="Q112" s="5">
        <v>4731</v>
      </c>
      <c r="R112" s="56">
        <v>4369392.9532800009</v>
      </c>
      <c r="S112" s="1">
        <v>111</v>
      </c>
      <c r="T112" s="56">
        <v>409263.78861829225</v>
      </c>
      <c r="V112" s="15">
        <v>111</v>
      </c>
    </row>
    <row r="113" spans="1:22">
      <c r="A113" s="1">
        <v>2019</v>
      </c>
      <c r="B113" s="1" t="s">
        <v>5</v>
      </c>
      <c r="C113" s="11">
        <v>412.49999999999994</v>
      </c>
      <c r="D113" s="11">
        <v>0</v>
      </c>
      <c r="E113" s="8">
        <v>30</v>
      </c>
      <c r="F113" s="8">
        <f>21*16</f>
        <v>336</v>
      </c>
      <c r="G113" s="1">
        <v>1</v>
      </c>
      <c r="H113" s="147">
        <v>139.80000000000001</v>
      </c>
      <c r="I113" s="27">
        <v>734</v>
      </c>
      <c r="J113" s="5">
        <v>3301</v>
      </c>
      <c r="K113" s="5">
        <v>469</v>
      </c>
      <c r="L113" s="5">
        <v>35</v>
      </c>
      <c r="M113" s="5">
        <v>5</v>
      </c>
      <c r="N113" s="5">
        <v>2</v>
      </c>
      <c r="O113" s="5">
        <v>23</v>
      </c>
      <c r="P113" s="5">
        <v>908</v>
      </c>
      <c r="Q113" s="5">
        <v>4743</v>
      </c>
      <c r="R113" s="56">
        <v>4248725.9011200005</v>
      </c>
      <c r="S113" s="1">
        <v>112</v>
      </c>
      <c r="T113" s="56">
        <v>411988.89833798551</v>
      </c>
      <c r="V113" s="15">
        <v>112</v>
      </c>
    </row>
    <row r="114" spans="1:22">
      <c r="A114" s="1">
        <v>2019</v>
      </c>
      <c r="B114" s="1" t="s">
        <v>6</v>
      </c>
      <c r="C114" s="11">
        <v>227.05000000000004</v>
      </c>
      <c r="D114" s="11">
        <v>1</v>
      </c>
      <c r="E114" s="8">
        <v>31</v>
      </c>
      <c r="F114" s="8">
        <f>22*16</f>
        <v>352</v>
      </c>
      <c r="G114" s="1">
        <v>1</v>
      </c>
      <c r="H114" s="147">
        <v>140.30000000000001</v>
      </c>
      <c r="I114" s="27">
        <v>747.1</v>
      </c>
      <c r="J114" s="5">
        <v>3300</v>
      </c>
      <c r="K114" s="5">
        <v>471</v>
      </c>
      <c r="L114" s="5">
        <v>35</v>
      </c>
      <c r="M114" s="5">
        <v>5</v>
      </c>
      <c r="N114" s="5">
        <v>2</v>
      </c>
      <c r="O114" s="5">
        <v>23</v>
      </c>
      <c r="P114" s="5">
        <v>908</v>
      </c>
      <c r="Q114" s="5">
        <v>4744</v>
      </c>
      <c r="R114" s="56">
        <v>4400982.5587200001</v>
      </c>
      <c r="S114" s="1">
        <v>113</v>
      </c>
      <c r="T114" s="56">
        <v>414714.00805767876</v>
      </c>
      <c r="V114" s="15">
        <v>113</v>
      </c>
    </row>
    <row r="115" spans="1:22">
      <c r="A115" s="1">
        <v>2019</v>
      </c>
      <c r="B115" s="1" t="s">
        <v>7</v>
      </c>
      <c r="C115" s="11">
        <v>70.2</v>
      </c>
      <c r="D115" s="11">
        <v>16.399999999999999</v>
      </c>
      <c r="E115" s="8">
        <v>30</v>
      </c>
      <c r="F115" s="8">
        <f>20*16</f>
        <v>320</v>
      </c>
      <c r="G115" s="1">
        <v>0</v>
      </c>
      <c r="H115" s="147">
        <v>140.30000000000001</v>
      </c>
      <c r="I115" s="27">
        <v>762.3</v>
      </c>
      <c r="J115" s="5">
        <v>3300</v>
      </c>
      <c r="K115" s="5">
        <v>470</v>
      </c>
      <c r="L115" s="5">
        <v>35</v>
      </c>
      <c r="M115" s="5">
        <v>5</v>
      </c>
      <c r="N115" s="5">
        <v>2</v>
      </c>
      <c r="O115" s="5">
        <v>23</v>
      </c>
      <c r="P115" s="5">
        <v>908</v>
      </c>
      <c r="Q115" s="5">
        <v>4743</v>
      </c>
      <c r="R115" s="56">
        <v>4127497.0646400009</v>
      </c>
      <c r="S115" s="1">
        <v>114</v>
      </c>
      <c r="T115" s="56">
        <v>417439.11777737201</v>
      </c>
      <c r="V115" s="15">
        <v>114</v>
      </c>
    </row>
    <row r="116" spans="1:22">
      <c r="A116" s="1">
        <v>2019</v>
      </c>
      <c r="B116" s="1" t="s">
        <v>8</v>
      </c>
      <c r="C116" s="11">
        <v>6.6000000000000005</v>
      </c>
      <c r="D116" s="11">
        <v>92.500000000000014</v>
      </c>
      <c r="E116" s="8">
        <v>31</v>
      </c>
      <c r="F116" s="8">
        <f>22*16</f>
        <v>352</v>
      </c>
      <c r="G116" s="1">
        <v>0</v>
      </c>
      <c r="H116" s="147">
        <v>141.19999999999999</v>
      </c>
      <c r="I116" s="27">
        <v>764.2</v>
      </c>
      <c r="J116" s="5">
        <v>3305</v>
      </c>
      <c r="K116" s="5">
        <v>471</v>
      </c>
      <c r="L116" s="5">
        <v>35</v>
      </c>
      <c r="M116" s="5">
        <v>5</v>
      </c>
      <c r="N116" s="5">
        <v>2</v>
      </c>
      <c r="O116" s="5">
        <v>23</v>
      </c>
      <c r="P116" s="5">
        <v>908</v>
      </c>
      <c r="Q116" s="5">
        <v>4749</v>
      </c>
      <c r="R116" s="56">
        <v>4161543.8371200003</v>
      </c>
      <c r="S116" s="1">
        <v>115</v>
      </c>
      <c r="T116" s="56">
        <v>420164.22749706527</v>
      </c>
      <c r="V116" s="15">
        <v>115</v>
      </c>
    </row>
    <row r="117" spans="1:22">
      <c r="A117" s="1">
        <v>2019</v>
      </c>
      <c r="B117" s="1" t="s">
        <v>9</v>
      </c>
      <c r="C117" s="11">
        <v>25.1</v>
      </c>
      <c r="D117" s="11">
        <v>33.300000000000004</v>
      </c>
      <c r="E117" s="8">
        <v>31</v>
      </c>
      <c r="F117" s="8">
        <f>21*16</f>
        <v>336</v>
      </c>
      <c r="G117" s="1">
        <v>0</v>
      </c>
      <c r="H117" s="147">
        <v>140.9</v>
      </c>
      <c r="I117" s="27">
        <v>760.2</v>
      </c>
      <c r="J117" s="5">
        <v>3303</v>
      </c>
      <c r="K117" s="5">
        <v>474</v>
      </c>
      <c r="L117" s="5">
        <v>35</v>
      </c>
      <c r="M117" s="5">
        <v>5</v>
      </c>
      <c r="N117" s="5">
        <v>2</v>
      </c>
      <c r="O117" s="5">
        <v>23</v>
      </c>
      <c r="P117" s="5">
        <v>908</v>
      </c>
      <c r="Q117" s="5">
        <v>4750</v>
      </c>
      <c r="R117" s="56">
        <v>4590395.5161600001</v>
      </c>
      <c r="S117" s="1">
        <v>116</v>
      </c>
      <c r="T117" s="56">
        <v>422889.33721675852</v>
      </c>
      <c r="V117" s="15">
        <v>116</v>
      </c>
    </row>
    <row r="118" spans="1:22">
      <c r="A118" s="1">
        <v>2019</v>
      </c>
      <c r="B118" s="1" t="s">
        <v>10</v>
      </c>
      <c r="C118" s="11">
        <v>90.899999999999991</v>
      </c>
      <c r="D118" s="11">
        <v>13.200000000000001</v>
      </c>
      <c r="E118" s="8">
        <v>30</v>
      </c>
      <c r="F118" s="8">
        <f>20*16</f>
        <v>320</v>
      </c>
      <c r="G118" s="1">
        <v>1</v>
      </c>
      <c r="H118" s="147">
        <v>139.69999999999999</v>
      </c>
      <c r="I118" s="27">
        <v>756.5</v>
      </c>
      <c r="J118" s="5">
        <v>3306</v>
      </c>
      <c r="K118" s="5">
        <v>473</v>
      </c>
      <c r="L118" s="5">
        <v>35</v>
      </c>
      <c r="M118" s="5">
        <v>5</v>
      </c>
      <c r="N118" s="5">
        <v>2</v>
      </c>
      <c r="O118" s="5">
        <v>23</v>
      </c>
      <c r="P118" s="5">
        <v>908</v>
      </c>
      <c r="Q118" s="5">
        <v>4752</v>
      </c>
      <c r="R118" s="56">
        <v>4357474.9632000001</v>
      </c>
      <c r="S118" s="1">
        <v>117</v>
      </c>
      <c r="T118" s="56">
        <v>425614.44693645177</v>
      </c>
      <c r="V118" s="15">
        <v>117</v>
      </c>
    </row>
    <row r="119" spans="1:22">
      <c r="A119" s="1">
        <v>2019</v>
      </c>
      <c r="B119" s="1" t="s">
        <v>11</v>
      </c>
      <c r="C119" s="11">
        <v>293.8</v>
      </c>
      <c r="D119" s="11">
        <v>2.1</v>
      </c>
      <c r="E119" s="8">
        <v>31</v>
      </c>
      <c r="F119" s="8">
        <f>22*16</f>
        <v>352</v>
      </c>
      <c r="G119" s="1">
        <v>1</v>
      </c>
      <c r="H119" s="147">
        <v>140.30000000000001</v>
      </c>
      <c r="I119" s="27">
        <v>760.7</v>
      </c>
      <c r="J119" s="5">
        <v>3301</v>
      </c>
      <c r="K119" s="5">
        <v>473</v>
      </c>
      <c r="L119" s="5">
        <v>35</v>
      </c>
      <c r="M119" s="5">
        <v>5</v>
      </c>
      <c r="N119" s="5">
        <v>2</v>
      </c>
      <c r="O119" s="5">
        <v>23</v>
      </c>
      <c r="P119" s="5">
        <v>908</v>
      </c>
      <c r="Q119" s="5">
        <v>4747</v>
      </c>
      <c r="R119" s="56">
        <v>4416877.5811200002</v>
      </c>
      <c r="S119" s="1">
        <v>118</v>
      </c>
      <c r="T119" s="56">
        <v>428339.55665614503</v>
      </c>
      <c r="V119" s="15">
        <v>118</v>
      </c>
    </row>
    <row r="120" spans="1:22">
      <c r="A120" s="1">
        <v>2019</v>
      </c>
      <c r="B120" s="1" t="s">
        <v>12</v>
      </c>
      <c r="C120" s="11">
        <v>576.79999999999984</v>
      </c>
      <c r="D120" s="11">
        <v>0</v>
      </c>
      <c r="E120" s="8">
        <v>30</v>
      </c>
      <c r="F120" s="8">
        <f>21*16</f>
        <v>336</v>
      </c>
      <c r="G120" s="1">
        <v>1</v>
      </c>
      <c r="H120" s="289">
        <v>139.9</v>
      </c>
      <c r="I120" s="27">
        <v>758.4</v>
      </c>
      <c r="J120" s="5">
        <v>3312</v>
      </c>
      <c r="K120" s="5">
        <v>476</v>
      </c>
      <c r="L120" s="5">
        <v>35</v>
      </c>
      <c r="M120" s="5">
        <v>5</v>
      </c>
      <c r="N120" s="5">
        <v>2</v>
      </c>
      <c r="O120" s="5">
        <v>23</v>
      </c>
      <c r="P120" s="5">
        <v>908</v>
      </c>
      <c r="Q120" s="5">
        <v>4761</v>
      </c>
      <c r="R120" s="281">
        <v>4037559.1459200005</v>
      </c>
      <c r="S120" s="1">
        <v>119</v>
      </c>
      <c r="T120" s="56">
        <v>431064.66637583828</v>
      </c>
      <c r="V120" s="15">
        <v>119</v>
      </c>
    </row>
    <row r="121" spans="1:22">
      <c r="A121" s="1">
        <v>2019</v>
      </c>
      <c r="B121" s="1" t="s">
        <v>13</v>
      </c>
      <c r="C121" s="282">
        <v>647.29999999999995</v>
      </c>
      <c r="D121" s="282">
        <v>0</v>
      </c>
      <c r="E121" s="8">
        <v>31</v>
      </c>
      <c r="F121" s="8">
        <f>20*16</f>
        <v>320</v>
      </c>
      <c r="G121" s="1">
        <v>0</v>
      </c>
      <c r="H121" s="289">
        <v>140.1</v>
      </c>
      <c r="I121" s="290">
        <v>756.5</v>
      </c>
      <c r="J121" s="5">
        <v>3314</v>
      </c>
      <c r="K121" s="5">
        <v>476</v>
      </c>
      <c r="L121" s="5">
        <v>35</v>
      </c>
      <c r="M121" s="5">
        <v>5</v>
      </c>
      <c r="N121" s="5">
        <v>4</v>
      </c>
      <c r="O121" s="5">
        <v>23</v>
      </c>
      <c r="P121" s="5">
        <v>907</v>
      </c>
      <c r="Q121" s="5">
        <v>4764</v>
      </c>
      <c r="R121" s="281">
        <v>3487388.6937600006</v>
      </c>
      <c r="S121" s="1">
        <v>120</v>
      </c>
      <c r="T121" s="56">
        <v>433789.77609553153</v>
      </c>
      <c r="U121" s="461">
        <f>SUM(T110:T121)</f>
        <v>5025620.0716466242</v>
      </c>
      <c r="V121" s="15">
        <v>120</v>
      </c>
    </row>
    <row r="122" spans="1:22" s="23" customFormat="1">
      <c r="A122" s="19">
        <v>2020</v>
      </c>
      <c r="B122" s="19" t="s">
        <v>2</v>
      </c>
      <c r="C122" s="20">
        <f t="shared" ref="C122:D145" si="0">AVERAGE(C2,C14,C26,C38,C50,C62,C74,C86,C98,C110)</f>
        <v>789.65166666666664</v>
      </c>
      <c r="D122" s="20">
        <f t="shared" si="0"/>
        <v>0</v>
      </c>
      <c r="E122" s="21">
        <v>31</v>
      </c>
      <c r="F122" s="21">
        <f>22*16</f>
        <v>352</v>
      </c>
      <c r="G122" s="19">
        <v>0</v>
      </c>
      <c r="H122" s="25">
        <f t="shared" ref="H122:M122" si="1">TREND(H2:H121,$V$2:$V$121,$V$122:$V$145)</f>
        <v>140.43969187675069</v>
      </c>
      <c r="I122" s="28">
        <f t="shared" si="1"/>
        <v>749.30128291316532</v>
      </c>
      <c r="J122" s="22">
        <f t="shared" si="1"/>
        <v>3315.8274509803923</v>
      </c>
      <c r="K122" s="22">
        <f t="shared" si="1"/>
        <v>468.72521008403368</v>
      </c>
      <c r="L122" s="22">
        <f t="shared" si="1"/>
        <v>33.738235294117651</v>
      </c>
      <c r="M122" s="22">
        <f t="shared" si="1"/>
        <v>5.0658263305322127</v>
      </c>
      <c r="N122" s="22">
        <f>N121</f>
        <v>4</v>
      </c>
      <c r="O122" s="22">
        <f>O121</f>
        <v>23</v>
      </c>
      <c r="P122" s="22">
        <f>P121</f>
        <v>907</v>
      </c>
      <c r="Q122" s="22">
        <f t="shared" ref="Q122:Q130" si="2">SUM(J122:P122)</f>
        <v>4757.3567226890755</v>
      </c>
      <c r="R122" s="465">
        <f>R110</f>
        <v>4403212.0070400005</v>
      </c>
      <c r="S122" s="22">
        <v>121</v>
      </c>
      <c r="T122" s="22">
        <v>432170.08919414127</v>
      </c>
      <c r="V122" s="24">
        <v>121</v>
      </c>
    </row>
    <row r="123" spans="1:22">
      <c r="A123" s="16">
        <v>2020</v>
      </c>
      <c r="B123" s="16" t="s">
        <v>3</v>
      </c>
      <c r="C123" s="17">
        <f t="shared" si="0"/>
        <v>698.95166666666671</v>
      </c>
      <c r="D123" s="17">
        <f t="shared" si="0"/>
        <v>0</v>
      </c>
      <c r="E123" s="18">
        <v>29</v>
      </c>
      <c r="F123" s="18">
        <f>19*16</f>
        <v>304</v>
      </c>
      <c r="G123" s="16">
        <v>0</v>
      </c>
      <c r="H123" s="26">
        <f t="shared" ref="H123:H145" si="3">TREND(H3:H122,$V$2:$V$121,$V$122:$V$145)</f>
        <v>140.6344323062558</v>
      </c>
      <c r="I123" s="29">
        <f t="shared" ref="I123:I145" si="4">TREND(I3:I122,$V$2:$V$121,$V$122:$V$145)</f>
        <v>749.79574444444438</v>
      </c>
      <c r="J123" s="12">
        <f t="shared" ref="J123:L145" si="5">TREND(J3:J122,$V$2:$V$121,$V$122:$V$145)</f>
        <v>3317.7116153127918</v>
      </c>
      <c r="K123" s="12">
        <f t="shared" si="5"/>
        <v>468.67655462184877</v>
      </c>
      <c r="L123" s="12">
        <f t="shared" si="5"/>
        <v>33.727549019607842</v>
      </c>
      <c r="M123" s="12">
        <f t="shared" ref="M123:M137" si="6">TREND(M3:M122,$V$2:$V$121,$V$122:$V$145)</f>
        <v>5.0596171802054153</v>
      </c>
      <c r="N123" s="12">
        <f t="shared" ref="N123:N145" si="7">N122</f>
        <v>4</v>
      </c>
      <c r="O123" s="12">
        <f t="shared" ref="O123:O145" si="8">O122</f>
        <v>23</v>
      </c>
      <c r="P123" s="12">
        <f t="shared" ref="P123:P145" si="9">P122</f>
        <v>907</v>
      </c>
      <c r="Q123" s="12">
        <f t="shared" si="2"/>
        <v>4759.1753361344545</v>
      </c>
      <c r="R123" s="466">
        <f t="shared" ref="R123:R133" si="10">R111</f>
        <v>3946641.8342400002</v>
      </c>
      <c r="S123" s="12">
        <v>122</v>
      </c>
      <c r="T123" s="12">
        <v>430550.40229275101</v>
      </c>
      <c r="V123" s="15">
        <v>122</v>
      </c>
    </row>
    <row r="124" spans="1:22">
      <c r="A124" s="16">
        <v>2020</v>
      </c>
      <c r="B124" s="16" t="s">
        <v>4</v>
      </c>
      <c r="C124" s="17">
        <f t="shared" si="0"/>
        <v>614.92805555555549</v>
      </c>
      <c r="D124" s="17">
        <f t="shared" si="0"/>
        <v>0.34</v>
      </c>
      <c r="E124" s="18">
        <v>31</v>
      </c>
      <c r="F124" s="18">
        <f>22*16</f>
        <v>352</v>
      </c>
      <c r="G124" s="16">
        <v>1</v>
      </c>
      <c r="H124" s="26">
        <f t="shared" si="3"/>
        <v>140.83501715405112</v>
      </c>
      <c r="I124" s="29">
        <f t="shared" si="4"/>
        <v>750.20510485467389</v>
      </c>
      <c r="J124" s="12">
        <f t="shared" si="5"/>
        <v>3319.6015147653829</v>
      </c>
      <c r="K124" s="12">
        <f t="shared" si="5"/>
        <v>468.6143479509451</v>
      </c>
      <c r="L124" s="12">
        <f t="shared" si="5"/>
        <v>33.71997786565607</v>
      </c>
      <c r="M124" s="12">
        <f t="shared" si="6"/>
        <v>5.053173400078987</v>
      </c>
      <c r="N124" s="12">
        <f t="shared" si="7"/>
        <v>4</v>
      </c>
      <c r="O124" s="12">
        <f t="shared" si="8"/>
        <v>23</v>
      </c>
      <c r="P124" s="12">
        <f t="shared" si="9"/>
        <v>907</v>
      </c>
      <c r="Q124" s="12">
        <f t="shared" si="2"/>
        <v>4760.9890139820627</v>
      </c>
      <c r="R124" s="466">
        <f t="shared" si="10"/>
        <v>4369392.9532800009</v>
      </c>
      <c r="S124" s="12">
        <v>123</v>
      </c>
      <c r="T124" s="12">
        <v>428930.71539136075</v>
      </c>
      <c r="V124" s="15">
        <v>123</v>
      </c>
    </row>
    <row r="125" spans="1:22">
      <c r="A125" s="16">
        <v>2020</v>
      </c>
      <c r="B125" s="16" t="s">
        <v>5</v>
      </c>
      <c r="C125" s="17">
        <f t="shared" si="0"/>
        <v>394.48666666666668</v>
      </c>
      <c r="D125" s="17">
        <f t="shared" si="0"/>
        <v>0.1</v>
      </c>
      <c r="E125" s="18">
        <v>30</v>
      </c>
      <c r="F125" s="18">
        <f>21*16</f>
        <v>336</v>
      </c>
      <c r="G125" s="16">
        <v>1</v>
      </c>
      <c r="H125" s="26">
        <f t="shared" si="3"/>
        <v>141.03497677731656</v>
      </c>
      <c r="I125" s="29">
        <f t="shared" si="4"/>
        <v>750.52672584533764</v>
      </c>
      <c r="J125" s="12">
        <f t="shared" si="5"/>
        <v>3321.4465488431538</v>
      </c>
      <c r="K125" s="12">
        <f t="shared" si="5"/>
        <v>468.4352176313663</v>
      </c>
      <c r="L125" s="12">
        <f t="shared" si="5"/>
        <v>33.715630159645556</v>
      </c>
      <c r="M125" s="12">
        <f t="shared" si="6"/>
        <v>5.0464897780462961</v>
      </c>
      <c r="N125" s="12">
        <f t="shared" si="7"/>
        <v>4</v>
      </c>
      <c r="O125" s="12">
        <f t="shared" si="8"/>
        <v>23</v>
      </c>
      <c r="P125" s="12">
        <f t="shared" si="9"/>
        <v>907</v>
      </c>
      <c r="Q125" s="12">
        <f t="shared" si="2"/>
        <v>4762.6438864122119</v>
      </c>
      <c r="R125" s="466">
        <f t="shared" si="10"/>
        <v>4248725.9011200005</v>
      </c>
      <c r="S125" s="12">
        <v>124</v>
      </c>
      <c r="T125" s="12">
        <v>427311.02848997049</v>
      </c>
      <c r="V125" s="15">
        <v>124</v>
      </c>
    </row>
    <row r="126" spans="1:22">
      <c r="A126" s="16">
        <v>2020</v>
      </c>
      <c r="B126" s="16" t="s">
        <v>6</v>
      </c>
      <c r="C126" s="17">
        <f t="shared" si="0"/>
        <v>168.45166666666665</v>
      </c>
      <c r="D126" s="17">
        <f t="shared" si="0"/>
        <v>16.080000000000002</v>
      </c>
      <c r="E126" s="18">
        <v>31</v>
      </c>
      <c r="F126" s="18">
        <f>20*16</f>
        <v>320</v>
      </c>
      <c r="G126" s="16">
        <v>1</v>
      </c>
      <c r="H126" s="26">
        <f t="shared" si="3"/>
        <v>141.23941613992022</v>
      </c>
      <c r="I126" s="29">
        <f t="shared" si="4"/>
        <v>750.8775667913535</v>
      </c>
      <c r="J126" s="12">
        <f t="shared" si="5"/>
        <v>3323.3469489666127</v>
      </c>
      <c r="K126" s="12">
        <f t="shared" si="5"/>
        <v>468.32030635101546</v>
      </c>
      <c r="L126" s="12">
        <f t="shared" si="5"/>
        <v>33.714616530998136</v>
      </c>
      <c r="M126" s="12">
        <f t="shared" si="6"/>
        <v>5.0395610268477764</v>
      </c>
      <c r="N126" s="12">
        <f t="shared" si="7"/>
        <v>4</v>
      </c>
      <c r="O126" s="12">
        <f t="shared" si="8"/>
        <v>23</v>
      </c>
      <c r="P126" s="12">
        <f t="shared" si="9"/>
        <v>907</v>
      </c>
      <c r="Q126" s="12">
        <f t="shared" si="2"/>
        <v>4764.4214328754742</v>
      </c>
      <c r="R126" s="466">
        <f t="shared" si="10"/>
        <v>4400982.5587200001</v>
      </c>
      <c r="S126" s="12">
        <v>125</v>
      </c>
      <c r="T126" s="12">
        <v>425691.34158858022</v>
      </c>
      <c r="V126" s="15">
        <v>125</v>
      </c>
    </row>
    <row r="127" spans="1:22">
      <c r="A127" s="16">
        <v>2020</v>
      </c>
      <c r="B127" s="16" t="s">
        <v>7</v>
      </c>
      <c r="C127" s="17">
        <f t="shared" si="0"/>
        <v>57.868333333333339</v>
      </c>
      <c r="D127" s="17">
        <f t="shared" si="0"/>
        <v>28.274999999999999</v>
      </c>
      <c r="E127" s="18">
        <v>30</v>
      </c>
      <c r="F127" s="18">
        <f>22*16</f>
        <v>352</v>
      </c>
      <c r="G127" s="16">
        <v>0</v>
      </c>
      <c r="H127" s="26">
        <f t="shared" si="3"/>
        <v>141.44861063389195</v>
      </c>
      <c r="I127" s="29">
        <f t="shared" si="4"/>
        <v>751.35929288689545</v>
      </c>
      <c r="J127" s="12">
        <f t="shared" si="5"/>
        <v>3325.3575669588186</v>
      </c>
      <c r="K127" s="12">
        <f t="shared" si="5"/>
        <v>468.23933701217476</v>
      </c>
      <c r="L127" s="12">
        <f t="shared" si="5"/>
        <v>33.717049942393167</v>
      </c>
      <c r="M127" s="12">
        <f t="shared" si="6"/>
        <v>5.0323817837557847</v>
      </c>
      <c r="N127" s="12">
        <f t="shared" si="7"/>
        <v>4</v>
      </c>
      <c r="O127" s="12">
        <f t="shared" si="8"/>
        <v>23</v>
      </c>
      <c r="P127" s="12">
        <f t="shared" si="9"/>
        <v>907</v>
      </c>
      <c r="Q127" s="12">
        <f t="shared" si="2"/>
        <v>4766.3463356971424</v>
      </c>
      <c r="R127" s="466">
        <f t="shared" si="10"/>
        <v>4127497.0646400009</v>
      </c>
      <c r="S127" s="12">
        <v>126</v>
      </c>
      <c r="T127" s="12">
        <v>424071.65468718996</v>
      </c>
      <c r="V127" s="15">
        <v>126</v>
      </c>
    </row>
    <row r="128" spans="1:22">
      <c r="A128" s="16">
        <v>2020</v>
      </c>
      <c r="B128" s="16" t="s">
        <v>8</v>
      </c>
      <c r="C128" s="17">
        <f t="shared" si="0"/>
        <v>17.11</v>
      </c>
      <c r="D128" s="17">
        <f t="shared" si="0"/>
        <v>72.36</v>
      </c>
      <c r="E128" s="18">
        <v>31</v>
      </c>
      <c r="F128" s="18">
        <f>22*16</f>
        <v>352</v>
      </c>
      <c r="G128" s="16">
        <v>0</v>
      </c>
      <c r="H128" s="26">
        <f t="shared" si="3"/>
        <v>141.6508821644386</v>
      </c>
      <c r="I128" s="29">
        <f t="shared" si="4"/>
        <v>752.07938286344097</v>
      </c>
      <c r="J128" s="12">
        <f t="shared" si="5"/>
        <v>3327.2629309223466</v>
      </c>
      <c r="K128" s="12">
        <f t="shared" si="5"/>
        <v>468.21141646581339</v>
      </c>
      <c r="L128" s="12">
        <f t="shared" si="5"/>
        <v>33.671785216858076</v>
      </c>
      <c r="M128" s="12">
        <f t="shared" si="6"/>
        <v>5.0249466102805389</v>
      </c>
      <c r="N128" s="12">
        <f t="shared" si="7"/>
        <v>4</v>
      </c>
      <c r="O128" s="12">
        <f t="shared" si="8"/>
        <v>23</v>
      </c>
      <c r="P128" s="12">
        <f t="shared" si="9"/>
        <v>907</v>
      </c>
      <c r="Q128" s="12">
        <f t="shared" si="2"/>
        <v>4768.171079215299</v>
      </c>
      <c r="R128" s="466">
        <f t="shared" si="10"/>
        <v>4161543.8371200003</v>
      </c>
      <c r="S128" s="12">
        <v>127</v>
      </c>
      <c r="T128" s="12">
        <v>422451.9677857997</v>
      </c>
      <c r="V128" s="15">
        <v>127</v>
      </c>
    </row>
    <row r="129" spans="1:22">
      <c r="A129" s="16">
        <v>2020</v>
      </c>
      <c r="B129" s="16" t="s">
        <v>9</v>
      </c>
      <c r="C129" s="17">
        <f t="shared" si="0"/>
        <v>24.599999999999998</v>
      </c>
      <c r="D129" s="17">
        <f t="shared" si="0"/>
        <v>52.274999999999999</v>
      </c>
      <c r="E129" s="18">
        <v>31</v>
      </c>
      <c r="F129" s="18">
        <f>20*16</f>
        <v>320</v>
      </c>
      <c r="G129" s="16">
        <v>0</v>
      </c>
      <c r="H129" s="26">
        <f t="shared" si="3"/>
        <v>141.86633223733384</v>
      </c>
      <c r="I129" s="29">
        <f t="shared" si="4"/>
        <v>752.99920722874788</v>
      </c>
      <c r="J129" s="12">
        <f t="shared" si="5"/>
        <v>3329.1595279282346</v>
      </c>
      <c r="K129" s="12">
        <f t="shared" si="5"/>
        <v>468.23960752994634</v>
      </c>
      <c r="L129" s="12">
        <f t="shared" si="5"/>
        <v>33.59305772458567</v>
      </c>
      <c r="M129" s="12">
        <f t="shared" si="6"/>
        <v>5.0172499918979572</v>
      </c>
      <c r="N129" s="12">
        <f t="shared" si="7"/>
        <v>4</v>
      </c>
      <c r="O129" s="12">
        <f t="shared" si="8"/>
        <v>23</v>
      </c>
      <c r="P129" s="12">
        <f t="shared" si="9"/>
        <v>907</v>
      </c>
      <c r="Q129" s="12">
        <f t="shared" si="2"/>
        <v>4770.0094431746647</v>
      </c>
      <c r="R129" s="466">
        <f t="shared" si="10"/>
        <v>4590395.5161600001</v>
      </c>
      <c r="S129" s="12">
        <v>128</v>
      </c>
      <c r="T129" s="12">
        <v>420832.28088440944</v>
      </c>
      <c r="V129" s="15">
        <v>128</v>
      </c>
    </row>
    <row r="130" spans="1:22">
      <c r="A130" s="16">
        <v>2020</v>
      </c>
      <c r="B130" s="16" t="s">
        <v>10</v>
      </c>
      <c r="C130" s="17">
        <f t="shared" si="0"/>
        <v>102.41333333333333</v>
      </c>
      <c r="D130" s="17">
        <f t="shared" si="0"/>
        <v>25.174999999999997</v>
      </c>
      <c r="E130" s="18">
        <v>30</v>
      </c>
      <c r="F130" s="18">
        <f>21*16</f>
        <v>336</v>
      </c>
      <c r="G130" s="16">
        <v>1</v>
      </c>
      <c r="H130" s="26">
        <f t="shared" si="3"/>
        <v>142.07864848261781</v>
      </c>
      <c r="I130" s="29">
        <f t="shared" si="4"/>
        <v>753.9527122733756</v>
      </c>
      <c r="J130" s="12">
        <f t="shared" si="5"/>
        <v>3330.9958450033982</v>
      </c>
      <c r="K130" s="12">
        <f t="shared" si="5"/>
        <v>468.22453181871043</v>
      </c>
      <c r="L130" s="12">
        <f t="shared" si="5"/>
        <v>33.530191226877477</v>
      </c>
      <c r="M130" s="12">
        <f t="shared" si="6"/>
        <v>5.0092863378002637</v>
      </c>
      <c r="N130" s="12">
        <f t="shared" si="7"/>
        <v>4</v>
      </c>
      <c r="O130" s="12">
        <f t="shared" si="8"/>
        <v>23</v>
      </c>
      <c r="P130" s="12">
        <f t="shared" si="9"/>
        <v>907</v>
      </c>
      <c r="Q130" s="12">
        <f t="shared" si="2"/>
        <v>4771.7598543867862</v>
      </c>
      <c r="R130" s="466">
        <f t="shared" si="10"/>
        <v>4357474.9632000001</v>
      </c>
      <c r="S130" s="12">
        <v>129</v>
      </c>
      <c r="T130" s="12">
        <v>419212.59398301918</v>
      </c>
      <c r="V130" s="15">
        <v>129</v>
      </c>
    </row>
    <row r="131" spans="1:22">
      <c r="A131" s="16">
        <v>2020</v>
      </c>
      <c r="B131" s="16" t="s">
        <v>11</v>
      </c>
      <c r="C131" s="17">
        <f t="shared" si="0"/>
        <v>283.29888888888888</v>
      </c>
      <c r="D131" s="17">
        <f t="shared" si="0"/>
        <v>1.32</v>
      </c>
      <c r="E131" s="18">
        <v>31</v>
      </c>
      <c r="F131" s="18">
        <f>21*16</f>
        <v>336</v>
      </c>
      <c r="G131" s="16">
        <v>1</v>
      </c>
      <c r="H131" s="26">
        <f t="shared" si="3"/>
        <v>142.29105328107624</v>
      </c>
      <c r="I131" s="29">
        <f t="shared" si="4"/>
        <v>754.78606837947939</v>
      </c>
      <c r="J131" s="12">
        <f t="shared" si="5"/>
        <v>3332.7173952550474</v>
      </c>
      <c r="K131" s="12">
        <f t="shared" si="5"/>
        <v>468.23182209600901</v>
      </c>
      <c r="L131" s="12">
        <f t="shared" si="5"/>
        <v>33.467080835663928</v>
      </c>
      <c r="M131" s="12">
        <f t="shared" si="6"/>
        <v>5.0010499806702269</v>
      </c>
      <c r="N131" s="12">
        <f t="shared" si="7"/>
        <v>4</v>
      </c>
      <c r="O131" s="12">
        <f t="shared" si="8"/>
        <v>23</v>
      </c>
      <c r="P131" s="12">
        <f t="shared" si="9"/>
        <v>907</v>
      </c>
      <c r="Q131" s="12">
        <f t="shared" ref="Q131:Q145" si="11">SUM(J131:P131)</f>
        <v>4773.4173481673915</v>
      </c>
      <c r="R131" s="466">
        <f t="shared" si="10"/>
        <v>4416877.5811200002</v>
      </c>
      <c r="S131" s="12">
        <v>130</v>
      </c>
      <c r="T131" s="12">
        <v>417592.90708162892</v>
      </c>
      <c r="V131" s="15">
        <v>130</v>
      </c>
    </row>
    <row r="132" spans="1:22">
      <c r="A132" s="16">
        <v>2020</v>
      </c>
      <c r="B132" s="16" t="s">
        <v>12</v>
      </c>
      <c r="C132" s="17">
        <f t="shared" si="0"/>
        <v>487.20722222222219</v>
      </c>
      <c r="D132" s="17">
        <f t="shared" si="0"/>
        <v>0</v>
      </c>
      <c r="E132" s="18">
        <v>30</v>
      </c>
      <c r="F132" s="18">
        <f>21*16</f>
        <v>336</v>
      </c>
      <c r="G132" s="16">
        <v>1</v>
      </c>
      <c r="H132" s="26">
        <f t="shared" si="3"/>
        <v>142.50696177653543</v>
      </c>
      <c r="I132" s="29">
        <f t="shared" si="4"/>
        <v>755.47488395567143</v>
      </c>
      <c r="J132" s="12">
        <f t="shared" si="5"/>
        <v>3334.488769235672</v>
      </c>
      <c r="K132" s="12">
        <f t="shared" si="5"/>
        <v>468.16012938878941</v>
      </c>
      <c r="L132" s="12">
        <f t="shared" si="5"/>
        <v>33.40374483565634</v>
      </c>
      <c r="M132" s="12">
        <f t="shared" si="6"/>
        <v>4.9925351764799153</v>
      </c>
      <c r="N132" s="12">
        <f t="shared" si="7"/>
        <v>4</v>
      </c>
      <c r="O132" s="12">
        <f t="shared" si="8"/>
        <v>23</v>
      </c>
      <c r="P132" s="12">
        <f t="shared" si="9"/>
        <v>907</v>
      </c>
      <c r="Q132" s="12">
        <f t="shared" si="11"/>
        <v>4775.0451786365975</v>
      </c>
      <c r="R132" s="466">
        <f t="shared" si="10"/>
        <v>4037559.1459200005</v>
      </c>
      <c r="S132" s="12">
        <v>131</v>
      </c>
      <c r="T132" s="12">
        <v>415973.22018023866</v>
      </c>
      <c r="V132" s="15">
        <v>131</v>
      </c>
    </row>
    <row r="133" spans="1:22">
      <c r="A133" s="16">
        <v>2020</v>
      </c>
      <c r="B133" s="16" t="s">
        <v>13</v>
      </c>
      <c r="C133" s="17">
        <f t="shared" si="0"/>
        <v>655.25333333333333</v>
      </c>
      <c r="D133" s="17">
        <f t="shared" si="0"/>
        <v>0</v>
      </c>
      <c r="E133" s="18">
        <v>31</v>
      </c>
      <c r="F133" s="18">
        <f>21*16</f>
        <v>336</v>
      </c>
      <c r="G133" s="16">
        <v>0</v>
      </c>
      <c r="H133" s="26">
        <f t="shared" si="3"/>
        <v>142.72144352998839</v>
      </c>
      <c r="I133" s="29">
        <f t="shared" si="4"/>
        <v>755.54761828564449</v>
      </c>
      <c r="J133" s="12">
        <f t="shared" si="5"/>
        <v>3336.535554255739</v>
      </c>
      <c r="K133" s="12">
        <f t="shared" si="5"/>
        <v>468.03889069689114</v>
      </c>
      <c r="L133" s="12">
        <f t="shared" si="5"/>
        <v>33.340202223532664</v>
      </c>
      <c r="M133" s="12">
        <f t="shared" si="6"/>
        <v>4.9837361043149109</v>
      </c>
      <c r="N133" s="12">
        <f t="shared" si="7"/>
        <v>4</v>
      </c>
      <c r="O133" s="12">
        <f t="shared" si="8"/>
        <v>23</v>
      </c>
      <c r="P133" s="12">
        <f t="shared" si="9"/>
        <v>907</v>
      </c>
      <c r="Q133" s="12">
        <f t="shared" si="11"/>
        <v>4776.8983832804779</v>
      </c>
      <c r="R133" s="466">
        <f t="shared" si="10"/>
        <v>3487388.6937600006</v>
      </c>
      <c r="S133" s="12">
        <v>132</v>
      </c>
      <c r="T133" s="12">
        <v>414353.53327884839</v>
      </c>
      <c r="V133" s="15">
        <v>132</v>
      </c>
    </row>
    <row r="134" spans="1:22" s="23" customFormat="1">
      <c r="A134" s="19">
        <v>2021</v>
      </c>
      <c r="B134" s="19" t="s">
        <v>2</v>
      </c>
      <c r="C134" s="20">
        <f t="shared" si="0"/>
        <v>789.46683333333328</v>
      </c>
      <c r="D134" s="20">
        <f t="shared" si="0"/>
        <v>0</v>
      </c>
      <c r="E134" s="21">
        <v>31</v>
      </c>
      <c r="F134" s="21">
        <f>20*16</f>
        <v>320</v>
      </c>
      <c r="G134" s="19">
        <v>0</v>
      </c>
      <c r="H134" s="25">
        <f t="shared" si="3"/>
        <v>142.92927623189973</v>
      </c>
      <c r="I134" s="28">
        <f t="shared" si="4"/>
        <v>756.09817980310584</v>
      </c>
      <c r="J134" s="22">
        <f t="shared" si="5"/>
        <v>3338.5666065765167</v>
      </c>
      <c r="K134" s="22">
        <f t="shared" si="5"/>
        <v>467.88231094100996</v>
      </c>
      <c r="L134" s="22">
        <f t="shared" si="5"/>
        <v>33.276472723987098</v>
      </c>
      <c r="M134" s="22">
        <f t="shared" si="6"/>
        <v>4.9746468662248784</v>
      </c>
      <c r="N134" s="22">
        <f t="shared" si="7"/>
        <v>4</v>
      </c>
      <c r="O134" s="22">
        <f t="shared" si="8"/>
        <v>23</v>
      </c>
      <c r="P134" s="22">
        <f t="shared" si="9"/>
        <v>907</v>
      </c>
      <c r="Q134" s="22">
        <f t="shared" si="11"/>
        <v>4778.7000371077384</v>
      </c>
      <c r="R134" s="465">
        <f>R110</f>
        <v>4403212.0070400005</v>
      </c>
      <c r="S134" s="22">
        <v>133</v>
      </c>
      <c r="T134" s="22">
        <v>416912.4493734921</v>
      </c>
      <c r="V134" s="24">
        <v>133</v>
      </c>
    </row>
    <row r="135" spans="1:22">
      <c r="A135" s="16">
        <v>2021</v>
      </c>
      <c r="B135" s="16" t="s">
        <v>3</v>
      </c>
      <c r="C135" s="17">
        <f t="shared" si="0"/>
        <v>700.8368333333334</v>
      </c>
      <c r="D135" s="17">
        <f t="shared" si="0"/>
        <v>0</v>
      </c>
      <c r="E135" s="18">
        <v>28</v>
      </c>
      <c r="F135" s="18">
        <f>19*16</f>
        <v>304</v>
      </c>
      <c r="G135" s="16">
        <v>0</v>
      </c>
      <c r="H135" s="26">
        <f t="shared" si="3"/>
        <v>143.13177277869406</v>
      </c>
      <c r="I135" s="29">
        <f t="shared" si="4"/>
        <v>756.55578484805983</v>
      </c>
      <c r="J135" s="12">
        <f t="shared" si="5"/>
        <v>3340.7005697921932</v>
      </c>
      <c r="K135" s="12">
        <f t="shared" si="5"/>
        <v>467.79094369857546</v>
      </c>
      <c r="L135" s="12">
        <f t="shared" si="5"/>
        <v>33.21257680601542</v>
      </c>
      <c r="M135" s="12">
        <f t="shared" si="6"/>
        <v>4.9652614871014586</v>
      </c>
      <c r="N135" s="12">
        <f t="shared" si="7"/>
        <v>4</v>
      </c>
      <c r="O135" s="12">
        <f t="shared" si="8"/>
        <v>23</v>
      </c>
      <c r="P135" s="12">
        <f t="shared" si="9"/>
        <v>907</v>
      </c>
      <c r="Q135" s="12">
        <f t="shared" si="11"/>
        <v>4780.6693517838858</v>
      </c>
      <c r="R135" s="466">
        <f t="shared" ref="R135:R145" si="12">R111</f>
        <v>3946641.8342400002</v>
      </c>
      <c r="S135" s="12">
        <v>134</v>
      </c>
      <c r="T135" s="12">
        <v>419471.3654681358</v>
      </c>
      <c r="V135" s="15">
        <v>134</v>
      </c>
    </row>
    <row r="136" spans="1:22">
      <c r="A136" s="16">
        <v>2021</v>
      </c>
      <c r="B136" s="16" t="s">
        <v>4</v>
      </c>
      <c r="C136" s="17">
        <f t="shared" si="0"/>
        <v>625.95086111111118</v>
      </c>
      <c r="D136" s="17">
        <f t="shared" si="0"/>
        <v>0.374</v>
      </c>
      <c r="E136" s="18">
        <v>31</v>
      </c>
      <c r="F136" s="18">
        <f>23*16</f>
        <v>368</v>
      </c>
      <c r="G136" s="16">
        <v>1</v>
      </c>
      <c r="H136" s="26">
        <f t="shared" si="3"/>
        <v>143.33716937442975</v>
      </c>
      <c r="I136" s="29">
        <f t="shared" si="4"/>
        <v>757.01623519571558</v>
      </c>
      <c r="J136" s="12">
        <f t="shared" si="5"/>
        <v>3342.704166540866</v>
      </c>
      <c r="K136" s="12">
        <f t="shared" si="5"/>
        <v>467.63201450424708</v>
      </c>
      <c r="L136" s="12">
        <f t="shared" si="5"/>
        <v>33.148535699437396</v>
      </c>
      <c r="M136" s="12">
        <f t="shared" si="6"/>
        <v>4.9555739145844759</v>
      </c>
      <c r="N136" s="12">
        <f t="shared" si="7"/>
        <v>4</v>
      </c>
      <c r="O136" s="12">
        <f t="shared" si="8"/>
        <v>23</v>
      </c>
      <c r="P136" s="12">
        <f t="shared" si="9"/>
        <v>907</v>
      </c>
      <c r="Q136" s="12">
        <f t="shared" si="11"/>
        <v>4782.4402906591349</v>
      </c>
      <c r="R136" s="466">
        <f t="shared" si="12"/>
        <v>4369392.9532800009</v>
      </c>
      <c r="S136" s="12">
        <v>135</v>
      </c>
      <c r="T136" s="12">
        <v>422030.28156277951</v>
      </c>
      <c r="V136" s="15">
        <v>135</v>
      </c>
    </row>
    <row r="137" spans="1:22">
      <c r="A137" s="16">
        <v>2021</v>
      </c>
      <c r="B137" s="16" t="s">
        <v>5</v>
      </c>
      <c r="C137" s="17">
        <f t="shared" si="0"/>
        <v>406.6153333333333</v>
      </c>
      <c r="D137" s="17">
        <f t="shared" si="0"/>
        <v>0.01</v>
      </c>
      <c r="E137" s="18">
        <v>30</v>
      </c>
      <c r="F137" s="18">
        <f>21*16</f>
        <v>336</v>
      </c>
      <c r="G137" s="16">
        <v>1</v>
      </c>
      <c r="H137" s="26">
        <f t="shared" si="3"/>
        <v>143.56444119025636</v>
      </c>
      <c r="I137" s="29">
        <f t="shared" si="4"/>
        <v>757.54857907673227</v>
      </c>
      <c r="J137" s="12">
        <f t="shared" si="5"/>
        <v>3344.6892414851714</v>
      </c>
      <c r="K137" s="12">
        <f t="shared" si="5"/>
        <v>467.50415001869374</v>
      </c>
      <c r="L137" s="12">
        <f t="shared" si="5"/>
        <v>33.084371411657187</v>
      </c>
      <c r="M137" s="12">
        <f t="shared" si="6"/>
        <v>4.9455780189974163</v>
      </c>
      <c r="N137" s="12">
        <f t="shared" si="7"/>
        <v>4</v>
      </c>
      <c r="O137" s="12">
        <f t="shared" si="8"/>
        <v>23</v>
      </c>
      <c r="P137" s="12">
        <f t="shared" si="9"/>
        <v>907</v>
      </c>
      <c r="Q137" s="12">
        <f t="shared" si="11"/>
        <v>4784.2233409345199</v>
      </c>
      <c r="R137" s="466">
        <f t="shared" si="12"/>
        <v>4248725.9011200005</v>
      </c>
      <c r="S137" s="12">
        <v>136</v>
      </c>
      <c r="T137" s="12">
        <v>424589.19765742321</v>
      </c>
      <c r="V137" s="15">
        <v>136</v>
      </c>
    </row>
    <row r="138" spans="1:22">
      <c r="A138" s="16">
        <v>2021</v>
      </c>
      <c r="B138" s="16" t="s">
        <v>6</v>
      </c>
      <c r="C138" s="17">
        <f t="shared" si="0"/>
        <v>170.47683333333333</v>
      </c>
      <c r="D138" s="17">
        <f t="shared" si="0"/>
        <v>15.288000000000002</v>
      </c>
      <c r="E138" s="18">
        <v>31</v>
      </c>
      <c r="F138" s="18">
        <f>20*16</f>
        <v>320</v>
      </c>
      <c r="G138" s="16">
        <v>1</v>
      </c>
      <c r="H138" s="26">
        <f t="shared" si="3"/>
        <v>143.79606583297982</v>
      </c>
      <c r="I138" s="29">
        <f t="shared" si="4"/>
        <v>758.21559370538125</v>
      </c>
      <c r="J138" s="12">
        <f t="shared" si="5"/>
        <v>3346.6547555523225</v>
      </c>
      <c r="K138" s="12">
        <f t="shared" si="5"/>
        <v>467.4434665147827</v>
      </c>
      <c r="L138" s="12">
        <f t="shared" si="5"/>
        <v>33.020106744662698</v>
      </c>
      <c r="M138" s="12">
        <f t="shared" ref="M138:M145" si="13">TREND(M18:M137,$V$2:$V$121,$V$122:$V$145)</f>
        <v>4.9352675933132311</v>
      </c>
      <c r="N138" s="12">
        <f t="shared" si="7"/>
        <v>4</v>
      </c>
      <c r="O138" s="12">
        <f t="shared" si="8"/>
        <v>23</v>
      </c>
      <c r="P138" s="12">
        <f t="shared" si="9"/>
        <v>907</v>
      </c>
      <c r="Q138" s="12">
        <f t="shared" si="11"/>
        <v>4786.0535964050814</v>
      </c>
      <c r="R138" s="466">
        <f t="shared" si="12"/>
        <v>4400982.5587200001</v>
      </c>
      <c r="S138" s="12">
        <v>137</v>
      </c>
      <c r="T138" s="12">
        <v>427148.11375206691</v>
      </c>
      <c r="V138" s="15">
        <v>137</v>
      </c>
    </row>
    <row r="139" spans="1:22">
      <c r="A139" s="16">
        <v>2021</v>
      </c>
      <c r="B139" s="16" t="s">
        <v>7</v>
      </c>
      <c r="C139" s="17">
        <f t="shared" si="0"/>
        <v>58.13183333333334</v>
      </c>
      <c r="D139" s="17">
        <f t="shared" si="0"/>
        <v>29.232499999999998</v>
      </c>
      <c r="E139" s="18">
        <v>30</v>
      </c>
      <c r="F139" s="18">
        <f>22*16</f>
        <v>352</v>
      </c>
      <c r="G139" s="16">
        <v>0</v>
      </c>
      <c r="H139" s="26">
        <f t="shared" si="3"/>
        <v>144.04251307253762</v>
      </c>
      <c r="I139" s="29">
        <f t="shared" si="4"/>
        <v>758.95368728982714</v>
      </c>
      <c r="J139" s="12">
        <f t="shared" si="5"/>
        <v>3348.4287744687067</v>
      </c>
      <c r="K139" s="12">
        <f t="shared" si="5"/>
        <v>467.36850358174183</v>
      </c>
      <c r="L139" s="12">
        <f t="shared" si="5"/>
        <v>32.972852146998775</v>
      </c>
      <c r="M139" s="12">
        <f t="shared" si="13"/>
        <v>4.9246363531514801</v>
      </c>
      <c r="N139" s="12">
        <f t="shared" si="7"/>
        <v>4</v>
      </c>
      <c r="O139" s="12">
        <f t="shared" si="8"/>
        <v>23</v>
      </c>
      <c r="P139" s="12">
        <f t="shared" si="9"/>
        <v>907</v>
      </c>
      <c r="Q139" s="12">
        <f t="shared" si="11"/>
        <v>4787.6947665505995</v>
      </c>
      <c r="R139" s="466">
        <f t="shared" si="12"/>
        <v>4127497.0646400009</v>
      </c>
      <c r="S139" s="12">
        <v>138</v>
      </c>
      <c r="T139" s="12">
        <v>429707.02984671062</v>
      </c>
      <c r="V139" s="15">
        <v>138</v>
      </c>
    </row>
    <row r="140" spans="1:22">
      <c r="A140" s="16">
        <v>2021</v>
      </c>
      <c r="B140" s="16" t="s">
        <v>8</v>
      </c>
      <c r="C140" s="17">
        <f t="shared" si="0"/>
        <v>17.550999999999998</v>
      </c>
      <c r="D140" s="17">
        <f t="shared" si="0"/>
        <v>70.626000000000005</v>
      </c>
      <c r="E140" s="18">
        <v>31</v>
      </c>
      <c r="F140" s="18">
        <f>21*16</f>
        <v>336</v>
      </c>
      <c r="G140" s="16">
        <v>0</v>
      </c>
      <c r="H140" s="26">
        <f t="shared" si="3"/>
        <v>144.27726090670552</v>
      </c>
      <c r="I140" s="29">
        <f t="shared" si="4"/>
        <v>759.85594326810815</v>
      </c>
      <c r="J140" s="12">
        <f t="shared" si="5"/>
        <v>3350.2907838942569</v>
      </c>
      <c r="K140" s="12">
        <f t="shared" si="5"/>
        <v>467.36382474147291</v>
      </c>
      <c r="L140" s="12">
        <f t="shared" si="5"/>
        <v>32.926534956270714</v>
      </c>
      <c r="M140" s="12">
        <f t="shared" si="13"/>
        <v>4.9136779368078738</v>
      </c>
      <c r="N140" s="12">
        <f t="shared" si="7"/>
        <v>4</v>
      </c>
      <c r="O140" s="12">
        <f t="shared" si="8"/>
        <v>23</v>
      </c>
      <c r="P140" s="12">
        <f t="shared" si="9"/>
        <v>907</v>
      </c>
      <c r="Q140" s="12">
        <f t="shared" si="11"/>
        <v>4789.4948215288077</v>
      </c>
      <c r="R140" s="466">
        <f t="shared" si="12"/>
        <v>4161543.8371200003</v>
      </c>
      <c r="S140" s="12">
        <v>139</v>
      </c>
      <c r="T140" s="12">
        <v>432265.94594135432</v>
      </c>
      <c r="V140" s="15">
        <v>139</v>
      </c>
    </row>
    <row r="141" spans="1:22">
      <c r="A141" s="16">
        <v>2021</v>
      </c>
      <c r="B141" s="16" t="s">
        <v>9</v>
      </c>
      <c r="C141" s="17">
        <f t="shared" si="0"/>
        <v>25.129999999999995</v>
      </c>
      <c r="D141" s="17">
        <f t="shared" si="0"/>
        <v>49.302500000000002</v>
      </c>
      <c r="E141" s="18">
        <v>31</v>
      </c>
      <c r="F141" s="18">
        <f>21*16</f>
        <v>336</v>
      </c>
      <c r="G141" s="16">
        <v>0</v>
      </c>
      <c r="H141" s="26">
        <f t="shared" si="3"/>
        <v>144.51323317299023</v>
      </c>
      <c r="I141" s="29">
        <f t="shared" si="4"/>
        <v>760.92159922691576</v>
      </c>
      <c r="J141" s="12">
        <f t="shared" si="5"/>
        <v>3352.2805064738513</v>
      </c>
      <c r="K141" s="12">
        <f t="shared" si="5"/>
        <v>467.33096395796463</v>
      </c>
      <c r="L141" s="12">
        <f t="shared" si="5"/>
        <v>32.881206274249344</v>
      </c>
      <c r="M141" s="12">
        <f t="shared" si="13"/>
        <v>4.9023859053173178</v>
      </c>
      <c r="N141" s="12">
        <f t="shared" si="7"/>
        <v>4</v>
      </c>
      <c r="O141" s="12">
        <f t="shared" si="8"/>
        <v>23</v>
      </c>
      <c r="P141" s="12">
        <f t="shared" si="9"/>
        <v>907</v>
      </c>
      <c r="Q141" s="12">
        <f t="shared" si="11"/>
        <v>4791.3950626113829</v>
      </c>
      <c r="R141" s="466">
        <f t="shared" si="12"/>
        <v>4590395.5161600001</v>
      </c>
      <c r="S141" s="12">
        <v>140</v>
      </c>
      <c r="T141" s="12">
        <v>434824.86203599803</v>
      </c>
      <c r="V141" s="15">
        <v>140</v>
      </c>
    </row>
    <row r="142" spans="1:22">
      <c r="A142" s="16">
        <v>2021</v>
      </c>
      <c r="B142" s="16" t="s">
        <v>10</v>
      </c>
      <c r="C142" s="17">
        <f t="shared" si="0"/>
        <v>98.954666666666654</v>
      </c>
      <c r="D142" s="17">
        <f t="shared" si="0"/>
        <v>26.142499999999995</v>
      </c>
      <c r="E142" s="18">
        <v>30</v>
      </c>
      <c r="F142" s="18">
        <f>21*16</f>
        <v>336</v>
      </c>
      <c r="G142" s="16">
        <v>1</v>
      </c>
      <c r="H142" s="26">
        <f t="shared" si="3"/>
        <v>144.74874740239198</v>
      </c>
      <c r="I142" s="29">
        <f t="shared" si="4"/>
        <v>762.05215130454576</v>
      </c>
      <c r="J142" s="12">
        <f t="shared" si="5"/>
        <v>3354.2689239585243</v>
      </c>
      <c r="K142" s="12">
        <f t="shared" si="5"/>
        <v>467.30231713234156</v>
      </c>
      <c r="L142" s="12">
        <f t="shared" si="5"/>
        <v>32.836918512229389</v>
      </c>
      <c r="M142" s="12">
        <f t="shared" si="13"/>
        <v>4.8907537425515262</v>
      </c>
      <c r="N142" s="12">
        <f t="shared" si="7"/>
        <v>4</v>
      </c>
      <c r="O142" s="12">
        <f t="shared" si="8"/>
        <v>23</v>
      </c>
      <c r="P142" s="12">
        <f t="shared" si="9"/>
        <v>907</v>
      </c>
      <c r="Q142" s="12">
        <f t="shared" si="11"/>
        <v>4793.2989133456467</v>
      </c>
      <c r="R142" s="466">
        <f t="shared" si="12"/>
        <v>4357474.9632000001</v>
      </c>
      <c r="S142" s="12">
        <v>141</v>
      </c>
      <c r="T142" s="12">
        <v>437383.77813064173</v>
      </c>
      <c r="V142" s="15">
        <v>141</v>
      </c>
    </row>
    <row r="143" spans="1:22">
      <c r="A143" s="16">
        <v>2021</v>
      </c>
      <c r="B143" s="16" t="s">
        <v>11</v>
      </c>
      <c r="C143" s="17">
        <f t="shared" si="0"/>
        <v>281.5287777777778</v>
      </c>
      <c r="D143" s="17">
        <f t="shared" si="0"/>
        <v>1.4520000000000002</v>
      </c>
      <c r="E143" s="18">
        <v>31</v>
      </c>
      <c r="F143" s="18">
        <f>20*16</f>
        <v>320</v>
      </c>
      <c r="G143" s="16">
        <v>1</v>
      </c>
      <c r="H143" s="26">
        <f t="shared" si="3"/>
        <v>144.9939832966507</v>
      </c>
      <c r="I143" s="29">
        <f t="shared" si="4"/>
        <v>763.08500122486407</v>
      </c>
      <c r="J143" s="12">
        <f t="shared" si="5"/>
        <v>3356.068041981282</v>
      </c>
      <c r="K143" s="12">
        <f t="shared" si="5"/>
        <v>467.27803853691847</v>
      </c>
      <c r="L143" s="12">
        <f t="shared" si="5"/>
        <v>32.793725413208925</v>
      </c>
      <c r="M143" s="12">
        <f t="shared" si="13"/>
        <v>4.878774855352372</v>
      </c>
      <c r="N143" s="12">
        <f t="shared" si="7"/>
        <v>4</v>
      </c>
      <c r="O143" s="12">
        <f t="shared" si="8"/>
        <v>23</v>
      </c>
      <c r="P143" s="12">
        <f t="shared" si="9"/>
        <v>907</v>
      </c>
      <c r="Q143" s="12">
        <f t="shared" si="11"/>
        <v>4795.018580786762</v>
      </c>
      <c r="R143" s="466">
        <f t="shared" si="12"/>
        <v>4416877.5811200002</v>
      </c>
      <c r="S143" s="12">
        <v>142</v>
      </c>
      <c r="T143" s="12">
        <v>439942.69422528544</v>
      </c>
      <c r="V143" s="15">
        <v>142</v>
      </c>
    </row>
    <row r="144" spans="1:22">
      <c r="A144" s="16">
        <v>2021</v>
      </c>
      <c r="B144" s="16" t="s">
        <v>12</v>
      </c>
      <c r="C144" s="17">
        <f t="shared" si="0"/>
        <v>492.00127777777777</v>
      </c>
      <c r="D144" s="17">
        <f t="shared" si="0"/>
        <v>0</v>
      </c>
      <c r="E144" s="18">
        <v>30</v>
      </c>
      <c r="F144" s="18">
        <f>22*16</f>
        <v>352</v>
      </c>
      <c r="G144" s="16">
        <v>1</v>
      </c>
      <c r="H144" s="26">
        <f t="shared" si="3"/>
        <v>145.23579060556301</v>
      </c>
      <c r="I144" s="29">
        <f t="shared" si="4"/>
        <v>764.01206148511562</v>
      </c>
      <c r="J144" s="12">
        <f t="shared" si="5"/>
        <v>3357.9061492642004</v>
      </c>
      <c r="K144" s="12">
        <f t="shared" si="5"/>
        <v>467.27537265058396</v>
      </c>
      <c r="L144" s="12">
        <f t="shared" si="5"/>
        <v>32.751682074258014</v>
      </c>
      <c r="M144" s="12">
        <f t="shared" si="13"/>
        <v>4.8664425737020895</v>
      </c>
      <c r="N144" s="12">
        <f t="shared" si="7"/>
        <v>4</v>
      </c>
      <c r="O144" s="12">
        <f t="shared" si="8"/>
        <v>23</v>
      </c>
      <c r="P144" s="12">
        <f t="shared" si="9"/>
        <v>907</v>
      </c>
      <c r="Q144" s="12">
        <f t="shared" si="11"/>
        <v>4796.7996465627439</v>
      </c>
      <c r="R144" s="466">
        <f t="shared" si="12"/>
        <v>4037559.1459200005</v>
      </c>
      <c r="S144" s="12">
        <v>143</v>
      </c>
      <c r="T144" s="12">
        <v>442501.61031992914</v>
      </c>
      <c r="V144" s="15">
        <v>143</v>
      </c>
    </row>
    <row r="145" spans="1:22">
      <c r="A145" s="16">
        <v>2021</v>
      </c>
      <c r="B145" s="16" t="s">
        <v>13</v>
      </c>
      <c r="C145" s="17">
        <f t="shared" si="0"/>
        <v>646.34866666666665</v>
      </c>
      <c r="D145" s="17">
        <f t="shared" si="0"/>
        <v>0</v>
      </c>
      <c r="E145" s="18">
        <v>31</v>
      </c>
      <c r="F145" s="18">
        <f>21*16</f>
        <v>336</v>
      </c>
      <c r="G145" s="16">
        <v>0</v>
      </c>
      <c r="H145" s="26">
        <f t="shared" si="3"/>
        <v>145.47220130237883</v>
      </c>
      <c r="I145" s="29">
        <f t="shared" si="4"/>
        <v>764.8471869187938</v>
      </c>
      <c r="J145" s="12">
        <f t="shared" si="5"/>
        <v>3359.8029771924112</v>
      </c>
      <c r="K145" s="12">
        <f t="shared" si="5"/>
        <v>467.15877558826088</v>
      </c>
      <c r="L145" s="12">
        <f t="shared" si="5"/>
        <v>32.676671299605424</v>
      </c>
      <c r="M145" s="12">
        <f t="shared" si="13"/>
        <v>4.8537501509315248</v>
      </c>
      <c r="N145" s="12">
        <f t="shared" si="7"/>
        <v>4</v>
      </c>
      <c r="O145" s="12">
        <f t="shared" si="8"/>
        <v>23</v>
      </c>
      <c r="P145" s="12">
        <f t="shared" si="9"/>
        <v>907</v>
      </c>
      <c r="Q145" s="12">
        <f t="shared" si="11"/>
        <v>4798.492174231209</v>
      </c>
      <c r="R145" s="466">
        <f t="shared" si="12"/>
        <v>3487388.6937600006</v>
      </c>
      <c r="S145" s="12">
        <v>144</v>
      </c>
      <c r="T145" s="12">
        <v>445060.52641457284</v>
      </c>
      <c r="V145" s="15">
        <v>144</v>
      </c>
    </row>
    <row r="146" spans="1:22">
      <c r="A146" s="10" t="s">
        <v>85</v>
      </c>
      <c r="Q146" s="5"/>
      <c r="R146" s="1"/>
    </row>
    <row r="147" spans="1:22" s="14" customFormat="1" ht="72.5">
      <c r="A147" s="13"/>
      <c r="B147" s="13"/>
      <c r="C147" s="13" t="s">
        <v>90</v>
      </c>
      <c r="D147" s="13" t="s">
        <v>90</v>
      </c>
      <c r="E147" s="13" t="s">
        <v>86</v>
      </c>
      <c r="F147" s="13" t="s">
        <v>86</v>
      </c>
      <c r="G147" s="13" t="s">
        <v>86</v>
      </c>
      <c r="H147" s="13" t="s">
        <v>92</v>
      </c>
      <c r="I147" s="13" t="s">
        <v>92</v>
      </c>
      <c r="J147" s="13" t="s">
        <v>92</v>
      </c>
      <c r="K147" s="13" t="s">
        <v>92</v>
      </c>
      <c r="L147" s="13" t="s">
        <v>92</v>
      </c>
      <c r="M147" s="13" t="s">
        <v>92</v>
      </c>
      <c r="N147" s="13" t="s">
        <v>94</v>
      </c>
      <c r="O147" s="13" t="s">
        <v>94</v>
      </c>
      <c r="P147" s="13" t="s">
        <v>94</v>
      </c>
      <c r="Q147" s="13" t="s">
        <v>95</v>
      </c>
      <c r="R147" s="283" t="s">
        <v>298</v>
      </c>
      <c r="S147" s="13" t="s">
        <v>86</v>
      </c>
      <c r="T147" s="283" t="s">
        <v>299</v>
      </c>
      <c r="V147" s="15"/>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1. Summary</vt:lpstr>
      <vt:lpstr>2. Power Purchased Model </vt:lpstr>
      <vt:lpstr>3a. Rate Class Energy Model</vt:lpstr>
      <vt:lpstr>3b. Rate Class Customer Model</vt:lpstr>
      <vt:lpstr>3c. Rate Class Load Model</vt:lpstr>
      <vt:lpstr>4a. Streetlights LED Conv</vt:lpstr>
      <vt:lpstr>4b. OEB App 2-I_CDM</vt:lpstr>
      <vt:lpstr>5a. Variable Sources</vt:lpstr>
      <vt:lpstr>5b. Variables</vt:lpstr>
      <vt:lpstr>'2. Power Purchased Model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Bucknall</dc:creator>
  <cp:lastModifiedBy>Richard Bucknall</cp:lastModifiedBy>
  <cp:lastPrinted>2021-02-05T03:15:24Z</cp:lastPrinted>
  <dcterms:created xsi:type="dcterms:W3CDTF">2019-09-11T14:49:24Z</dcterms:created>
  <dcterms:modified xsi:type="dcterms:W3CDTF">2021-03-25T16:15:11Z</dcterms:modified>
</cp:coreProperties>
</file>