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L:\Rates\Rate Applications\2021 COS - EB-2020-0043\Interrogatories\Updated Models and Workforms\"/>
    </mc:Choice>
  </mc:AlternateContent>
  <xr:revisionPtr revIDLastSave="0" documentId="13_ncr:1_{ADC5563C-6B03-4130-BAAC-1FA53509D20C}" xr6:coauthVersionLast="46" xr6:coauthVersionMax="46" xr10:uidLastSave="{00000000-0000-0000-0000-000000000000}"/>
  <bookViews>
    <workbookView xWindow="-120" yWindow="-120" windowWidth="29040" windowHeight="15840" activeTab="1" xr2:uid="{00000000-000D-0000-FFFF-FFFF00000000}"/>
  </bookViews>
  <sheets>
    <sheet name="App2 ZA" sheetId="1" r:id="rId1"/>
    <sheet name="App2 ZB" sheetId="2" r:id="rId2"/>
  </sheets>
  <externalReferences>
    <externalReference r:id="rId3"/>
  </externalReferenc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5" i="2" l="1"/>
  <c r="F114" i="2"/>
  <c r="J113" i="2"/>
  <c r="F113" i="2"/>
  <c r="F115" i="2" s="1"/>
  <c r="K115" i="2" s="1"/>
  <c r="E130" i="2" s="1"/>
  <c r="J112" i="2"/>
  <c r="F112" i="2"/>
  <c r="D108" i="2"/>
  <c r="J107" i="2"/>
  <c r="F107" i="2"/>
  <c r="J106" i="2"/>
  <c r="F106" i="2"/>
  <c r="J105" i="2"/>
  <c r="F105" i="2"/>
  <c r="J104" i="2"/>
  <c r="F104" i="2"/>
  <c r="J103" i="2"/>
  <c r="F103" i="2"/>
  <c r="J102" i="2"/>
  <c r="F102" i="2"/>
  <c r="J101" i="2"/>
  <c r="J108" i="2" s="1"/>
  <c r="F101" i="2"/>
  <c r="F108" i="2" s="1"/>
  <c r="K108" i="2" s="1"/>
  <c r="E129" i="2" s="1"/>
  <c r="H93" i="2"/>
  <c r="J93" i="2" s="1"/>
  <c r="J85" i="2"/>
  <c r="F85" i="2"/>
  <c r="J84" i="2"/>
  <c r="F84" i="2"/>
  <c r="J83" i="2"/>
  <c r="F83" i="2"/>
  <c r="J82" i="2"/>
  <c r="F82" i="2"/>
  <c r="J81" i="2"/>
  <c r="F81" i="2"/>
  <c r="J80" i="2"/>
  <c r="F80" i="2"/>
  <c r="J79" i="2"/>
  <c r="J86" i="2" s="1"/>
  <c r="F79" i="2"/>
  <c r="F86" i="2" s="1"/>
  <c r="A68" i="2"/>
  <c r="D62" i="2"/>
  <c r="F62" i="2" s="1"/>
  <c r="H61" i="2"/>
  <c r="H72" i="2" s="1"/>
  <c r="J72" i="2" s="1"/>
  <c r="F61" i="2"/>
  <c r="H60" i="2"/>
  <c r="J60" i="2" s="1"/>
  <c r="J59" i="2"/>
  <c r="D59" i="2"/>
  <c r="F59" i="2" s="1"/>
  <c r="H57" i="2"/>
  <c r="J57" i="2" s="1"/>
  <c r="H51" i="2"/>
  <c r="J51" i="2" s="1"/>
  <c r="D51" i="2"/>
  <c r="F51" i="2" s="1"/>
  <c r="J50" i="2"/>
  <c r="H50" i="2"/>
  <c r="D50" i="2"/>
  <c r="F50" i="2" s="1"/>
  <c r="H49" i="2"/>
  <c r="J49" i="2" s="1"/>
  <c r="D49" i="2"/>
  <c r="F49" i="2" s="1"/>
  <c r="H48" i="2"/>
  <c r="J48" i="2" s="1"/>
  <c r="F48" i="2"/>
  <c r="D48" i="2"/>
  <c r="J46" i="2"/>
  <c r="A41" i="2"/>
  <c r="A52" i="2" s="1"/>
  <c r="A63" i="2" s="1"/>
  <c r="J40" i="2"/>
  <c r="F40" i="2"/>
  <c r="J39" i="2"/>
  <c r="F39" i="2"/>
  <c r="J38" i="2"/>
  <c r="F38" i="2"/>
  <c r="J37" i="2"/>
  <c r="F37" i="2"/>
  <c r="A37" i="2"/>
  <c r="A48" i="2" s="1"/>
  <c r="A59" i="2" s="1"/>
  <c r="D36" i="2"/>
  <c r="F36" i="2" s="1"/>
  <c r="H35" i="2"/>
  <c r="H46" i="2" s="1"/>
  <c r="D31" i="2"/>
  <c r="J30" i="2"/>
  <c r="F30" i="2"/>
  <c r="A30" i="2"/>
  <c r="J29" i="2"/>
  <c r="F29" i="2"/>
  <c r="J28" i="2"/>
  <c r="F28" i="2"/>
  <c r="J27" i="2"/>
  <c r="F27" i="2"/>
  <c r="A27" i="2"/>
  <c r="A38" i="2" s="1"/>
  <c r="A49" i="2" s="1"/>
  <c r="A60" i="2" s="1"/>
  <c r="J26" i="2"/>
  <c r="F26" i="2"/>
  <c r="A26" i="2"/>
  <c r="J25" i="2"/>
  <c r="F25" i="2"/>
  <c r="F31" i="2" s="1"/>
  <c r="J24" i="2"/>
  <c r="F24" i="2"/>
  <c r="H20" i="2"/>
  <c r="H19" i="2"/>
  <c r="H41" i="2" s="1"/>
  <c r="H52" i="2" s="1"/>
  <c r="J52" i="2" s="1"/>
  <c r="D19" i="2"/>
  <c r="D41" i="2" s="1"/>
  <c r="H18" i="2"/>
  <c r="D18" i="2"/>
  <c r="F18" i="2" s="1"/>
  <c r="A18" i="2"/>
  <c r="A29" i="2" s="1"/>
  <c r="A40" i="2" s="1"/>
  <c r="A51" i="2" s="1"/>
  <c r="A62" i="2" s="1"/>
  <c r="J17" i="2"/>
  <c r="H17" i="2"/>
  <c r="D17" i="2"/>
  <c r="D61" i="2" s="1"/>
  <c r="D72" i="2" s="1"/>
  <c r="A17" i="2"/>
  <c r="A28" i="2" s="1"/>
  <c r="A39" i="2" s="1"/>
  <c r="A50" i="2" s="1"/>
  <c r="A61" i="2" s="1"/>
  <c r="H16" i="2"/>
  <c r="J16" i="2" s="1"/>
  <c r="D16" i="2"/>
  <c r="F16" i="2" s="1"/>
  <c r="A16" i="2"/>
  <c r="H15" i="2"/>
  <c r="H59" i="2" s="1"/>
  <c r="F15" i="2"/>
  <c r="D15" i="2"/>
  <c r="A15" i="2"/>
  <c r="H14" i="2"/>
  <c r="H36" i="2" s="1"/>
  <c r="D14" i="2"/>
  <c r="F14" i="2" s="1"/>
  <c r="A14" i="2"/>
  <c r="A25" i="2" s="1"/>
  <c r="A36" i="2" s="1"/>
  <c r="A47" i="2" s="1"/>
  <c r="A58" i="2" s="1"/>
  <c r="J13" i="2"/>
  <c r="H13" i="2"/>
  <c r="D13" i="2"/>
  <c r="D35" i="2" s="1"/>
  <c r="D46" i="2" s="1"/>
  <c r="A13" i="2"/>
  <c r="A24" i="2" s="1"/>
  <c r="A35" i="2" s="1"/>
  <c r="A46" i="2" s="1"/>
  <c r="A57" i="2" s="1"/>
  <c r="A79" i="2" s="1"/>
  <c r="A90" i="2" s="1"/>
  <c r="A101" i="2" s="1"/>
  <c r="A112" i="2" s="1"/>
  <c r="F12" i="2"/>
  <c r="D10" i="2"/>
  <c r="D123" i="2" s="1"/>
  <c r="B58" i="1"/>
  <c r="L57" i="1"/>
  <c r="B57" i="1"/>
  <c r="K56" i="1"/>
  <c r="L56" i="1" s="1"/>
  <c r="H56" i="1"/>
  <c r="B56" i="1"/>
  <c r="K55" i="1"/>
  <c r="L55" i="1" s="1"/>
  <c r="H55" i="1"/>
  <c r="B55" i="1"/>
  <c r="K54" i="1"/>
  <c r="L54" i="1" s="1"/>
  <c r="H54" i="1"/>
  <c r="B54" i="1"/>
  <c r="K53" i="1"/>
  <c r="B53" i="1"/>
  <c r="K52" i="1"/>
  <c r="L52" i="1" s="1"/>
  <c r="H52" i="1"/>
  <c r="B52" i="1"/>
  <c r="K51" i="1"/>
  <c r="L51" i="1" s="1"/>
  <c r="H51" i="1"/>
  <c r="B51" i="1"/>
  <c r="G46" i="1"/>
  <c r="F46" i="1"/>
  <c r="G44" i="1"/>
  <c r="L44" i="1" s="1"/>
  <c r="G43" i="1"/>
  <c r="L43" i="1" s="1"/>
  <c r="L46" i="1" s="1"/>
  <c r="G41" i="1"/>
  <c r="G48" i="1" s="1"/>
  <c r="I38" i="1"/>
  <c r="F38" i="1"/>
  <c r="J37" i="1"/>
  <c r="J36" i="1"/>
  <c r="J35" i="1"/>
  <c r="J34" i="1"/>
  <c r="J33" i="1"/>
  <c r="J32" i="1"/>
  <c r="J31" i="1"/>
  <c r="H31" i="1"/>
  <c r="H38" i="1" s="1"/>
  <c r="J30" i="1"/>
  <c r="J29" i="1"/>
  <c r="G26" i="1"/>
  <c r="H20" i="1"/>
  <c r="K33" i="1" s="1"/>
  <c r="L33" i="1" s="1"/>
  <c r="A72" i="2" l="1"/>
  <c r="A83" i="2"/>
  <c r="A94" i="2" s="1"/>
  <c r="A105" i="2" s="1"/>
  <c r="F46" i="2"/>
  <c r="D57" i="2"/>
  <c r="H70" i="2"/>
  <c r="J70" i="2" s="1"/>
  <c r="H92" i="2"/>
  <c r="J92" i="2" s="1"/>
  <c r="A84" i="2"/>
  <c r="A95" i="2" s="1"/>
  <c r="A106" i="2" s="1"/>
  <c r="A73" i="2"/>
  <c r="K31" i="2"/>
  <c r="F35" i="2"/>
  <c r="A69" i="2"/>
  <c r="A80" i="2"/>
  <c r="A91" i="2" s="1"/>
  <c r="A102" i="2" s="1"/>
  <c r="A113" i="2" s="1"/>
  <c r="H62" i="2"/>
  <c r="J18" i="2"/>
  <c r="F41" i="2"/>
  <c r="D52" i="2"/>
  <c r="J36" i="2"/>
  <c r="H47" i="2"/>
  <c r="J47" i="2" s="1"/>
  <c r="J53" i="2" s="1"/>
  <c r="A81" i="2"/>
  <c r="A92" i="2" s="1"/>
  <c r="A103" i="2" s="1"/>
  <c r="A70" i="2"/>
  <c r="A82" i="2"/>
  <c r="A93" i="2" s="1"/>
  <c r="A104" i="2" s="1"/>
  <c r="A71" i="2"/>
  <c r="A85" i="2"/>
  <c r="A96" i="2" s="1"/>
  <c r="A107" i="2" s="1"/>
  <c r="A74" i="2"/>
  <c r="J31" i="2"/>
  <c r="F72" i="2"/>
  <c r="D94" i="2"/>
  <c r="F94" i="2" s="1"/>
  <c r="J41" i="2"/>
  <c r="K86" i="2"/>
  <c r="H10" i="2"/>
  <c r="J15" i="2"/>
  <c r="F17" i="2"/>
  <c r="J35" i="2"/>
  <c r="D47" i="2"/>
  <c r="H58" i="2"/>
  <c r="D60" i="2"/>
  <c r="J61" i="2"/>
  <c r="H71" i="2"/>
  <c r="J71" i="2" s="1"/>
  <c r="D73" i="2"/>
  <c r="F19" i="2"/>
  <c r="H63" i="2"/>
  <c r="H68" i="2"/>
  <c r="D70" i="2"/>
  <c r="J14" i="2"/>
  <c r="J20" i="2" s="1"/>
  <c r="F13" i="2"/>
  <c r="F20" i="2" s="1"/>
  <c r="J19" i="2"/>
  <c r="H94" i="2"/>
  <c r="J94" i="2" s="1"/>
  <c r="D20" i="2"/>
  <c r="L29" i="1"/>
  <c r="K36" i="1"/>
  <c r="L36" i="1" s="1"/>
  <c r="K34" i="1"/>
  <c r="L34" i="1" s="1"/>
  <c r="K31" i="1"/>
  <c r="K29" i="1"/>
  <c r="L31" i="1"/>
  <c r="K37" i="1"/>
  <c r="L37" i="1" s="1"/>
  <c r="H53" i="1"/>
  <c r="H59" i="1" s="1"/>
  <c r="L58" i="1" s="1"/>
  <c r="K32" i="1"/>
  <c r="L32" i="1" s="1"/>
  <c r="K30" i="1"/>
  <c r="L30" i="1" s="1"/>
  <c r="K35" i="1"/>
  <c r="L35" i="1" s="1"/>
  <c r="K20" i="2" l="1"/>
  <c r="F47" i="2"/>
  <c r="F53" i="2" s="1"/>
  <c r="D58" i="2"/>
  <c r="F57" i="2"/>
  <c r="D68" i="2"/>
  <c r="D71" i="2"/>
  <c r="F60" i="2"/>
  <c r="J68" i="2"/>
  <c r="H90" i="2"/>
  <c r="J90" i="2" s="1"/>
  <c r="H96" i="2"/>
  <c r="J96" i="2" s="1"/>
  <c r="J63" i="2"/>
  <c r="H74" i="2"/>
  <c r="J74" i="2" s="1"/>
  <c r="J42" i="2"/>
  <c r="F42" i="2"/>
  <c r="K42" i="2" s="1"/>
  <c r="E127" i="2" s="1"/>
  <c r="J62" i="2"/>
  <c r="H73" i="2"/>
  <c r="J73" i="2" s="1"/>
  <c r="H95" i="2"/>
  <c r="J95" i="2" s="1"/>
  <c r="F70" i="2"/>
  <c r="D92" i="2"/>
  <c r="F92" i="2" s="1"/>
  <c r="J58" i="2"/>
  <c r="H69" i="2"/>
  <c r="D95" i="2"/>
  <c r="F95" i="2" s="1"/>
  <c r="F73" i="2"/>
  <c r="F52" i="2"/>
  <c r="D63" i="2"/>
  <c r="L31" i="2"/>
  <c r="E125" i="2"/>
  <c r="L53" i="1"/>
  <c r="L60" i="1" s="1"/>
  <c r="L38" i="1"/>
  <c r="K53" i="2" l="1"/>
  <c r="E128" i="2" s="1"/>
  <c r="D69" i="2"/>
  <c r="F58" i="2"/>
  <c r="F64" i="2" s="1"/>
  <c r="J97" i="2"/>
  <c r="H91" i="2"/>
  <c r="J91" i="2" s="1"/>
  <c r="J69" i="2"/>
  <c r="D93" i="2"/>
  <c r="F93" i="2" s="1"/>
  <c r="F71" i="2"/>
  <c r="D74" i="2"/>
  <c r="F63" i="2"/>
  <c r="E124" i="2"/>
  <c r="L20" i="2"/>
  <c r="J75" i="2"/>
  <c r="J64" i="2"/>
  <c r="D90" i="2"/>
  <c r="F90" i="2" s="1"/>
  <c r="F68" i="2"/>
  <c r="K64" i="2" l="1"/>
  <c r="F74" i="2"/>
  <c r="F75" i="2" s="1"/>
  <c r="K75" i="2" s="1"/>
  <c r="D96" i="2"/>
  <c r="F96" i="2" s="1"/>
  <c r="F97" i="2"/>
  <c r="K97" i="2" s="1"/>
  <c r="J117" i="2"/>
  <c r="J119" i="2" s="1"/>
  <c r="F69" i="2"/>
  <c r="D91" i="2"/>
  <c r="F91" i="2" s="1"/>
  <c r="F117" i="2" l="1"/>
  <c r="E126" i="2"/>
  <c r="F118" i="2" l="1"/>
  <c r="K118" i="2" s="1"/>
  <c r="E131" i="2" s="1"/>
  <c r="E132" i="2" s="1"/>
  <c r="K117" i="2"/>
  <c r="F119" i="2" l="1"/>
  <c r="K119" i="2"/>
  <c r="E133" i="2" s="1"/>
</calcChain>
</file>

<file path=xl/sharedStrings.xml><?xml version="1.0" encoding="utf-8"?>
<sst xmlns="http://schemas.openxmlformats.org/spreadsheetml/2006/main" count="273" uniqueCount="98">
  <si>
    <t>File Number:</t>
  </si>
  <si>
    <t>Exhibit:</t>
  </si>
  <si>
    <t xml:space="preserve">Commodity Expense </t>
  </si>
  <si>
    <t>Tab:</t>
  </si>
  <si>
    <t>Schedule:</t>
  </si>
  <si>
    <t>Page:</t>
  </si>
  <si>
    <t>Date:</t>
  </si>
  <si>
    <t>Step 1:</t>
  </si>
  <si>
    <t>2021 Forecasted Commodity Prices</t>
  </si>
  <si>
    <t> </t>
  </si>
  <si>
    <t>Forecasted Commodity Prices</t>
  </si>
  <si>
    <t xml:space="preserve"> Table 1: Average RPP Supply Cost Summary*</t>
  </si>
  <si>
    <t>non-RPP</t>
  </si>
  <si>
    <t>RPP</t>
  </si>
  <si>
    <t>HOEP ($/MWh)</t>
  </si>
  <si>
    <t>Load-Weighted Price for RPP Consumers</t>
  </si>
  <si>
    <t>Global Adjustment ($/MWh)</t>
  </si>
  <si>
    <t>Impact of the Global Adjustment</t>
  </si>
  <si>
    <t>Adjustments ($/MWh)</t>
  </si>
  <si>
    <t>TOTAL ($/MWh)</t>
  </si>
  <si>
    <t>Average Supply Cost for RPP Consumers</t>
  </si>
  <si>
    <t>Step 2:</t>
  </si>
  <si>
    <t>Commodity Expense</t>
  </si>
  <si>
    <t>(volumes for the bridge and test year are loss adjusted)</t>
  </si>
  <si>
    <t>Commodity</t>
  </si>
  <si>
    <t>Customer</t>
  </si>
  <si>
    <t>Revenue</t>
  </si>
  <si>
    <t>Expense</t>
  </si>
  <si>
    <t>Class Name</t>
  </si>
  <si>
    <t>UoM</t>
  </si>
  <si>
    <t>USA #</t>
  </si>
  <si>
    <t>Class A Non-RPP Volume**</t>
  </si>
  <si>
    <t>Class B Non-RPP Volume**</t>
  </si>
  <si>
    <t>Class B RPP Volume**</t>
  </si>
  <si>
    <t>Average HOEP</t>
  </si>
  <si>
    <t>Average RPP Rate</t>
  </si>
  <si>
    <t>Amount</t>
  </si>
  <si>
    <t>Residential</t>
  </si>
  <si>
    <t>kWh</t>
  </si>
  <si>
    <t>GS&lt;50</t>
  </si>
  <si>
    <t>GS&gt;50</t>
  </si>
  <si>
    <t>GS&gt;3000&lt;4999</t>
  </si>
  <si>
    <t>Sent</t>
  </si>
  <si>
    <t>Street Light</t>
  </si>
  <si>
    <t>UMSL</t>
  </si>
  <si>
    <t>TOTAL</t>
  </si>
  <si>
    <t>Class A - non-RPP Global Adjustment</t>
  </si>
  <si>
    <t>kWh Volume</t>
  </si>
  <si>
    <t>Hist. Avg GA/kWh ***</t>
  </si>
  <si>
    <t>Class B - non-RPP Global Adjustment</t>
  </si>
  <si>
    <t>Class B Non-RPP Volume</t>
  </si>
  <si>
    <t>GA Rate/kWh</t>
  </si>
  <si>
    <t>Total Volume</t>
  </si>
  <si>
    <t>*Regulated Price Plan Prices for the Period November 1, 2019 – October 31, 2020</t>
  </si>
  <si>
    <t>** Enter 2021 load forecast data by class based on the most recent 12-month historic Class A and Class B RPP/Non-RPP proportions</t>
  </si>
  <si>
    <t>*** Based on average $ GA per kWh billed to class A customers for most recent 12-month historical year.</t>
  </si>
  <si>
    <t>Cost of Power Calculation</t>
  </si>
  <si>
    <t>All Volume should be loss adjusted with the exception of:</t>
  </si>
  <si>
    <t>* Volume loss adjusted less WMP</t>
  </si>
  <si>
    <t>** No loss adjustment for kWh</t>
  </si>
  <si>
    <t>Total</t>
  </si>
  <si>
    <t>Electricity Commodity</t>
  </si>
  <si>
    <t>Units</t>
  </si>
  <si>
    <t>Volume</t>
  </si>
  <si>
    <t>Rate</t>
  </si>
  <si>
    <t xml:space="preserve">$ </t>
  </si>
  <si>
    <t>$</t>
  </si>
  <si>
    <t>Class per Load Forecast</t>
  </si>
  <si>
    <t>kWh*</t>
  </si>
  <si>
    <t>USML</t>
  </si>
  <si>
    <t>SUB-TOTAL</t>
  </si>
  <si>
    <t>Global Adjustment non-RPP</t>
  </si>
  <si>
    <t xml:space="preserve">Class per Load Forecast </t>
  </si>
  <si>
    <t>Transmission - Network</t>
  </si>
  <si>
    <t xml:space="preserve"> Volume</t>
  </si>
  <si>
    <t>kW</t>
  </si>
  <si>
    <t>Transmission - Connection</t>
  </si>
  <si>
    <t>Wholesale Market Service</t>
  </si>
  <si>
    <t xml:space="preserve">CBR </t>
  </si>
  <si>
    <t xml:space="preserve">Class A CBR </t>
  </si>
  <si>
    <t>RRRP</t>
  </si>
  <si>
    <t>Low Voltage - No TLF adjustment</t>
  </si>
  <si>
    <t>kWh**</t>
  </si>
  <si>
    <t>Smart Meter Entity Charge</t>
  </si>
  <si>
    <t>Customers</t>
  </si>
  <si>
    <t>Seasonal</t>
  </si>
  <si>
    <t>SUB- TOTAL</t>
  </si>
  <si>
    <t>ORECA CREDIT</t>
  </si>
  <si>
    <t xml:space="preserve">***The ORECA Credit of 21.2% will only apply to RPP proportion of the listed components. Impacts on distribution charges are excluded for the purpose of calculating the cost of power. </t>
  </si>
  <si>
    <t>**** Class A CBR: use the average CBR per kWh, similar to how the Class A GA cost is calculated</t>
  </si>
  <si>
    <t>4705 -Power Purchased</t>
  </si>
  <si>
    <t>4707- Global Adjustment</t>
  </si>
  <si>
    <t>4708-Charges-WMS</t>
  </si>
  <si>
    <t>4714-Charges-NW</t>
  </si>
  <si>
    <t>4716-Charges-CN</t>
  </si>
  <si>
    <t>4750-Charges-LV</t>
  </si>
  <si>
    <t>4751-IESO SME</t>
  </si>
  <si>
    <t>Misc A/R or A/P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</si>
</sst>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\$#,##0.00_);&quot;($&quot;#,##0.00\)"/>
    <numFmt numFmtId="165" formatCode="_(* #,##0_);_(* \(#,##0\);_(* &quot;-&quot;??_);_(@_)"/>
    <numFmt numFmtId="166" formatCode="_(&quot;$&quot;* #,##0.00000_);_(&quot;$&quot;* \(#,##0.00000\);_(&quot;$&quot;* &quot;-&quot;??_);_(@_)"/>
    <numFmt numFmtId="167" formatCode="\$#,##0"/>
    <numFmt numFmtId="168" formatCode="_(* #,##0.0000_);_(* \(#,##0.0000\);_(* &quot;-&quot;??_);_(@_)"/>
    <numFmt numFmtId="169" formatCode="_(* #,##0.00000_);_(* \(#,##0.00000\);_(* &quot;-&quot;??_);_(@_)"/>
    <numFmt numFmtId="170" formatCode="_-* #,##0_-;\-* #,##0_-;_-* \-??_-;_-@_-"/>
    <numFmt numFmtId="171" formatCode="_-* #,##0.00_-;\-* #,##0.00_-;_-* \-??_-;_-@_-"/>
    <numFmt numFmtId="172" formatCode="_(&quot;$&quot;* #,##0_);_(&quot;$&quot;* \(#,##0\);_(&quot;$&quot;* &quot;-&quot;??_);_(@_)"/>
    <numFmt numFmtId="173" formatCode="_-* #,##0.0000_-;\-* #,##0.0000_-;_-* &quot;-&quot;??_-;_-@_-"/>
    <numFmt numFmtId="174" formatCode="_-* #,##0_-;\-* #,##0_-;_-* &quot;-&quot;??_-;_-@_-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8"/>
      <color indexed="22"/>
      <name val="Arial"/>
      <family val="2"/>
    </font>
    <font>
      <strike/>
      <sz val="11"/>
      <color rgb="FFFF0000"/>
      <name val="Calibri"/>
      <family val="2"/>
      <scheme val="minor"/>
    </font>
    <font>
      <b/>
      <sz val="10"/>
      <name val="Arial"/>
      <family val="2"/>
    </font>
    <font>
      <sz val="8"/>
      <name val="Arial"/>
      <family val="2"/>
    </font>
    <font>
      <b/>
      <sz val="14"/>
      <name val="Arial"/>
      <family val="2"/>
      <charset val="1"/>
    </font>
    <font>
      <sz val="11"/>
      <name val="Arial"/>
      <family val="2"/>
      <charset val="1"/>
    </font>
    <font>
      <i/>
      <sz val="10"/>
      <name val="Arial"/>
      <family val="2"/>
      <charset val="1"/>
    </font>
    <font>
      <sz val="10"/>
      <name val="Mangal"/>
      <family val="2"/>
      <charset val="1"/>
    </font>
    <font>
      <b/>
      <i/>
      <sz val="11"/>
      <name val="Arial"/>
      <family val="2"/>
    </font>
    <font>
      <b/>
      <u/>
      <sz val="12"/>
      <name val="Arial"/>
      <family val="2"/>
      <charset val="1"/>
    </font>
    <font>
      <b/>
      <sz val="11"/>
      <name val="Arial"/>
      <family val="2"/>
      <charset val="1"/>
    </font>
    <font>
      <b/>
      <u/>
      <sz val="11"/>
      <name val="Arial"/>
      <family val="2"/>
      <charset val="1"/>
    </font>
    <font>
      <b/>
      <sz val="11"/>
      <name val="Arial"/>
      <family val="2"/>
    </font>
    <font>
      <b/>
      <u/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i/>
      <sz val="10"/>
      <color rgb="FFFF0000"/>
      <name val="Arial"/>
      <family val="2"/>
      <charset val="1"/>
    </font>
    <font>
      <b/>
      <sz val="12"/>
      <name val="Arial"/>
      <family val="2"/>
    </font>
    <font>
      <i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6" tint="0.79998168889431442"/>
        <bgColor indexed="58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1" fillId="0" borderId="0"/>
    <xf numFmtId="9" fontId="10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1" fontId="10" fillId="0" borderId="0" applyFill="0" applyBorder="0" applyAlignment="0" applyProtection="0"/>
  </cellStyleXfs>
  <cellXfs count="196">
    <xf numFmtId="0" fontId="0" fillId="0" borderId="0" xfId="0"/>
    <xf numFmtId="0" fontId="1" fillId="0" borderId="0" xfId="2"/>
    <xf numFmtId="0" fontId="3" fillId="0" borderId="0" xfId="2" applyFont="1" applyAlignment="1">
      <alignment horizontal="left" vertical="center"/>
    </xf>
    <xf numFmtId="0" fontId="4" fillId="0" borderId="0" xfId="2" applyFont="1" applyAlignment="1">
      <alignment wrapText="1"/>
    </xf>
    <xf numFmtId="0" fontId="5" fillId="0" borderId="0" xfId="2" applyFont="1" applyAlignment="1">
      <alignment horizontal="left"/>
    </xf>
    <xf numFmtId="0" fontId="6" fillId="2" borderId="0" xfId="2" applyFont="1" applyFill="1" applyAlignment="1" applyProtection="1">
      <alignment horizontal="right" vertical="top"/>
      <protection locked="0"/>
    </xf>
    <xf numFmtId="0" fontId="7" fillId="0" borderId="0" xfId="2" applyFont="1" applyAlignment="1">
      <alignment vertical="top"/>
    </xf>
    <xf numFmtId="0" fontId="6" fillId="2" borderId="1" xfId="2" applyFont="1" applyFill="1" applyBorder="1" applyAlignment="1" applyProtection="1">
      <alignment horizontal="right" vertical="top"/>
      <protection locked="0"/>
    </xf>
    <xf numFmtId="0" fontId="7" fillId="0" borderId="0" xfId="2" applyFont="1" applyAlignment="1">
      <alignment horizontal="center" vertical="top"/>
    </xf>
    <xf numFmtId="0" fontId="1" fillId="0" borderId="0" xfId="2" applyAlignment="1">
      <alignment horizontal="center"/>
    </xf>
    <xf numFmtId="0" fontId="6" fillId="0" borderId="0" xfId="2" applyFont="1" applyAlignment="1">
      <alignment horizontal="right" vertical="top"/>
    </xf>
    <xf numFmtId="0" fontId="8" fillId="0" borderId="2" xfId="2" applyFont="1" applyBorder="1"/>
    <xf numFmtId="0" fontId="9" fillId="0" borderId="2" xfId="2" applyFont="1" applyBorder="1" applyAlignment="1">
      <alignment horizontal="left" indent="1"/>
    </xf>
    <xf numFmtId="0" fontId="9" fillId="0" borderId="2" xfId="2" applyFont="1" applyBorder="1"/>
    <xf numFmtId="10" fontId="9" fillId="0" borderId="2" xfId="3" applyNumberFormat="1" applyFont="1" applyFill="1" applyBorder="1" applyAlignment="1" applyProtection="1">
      <alignment horizontal="right"/>
    </xf>
    <xf numFmtId="10" fontId="9" fillId="0" borderId="0" xfId="3" applyNumberFormat="1" applyFont="1" applyFill="1" applyBorder="1" applyAlignment="1" applyProtection="1">
      <alignment horizontal="right"/>
    </xf>
    <xf numFmtId="0" fontId="8" fillId="0" borderId="0" xfId="2" applyFont="1"/>
    <xf numFmtId="0" fontId="9" fillId="0" borderId="0" xfId="2" applyFont="1" applyAlignment="1">
      <alignment horizontal="left" indent="1"/>
    </xf>
    <xf numFmtId="0" fontId="9" fillId="0" borderId="0" xfId="2" applyFont="1"/>
    <xf numFmtId="0" fontId="11" fillId="0" borderId="0" xfId="2" applyFont="1"/>
    <xf numFmtId="0" fontId="12" fillId="0" borderId="0" xfId="2" applyFont="1"/>
    <xf numFmtId="44" fontId="5" fillId="0" borderId="3" xfId="2" applyNumberFormat="1" applyFont="1" applyBorder="1" applyAlignment="1">
      <alignment horizontal="center"/>
    </xf>
    <xf numFmtId="44" fontId="5" fillId="0" borderId="4" xfId="2" applyNumberFormat="1" applyFont="1" applyBorder="1" applyAlignment="1">
      <alignment horizontal="center"/>
    </xf>
    <xf numFmtId="44" fontId="5" fillId="0" borderId="0" xfId="2" applyNumberFormat="1" applyFont="1" applyAlignment="1">
      <alignment horizontal="center"/>
    </xf>
    <xf numFmtId="0" fontId="13" fillId="0" borderId="0" xfId="2" applyFont="1" applyAlignment="1">
      <alignment horizontal="center" vertical="top"/>
    </xf>
    <xf numFmtId="0" fontId="14" fillId="0" borderId="0" xfId="2" applyFont="1"/>
    <xf numFmtId="0" fontId="15" fillId="0" borderId="5" xfId="2" applyFont="1" applyBorder="1" applyAlignment="1">
      <alignment horizontal="center"/>
    </xf>
    <xf numFmtId="0" fontId="15" fillId="0" borderId="6" xfId="2" applyFont="1" applyBorder="1" applyAlignment="1">
      <alignment horizontal="center"/>
    </xf>
    <xf numFmtId="0" fontId="15" fillId="0" borderId="0" xfId="2" applyFont="1" applyAlignment="1">
      <alignment horizontal="center"/>
    </xf>
    <xf numFmtId="0" fontId="16" fillId="0" borderId="0" xfId="2" applyFont="1"/>
    <xf numFmtId="0" fontId="15" fillId="0" borderId="7" xfId="2" applyFont="1" applyBorder="1" applyAlignment="1">
      <alignment horizontal="center"/>
    </xf>
    <xf numFmtId="0" fontId="15" fillId="0" borderId="8" xfId="2" applyFont="1" applyBorder="1" applyAlignment="1">
      <alignment horizontal="center"/>
    </xf>
    <xf numFmtId="0" fontId="17" fillId="0" borderId="9" xfId="2" applyFont="1" applyBorder="1"/>
    <xf numFmtId="0" fontId="17" fillId="0" borderId="10" xfId="2" applyFont="1" applyBorder="1" applyAlignment="1">
      <alignment horizontal="center" vertical="center" wrapText="1"/>
    </xf>
    <xf numFmtId="0" fontId="17" fillId="0" borderId="11" xfId="2" applyFont="1" applyBorder="1" applyAlignment="1">
      <alignment horizontal="center" vertical="center" wrapText="1"/>
    </xf>
    <xf numFmtId="0" fontId="17" fillId="0" borderId="12" xfId="2" applyFont="1" applyBorder="1" applyAlignment="1">
      <alignment horizontal="center" vertical="center" wrapText="1"/>
    </xf>
    <xf numFmtId="0" fontId="17" fillId="3" borderId="13" xfId="2" applyFont="1" applyFill="1" applyBorder="1" applyAlignment="1">
      <alignment horizontal="center" wrapText="1"/>
    </xf>
    <xf numFmtId="164" fontId="17" fillId="4" borderId="14" xfId="2" applyNumberFormat="1" applyFont="1" applyFill="1" applyBorder="1" applyProtection="1">
      <protection locked="0"/>
    </xf>
    <xf numFmtId="164" fontId="17" fillId="2" borderId="15" xfId="2" applyNumberFormat="1" applyFont="1" applyFill="1" applyBorder="1" applyProtection="1">
      <protection locked="0"/>
    </xf>
    <xf numFmtId="164" fontId="17" fillId="0" borderId="0" xfId="2" applyNumberFormat="1" applyFont="1"/>
    <xf numFmtId="0" fontId="17" fillId="3" borderId="16" xfId="2" applyFont="1" applyFill="1" applyBorder="1" applyAlignment="1">
      <alignment horizontal="center" wrapText="1"/>
    </xf>
    <xf numFmtId="164" fontId="17" fillId="4" borderId="17" xfId="2" applyNumberFormat="1" applyFont="1" applyFill="1" applyBorder="1" applyProtection="1">
      <protection locked="0"/>
    </xf>
    <xf numFmtId="0" fontId="8" fillId="0" borderId="10" xfId="2" applyFont="1" applyBorder="1" applyAlignment="1">
      <alignment horizontal="center" vertical="center" wrapText="1"/>
    </xf>
    <xf numFmtId="0" fontId="8" fillId="0" borderId="11" xfId="2" applyFont="1" applyBorder="1" applyAlignment="1">
      <alignment horizontal="center" vertical="center" wrapText="1"/>
    </xf>
    <xf numFmtId="0" fontId="8" fillId="0" borderId="12" xfId="2" applyFont="1" applyBorder="1" applyAlignment="1">
      <alignment horizontal="center" vertical="center" wrapText="1"/>
    </xf>
    <xf numFmtId="164" fontId="8" fillId="0" borderId="17" xfId="2" applyNumberFormat="1" applyFont="1" applyBorder="1"/>
    <xf numFmtId="164" fontId="17" fillId="2" borderId="18" xfId="2" applyNumberFormat="1" applyFont="1" applyFill="1" applyBorder="1" applyProtection="1">
      <protection locked="0"/>
    </xf>
    <xf numFmtId="164" fontId="8" fillId="0" borderId="0" xfId="2" applyNumberFormat="1" applyFont="1"/>
    <xf numFmtId="0" fontId="18" fillId="0" borderId="9" xfId="2" applyFont="1" applyBorder="1" applyAlignment="1">
      <alignment horizontal="left" indent="1"/>
    </xf>
    <xf numFmtId="164" fontId="18" fillId="0" borderId="17" xfId="2" applyNumberFormat="1" applyFont="1" applyBorder="1"/>
    <xf numFmtId="164" fontId="18" fillId="0" borderId="18" xfId="2" applyNumberFormat="1" applyFont="1" applyBorder="1"/>
    <xf numFmtId="164" fontId="18" fillId="0" borderId="0" xfId="2" applyNumberFormat="1" applyFont="1"/>
    <xf numFmtId="0" fontId="19" fillId="0" borderId="0" xfId="2" applyFont="1"/>
    <xf numFmtId="0" fontId="20" fillId="0" borderId="0" xfId="2" applyFont="1"/>
    <xf numFmtId="0" fontId="1" fillId="0" borderId="19" xfId="2" applyBorder="1"/>
    <xf numFmtId="1" fontId="18" fillId="5" borderId="12" xfId="2" applyNumberFormat="1" applyFont="1" applyFill="1" applyBorder="1" applyAlignment="1">
      <alignment horizontal="center"/>
    </xf>
    <xf numFmtId="1" fontId="18" fillId="5" borderId="17" xfId="2" applyNumberFormat="1" applyFont="1" applyFill="1" applyBorder="1" applyAlignment="1">
      <alignment horizontal="center"/>
    </xf>
    <xf numFmtId="0" fontId="18" fillId="0" borderId="20" xfId="2" applyFont="1" applyBorder="1"/>
    <xf numFmtId="0" fontId="18" fillId="0" borderId="20" xfId="2" applyFont="1" applyBorder="1" applyAlignment="1">
      <alignment horizontal="center"/>
    </xf>
    <xf numFmtId="0" fontId="18" fillId="0" borderId="9" xfId="2" applyFont="1" applyBorder="1" applyAlignment="1">
      <alignment horizontal="center"/>
    </xf>
    <xf numFmtId="0" fontId="18" fillId="0" borderId="17" xfId="2" applyFont="1" applyBorder="1" applyAlignment="1">
      <alignment horizontal="center"/>
    </xf>
    <xf numFmtId="0" fontId="1" fillId="0" borderId="20" xfId="2" applyBorder="1"/>
    <xf numFmtId="0" fontId="1" fillId="0" borderId="20" xfId="2" applyBorder="1" applyAlignment="1">
      <alignment horizontal="center"/>
    </xf>
    <xf numFmtId="0" fontId="1" fillId="0" borderId="9" xfId="2" applyBorder="1" applyAlignment="1">
      <alignment horizontal="center"/>
    </xf>
    <xf numFmtId="0" fontId="17" fillId="0" borderId="17" xfId="2" applyFont="1" applyBorder="1" applyAlignment="1">
      <alignment horizontal="center" wrapText="1"/>
    </xf>
    <xf numFmtId="0" fontId="1" fillId="0" borderId="17" xfId="2" applyBorder="1" applyAlignment="1">
      <alignment horizontal="center"/>
    </xf>
    <xf numFmtId="0" fontId="17" fillId="2" borderId="20" xfId="2" applyFont="1" applyFill="1" applyBorder="1" applyAlignment="1" applyProtection="1">
      <alignment vertical="center"/>
      <protection locked="0"/>
    </xf>
    <xf numFmtId="0" fontId="1" fillId="6" borderId="20" xfId="2" applyFill="1" applyBorder="1" applyAlignment="1">
      <alignment horizontal="center"/>
    </xf>
    <xf numFmtId="0" fontId="1" fillId="6" borderId="9" xfId="2" applyFill="1" applyBorder="1" applyAlignment="1">
      <alignment horizontal="center"/>
    </xf>
    <xf numFmtId="0" fontId="1" fillId="3" borderId="0" xfId="2" applyFill="1"/>
    <xf numFmtId="165" fontId="17" fillId="2" borderId="20" xfId="1" applyNumberFormat="1" applyFont="1" applyFill="1" applyBorder="1" applyAlignment="1" applyProtection="1">
      <alignment vertical="center"/>
      <protection locked="0"/>
    </xf>
    <xf numFmtId="166" fontId="0" fillId="0" borderId="17" xfId="4" quotePrefix="1" applyNumberFormat="1" applyFont="1" applyFill="1" applyBorder="1" applyAlignment="1" applyProtection="1">
      <alignment horizontal="right"/>
    </xf>
    <xf numFmtId="167" fontId="1" fillId="0" borderId="17" xfId="2" applyNumberFormat="1" applyBorder="1" applyAlignment="1">
      <alignment horizontal="right"/>
    </xf>
    <xf numFmtId="0" fontId="18" fillId="0" borderId="21" xfId="2" applyFont="1" applyBorder="1"/>
    <xf numFmtId="49" fontId="1" fillId="0" borderId="21" xfId="2" applyNumberFormat="1" applyBorder="1" applyAlignment="1">
      <alignment horizontal="center"/>
    </xf>
    <xf numFmtId="0" fontId="18" fillId="0" borderId="21" xfId="2" applyFont="1" applyBorder="1" applyAlignment="1">
      <alignment horizontal="center"/>
    </xf>
    <xf numFmtId="0" fontId="18" fillId="0" borderId="22" xfId="2" applyFont="1" applyBorder="1" applyAlignment="1">
      <alignment horizontal="center"/>
    </xf>
    <xf numFmtId="37" fontId="18" fillId="0" borderId="17" xfId="2" applyNumberFormat="1" applyFont="1" applyBorder="1" applyAlignment="1">
      <alignment horizontal="right"/>
    </xf>
    <xf numFmtId="165" fontId="2" fillId="0" borderId="17" xfId="5" applyNumberFormat="1" applyFont="1" applyBorder="1" applyProtection="1"/>
    <xf numFmtId="37" fontId="18" fillId="0" borderId="12" xfId="2" applyNumberFormat="1" applyFont="1" applyBorder="1" applyAlignment="1">
      <alignment horizontal="right"/>
    </xf>
    <xf numFmtId="167" fontId="18" fillId="0" borderId="17" xfId="2" applyNumberFormat="1" applyFont="1" applyBorder="1" applyAlignment="1">
      <alignment horizontal="right"/>
    </xf>
    <xf numFmtId="168" fontId="8" fillId="0" borderId="0" xfId="2" applyNumberFormat="1" applyFont="1"/>
    <xf numFmtId="1" fontId="18" fillId="5" borderId="23" xfId="2" applyNumberFormat="1" applyFont="1" applyFill="1" applyBorder="1" applyAlignment="1">
      <alignment horizontal="center"/>
    </xf>
    <xf numFmtId="1" fontId="18" fillId="5" borderId="24" xfId="2" applyNumberFormat="1" applyFont="1" applyFill="1" applyBorder="1" applyAlignment="1">
      <alignment horizontal="center"/>
    </xf>
    <xf numFmtId="1" fontId="18" fillId="5" borderId="25" xfId="2" applyNumberFormat="1" applyFont="1" applyFill="1" applyBorder="1" applyAlignment="1">
      <alignment horizontal="center"/>
    </xf>
    <xf numFmtId="1" fontId="18" fillId="5" borderId="26" xfId="2" applyNumberFormat="1" applyFont="1" applyFill="1" applyBorder="1" applyAlignment="1">
      <alignment horizontal="center"/>
    </xf>
    <xf numFmtId="0" fontId="18" fillId="3" borderId="26" xfId="2" applyFont="1" applyFill="1" applyBorder="1" applyAlignment="1">
      <alignment horizontal="center"/>
    </xf>
    <xf numFmtId="0" fontId="18" fillId="0" borderId="27" xfId="2" applyFont="1" applyBorder="1" applyAlignment="1">
      <alignment horizontal="center" wrapText="1"/>
    </xf>
    <xf numFmtId="43" fontId="17" fillId="2" borderId="20" xfId="1" applyFont="1" applyFill="1" applyBorder="1" applyAlignment="1" applyProtection="1">
      <alignment vertical="center"/>
      <protection locked="0"/>
    </xf>
    <xf numFmtId="165" fontId="0" fillId="3" borderId="0" xfId="5" applyNumberFormat="1" applyFont="1" applyFill="1" applyBorder="1" applyAlignment="1" applyProtection="1">
      <alignment horizontal="center"/>
    </xf>
    <xf numFmtId="169" fontId="17" fillId="2" borderId="20" xfId="1" applyNumberFormat="1" applyFont="1" applyFill="1" applyBorder="1" applyAlignment="1" applyProtection="1">
      <alignment vertical="center"/>
      <protection locked="0"/>
    </xf>
    <xf numFmtId="167" fontId="1" fillId="0" borderId="20" xfId="2" applyNumberFormat="1" applyBorder="1" applyAlignment="1">
      <alignment horizontal="right"/>
    </xf>
    <xf numFmtId="43" fontId="0" fillId="3" borderId="0" xfId="5" applyFont="1" applyFill="1" applyBorder="1" applyAlignment="1" applyProtection="1">
      <alignment horizontal="center"/>
    </xf>
    <xf numFmtId="165" fontId="1" fillId="6" borderId="20" xfId="2" applyNumberFormat="1" applyFill="1" applyBorder="1" applyAlignment="1">
      <alignment horizontal="center"/>
    </xf>
    <xf numFmtId="170" fontId="1" fillId="6" borderId="20" xfId="2" applyNumberFormat="1" applyFill="1" applyBorder="1" applyAlignment="1">
      <alignment horizontal="center"/>
    </xf>
    <xf numFmtId="170" fontId="1" fillId="3" borderId="0" xfId="2" applyNumberFormat="1" applyFill="1" applyAlignment="1">
      <alignment horizontal="center"/>
    </xf>
    <xf numFmtId="0" fontId="1" fillId="6" borderId="27" xfId="2" applyFill="1" applyBorder="1" applyAlignment="1">
      <alignment horizontal="center"/>
    </xf>
    <xf numFmtId="167" fontId="2" fillId="0" borderId="20" xfId="2" applyNumberFormat="1" applyFont="1" applyBorder="1" applyAlignment="1">
      <alignment horizontal="right"/>
    </xf>
    <xf numFmtId="0" fontId="18" fillId="0" borderId="0" xfId="2" applyFont="1"/>
    <xf numFmtId="0" fontId="17" fillId="0" borderId="17" xfId="2" applyFont="1" applyBorder="1" applyAlignment="1">
      <alignment horizontal="center"/>
    </xf>
    <xf numFmtId="0" fontId="17" fillId="0" borderId="13" xfId="2" applyFont="1" applyBorder="1" applyAlignment="1">
      <alignment horizontal="center"/>
    </xf>
    <xf numFmtId="0" fontId="17" fillId="0" borderId="20" xfId="2" applyFont="1" applyBorder="1" applyAlignment="1">
      <alignment vertical="center"/>
    </xf>
    <xf numFmtId="37" fontId="1" fillId="3" borderId="0" xfId="2" quotePrefix="1" applyNumberFormat="1" applyFill="1" applyAlignment="1">
      <alignment horizontal="right"/>
    </xf>
    <xf numFmtId="37" fontId="1" fillId="7" borderId="11" xfId="2" quotePrefix="1" applyNumberFormat="1" applyFill="1" applyBorder="1" applyAlignment="1">
      <alignment horizontal="right"/>
    </xf>
    <xf numFmtId="166" fontId="0" fillId="7" borderId="12" xfId="4" quotePrefix="1" applyNumberFormat="1" applyFont="1" applyFill="1" applyBorder="1" applyAlignment="1" applyProtection="1">
      <alignment horizontal="right"/>
    </xf>
    <xf numFmtId="37" fontId="1" fillId="7" borderId="12" xfId="2" quotePrefix="1" applyNumberFormat="1" applyFill="1" applyBorder="1" applyAlignment="1">
      <alignment horizontal="right"/>
    </xf>
    <xf numFmtId="37" fontId="1" fillId="7" borderId="26" xfId="2" quotePrefix="1" applyNumberFormat="1" applyFill="1" applyBorder="1" applyAlignment="1">
      <alignment horizontal="right"/>
    </xf>
    <xf numFmtId="37" fontId="1" fillId="0" borderId="17" xfId="2" quotePrefix="1" applyNumberFormat="1" applyBorder="1" applyAlignment="1">
      <alignment horizontal="right"/>
    </xf>
    <xf numFmtId="37" fontId="2" fillId="7" borderId="17" xfId="2" quotePrefix="1" applyNumberFormat="1" applyFont="1" applyFill="1" applyBorder="1" applyAlignment="1">
      <alignment horizontal="right"/>
    </xf>
    <xf numFmtId="0" fontId="1" fillId="0" borderId="0" xfId="2" quotePrefix="1"/>
    <xf numFmtId="49" fontId="1" fillId="0" borderId="20" xfId="2" applyNumberFormat="1" applyBorder="1" applyAlignment="1">
      <alignment horizontal="center"/>
    </xf>
    <xf numFmtId="37" fontId="18" fillId="0" borderId="14" xfId="2" applyNumberFormat="1" applyFont="1" applyBorder="1" applyAlignment="1">
      <alignment horizontal="right"/>
    </xf>
    <xf numFmtId="167" fontId="2" fillId="0" borderId="17" xfId="2" applyNumberFormat="1" applyFont="1" applyBorder="1" applyAlignment="1">
      <alignment horizontal="right"/>
    </xf>
    <xf numFmtId="49" fontId="1" fillId="0" borderId="0" xfId="2" applyNumberFormat="1" applyAlignment="1">
      <alignment horizontal="center"/>
    </xf>
    <xf numFmtId="0" fontId="18" fillId="0" borderId="0" xfId="2" applyFont="1" applyAlignment="1">
      <alignment horizontal="center"/>
    </xf>
    <xf numFmtId="37" fontId="18" fillId="0" borderId="0" xfId="2" applyNumberFormat="1" applyFont="1" applyAlignment="1">
      <alignment horizontal="right"/>
    </xf>
    <xf numFmtId="167" fontId="1" fillId="0" borderId="0" xfId="2" applyNumberFormat="1"/>
    <xf numFmtId="170" fontId="10" fillId="0" borderId="0" xfId="6" applyNumberFormat="1" applyProtection="1"/>
    <xf numFmtId="43" fontId="1" fillId="0" borderId="0" xfId="2" applyNumberFormat="1"/>
    <xf numFmtId="0" fontId="2" fillId="0" borderId="0" xfId="2" applyFont="1" applyAlignment="1">
      <alignment horizontal="center"/>
    </xf>
    <xf numFmtId="0" fontId="2" fillId="0" borderId="0" xfId="2" applyFont="1" applyAlignment="1">
      <alignment horizontal="center"/>
    </xf>
    <xf numFmtId="0" fontId="1" fillId="0" borderId="0" xfId="2" applyAlignment="1">
      <alignment horizontal="center"/>
    </xf>
    <xf numFmtId="0" fontId="1" fillId="0" borderId="0" xfId="2" applyAlignment="1">
      <alignment wrapText="1"/>
    </xf>
    <xf numFmtId="0" fontId="2" fillId="0" borderId="0" xfId="2" applyFont="1" applyAlignment="1">
      <alignment wrapText="1"/>
    </xf>
    <xf numFmtId="0" fontId="2" fillId="0" borderId="17" xfId="2" applyFont="1" applyBorder="1" applyAlignment="1">
      <alignment horizontal="center"/>
    </xf>
    <xf numFmtId="0" fontId="2" fillId="0" borderId="17" xfId="2" applyFont="1" applyBorder="1" applyAlignment="1">
      <alignment horizontal="center"/>
    </xf>
    <xf numFmtId="0" fontId="2" fillId="0" borderId="0" xfId="2" applyFont="1"/>
    <xf numFmtId="0" fontId="2" fillId="0" borderId="12" xfId="2" applyFont="1" applyBorder="1" applyAlignment="1">
      <alignment horizontal="center" vertical="center"/>
    </xf>
    <xf numFmtId="0" fontId="21" fillId="0" borderId="17" xfId="2" applyFont="1" applyBorder="1"/>
    <xf numFmtId="0" fontId="2" fillId="0" borderId="13" xfId="2" applyFont="1" applyBorder="1" applyAlignment="1">
      <alignment horizontal="center" vertical="center" wrapText="1"/>
    </xf>
    <xf numFmtId="0" fontId="1" fillId="0" borderId="16" xfId="2" applyBorder="1" applyAlignment="1">
      <alignment horizontal="center"/>
    </xf>
    <xf numFmtId="0" fontId="1" fillId="0" borderId="17" xfId="2" applyBorder="1" applyAlignment="1">
      <alignment horizontal="center" wrapText="1"/>
    </xf>
    <xf numFmtId="0" fontId="1" fillId="0" borderId="12" xfId="2" applyBorder="1" applyAlignment="1">
      <alignment horizontal="center"/>
    </xf>
    <xf numFmtId="0" fontId="2" fillId="0" borderId="17" xfId="2" applyFont="1" applyBorder="1"/>
    <xf numFmtId="0" fontId="2" fillId="0" borderId="14" xfId="2" applyFont="1" applyBorder="1" applyAlignment="1">
      <alignment horizontal="center" vertical="center" wrapText="1"/>
    </xf>
    <xf numFmtId="0" fontId="1" fillId="0" borderId="16" xfId="2" applyBorder="1"/>
    <xf numFmtId="37" fontId="1" fillId="0" borderId="17" xfId="2" applyNumberFormat="1" applyBorder="1"/>
    <xf numFmtId="0" fontId="1" fillId="0" borderId="13" xfId="2" applyBorder="1"/>
    <xf numFmtId="165" fontId="0" fillId="0" borderId="12" xfId="5" applyNumberFormat="1" applyFont="1" applyFill="1" applyBorder="1" applyProtection="1"/>
    <xf numFmtId="0" fontId="1" fillId="0" borderId="17" xfId="2" applyBorder="1" applyAlignment="1">
      <alignment horizontal="center"/>
    </xf>
    <xf numFmtId="0" fontId="1" fillId="0" borderId="17" xfId="2" applyBorder="1"/>
    <xf numFmtId="0" fontId="0" fillId="3" borderId="16" xfId="0" applyFill="1" applyBorder="1"/>
    <xf numFmtId="165" fontId="0" fillId="0" borderId="12" xfId="5" applyNumberFormat="1" applyFont="1" applyBorder="1" applyProtection="1"/>
    <xf numFmtId="0" fontId="1" fillId="3" borderId="16" xfId="2" applyFill="1" applyBorder="1"/>
    <xf numFmtId="0" fontId="1" fillId="0" borderId="28" xfId="2" applyBorder="1"/>
    <xf numFmtId="0" fontId="1" fillId="0" borderId="14" xfId="2" applyBorder="1"/>
    <xf numFmtId="0" fontId="1" fillId="0" borderId="29" xfId="2" applyBorder="1"/>
    <xf numFmtId="165" fontId="1" fillId="0" borderId="17" xfId="2" applyNumberFormat="1" applyBorder="1"/>
    <xf numFmtId="172" fontId="0" fillId="0" borderId="17" xfId="4" applyNumberFormat="1" applyFont="1" applyBorder="1" applyProtection="1"/>
    <xf numFmtId="0" fontId="1" fillId="0" borderId="30" xfId="2" applyBorder="1"/>
    <xf numFmtId="0" fontId="1" fillId="0" borderId="31" xfId="2" applyBorder="1" applyAlignment="1">
      <alignment horizontal="center"/>
    </xf>
    <xf numFmtId="0" fontId="1" fillId="0" borderId="28" xfId="2" applyBorder="1" applyAlignment="1">
      <alignment horizontal="center"/>
    </xf>
    <xf numFmtId="0" fontId="1" fillId="0" borderId="13" xfId="2" applyBorder="1" applyAlignment="1">
      <alignment horizontal="center"/>
    </xf>
    <xf numFmtId="0" fontId="1" fillId="0" borderId="32" xfId="2" applyBorder="1" applyAlignment="1">
      <alignment horizontal="center"/>
    </xf>
    <xf numFmtId="0" fontId="1" fillId="0" borderId="33" xfId="2" applyBorder="1" applyAlignment="1">
      <alignment horizontal="center"/>
    </xf>
    <xf numFmtId="0" fontId="1" fillId="0" borderId="13" xfId="2" applyBorder="1" applyAlignment="1">
      <alignment horizontal="center" wrapText="1"/>
    </xf>
    <xf numFmtId="0" fontId="1" fillId="0" borderId="29" xfId="2" applyBorder="1" applyAlignment="1">
      <alignment horizontal="center"/>
    </xf>
    <xf numFmtId="0" fontId="1" fillId="0" borderId="16" xfId="2" applyBorder="1" applyAlignment="1">
      <alignment horizontal="center" wrapText="1"/>
    </xf>
    <xf numFmtId="0" fontId="1" fillId="0" borderId="14" xfId="2" applyBorder="1" applyAlignment="1">
      <alignment horizontal="center"/>
    </xf>
    <xf numFmtId="0" fontId="1" fillId="0" borderId="10" xfId="2" applyBorder="1" applyAlignment="1">
      <alignment horizontal="center"/>
    </xf>
    <xf numFmtId="0" fontId="1" fillId="0" borderId="12" xfId="2" applyBorder="1"/>
    <xf numFmtId="37" fontId="1" fillId="3" borderId="0" xfId="2" applyNumberFormat="1" applyFill="1"/>
    <xf numFmtId="0" fontId="1" fillId="0" borderId="33" xfId="2" applyBorder="1"/>
    <xf numFmtId="165" fontId="0" fillId="0" borderId="17" xfId="5" applyNumberFormat="1" applyFont="1" applyFill="1" applyBorder="1" applyProtection="1"/>
    <xf numFmtId="172" fontId="1" fillId="0" borderId="0" xfId="2" applyNumberFormat="1"/>
    <xf numFmtId="0" fontId="1" fillId="0" borderId="34" xfId="2" applyBorder="1" applyAlignment="1">
      <alignment horizontal="center"/>
    </xf>
    <xf numFmtId="0" fontId="1" fillId="0" borderId="28" xfId="2" applyBorder="1" applyAlignment="1">
      <alignment horizontal="center"/>
    </xf>
    <xf numFmtId="0" fontId="1" fillId="0" borderId="14" xfId="2" applyBorder="1" applyAlignment="1">
      <alignment horizontal="center" wrapText="1"/>
    </xf>
    <xf numFmtId="165" fontId="0" fillId="2" borderId="17" xfId="5" applyNumberFormat="1" applyFont="1" applyFill="1" applyBorder="1" applyProtection="1">
      <protection locked="0"/>
    </xf>
    <xf numFmtId="168" fontId="0" fillId="2" borderId="17" xfId="5" applyNumberFormat="1" applyFont="1" applyFill="1" applyBorder="1" applyProtection="1">
      <protection locked="0"/>
    </xf>
    <xf numFmtId="165" fontId="0" fillId="0" borderId="17" xfId="5" applyNumberFormat="1" applyFont="1" applyBorder="1" applyProtection="1"/>
    <xf numFmtId="0" fontId="1" fillId="0" borderId="10" xfId="2" applyBorder="1"/>
    <xf numFmtId="0" fontId="1" fillId="0" borderId="32" xfId="2" applyBorder="1"/>
    <xf numFmtId="0" fontId="1" fillId="0" borderId="31" xfId="2" applyBorder="1" applyAlignment="1">
      <alignment horizontal="center"/>
    </xf>
    <xf numFmtId="173" fontId="0" fillId="2" borderId="17" xfId="1" applyNumberFormat="1" applyFont="1" applyFill="1" applyBorder="1" applyProtection="1">
      <protection locked="0"/>
    </xf>
    <xf numFmtId="169" fontId="0" fillId="2" borderId="17" xfId="5" applyNumberFormat="1" applyFont="1" applyFill="1" applyBorder="1" applyProtection="1">
      <protection locked="0"/>
    </xf>
    <xf numFmtId="0" fontId="1" fillId="0" borderId="32" xfId="2" applyBorder="1" applyAlignment="1">
      <alignment horizontal="center"/>
    </xf>
    <xf numFmtId="165" fontId="0" fillId="0" borderId="33" xfId="5" applyNumberFormat="1" applyFont="1" applyFill="1" applyBorder="1" applyProtection="1"/>
    <xf numFmtId="165" fontId="0" fillId="0" borderId="13" xfId="5" applyNumberFormat="1" applyFont="1" applyBorder="1" applyProtection="1"/>
    <xf numFmtId="0" fontId="1" fillId="0" borderId="31" xfId="2" applyBorder="1"/>
    <xf numFmtId="174" fontId="1" fillId="0" borderId="12" xfId="1" applyNumberFormat="1" applyFont="1" applyFill="1" applyBorder="1" applyProtection="1"/>
    <xf numFmtId="174" fontId="1" fillId="0" borderId="17" xfId="1" applyNumberFormat="1" applyFont="1" applyFill="1" applyBorder="1" applyProtection="1"/>
    <xf numFmtId="174" fontId="1" fillId="0" borderId="17" xfId="1" applyNumberFormat="1" applyFont="1" applyBorder="1" applyProtection="1"/>
    <xf numFmtId="174" fontId="0" fillId="2" borderId="17" xfId="1" applyNumberFormat="1" applyFont="1" applyFill="1" applyBorder="1" applyProtection="1">
      <protection locked="0"/>
    </xf>
    <xf numFmtId="43" fontId="0" fillId="2" borderId="17" xfId="1" applyFont="1" applyFill="1" applyBorder="1" applyProtection="1">
      <protection locked="0"/>
    </xf>
    <xf numFmtId="174" fontId="0" fillId="0" borderId="17" xfId="1" applyNumberFormat="1" applyFont="1" applyBorder="1" applyProtection="1"/>
    <xf numFmtId="174" fontId="1" fillId="0" borderId="0" xfId="1" applyNumberFormat="1" applyFont="1" applyProtection="1"/>
    <xf numFmtId="10" fontId="1" fillId="0" borderId="17" xfId="2" applyNumberFormat="1" applyBorder="1"/>
    <xf numFmtId="165" fontId="0" fillId="0" borderId="35" xfId="5" applyNumberFormat="1" applyFont="1" applyBorder="1" applyProtection="1"/>
    <xf numFmtId="10" fontId="2" fillId="0" borderId="17" xfId="2" applyNumberFormat="1" applyFont="1" applyBorder="1"/>
    <xf numFmtId="0" fontId="2" fillId="0" borderId="16" xfId="2" applyFont="1" applyBorder="1"/>
    <xf numFmtId="165" fontId="2" fillId="0" borderId="36" xfId="5" applyNumberFormat="1" applyFont="1" applyBorder="1" applyProtection="1"/>
    <xf numFmtId="0" fontId="1" fillId="8" borderId="17" xfId="2" applyFill="1" applyBorder="1" applyAlignment="1">
      <alignment horizontal="center"/>
    </xf>
    <xf numFmtId="172" fontId="1" fillId="0" borderId="17" xfId="2" applyNumberFormat="1" applyBorder="1"/>
    <xf numFmtId="165" fontId="1" fillId="0" borderId="0" xfId="1" applyNumberFormat="1" applyFont="1" applyProtection="1"/>
    <xf numFmtId="172" fontId="2" fillId="0" borderId="17" xfId="2" applyNumberFormat="1" applyFont="1" applyBorder="1"/>
  </cellXfs>
  <cellStyles count="7">
    <cellStyle name="Comma" xfId="1" builtinId="3"/>
    <cellStyle name="Comma 6" xfId="6" xr:uid="{2392ECE8-78FD-4C29-BA3E-4441286CC7E4}"/>
    <cellStyle name="Comma 7" xfId="5" xr:uid="{ED79E48F-3845-4EBD-8243-CE7F5777E6A2}"/>
    <cellStyle name="Currency 5" xfId="4" xr:uid="{09A39AD0-23C7-45EB-98A7-AEA3DF014797}"/>
    <cellStyle name="Normal" xfId="0" builtinId="0"/>
    <cellStyle name="Normal 4 2" xfId="2" xr:uid="{EE8959BC-6109-4060-A66F-28029D2F8AF4}"/>
    <cellStyle name="Percent 6" xfId="3" xr:uid="{5378B001-75D6-431E-A024-10FB9B66BDD1}"/>
  </cellStyles>
  <dxfs count="1">
    <dxf>
      <font>
        <b/>
        <i val="0"/>
        <condense val="0"/>
        <extend val="0"/>
        <color auto="1"/>
      </font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ates/Rate%20Applications/2021%20COS%20-%20EB-2020-0043/Interrogatories/CH2%20Apps%20-%20ZA,%20ZB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DC Info"/>
      <sheetName val="Index"/>
      <sheetName val="COS Flowchart"/>
      <sheetName val="List of Key References"/>
      <sheetName val="App.2-A_Requested_Approvals"/>
      <sheetName val="App.2-AA_Capital Projects"/>
      <sheetName val="App.2-AB_Capital Expenditures"/>
      <sheetName val="Hidden_CAPEX"/>
      <sheetName val="App.2-AC_Customer Engagement"/>
      <sheetName val="App.2-B_Acctg Instructions"/>
      <sheetName val="App.2-BA_Fixed Asset Cont"/>
      <sheetName val="Appendix 2-BB Service Life  "/>
      <sheetName val="App.2-C_DepExp"/>
      <sheetName val="App.2-D_Overhead"/>
      <sheetName val="App.2-EA_Account 1575 (2015)"/>
      <sheetName val="App.2-EB_Account 1576 (2012)"/>
      <sheetName val="App.2-EC_Account 1576 (2013)"/>
      <sheetName val="Hidden_REG Invest."/>
      <sheetName val="Hidden_REG Improvement"/>
      <sheetName val="Hidden_REG Expansion"/>
      <sheetName val="App.2-FA Proposed REG Invest."/>
      <sheetName val="App.2-FB Calc of REG Improvemnt"/>
      <sheetName val="App.2-FC Calc of REG Expansion"/>
      <sheetName val="App.2-G SQI"/>
      <sheetName val="App.2-H_Other_Oper_Rev"/>
      <sheetName val="Hidden_Other Revenue"/>
      <sheetName val="App_2-I LF_CDM"/>
      <sheetName val="lists"/>
      <sheetName val="App.2-IA_Load_Forecast_Instrct"/>
      <sheetName val="App.2-IB_Load_Forecast_Analysis"/>
      <sheetName val="App.2-JA_OM&amp;A_Summary_Analys"/>
      <sheetName val="Hidden_OM&amp;A Summary"/>
      <sheetName val="App.2-JB_OM&amp;A_Cost _Drivers"/>
      <sheetName val="App.2-JC_OMA Programs"/>
      <sheetName val="App.2-K_Employee Costs"/>
      <sheetName val="Hidden_Employee Costs"/>
      <sheetName val="App.2-L_OM&amp;A_per_Cust_FTE"/>
      <sheetName val="App.2-L_OM&amp;A_per_Cust_FTEE_exp"/>
      <sheetName val="App.2-M_Regulatory_Costs"/>
      <sheetName val="Hidden_RegulatoryCosts1"/>
      <sheetName val="Hidden_RegulatoryCosts2"/>
      <sheetName val="App.2-N_Corp_Cost_Allocation"/>
      <sheetName val="App.2-OA Capital Structure"/>
      <sheetName val="App.2-OB_Debt Instruments"/>
      <sheetName val="App.2-Q_Cost of Serv. Emb. Dx"/>
      <sheetName val="App.2-R_Loss Factors"/>
      <sheetName val="App.2-ZA_Com. Exp. Forecast"/>
      <sheetName val="App.2-ZB_Cost of Power"/>
      <sheetName val="App.2-S_Stranded Meters"/>
      <sheetName val="App.2-Y_MIFRS Summary Impacts"/>
      <sheetName val="Sheet19"/>
      <sheetName val="App.2-YA_IFRS Transition Costs"/>
      <sheetName val="Sheet1"/>
    </sheetNames>
    <sheetDataSet>
      <sheetData sheetId="0">
        <row r="24">
          <cell r="E24">
            <v>2021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>
        <row r="29">
          <cell r="B29" t="str">
            <v>Residential</v>
          </cell>
          <cell r="H29">
            <v>10635396.02</v>
          </cell>
          <cell r="I29">
            <v>198904757.41</v>
          </cell>
          <cell r="J29">
            <v>2.087E-2</v>
          </cell>
          <cell r="K29">
            <v>0.10773000000000001</v>
          </cell>
        </row>
        <row r="30">
          <cell r="B30" t="str">
            <v>GS&lt;50</v>
          </cell>
          <cell r="H30">
            <v>11285165.01</v>
          </cell>
          <cell r="I30">
            <v>70820760.390000001</v>
          </cell>
          <cell r="J30">
            <v>2.087E-2</v>
          </cell>
          <cell r="K30">
            <v>0.10773000000000001</v>
          </cell>
        </row>
        <row r="31">
          <cell r="B31" t="str">
            <v>GS&gt;50</v>
          </cell>
          <cell r="F31">
            <v>29897744</v>
          </cell>
          <cell r="H31">
            <v>154993697.08000001</v>
          </cell>
          <cell r="I31">
            <v>16330088.09</v>
          </cell>
          <cell r="J31">
            <v>2.087E-2</v>
          </cell>
          <cell r="K31">
            <v>0.10773000000000001</v>
          </cell>
        </row>
        <row r="32">
          <cell r="B32" t="str">
            <v>GS&gt;3000&lt;4999</v>
          </cell>
          <cell r="F32">
            <v>15016547</v>
          </cell>
          <cell r="J32">
            <v>2.087E-2</v>
          </cell>
          <cell r="K32">
            <v>0.10773000000000001</v>
          </cell>
        </row>
        <row r="33">
          <cell r="B33" t="str">
            <v>Sent</v>
          </cell>
          <cell r="H33">
            <v>8987.89</v>
          </cell>
          <cell r="I33">
            <v>113003.28</v>
          </cell>
          <cell r="J33">
            <v>2.087E-2</v>
          </cell>
          <cell r="K33">
            <v>0.10773000000000001</v>
          </cell>
        </row>
        <row r="34">
          <cell r="B34" t="str">
            <v>Street Light</v>
          </cell>
          <cell r="H34">
            <v>2115469.52</v>
          </cell>
          <cell r="J34">
            <v>2.087E-2</v>
          </cell>
          <cell r="K34">
            <v>0.10773000000000001</v>
          </cell>
        </row>
        <row r="35">
          <cell r="I35">
            <v>41023.64</v>
          </cell>
          <cell r="J35">
            <v>2.087E-2</v>
          </cell>
          <cell r="K35">
            <v>0.10773000000000001</v>
          </cell>
        </row>
        <row r="38">
          <cell r="L38">
            <v>35507262.988693707</v>
          </cell>
        </row>
        <row r="43">
          <cell r="L43">
            <v>2718374.0241238875</v>
          </cell>
        </row>
        <row r="44">
          <cell r="L44">
            <v>973807.63593170641</v>
          </cell>
        </row>
        <row r="46">
          <cell r="L46">
            <v>3692181.6600555941</v>
          </cell>
        </row>
        <row r="51">
          <cell r="B51" t="str">
            <v>Residential</v>
          </cell>
          <cell r="L51">
            <v>889331.81519240001</v>
          </cell>
        </row>
        <row r="52">
          <cell r="B52" t="str">
            <v>GS&lt;50</v>
          </cell>
          <cell r="L52">
            <v>943665.49813620001</v>
          </cell>
        </row>
        <row r="53">
          <cell r="B53" t="str">
            <v>GS&gt;50</v>
          </cell>
          <cell r="L53">
            <v>12960572.949829601</v>
          </cell>
        </row>
        <row r="54">
          <cell r="B54" t="str">
            <v>GS&gt;3000&lt;4999</v>
          </cell>
        </row>
        <row r="55">
          <cell r="B55" t="str">
            <v>Sent</v>
          </cell>
          <cell r="L55">
            <v>751.56736179999996</v>
          </cell>
        </row>
        <row r="56">
          <cell r="B56" t="str">
            <v>Street Light</v>
          </cell>
          <cell r="L56">
            <v>176895.56126240001</v>
          </cell>
        </row>
        <row r="57">
          <cell r="L57">
            <v>0</v>
          </cell>
        </row>
        <row r="60">
          <cell r="L60">
            <v>14971217.391782401</v>
          </cell>
        </row>
      </sheetData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65"/>
  <sheetViews>
    <sheetView topLeftCell="A31" workbookViewId="0">
      <selection activeCell="J17" sqref="J17"/>
    </sheetView>
  </sheetViews>
  <sheetFormatPr defaultColWidth="9.42578125" defaultRowHeight="15" outlineLevelRow="1" x14ac:dyDescent="0.25"/>
  <cols>
    <col min="1" max="1" width="9.42578125" style="1"/>
    <col min="2" max="2" width="43.42578125" style="1" customWidth="1"/>
    <col min="3" max="3" width="7.42578125" style="1" customWidth="1"/>
    <col min="4" max="4" width="10.42578125" style="1" customWidth="1"/>
    <col min="5" max="5" width="7.5703125" style="1" customWidth="1"/>
    <col min="6" max="6" width="20.42578125" style="1" customWidth="1"/>
    <col min="7" max="7" width="14.5703125" style="1" customWidth="1"/>
    <col min="8" max="10" width="17.42578125" style="1" customWidth="1"/>
    <col min="11" max="11" width="21.42578125" style="1" customWidth="1"/>
    <col min="12" max="12" width="16.5703125" style="1" customWidth="1"/>
    <col min="13" max="13" width="12.42578125" style="1" bestFit="1" customWidth="1"/>
    <col min="14" max="14" width="12" style="1" bestFit="1" customWidth="1"/>
    <col min="15" max="16384" width="9.42578125" style="1"/>
  </cols>
  <sheetData>
    <row r="1" spans="1:27" x14ac:dyDescent="0.25">
      <c r="B1" s="2"/>
    </row>
    <row r="2" spans="1:27" x14ac:dyDescent="0.25">
      <c r="A2" s="3"/>
      <c r="B2" s="3"/>
      <c r="C2" s="3"/>
      <c r="D2" s="3"/>
      <c r="E2" s="3"/>
      <c r="K2" s="4" t="s">
        <v>0</v>
      </c>
      <c r="L2" s="5"/>
    </row>
    <row r="3" spans="1:27" ht="18" x14ac:dyDescent="0.25">
      <c r="A3" s="3"/>
      <c r="C3" s="6"/>
      <c r="D3" s="6"/>
      <c r="E3" s="6"/>
      <c r="F3" s="6"/>
      <c r="G3" s="6"/>
      <c r="H3" s="6"/>
      <c r="I3" s="6"/>
      <c r="J3" s="6"/>
      <c r="K3" s="4" t="s">
        <v>1</v>
      </c>
      <c r="L3" s="7"/>
    </row>
    <row r="4" spans="1:27" x14ac:dyDescent="0.25">
      <c r="B4" s="8" t="s">
        <v>2</v>
      </c>
      <c r="C4" s="8"/>
      <c r="D4" s="8"/>
      <c r="E4" s="8"/>
      <c r="F4" s="8"/>
      <c r="G4" s="8"/>
      <c r="H4" s="8"/>
      <c r="I4" s="8"/>
      <c r="K4" s="4" t="s">
        <v>3</v>
      </c>
      <c r="L4" s="7"/>
    </row>
    <row r="5" spans="1:27" ht="18" customHeight="1" x14ac:dyDescent="0.25">
      <c r="B5" s="8"/>
      <c r="C5" s="8"/>
      <c r="D5" s="8"/>
      <c r="E5" s="8"/>
      <c r="F5" s="8"/>
      <c r="G5" s="8"/>
      <c r="H5" s="8"/>
      <c r="I5" s="8"/>
      <c r="J5" s="6"/>
      <c r="K5" s="4" t="s">
        <v>4</v>
      </c>
      <c r="L5" s="7"/>
    </row>
    <row r="6" spans="1:27" ht="15" customHeight="1" x14ac:dyDescent="0.25">
      <c r="B6" s="8"/>
      <c r="C6" s="8"/>
      <c r="D6" s="8"/>
      <c r="E6" s="8"/>
      <c r="F6" s="8"/>
      <c r="G6" s="8"/>
      <c r="H6" s="8"/>
      <c r="I6" s="8"/>
      <c r="J6" s="6"/>
      <c r="K6" s="4" t="s">
        <v>5</v>
      </c>
      <c r="L6" s="5"/>
    </row>
    <row r="7" spans="1:27" x14ac:dyDescent="0.25">
      <c r="B7" s="9"/>
      <c r="K7" s="4"/>
      <c r="L7" s="10"/>
    </row>
    <row r="8" spans="1:27" x14ac:dyDescent="0.25">
      <c r="B8" s="9"/>
      <c r="K8" s="4" t="s">
        <v>6</v>
      </c>
      <c r="L8" s="5"/>
    </row>
    <row r="9" spans="1:27" x14ac:dyDescent="0.25">
      <c r="B9" s="9"/>
    </row>
    <row r="10" spans="1:27" ht="15.75" thickBot="1" x14ac:dyDescent="0.3">
      <c r="A10" s="11"/>
      <c r="B10" s="12"/>
      <c r="C10" s="13"/>
      <c r="D10" s="14"/>
      <c r="E10" s="14"/>
      <c r="F10" s="14"/>
      <c r="G10" s="11"/>
      <c r="H10" s="11"/>
      <c r="I10" s="11"/>
      <c r="J10" s="11"/>
      <c r="K10" s="11"/>
      <c r="L10" s="14"/>
      <c r="Q10" s="15"/>
      <c r="R10" s="15"/>
      <c r="S10" s="15"/>
      <c r="T10" s="15"/>
      <c r="U10" s="15"/>
      <c r="V10" s="15"/>
      <c r="Y10" s="16"/>
      <c r="Z10" s="16"/>
      <c r="AA10" s="16"/>
    </row>
    <row r="11" spans="1:27" ht="15.75" x14ac:dyDescent="0.25">
      <c r="A11" s="17"/>
      <c r="B11" s="18"/>
      <c r="C11" s="15"/>
      <c r="D11" s="15"/>
      <c r="E11" s="15"/>
      <c r="F11" s="15"/>
      <c r="G11" s="16"/>
      <c r="H11" s="15"/>
      <c r="I11" s="15"/>
      <c r="J11" s="15"/>
      <c r="K11" s="15"/>
      <c r="L11" s="19"/>
      <c r="M11" s="20"/>
      <c r="N11" s="18"/>
      <c r="O11" s="15"/>
      <c r="P11" s="15"/>
      <c r="Q11" s="15"/>
      <c r="R11" s="15"/>
      <c r="S11" s="15"/>
      <c r="T11" s="15"/>
      <c r="U11" s="15"/>
      <c r="V11" s="15"/>
      <c r="Y11" s="16"/>
      <c r="Z11" s="16"/>
      <c r="AA11" s="16"/>
    </row>
    <row r="12" spans="1:27" ht="15.75" x14ac:dyDescent="0.25">
      <c r="A12" s="19" t="s">
        <v>7</v>
      </c>
      <c r="B12" s="20" t="s">
        <v>8</v>
      </c>
      <c r="C12" s="18"/>
      <c r="D12" s="15"/>
      <c r="E12" s="15"/>
      <c r="F12" s="15"/>
      <c r="G12" s="16"/>
      <c r="H12" s="15"/>
      <c r="I12" s="15"/>
      <c r="J12" s="15"/>
      <c r="K12" s="15"/>
      <c r="L12" s="19"/>
      <c r="M12" s="20"/>
      <c r="N12" s="18"/>
      <c r="O12" s="15"/>
      <c r="P12" s="15"/>
      <c r="Q12" s="15"/>
      <c r="R12" s="15"/>
      <c r="S12" s="15"/>
      <c r="T12" s="15"/>
      <c r="U12" s="15"/>
      <c r="V12" s="15"/>
      <c r="Y12" s="16"/>
      <c r="Z12" s="16"/>
      <c r="AA12" s="16"/>
    </row>
    <row r="13" spans="1:27" ht="16.5" thickBot="1" x14ac:dyDescent="0.3">
      <c r="A13" s="17"/>
      <c r="B13" s="18"/>
      <c r="C13" s="15"/>
      <c r="D13" s="15"/>
      <c r="E13" s="15"/>
      <c r="F13" s="15"/>
      <c r="G13" s="16"/>
      <c r="H13" s="15"/>
      <c r="I13" s="15"/>
      <c r="J13" s="15"/>
      <c r="K13" s="15"/>
      <c r="L13" s="19"/>
      <c r="M13" s="20"/>
      <c r="N13" s="18"/>
      <c r="O13" s="15"/>
      <c r="P13" s="15"/>
      <c r="Q13" s="15"/>
      <c r="R13" s="15"/>
      <c r="S13" s="15"/>
      <c r="T13" s="15"/>
      <c r="U13" s="15"/>
      <c r="V13" s="15"/>
      <c r="Y13" s="16"/>
      <c r="Z13" s="16"/>
      <c r="AA13" s="16"/>
    </row>
    <row r="14" spans="1:27" ht="15.75" thickBot="1" x14ac:dyDescent="0.3">
      <c r="A14" s="16"/>
      <c r="B14" s="16" t="s">
        <v>9</v>
      </c>
      <c r="C14" s="16"/>
      <c r="D14" s="16"/>
      <c r="E14" s="16"/>
      <c r="F14" s="16"/>
      <c r="G14" s="21"/>
      <c r="H14" s="22"/>
      <c r="J14" s="23"/>
      <c r="K14" s="23"/>
      <c r="N14" s="24"/>
      <c r="O14" s="24"/>
      <c r="P14" s="16"/>
    </row>
    <row r="15" spans="1:27" x14ac:dyDescent="0.25">
      <c r="A15" s="19"/>
      <c r="B15" s="25" t="s">
        <v>10</v>
      </c>
      <c r="C15" s="16" t="s">
        <v>11</v>
      </c>
      <c r="D15" s="16"/>
      <c r="E15" s="16"/>
      <c r="F15" s="16"/>
      <c r="G15" s="26" t="s">
        <v>12</v>
      </c>
      <c r="H15" s="27" t="s">
        <v>13</v>
      </c>
      <c r="J15" s="28"/>
      <c r="K15" s="28"/>
      <c r="N15" s="24"/>
      <c r="O15" s="24"/>
      <c r="P15" s="16"/>
    </row>
    <row r="16" spans="1:27" ht="15.75" thickBot="1" x14ac:dyDescent="0.3">
      <c r="A16" s="16"/>
      <c r="B16" s="29"/>
      <c r="C16" s="16"/>
      <c r="D16" s="16"/>
      <c r="E16" s="16"/>
      <c r="F16" s="16"/>
      <c r="G16" s="30"/>
      <c r="H16" s="31"/>
      <c r="J16" s="28"/>
      <c r="K16" s="28"/>
      <c r="N16" s="24"/>
      <c r="O16" s="24"/>
      <c r="P16" s="16"/>
    </row>
    <row r="17" spans="1:16" ht="29.25" customHeight="1" x14ac:dyDescent="0.25">
      <c r="A17" s="16"/>
      <c r="B17" s="32" t="s">
        <v>14</v>
      </c>
      <c r="C17" s="33" t="s">
        <v>15</v>
      </c>
      <c r="D17" s="34"/>
      <c r="E17" s="35"/>
      <c r="F17" s="36"/>
      <c r="G17" s="37">
        <v>20.87</v>
      </c>
      <c r="H17" s="38">
        <v>20.87</v>
      </c>
      <c r="J17" s="39"/>
      <c r="K17" s="39"/>
      <c r="N17" s="16"/>
      <c r="O17" s="16"/>
      <c r="P17" s="16"/>
    </row>
    <row r="18" spans="1:16" ht="32.25" customHeight="1" x14ac:dyDescent="0.25">
      <c r="A18" s="16"/>
      <c r="B18" s="32" t="s">
        <v>16</v>
      </c>
      <c r="C18" s="33" t="s">
        <v>17</v>
      </c>
      <c r="D18" s="34"/>
      <c r="E18" s="35"/>
      <c r="F18" s="40"/>
      <c r="G18" s="41">
        <v>83.62</v>
      </c>
      <c r="H18" s="41">
        <v>83.62</v>
      </c>
      <c r="J18" s="39"/>
      <c r="K18" s="39"/>
      <c r="N18" s="16"/>
      <c r="O18" s="16"/>
      <c r="P18" s="16"/>
    </row>
    <row r="19" spans="1:16" x14ac:dyDescent="0.25">
      <c r="A19" s="16"/>
      <c r="B19" s="32" t="s">
        <v>18</v>
      </c>
      <c r="C19" s="42"/>
      <c r="D19" s="43"/>
      <c r="E19" s="44"/>
      <c r="F19" s="40"/>
      <c r="G19" s="45"/>
      <c r="H19" s="46">
        <v>3.24</v>
      </c>
      <c r="J19" s="47"/>
      <c r="K19" s="39"/>
      <c r="N19" s="16"/>
      <c r="O19" s="16"/>
      <c r="P19" s="16"/>
    </row>
    <row r="20" spans="1:16" ht="40.5" customHeight="1" x14ac:dyDescent="0.25">
      <c r="A20" s="16"/>
      <c r="B20" s="48" t="s">
        <v>19</v>
      </c>
      <c r="C20" s="33" t="s">
        <v>20</v>
      </c>
      <c r="D20" s="34"/>
      <c r="E20" s="35"/>
      <c r="F20" s="40"/>
      <c r="G20" s="49"/>
      <c r="H20" s="50">
        <f>SUM(H17:H19)</f>
        <v>107.73</v>
      </c>
      <c r="J20" s="51"/>
      <c r="K20" s="51"/>
      <c r="N20" s="16"/>
      <c r="O20" s="16"/>
      <c r="P20" s="16"/>
    </row>
    <row r="21" spans="1:16" ht="15.75" thickBot="1" x14ac:dyDescent="0.3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6"/>
      <c r="N21" s="16"/>
      <c r="O21" s="16"/>
      <c r="P21" s="16"/>
    </row>
    <row r="22" spans="1:16" x14ac:dyDescent="0.25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</row>
    <row r="23" spans="1:16" ht="15.75" customHeight="1" outlineLevel="1" x14ac:dyDescent="0.25">
      <c r="A23" s="19" t="s">
        <v>21</v>
      </c>
      <c r="B23" s="20" t="s">
        <v>22</v>
      </c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</row>
    <row r="24" spans="1:16" ht="15" customHeight="1" outlineLevel="1" x14ac:dyDescent="0.25">
      <c r="A24" s="16"/>
      <c r="B24" s="52" t="s">
        <v>23</v>
      </c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</row>
    <row r="25" spans="1:16" ht="15" customHeight="1" outlineLevel="1" x14ac:dyDescent="0.25">
      <c r="A25" s="16"/>
      <c r="B25" s="52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</row>
    <row r="26" spans="1:16" ht="15" customHeight="1" outlineLevel="1" x14ac:dyDescent="0.25">
      <c r="A26" s="16"/>
      <c r="B26" s="53" t="s">
        <v>24</v>
      </c>
      <c r="E26" s="54"/>
      <c r="F26" s="55"/>
      <c r="G26" s="56" t="str">
        <f>'[1]LDC Info'!E24 &amp; " Test Year"</f>
        <v>2021 Test Year</v>
      </c>
      <c r="H26" s="56"/>
      <c r="I26" s="56"/>
      <c r="J26" s="56"/>
      <c r="K26" s="56"/>
      <c r="L26" s="56"/>
      <c r="M26" s="16"/>
      <c r="N26" s="16"/>
      <c r="O26" s="16"/>
      <c r="P26" s="16"/>
    </row>
    <row r="27" spans="1:16" ht="15" customHeight="1" outlineLevel="1" x14ac:dyDescent="0.25">
      <c r="A27" s="16"/>
      <c r="B27" s="57" t="s">
        <v>25</v>
      </c>
      <c r="C27" s="58"/>
      <c r="D27" s="58" t="s">
        <v>26</v>
      </c>
      <c r="E27" s="59" t="s">
        <v>27</v>
      </c>
      <c r="F27" s="60"/>
      <c r="G27" s="60"/>
      <c r="H27" s="60"/>
      <c r="I27" s="60"/>
      <c r="J27" s="60"/>
      <c r="K27" s="60"/>
      <c r="L27" s="60"/>
      <c r="M27" s="16"/>
      <c r="N27" s="16"/>
      <c r="O27" s="16"/>
      <c r="P27" s="16"/>
    </row>
    <row r="28" spans="1:16" ht="42.75" customHeight="1" outlineLevel="1" x14ac:dyDescent="0.25">
      <c r="A28" s="16"/>
      <c r="B28" s="61" t="s">
        <v>28</v>
      </c>
      <c r="C28" s="62" t="s">
        <v>29</v>
      </c>
      <c r="D28" s="62" t="s">
        <v>30</v>
      </c>
      <c r="E28" s="63" t="s">
        <v>30</v>
      </c>
      <c r="F28" s="64" t="s">
        <v>31</v>
      </c>
      <c r="G28" s="64"/>
      <c r="H28" s="64" t="s">
        <v>32</v>
      </c>
      <c r="I28" s="64" t="s">
        <v>33</v>
      </c>
      <c r="J28" s="64" t="s">
        <v>34</v>
      </c>
      <c r="K28" s="64" t="s">
        <v>35</v>
      </c>
      <c r="L28" s="65" t="s">
        <v>36</v>
      </c>
      <c r="M28" s="16"/>
      <c r="N28" s="16"/>
      <c r="O28" s="16"/>
      <c r="P28" s="16"/>
    </row>
    <row r="29" spans="1:16" ht="15" customHeight="1" outlineLevel="1" x14ac:dyDescent="0.25">
      <c r="A29" s="16"/>
      <c r="B29" s="66" t="s">
        <v>37</v>
      </c>
      <c r="C29" s="67" t="s">
        <v>38</v>
      </c>
      <c r="D29" s="67">
        <v>4006</v>
      </c>
      <c r="E29" s="68">
        <v>4705</v>
      </c>
      <c r="F29" s="66"/>
      <c r="G29" s="69"/>
      <c r="H29" s="70">
        <v>10635396.02</v>
      </c>
      <c r="I29" s="70">
        <v>198904757.41</v>
      </c>
      <c r="J29" s="71">
        <f t="shared" ref="J29:J37" si="0">+$G$17/1000</f>
        <v>2.087E-2</v>
      </c>
      <c r="K29" s="71">
        <f t="shared" ref="K29:K37" si="1">+$H$20/1000</f>
        <v>0.10773000000000001</v>
      </c>
      <c r="L29" s="72">
        <f t="shared" ref="L29:L37" si="2">(+F29+H29)*J29+(I29*K29)</f>
        <v>21649970.230716702</v>
      </c>
      <c r="M29" s="16"/>
      <c r="N29" s="16"/>
      <c r="O29" s="16"/>
      <c r="P29" s="16"/>
    </row>
    <row r="30" spans="1:16" ht="15" customHeight="1" outlineLevel="1" x14ac:dyDescent="0.25">
      <c r="A30" s="16"/>
      <c r="B30" s="66" t="s">
        <v>39</v>
      </c>
      <c r="C30" s="67" t="s">
        <v>38</v>
      </c>
      <c r="D30" s="67">
        <v>4010</v>
      </c>
      <c r="E30" s="68">
        <v>4705</v>
      </c>
      <c r="F30" s="66"/>
      <c r="G30" s="69"/>
      <c r="H30" s="70">
        <v>11285165.01</v>
      </c>
      <c r="I30" s="70">
        <v>70820760.390000001</v>
      </c>
      <c r="J30" s="71">
        <f t="shared" si="0"/>
        <v>2.087E-2</v>
      </c>
      <c r="K30" s="71">
        <f t="shared" si="1"/>
        <v>0.10773000000000001</v>
      </c>
      <c r="L30" s="72">
        <f t="shared" si="2"/>
        <v>7865041.9105734006</v>
      </c>
      <c r="M30" s="16"/>
      <c r="N30" s="16"/>
      <c r="O30" s="16"/>
      <c r="P30" s="16"/>
    </row>
    <row r="31" spans="1:16" ht="15" customHeight="1" outlineLevel="1" x14ac:dyDescent="0.25">
      <c r="A31" s="16"/>
      <c r="B31" s="66" t="s">
        <v>40</v>
      </c>
      <c r="C31" s="67" t="s">
        <v>38</v>
      </c>
      <c r="D31" s="67">
        <v>4035</v>
      </c>
      <c r="E31" s="68">
        <v>4705</v>
      </c>
      <c r="F31" s="70">
        <v>29897744</v>
      </c>
      <c r="G31" s="69"/>
      <c r="H31" s="70">
        <f>184891441.08-F31</f>
        <v>154993697.08000001</v>
      </c>
      <c r="I31" s="70">
        <v>16330088.09</v>
      </c>
      <c r="J31" s="71">
        <f t="shared" si="0"/>
        <v>2.087E-2</v>
      </c>
      <c r="K31" s="71">
        <f t="shared" si="1"/>
        <v>0.10773000000000001</v>
      </c>
      <c r="L31" s="72">
        <f t="shared" si="2"/>
        <v>5617924.7652753005</v>
      </c>
      <c r="M31" s="16"/>
      <c r="N31" s="16"/>
      <c r="O31" s="16"/>
      <c r="P31" s="16"/>
    </row>
    <row r="32" spans="1:16" ht="15" customHeight="1" outlineLevel="1" x14ac:dyDescent="0.25">
      <c r="A32" s="16"/>
      <c r="B32" s="66" t="s">
        <v>41</v>
      </c>
      <c r="C32" s="67" t="s">
        <v>38</v>
      </c>
      <c r="D32" s="67">
        <v>4010</v>
      </c>
      <c r="E32" s="68">
        <v>4705</v>
      </c>
      <c r="F32" s="70">
        <v>15016547</v>
      </c>
      <c r="G32" s="69"/>
      <c r="H32" s="70"/>
      <c r="I32" s="70"/>
      <c r="J32" s="71">
        <f t="shared" si="0"/>
        <v>2.087E-2</v>
      </c>
      <c r="K32" s="71">
        <f t="shared" si="1"/>
        <v>0.10773000000000001</v>
      </c>
      <c r="L32" s="72">
        <f t="shared" si="2"/>
        <v>313395.33588999999</v>
      </c>
      <c r="M32" s="16"/>
      <c r="N32" s="16"/>
      <c r="O32" s="16"/>
      <c r="P32" s="16"/>
    </row>
    <row r="33" spans="1:16" ht="15" customHeight="1" outlineLevel="1" x14ac:dyDescent="0.25">
      <c r="A33" s="16"/>
      <c r="B33" s="66" t="s">
        <v>42</v>
      </c>
      <c r="C33" s="67" t="s">
        <v>38</v>
      </c>
      <c r="D33" s="67">
        <v>4025</v>
      </c>
      <c r="E33" s="68">
        <v>4705</v>
      </c>
      <c r="F33" s="66"/>
      <c r="G33" s="69"/>
      <c r="H33" s="70">
        <v>8987.89</v>
      </c>
      <c r="I33" s="70">
        <v>113003.28</v>
      </c>
      <c r="J33" s="71">
        <f t="shared" si="0"/>
        <v>2.087E-2</v>
      </c>
      <c r="K33" s="71">
        <f t="shared" si="1"/>
        <v>0.10773000000000001</v>
      </c>
      <c r="L33" s="72">
        <f t="shared" si="2"/>
        <v>12361.4206187</v>
      </c>
      <c r="M33" s="16"/>
      <c r="N33" s="16"/>
      <c r="O33" s="16"/>
      <c r="P33" s="16"/>
    </row>
    <row r="34" spans="1:16" ht="15" customHeight="1" outlineLevel="1" x14ac:dyDescent="0.25">
      <c r="A34" s="16"/>
      <c r="B34" s="66" t="s">
        <v>43</v>
      </c>
      <c r="C34" s="67" t="s">
        <v>38</v>
      </c>
      <c r="D34" s="67">
        <v>4025</v>
      </c>
      <c r="E34" s="68">
        <v>4705</v>
      </c>
      <c r="F34" s="66"/>
      <c r="G34" s="69"/>
      <c r="H34" s="70">
        <v>2115469.52</v>
      </c>
      <c r="I34" s="70"/>
      <c r="J34" s="71">
        <f t="shared" si="0"/>
        <v>2.087E-2</v>
      </c>
      <c r="K34" s="71">
        <f t="shared" si="1"/>
        <v>0.10773000000000001</v>
      </c>
      <c r="L34" s="72">
        <f t="shared" si="2"/>
        <v>44149.848882400001</v>
      </c>
      <c r="M34" s="16"/>
      <c r="N34" s="16"/>
      <c r="O34" s="16"/>
      <c r="P34" s="16"/>
    </row>
    <row r="35" spans="1:16" ht="15" customHeight="1" outlineLevel="1" x14ac:dyDescent="0.25">
      <c r="A35" s="16"/>
      <c r="B35" s="66" t="s">
        <v>44</v>
      </c>
      <c r="C35" s="67" t="s">
        <v>38</v>
      </c>
      <c r="D35" s="67">
        <v>4025</v>
      </c>
      <c r="E35" s="68">
        <v>4705</v>
      </c>
      <c r="F35" s="66"/>
      <c r="G35" s="69"/>
      <c r="H35" s="70"/>
      <c r="I35" s="70">
        <v>41023.64</v>
      </c>
      <c r="J35" s="71">
        <f t="shared" si="0"/>
        <v>2.087E-2</v>
      </c>
      <c r="K35" s="71">
        <f t="shared" si="1"/>
        <v>0.10773000000000001</v>
      </c>
      <c r="L35" s="72">
        <f t="shared" si="2"/>
        <v>4419.4767372000006</v>
      </c>
      <c r="M35" s="16"/>
      <c r="N35" s="16"/>
      <c r="O35" s="16"/>
      <c r="P35" s="16"/>
    </row>
    <row r="36" spans="1:16" ht="15" customHeight="1" outlineLevel="1" x14ac:dyDescent="0.25">
      <c r="A36" s="16"/>
      <c r="B36" s="66"/>
      <c r="C36" s="67" t="s">
        <v>38</v>
      </c>
      <c r="D36" s="67">
        <v>4025</v>
      </c>
      <c r="E36" s="68">
        <v>4705</v>
      </c>
      <c r="F36" s="66"/>
      <c r="G36" s="69"/>
      <c r="H36" s="66"/>
      <c r="I36" s="66"/>
      <c r="J36" s="71">
        <f t="shared" si="0"/>
        <v>2.087E-2</v>
      </c>
      <c r="K36" s="71">
        <f t="shared" si="1"/>
        <v>0.10773000000000001</v>
      </c>
      <c r="L36" s="72">
        <f t="shared" si="2"/>
        <v>0</v>
      </c>
      <c r="M36" s="16"/>
      <c r="N36" s="16"/>
      <c r="O36" s="16"/>
      <c r="P36" s="16"/>
    </row>
    <row r="37" spans="1:16" ht="15" customHeight="1" outlineLevel="1" x14ac:dyDescent="0.25">
      <c r="A37" s="16"/>
      <c r="B37" s="66"/>
      <c r="C37" s="67" t="s">
        <v>38</v>
      </c>
      <c r="D37" s="67">
        <v>4025</v>
      </c>
      <c r="E37" s="68">
        <v>4705</v>
      </c>
      <c r="F37" s="66"/>
      <c r="G37" s="69"/>
      <c r="H37" s="66"/>
      <c r="I37" s="66"/>
      <c r="J37" s="71">
        <f t="shared" si="0"/>
        <v>2.087E-2</v>
      </c>
      <c r="K37" s="71">
        <f t="shared" si="1"/>
        <v>0.10773000000000001</v>
      </c>
      <c r="L37" s="72">
        <f t="shared" si="2"/>
        <v>0</v>
      </c>
      <c r="M37" s="16"/>
      <c r="N37" s="16"/>
      <c r="O37" s="16"/>
      <c r="P37" s="16"/>
    </row>
    <row r="38" spans="1:16" ht="15" customHeight="1" outlineLevel="1" x14ac:dyDescent="0.25">
      <c r="A38" s="16"/>
      <c r="B38" s="73" t="s">
        <v>45</v>
      </c>
      <c r="C38" s="74"/>
      <c r="D38" s="75"/>
      <c r="E38" s="76"/>
      <c r="F38" s="77">
        <f>SUM(F29:F37)</f>
        <v>44914291</v>
      </c>
      <c r="G38" s="78"/>
      <c r="H38" s="77">
        <f>SUM(H29:H37)</f>
        <v>179038715.52000001</v>
      </c>
      <c r="I38" s="79">
        <f>SUM(I29:I37)</f>
        <v>286209632.80999994</v>
      </c>
      <c r="J38" s="79"/>
      <c r="K38" s="77"/>
      <c r="L38" s="80">
        <f>SUM(L29:L37)</f>
        <v>35507262.988693707</v>
      </c>
      <c r="M38" s="16"/>
      <c r="N38" s="16"/>
      <c r="O38" s="16"/>
      <c r="P38" s="16"/>
    </row>
    <row r="39" spans="1:16" ht="15" customHeight="1" outlineLevel="1" x14ac:dyDescent="0.25">
      <c r="A39" s="16"/>
      <c r="B39" s="52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</row>
    <row r="40" spans="1:16" ht="15" customHeight="1" outlineLevel="1" x14ac:dyDescent="0.25">
      <c r="A40" s="16"/>
      <c r="B40" s="29"/>
      <c r="C40" s="16"/>
      <c r="D40" s="16"/>
      <c r="E40" s="16"/>
      <c r="F40" s="81"/>
      <c r="G40" s="81"/>
      <c r="H40" s="16"/>
      <c r="I40" s="16"/>
      <c r="J40" s="16"/>
      <c r="K40" s="16"/>
      <c r="L40" s="16"/>
      <c r="M40" s="16"/>
      <c r="N40" s="16"/>
      <c r="O40" s="16"/>
      <c r="P40" s="16"/>
    </row>
    <row r="41" spans="1:16" ht="15.75" customHeight="1" outlineLevel="1" x14ac:dyDescent="0.25">
      <c r="A41" s="16"/>
      <c r="B41" s="53" t="s">
        <v>46</v>
      </c>
      <c r="E41" s="54"/>
      <c r="F41" s="82"/>
      <c r="G41" s="83">
        <f>'[1]LDC Info'!E24</f>
        <v>2021</v>
      </c>
      <c r="H41" s="84"/>
      <c r="I41" s="84"/>
      <c r="J41" s="85"/>
      <c r="K41" s="84"/>
      <c r="L41" s="84"/>
      <c r="M41" s="16"/>
      <c r="N41" s="16"/>
      <c r="O41" s="16"/>
      <c r="P41" s="16"/>
    </row>
    <row r="42" spans="1:16" ht="15" customHeight="1" outlineLevel="1" x14ac:dyDescent="0.25">
      <c r="A42" s="16"/>
      <c r="B42" s="57" t="s">
        <v>25</v>
      </c>
      <c r="C42" s="62"/>
      <c r="D42" s="58" t="s">
        <v>26</v>
      </c>
      <c r="E42" s="58" t="s">
        <v>27</v>
      </c>
      <c r="F42" s="58" t="s">
        <v>36</v>
      </c>
      <c r="G42" s="58" t="s">
        <v>47</v>
      </c>
      <c r="H42" s="69"/>
      <c r="I42" s="69"/>
      <c r="J42" s="86"/>
      <c r="K42" s="87" t="s">
        <v>48</v>
      </c>
      <c r="L42" s="58" t="s">
        <v>36</v>
      </c>
      <c r="M42" s="16"/>
      <c r="N42" s="16"/>
      <c r="O42" s="16"/>
      <c r="P42" s="16"/>
    </row>
    <row r="43" spans="1:16" ht="15" customHeight="1" outlineLevel="1" x14ac:dyDescent="0.25">
      <c r="A43" s="16"/>
      <c r="B43" s="66" t="s">
        <v>40</v>
      </c>
      <c r="C43" s="67"/>
      <c r="D43" s="67">
        <v>4035</v>
      </c>
      <c r="E43" s="67">
        <v>4707</v>
      </c>
      <c r="F43" s="88">
        <v>2718374.03</v>
      </c>
      <c r="G43" s="88">
        <f>+F31</f>
        <v>29897744</v>
      </c>
      <c r="H43" s="69"/>
      <c r="I43" s="69"/>
      <c r="J43" s="89"/>
      <c r="K43" s="90">
        <v>9.0922379431835648E-2</v>
      </c>
      <c r="L43" s="91">
        <f>+K43*G43</f>
        <v>2718374.0241238875</v>
      </c>
      <c r="M43" s="16"/>
      <c r="N43" s="16"/>
      <c r="O43" s="16"/>
      <c r="P43" s="16"/>
    </row>
    <row r="44" spans="1:16" ht="15" customHeight="1" outlineLevel="1" x14ac:dyDescent="0.25">
      <c r="A44" s="16"/>
      <c r="B44" s="66" t="s">
        <v>41</v>
      </c>
      <c r="C44" s="67"/>
      <c r="D44" s="67">
        <v>4010</v>
      </c>
      <c r="E44" s="67">
        <v>4707</v>
      </c>
      <c r="F44" s="88">
        <v>973807.62</v>
      </c>
      <c r="G44" s="88">
        <f>+F32</f>
        <v>15016547</v>
      </c>
      <c r="H44" s="69"/>
      <c r="I44" s="69"/>
      <c r="J44" s="89"/>
      <c r="K44" s="90">
        <v>6.4848971999468749E-2</v>
      </c>
      <c r="L44" s="91">
        <f>+K44*G44</f>
        <v>973807.63593170641</v>
      </c>
      <c r="M44" s="16"/>
      <c r="N44" s="16"/>
      <c r="O44" s="16"/>
      <c r="P44" s="16"/>
    </row>
    <row r="45" spans="1:16" ht="15" customHeight="1" outlineLevel="1" x14ac:dyDescent="0.25">
      <c r="A45" s="16"/>
      <c r="B45" s="66"/>
      <c r="C45" s="67"/>
      <c r="D45" s="67">
        <v>4010</v>
      </c>
      <c r="E45" s="67">
        <v>4707</v>
      </c>
      <c r="F45" s="66"/>
      <c r="G45" s="66"/>
      <c r="H45" s="69"/>
      <c r="I45" s="69"/>
      <c r="J45" s="92"/>
      <c r="K45" s="66"/>
      <c r="L45" s="91"/>
      <c r="M45" s="16"/>
      <c r="N45" s="16"/>
      <c r="O45" s="16"/>
      <c r="P45" s="16"/>
    </row>
    <row r="46" spans="1:16" ht="15" customHeight="1" outlineLevel="1" x14ac:dyDescent="0.25">
      <c r="A46" s="16"/>
      <c r="F46" s="93">
        <f>+F43+F44</f>
        <v>3692181.65</v>
      </c>
      <c r="G46" s="94">
        <f>SUM(G43:G45)</f>
        <v>44914291</v>
      </c>
      <c r="H46" s="69"/>
      <c r="I46" s="69"/>
      <c r="J46" s="95"/>
      <c r="K46" s="96"/>
      <c r="L46" s="97">
        <f>SUM(L43:L45)</f>
        <v>3692181.6600555941</v>
      </c>
      <c r="M46" s="16"/>
      <c r="N46" s="16"/>
      <c r="O46" s="16"/>
      <c r="P46" s="16"/>
    </row>
    <row r="47" spans="1:16" ht="15" customHeight="1" outlineLevel="1" x14ac:dyDescent="0.25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</row>
    <row r="48" spans="1:16" ht="15.75" customHeight="1" outlineLevel="1" x14ac:dyDescent="0.25">
      <c r="B48" s="53" t="s">
        <v>49</v>
      </c>
      <c r="E48" s="54"/>
      <c r="F48" s="55"/>
      <c r="G48" s="56">
        <f>G41</f>
        <v>2021</v>
      </c>
      <c r="H48" s="56"/>
      <c r="I48" s="56"/>
      <c r="J48" s="56"/>
      <c r="K48" s="56"/>
      <c r="L48" s="56"/>
    </row>
    <row r="49" spans="1:16" ht="15" customHeight="1" outlineLevel="1" x14ac:dyDescent="0.25">
      <c r="A49" s="98"/>
      <c r="B49" s="57" t="s">
        <v>25</v>
      </c>
      <c r="C49" s="58"/>
      <c r="D49" s="58" t="s">
        <v>26</v>
      </c>
      <c r="E49" s="59" t="s">
        <v>27</v>
      </c>
      <c r="F49" s="60"/>
      <c r="G49" s="60"/>
      <c r="H49" s="60"/>
      <c r="I49" s="60"/>
      <c r="J49" s="60"/>
      <c r="K49" s="60"/>
      <c r="L49" s="65" t="s">
        <v>36</v>
      </c>
      <c r="M49" s="98"/>
      <c r="N49" s="98"/>
      <c r="O49" s="98"/>
      <c r="P49" s="98"/>
    </row>
    <row r="50" spans="1:16" ht="30.75" customHeight="1" outlineLevel="1" x14ac:dyDescent="0.25">
      <c r="B50" s="61" t="s">
        <v>28</v>
      </c>
      <c r="C50" s="62" t="s">
        <v>29</v>
      </c>
      <c r="D50" s="62" t="s">
        <v>30</v>
      </c>
      <c r="E50" s="63" t="s">
        <v>30</v>
      </c>
      <c r="F50" s="99"/>
      <c r="G50" s="99"/>
      <c r="H50" s="64" t="s">
        <v>50</v>
      </c>
      <c r="I50" s="100"/>
      <c r="J50" s="100"/>
      <c r="K50" s="99" t="s">
        <v>51</v>
      </c>
    </row>
    <row r="51" spans="1:16" ht="15" customHeight="1" outlineLevel="1" x14ac:dyDescent="0.25">
      <c r="B51" s="101" t="str">
        <f>IF(B29=0,"",B29)</f>
        <v>Residential</v>
      </c>
      <c r="C51" s="67" t="s">
        <v>38</v>
      </c>
      <c r="D51" s="67">
        <v>4006</v>
      </c>
      <c r="E51" s="67">
        <v>4707</v>
      </c>
      <c r="F51" s="102"/>
      <c r="G51" s="102"/>
      <c r="H51" s="103">
        <f>+H29</f>
        <v>10635396.02</v>
      </c>
      <c r="I51" s="102"/>
      <c r="J51" s="102"/>
      <c r="K51" s="104">
        <f t="shared" ref="K51:K56" si="3">+$G$18/1000</f>
        <v>8.362E-2</v>
      </c>
      <c r="L51" s="72">
        <f t="shared" ref="L51:L56" si="4">+K51*H51</f>
        <v>889331.81519240001</v>
      </c>
    </row>
    <row r="52" spans="1:16" ht="15" customHeight="1" outlineLevel="1" x14ac:dyDescent="0.25">
      <c r="B52" s="101" t="str">
        <f t="shared" ref="B52:B58" si="5">IF(B30=0,"",B30)</f>
        <v>GS&lt;50</v>
      </c>
      <c r="C52" s="67" t="s">
        <v>38</v>
      </c>
      <c r="D52" s="67">
        <v>4010</v>
      </c>
      <c r="E52" s="67">
        <v>4707</v>
      </c>
      <c r="F52" s="102"/>
      <c r="G52" s="102"/>
      <c r="H52" s="103">
        <f t="shared" ref="H52:H56" si="6">+H30</f>
        <v>11285165.01</v>
      </c>
      <c r="I52" s="102"/>
      <c r="J52" s="102"/>
      <c r="K52" s="104">
        <f t="shared" si="3"/>
        <v>8.362E-2</v>
      </c>
      <c r="L52" s="72">
        <f t="shared" si="4"/>
        <v>943665.49813620001</v>
      </c>
    </row>
    <row r="53" spans="1:16" ht="15" customHeight="1" outlineLevel="1" x14ac:dyDescent="0.25">
      <c r="B53" s="101" t="str">
        <f t="shared" si="5"/>
        <v>GS&gt;50</v>
      </c>
      <c r="C53" s="67" t="s">
        <v>38</v>
      </c>
      <c r="D53" s="67">
        <v>4035</v>
      </c>
      <c r="E53" s="67">
        <v>4707</v>
      </c>
      <c r="F53" s="102"/>
      <c r="G53" s="102"/>
      <c r="H53" s="103">
        <f t="shared" si="6"/>
        <v>154993697.08000001</v>
      </c>
      <c r="I53" s="102"/>
      <c r="J53" s="102"/>
      <c r="K53" s="104">
        <f t="shared" si="3"/>
        <v>8.362E-2</v>
      </c>
      <c r="L53" s="72">
        <f t="shared" si="4"/>
        <v>12960572.949829601</v>
      </c>
    </row>
    <row r="54" spans="1:16" ht="15" customHeight="1" outlineLevel="1" x14ac:dyDescent="0.25">
      <c r="B54" s="101" t="str">
        <f t="shared" si="5"/>
        <v>GS&gt;3000&lt;4999</v>
      </c>
      <c r="C54" s="67" t="s">
        <v>38</v>
      </c>
      <c r="D54" s="67">
        <v>4010</v>
      </c>
      <c r="E54" s="67">
        <v>4707</v>
      </c>
      <c r="F54" s="102"/>
      <c r="G54" s="102"/>
      <c r="H54" s="103">
        <f t="shared" si="6"/>
        <v>0</v>
      </c>
      <c r="I54" s="102"/>
      <c r="J54" s="102"/>
      <c r="K54" s="104">
        <f t="shared" si="3"/>
        <v>8.362E-2</v>
      </c>
      <c r="L54" s="72">
        <f t="shared" si="4"/>
        <v>0</v>
      </c>
    </row>
    <row r="55" spans="1:16" ht="15" customHeight="1" outlineLevel="1" x14ac:dyDescent="0.25">
      <c r="B55" s="101" t="str">
        <f t="shared" si="5"/>
        <v>Sent</v>
      </c>
      <c r="C55" s="67" t="s">
        <v>38</v>
      </c>
      <c r="D55" s="67">
        <v>4025</v>
      </c>
      <c r="E55" s="67">
        <v>4707</v>
      </c>
      <c r="F55" s="102"/>
      <c r="G55" s="102"/>
      <c r="H55" s="103">
        <f t="shared" si="6"/>
        <v>8987.89</v>
      </c>
      <c r="I55" s="102"/>
      <c r="J55" s="102"/>
      <c r="K55" s="104">
        <f t="shared" si="3"/>
        <v>8.362E-2</v>
      </c>
      <c r="L55" s="72">
        <f t="shared" si="4"/>
        <v>751.56736179999996</v>
      </c>
    </row>
    <row r="56" spans="1:16" ht="15" customHeight="1" outlineLevel="1" x14ac:dyDescent="0.25">
      <c r="B56" s="101" t="str">
        <f t="shared" si="5"/>
        <v>Street Light</v>
      </c>
      <c r="C56" s="67" t="s">
        <v>38</v>
      </c>
      <c r="D56" s="67">
        <v>4025</v>
      </c>
      <c r="E56" s="67">
        <v>4707</v>
      </c>
      <c r="F56" s="102"/>
      <c r="G56" s="102"/>
      <c r="H56" s="103">
        <f t="shared" si="6"/>
        <v>2115469.52</v>
      </c>
      <c r="I56" s="102"/>
      <c r="J56" s="102"/>
      <c r="K56" s="104">
        <f t="shared" si="3"/>
        <v>8.362E-2</v>
      </c>
      <c r="L56" s="72">
        <f t="shared" si="4"/>
        <v>176895.56126240001</v>
      </c>
    </row>
    <row r="57" spans="1:16" ht="15" customHeight="1" outlineLevel="1" x14ac:dyDescent="0.25">
      <c r="B57" s="101" t="str">
        <f t="shared" si="5"/>
        <v>UMSL</v>
      </c>
      <c r="C57" s="67" t="s">
        <v>38</v>
      </c>
      <c r="D57" s="67">
        <v>4025</v>
      </c>
      <c r="E57" s="67">
        <v>4707</v>
      </c>
      <c r="F57" s="102"/>
      <c r="G57" s="102"/>
      <c r="H57" s="103"/>
      <c r="I57" s="102"/>
      <c r="J57" s="102"/>
      <c r="K57" s="105"/>
      <c r="L57" s="72">
        <f t="shared" ref="L57" si="7">+K58*H58</f>
        <v>0</v>
      </c>
    </row>
    <row r="58" spans="1:16" ht="15" customHeight="1" outlineLevel="1" x14ac:dyDescent="0.25">
      <c r="B58" s="101" t="str">
        <f t="shared" si="5"/>
        <v/>
      </c>
      <c r="C58" s="67" t="s">
        <v>38</v>
      </c>
      <c r="D58" s="67">
        <v>4025</v>
      </c>
      <c r="E58" s="67">
        <v>4707</v>
      </c>
      <c r="F58" s="102"/>
      <c r="G58" s="102"/>
      <c r="H58" s="106"/>
      <c r="I58" s="102"/>
      <c r="J58" s="102"/>
      <c r="K58" s="105"/>
      <c r="L58" s="72">
        <f>+K59*H59</f>
        <v>0</v>
      </c>
    </row>
    <row r="59" spans="1:16" ht="15" customHeight="1" outlineLevel="1" x14ac:dyDescent="0.25">
      <c r="B59" s="101" t="s">
        <v>52</v>
      </c>
      <c r="C59" s="62"/>
      <c r="D59" s="62"/>
      <c r="E59" s="63"/>
      <c r="F59" s="107"/>
      <c r="G59" s="107"/>
      <c r="H59" s="108">
        <f>SUM(H51:H58)</f>
        <v>179038715.52000001</v>
      </c>
      <c r="I59" s="107"/>
      <c r="J59" s="107"/>
      <c r="K59" s="105"/>
      <c r="L59" s="80"/>
      <c r="P59" s="109"/>
    </row>
    <row r="60" spans="1:16" ht="15" customHeight="1" outlineLevel="1" x14ac:dyDescent="0.25">
      <c r="B60" s="57" t="s">
        <v>45</v>
      </c>
      <c r="C60" s="110"/>
      <c r="D60" s="58"/>
      <c r="E60" s="59"/>
      <c r="F60" s="111"/>
      <c r="G60" s="111"/>
      <c r="H60" s="111"/>
      <c r="I60" s="111"/>
      <c r="J60" s="111"/>
      <c r="K60" s="77"/>
      <c r="L60" s="112">
        <f>SUM(L51:L58)</f>
        <v>14971217.391782401</v>
      </c>
    </row>
    <row r="61" spans="1:16" ht="15" customHeight="1" outlineLevel="1" x14ac:dyDescent="0.25">
      <c r="B61" s="98"/>
      <c r="C61" s="113"/>
      <c r="D61" s="114"/>
      <c r="E61" s="114"/>
      <c r="F61" s="115"/>
      <c r="G61" s="115"/>
      <c r="H61" s="115"/>
      <c r="I61" s="115"/>
      <c r="J61" s="115"/>
      <c r="K61" s="115"/>
      <c r="L61" s="9"/>
    </row>
    <row r="62" spans="1:16" ht="15" customHeight="1" outlineLevel="1" x14ac:dyDescent="0.25">
      <c r="L62" s="116"/>
    </row>
    <row r="63" spans="1:16" ht="21" x14ac:dyDescent="0.55000000000000004">
      <c r="A63" s="1" t="s">
        <v>53</v>
      </c>
      <c r="F63" s="117"/>
      <c r="G63" s="117"/>
      <c r="H63" s="117"/>
      <c r="I63" s="117"/>
      <c r="J63" s="117"/>
      <c r="K63" s="117"/>
    </row>
    <row r="64" spans="1:16" x14ac:dyDescent="0.25">
      <c r="A64" s="1" t="s">
        <v>54</v>
      </c>
      <c r="G64" s="118"/>
      <c r="H64" s="118"/>
      <c r="I64" s="118"/>
      <c r="J64" s="118"/>
      <c r="K64" s="118"/>
    </row>
    <row r="65" spans="1:1" x14ac:dyDescent="0.25">
      <c r="A65" s="1" t="s">
        <v>55</v>
      </c>
    </row>
  </sheetData>
  <mergeCells count="8">
    <mergeCell ref="G41:L41"/>
    <mergeCell ref="G48:L48"/>
    <mergeCell ref="B4:I6"/>
    <mergeCell ref="C17:E17"/>
    <mergeCell ref="C18:E18"/>
    <mergeCell ref="C19:E19"/>
    <mergeCell ref="C20:E20"/>
    <mergeCell ref="G26:L26"/>
  </mergeCells>
  <conditionalFormatting sqref="B1">
    <cfRule type="expression" dxfId="0" priority="1" stopIfTrue="1">
      <formula>LEFT($C1,6)="Macros"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C3F289-B542-4B93-A286-BC54FAD566F4}">
  <dimension ref="A1:L133"/>
  <sheetViews>
    <sheetView tabSelected="1" topLeftCell="A106" workbookViewId="0">
      <selection activeCell="H14" sqref="H14"/>
    </sheetView>
  </sheetViews>
  <sheetFormatPr defaultColWidth="9.42578125" defaultRowHeight="15" x14ac:dyDescent="0.25"/>
  <cols>
    <col min="1" max="1" width="26" style="1" bestFit="1" customWidth="1"/>
    <col min="2" max="2" width="8" style="1" bestFit="1" customWidth="1"/>
    <col min="3" max="3" width="1.5703125" style="1" customWidth="1"/>
    <col min="4" max="4" width="23.42578125" style="1" bestFit="1" customWidth="1"/>
    <col min="5" max="5" width="15.42578125" style="1" bestFit="1" customWidth="1"/>
    <col min="6" max="6" width="12.42578125" style="1" customWidth="1"/>
    <col min="7" max="7" width="2.42578125" style="1" customWidth="1"/>
    <col min="8" max="8" width="19.42578125" style="1" customWidth="1"/>
    <col min="9" max="9" width="11.42578125" style="1" customWidth="1"/>
    <col min="10" max="10" width="13.42578125" style="1" customWidth="1"/>
    <col min="11" max="11" width="16.42578125" style="1" bestFit="1" customWidth="1"/>
    <col min="12" max="12" width="12" style="1" bestFit="1" customWidth="1"/>
    <col min="13" max="16384" width="9.42578125" style="1"/>
  </cols>
  <sheetData>
    <row r="1" spans="1:11" x14ac:dyDescent="0.25">
      <c r="A1" s="119" t="s">
        <v>56</v>
      </c>
      <c r="B1" s="119"/>
      <c r="C1" s="119"/>
      <c r="D1" s="119"/>
      <c r="E1" s="119"/>
      <c r="F1" s="119"/>
      <c r="G1" s="119"/>
      <c r="H1" s="119"/>
      <c r="I1" s="119"/>
      <c r="J1" s="119"/>
    </row>
    <row r="2" spans="1:11" x14ac:dyDescent="0.25">
      <c r="A2" s="120"/>
      <c r="B2" s="120"/>
      <c r="C2" s="120"/>
      <c r="D2" s="120"/>
      <c r="E2" s="120"/>
      <c r="F2" s="120"/>
      <c r="G2" s="120"/>
      <c r="H2" s="120"/>
      <c r="I2" s="120"/>
      <c r="J2" s="4" t="s">
        <v>0</v>
      </c>
      <c r="K2" s="5"/>
    </row>
    <row r="3" spans="1:11" x14ac:dyDescent="0.25">
      <c r="A3" s="120"/>
      <c r="B3" s="120"/>
      <c r="C3" s="120"/>
      <c r="D3" s="120"/>
      <c r="E3" s="120"/>
      <c r="F3" s="120"/>
      <c r="G3" s="120"/>
      <c r="H3" s="120"/>
      <c r="I3" s="120"/>
      <c r="J3" s="4" t="s">
        <v>1</v>
      </c>
      <c r="K3" s="5"/>
    </row>
    <row r="4" spans="1:11" x14ac:dyDescent="0.25">
      <c r="A4" s="120"/>
      <c r="B4" s="120"/>
      <c r="C4" s="120"/>
      <c r="D4" s="120"/>
      <c r="E4" s="120"/>
      <c r="F4" s="120"/>
      <c r="G4" s="120"/>
      <c r="H4" s="120"/>
      <c r="I4" s="120"/>
      <c r="J4" s="4" t="s">
        <v>3</v>
      </c>
      <c r="K4" s="5"/>
    </row>
    <row r="5" spans="1:11" x14ac:dyDescent="0.25">
      <c r="A5" s="120"/>
      <c r="B5" s="120"/>
      <c r="C5" s="120"/>
      <c r="D5" s="120"/>
      <c r="E5" s="120"/>
      <c r="F5" s="120"/>
      <c r="G5" s="120"/>
      <c r="H5" s="120"/>
      <c r="I5" s="120"/>
      <c r="J5" s="4" t="s">
        <v>4</v>
      </c>
      <c r="K5" s="5"/>
    </row>
    <row r="6" spans="1:11" x14ac:dyDescent="0.25">
      <c r="A6" s="120"/>
      <c r="B6" s="120"/>
      <c r="C6" s="120"/>
      <c r="D6" s="120"/>
      <c r="E6" s="120"/>
      <c r="F6" s="120"/>
      <c r="G6" s="120"/>
      <c r="H6" s="120"/>
      <c r="I6" s="120"/>
      <c r="J6" s="4" t="s">
        <v>5</v>
      </c>
      <c r="K6" s="5"/>
    </row>
    <row r="7" spans="1:11" x14ac:dyDescent="0.25">
      <c r="A7" s="1" t="s">
        <v>57</v>
      </c>
      <c r="J7" s="4"/>
      <c r="K7" s="10"/>
    </row>
    <row r="8" spans="1:11" x14ac:dyDescent="0.25">
      <c r="A8" s="1" t="s">
        <v>58</v>
      </c>
      <c r="J8" s="4" t="s">
        <v>6</v>
      </c>
      <c r="K8" s="5"/>
    </row>
    <row r="9" spans="1:11" x14ac:dyDescent="0.25">
      <c r="A9" s="1" t="s">
        <v>59</v>
      </c>
      <c r="E9" s="121"/>
      <c r="F9" s="121"/>
      <c r="G9" s="9"/>
      <c r="H9" s="9"/>
      <c r="I9" s="121"/>
      <c r="J9" s="121"/>
    </row>
    <row r="10" spans="1:11" x14ac:dyDescent="0.25">
      <c r="B10" s="122"/>
      <c r="C10" s="123"/>
      <c r="D10" s="124" t="str">
        <f>'[1]LDC Info'!E24 &amp; " Test Year"</f>
        <v>2021 Test Year</v>
      </c>
      <c r="E10" s="125" t="s">
        <v>13</v>
      </c>
      <c r="F10" s="125"/>
      <c r="G10" s="126"/>
      <c r="H10" s="124" t="str">
        <f>D10</f>
        <v>2021 Test Year</v>
      </c>
      <c r="I10" s="125" t="s">
        <v>12</v>
      </c>
      <c r="J10" s="125"/>
      <c r="K10" s="127" t="s">
        <v>60</v>
      </c>
    </row>
    <row r="11" spans="1:11" x14ac:dyDescent="0.25">
      <c r="A11" s="128" t="s">
        <v>61</v>
      </c>
      <c r="B11" s="129" t="s">
        <v>62</v>
      </c>
      <c r="C11" s="130"/>
      <c r="D11" s="131" t="s">
        <v>63</v>
      </c>
      <c r="E11" s="131" t="s">
        <v>64</v>
      </c>
      <c r="F11" s="65" t="s">
        <v>65</v>
      </c>
      <c r="G11" s="9"/>
      <c r="H11" s="131" t="s">
        <v>63</v>
      </c>
      <c r="I11" s="131" t="s">
        <v>64</v>
      </c>
      <c r="J11" s="65" t="s">
        <v>65</v>
      </c>
      <c r="K11" s="132" t="s">
        <v>66</v>
      </c>
    </row>
    <row r="12" spans="1:11" x14ac:dyDescent="0.25">
      <c r="A12" s="133" t="s">
        <v>67</v>
      </c>
      <c r="B12" s="134"/>
      <c r="C12" s="135"/>
      <c r="D12" s="136"/>
      <c r="E12" s="137"/>
      <c r="F12" s="138">
        <f>D12*E12</f>
        <v>0</v>
      </c>
      <c r="H12" s="136"/>
      <c r="I12" s="137"/>
      <c r="J12" s="138"/>
      <c r="K12" s="139"/>
    </row>
    <row r="13" spans="1:11" x14ac:dyDescent="0.25">
      <c r="A13" s="140" t="str">
        <f>IF('[1]App.2-ZA_Com. Exp. Forecast'!B51=0,"",'[1]App.2-ZA_Com. Exp. Forecast'!B29)</f>
        <v>Residential</v>
      </c>
      <c r="B13" s="140" t="s">
        <v>38</v>
      </c>
      <c r="C13" s="135"/>
      <c r="D13" s="136">
        <f>'[1]App.2-ZA_Com. Exp. Forecast'!I29</f>
        <v>198904757.41</v>
      </c>
      <c r="E13" s="141"/>
      <c r="F13" s="142">
        <f>D13*'[1]App.2-ZA_Com. Exp. Forecast'!K29</f>
        <v>21428009.515779302</v>
      </c>
      <c r="H13" s="136">
        <f>'[1]App.2-ZA_Com. Exp. Forecast'!F29+'[1]App.2-ZA_Com. Exp. Forecast'!H29</f>
        <v>10635396.02</v>
      </c>
      <c r="I13" s="143"/>
      <c r="J13" s="138">
        <f>H13*'[1]App.2-ZA_Com. Exp. Forecast'!J29</f>
        <v>221960.71493739999</v>
      </c>
      <c r="K13" s="139"/>
    </row>
    <row r="14" spans="1:11" x14ac:dyDescent="0.25">
      <c r="A14" s="140" t="str">
        <f>IF('[1]App.2-ZA_Com. Exp. Forecast'!B52=0,"",'[1]App.2-ZA_Com. Exp. Forecast'!B30)</f>
        <v>GS&lt;50</v>
      </c>
      <c r="B14" s="140" t="s">
        <v>38</v>
      </c>
      <c r="C14" s="135"/>
      <c r="D14" s="136">
        <f>'[1]App.2-ZA_Com. Exp. Forecast'!I30</f>
        <v>70820760.390000001</v>
      </c>
      <c r="E14" s="141"/>
      <c r="F14" s="142">
        <f>D14*'[1]App.2-ZA_Com. Exp. Forecast'!K30</f>
        <v>7629520.5168147003</v>
      </c>
      <c r="H14" s="136">
        <f>'[1]App.2-ZA_Com. Exp. Forecast'!F30+'[1]App.2-ZA_Com. Exp. Forecast'!H30</f>
        <v>11285165.01</v>
      </c>
      <c r="I14" s="143"/>
      <c r="J14" s="138">
        <f>H14*'[1]App.2-ZA_Com. Exp. Forecast'!J30</f>
        <v>235521.3937587</v>
      </c>
      <c r="K14" s="139"/>
    </row>
    <row r="15" spans="1:11" x14ac:dyDescent="0.25">
      <c r="A15" s="140" t="str">
        <f>IF('[1]App.2-ZA_Com. Exp. Forecast'!B53=0,"",'[1]App.2-ZA_Com. Exp. Forecast'!B31)</f>
        <v>GS&gt;50</v>
      </c>
      <c r="B15" s="140" t="s">
        <v>68</v>
      </c>
      <c r="C15" s="135"/>
      <c r="D15" s="136">
        <f>'[1]App.2-ZA_Com. Exp. Forecast'!I31</f>
        <v>16330088.09</v>
      </c>
      <c r="E15" s="141"/>
      <c r="F15" s="142">
        <f>D15*'[1]App.2-ZA_Com. Exp. Forecast'!K31</f>
        <v>1759240.3899357</v>
      </c>
      <c r="H15" s="136">
        <f>'[1]App.2-ZA_Com. Exp. Forecast'!F31+'[1]App.2-ZA_Com. Exp. Forecast'!H31</f>
        <v>184891441.08000001</v>
      </c>
      <c r="I15" s="143"/>
      <c r="J15" s="138">
        <f>H15*'[1]App.2-ZA_Com. Exp. Forecast'!J31</f>
        <v>3858684.3753396003</v>
      </c>
      <c r="K15" s="139"/>
    </row>
    <row r="16" spans="1:11" x14ac:dyDescent="0.25">
      <c r="A16" s="140" t="str">
        <f>IF('[1]App.2-ZA_Com. Exp. Forecast'!B54=0,"",'[1]App.2-ZA_Com. Exp. Forecast'!B32)</f>
        <v>GS&gt;3000&lt;4999</v>
      </c>
      <c r="B16" s="140" t="s">
        <v>68</v>
      </c>
      <c r="C16" s="135"/>
      <c r="D16" s="136">
        <f>'[1]App.2-ZA_Com. Exp. Forecast'!I32</f>
        <v>0</v>
      </c>
      <c r="E16" s="141"/>
      <c r="F16" s="142">
        <f>D16*'[1]App.2-ZA_Com. Exp. Forecast'!K32</f>
        <v>0</v>
      </c>
      <c r="H16" s="136">
        <f>'[1]App.2-ZA_Com. Exp. Forecast'!F32+'[1]App.2-ZA_Com. Exp. Forecast'!H32</f>
        <v>15016547</v>
      </c>
      <c r="I16" s="143"/>
      <c r="J16" s="138">
        <f>H16*'[1]App.2-ZA_Com. Exp. Forecast'!J32</f>
        <v>313395.33588999999</v>
      </c>
      <c r="K16" s="139"/>
    </row>
    <row r="17" spans="1:12" x14ac:dyDescent="0.25">
      <c r="A17" s="140" t="str">
        <f>IF('[1]App.2-ZA_Com. Exp. Forecast'!B55=0,"",'[1]App.2-ZA_Com. Exp. Forecast'!B33)</f>
        <v>Sent</v>
      </c>
      <c r="B17" s="140" t="s">
        <v>38</v>
      </c>
      <c r="C17" s="135"/>
      <c r="D17" s="136">
        <f>'[1]App.2-ZA_Com. Exp. Forecast'!I33</f>
        <v>113003.28</v>
      </c>
      <c r="E17" s="141"/>
      <c r="F17" s="142">
        <f>D17*'[1]App.2-ZA_Com. Exp. Forecast'!K33</f>
        <v>12173.8433544</v>
      </c>
      <c r="H17" s="136">
        <f>'[1]App.2-ZA_Com. Exp. Forecast'!F33+'[1]App.2-ZA_Com. Exp. Forecast'!H33</f>
        <v>8987.89</v>
      </c>
      <c r="I17" s="143"/>
      <c r="J17" s="138">
        <f>H17*'[1]App.2-ZA_Com. Exp. Forecast'!J33</f>
        <v>187.5772643</v>
      </c>
      <c r="K17" s="139"/>
    </row>
    <row r="18" spans="1:12" x14ac:dyDescent="0.25">
      <c r="A18" s="140" t="str">
        <f>IF('[1]App.2-ZA_Com. Exp. Forecast'!B56=0,"",'[1]App.2-ZA_Com. Exp. Forecast'!B34)</f>
        <v>Street Light</v>
      </c>
      <c r="B18" s="140" t="s">
        <v>38</v>
      </c>
      <c r="C18" s="144"/>
      <c r="D18" s="136">
        <f>'[1]App.2-ZA_Com. Exp. Forecast'!I34</f>
        <v>0</v>
      </c>
      <c r="E18" s="141"/>
      <c r="F18" s="142">
        <f>D18*'[1]App.2-ZA_Com. Exp. Forecast'!K34</f>
        <v>0</v>
      </c>
      <c r="H18" s="136">
        <f>'[1]App.2-ZA_Com. Exp. Forecast'!F34+'[1]App.2-ZA_Com. Exp. Forecast'!H34</f>
        <v>2115469.52</v>
      </c>
      <c r="I18" s="143"/>
      <c r="J18" s="138">
        <f>H18*'[1]App.2-ZA_Com. Exp. Forecast'!J34</f>
        <v>44149.848882400001</v>
      </c>
      <c r="K18" s="139"/>
    </row>
    <row r="19" spans="1:12" x14ac:dyDescent="0.25">
      <c r="A19" s="140" t="s">
        <v>69</v>
      </c>
      <c r="B19" s="137" t="s">
        <v>38</v>
      </c>
      <c r="C19" s="135"/>
      <c r="D19" s="136">
        <f>'[1]App.2-ZA_Com. Exp. Forecast'!I35</f>
        <v>41023.64</v>
      </c>
      <c r="E19" s="141"/>
      <c r="F19" s="142">
        <f>D19*'[1]App.2-ZA_Com. Exp. Forecast'!K35</f>
        <v>4419.4767372000006</v>
      </c>
      <c r="H19" s="136">
        <f>'[1]App.2-ZA_Com. Exp. Forecast'!F35+'[1]App.2-ZA_Com. Exp. Forecast'!H35</f>
        <v>0</v>
      </c>
      <c r="I19" s="143"/>
      <c r="J19" s="138">
        <f>H19*'[1]App.2-ZA_Com. Exp. Forecast'!J35</f>
        <v>0</v>
      </c>
      <c r="K19" s="139"/>
    </row>
    <row r="20" spans="1:12" x14ac:dyDescent="0.25">
      <c r="A20" s="133" t="s">
        <v>70</v>
      </c>
      <c r="B20" s="140"/>
      <c r="C20" s="135"/>
      <c r="D20" s="136">
        <f>SUM(D13:D19)</f>
        <v>286209632.80999994</v>
      </c>
      <c r="E20" s="145"/>
      <c r="F20" s="142">
        <f>SUM(F13:F19)</f>
        <v>30833363.742621303</v>
      </c>
      <c r="G20" s="140"/>
      <c r="H20" s="136">
        <f>SUM(H13:H19)</f>
        <v>223953006.52000001</v>
      </c>
      <c r="I20" s="146"/>
      <c r="J20" s="147">
        <f>SUM(J13:J19)</f>
        <v>4673899.2460724004</v>
      </c>
      <c r="K20" s="148">
        <f>F20+J20</f>
        <v>35507262.988693699</v>
      </c>
      <c r="L20" s="1" t="str">
        <f>IF(K20='[1]App.2-ZA_Com. Exp. Forecast'!L38,"OK", "ERROR")</f>
        <v>OK</v>
      </c>
    </row>
    <row r="21" spans="1:12" ht="7.5" customHeight="1" x14ac:dyDescent="0.25">
      <c r="D21" s="149"/>
      <c r="I21" s="150"/>
      <c r="J21" s="151"/>
    </row>
    <row r="22" spans="1:12" x14ac:dyDescent="0.25">
      <c r="A22" s="128" t="s">
        <v>71</v>
      </c>
      <c r="B22" s="129" t="s">
        <v>62</v>
      </c>
      <c r="C22" s="130"/>
      <c r="D22" s="152" t="s">
        <v>63</v>
      </c>
      <c r="E22" s="153" t="s">
        <v>64</v>
      </c>
      <c r="F22" s="154" t="s">
        <v>65</v>
      </c>
      <c r="G22" s="9"/>
      <c r="H22" s="155" t="s">
        <v>63</v>
      </c>
      <c r="I22" s="153" t="s">
        <v>64</v>
      </c>
      <c r="J22" s="154" t="s">
        <v>65</v>
      </c>
      <c r="K22" s="152" t="s">
        <v>60</v>
      </c>
    </row>
    <row r="23" spans="1:12" x14ac:dyDescent="0.25">
      <c r="A23" s="133" t="s">
        <v>72</v>
      </c>
      <c r="B23" s="134"/>
      <c r="C23" s="130"/>
      <c r="D23" s="150"/>
      <c r="E23" s="151"/>
      <c r="F23" s="156"/>
      <c r="G23" s="9"/>
      <c r="H23" s="157"/>
      <c r="I23" s="151"/>
      <c r="J23" s="156"/>
      <c r="K23" s="158"/>
    </row>
    <row r="24" spans="1:12" x14ac:dyDescent="0.25">
      <c r="A24" s="140" t="str">
        <f t="shared" ref="A24:A30" si="0">IF(A13=0,"",A13)</f>
        <v>Residential</v>
      </c>
      <c r="B24" s="159"/>
      <c r="C24" s="135"/>
      <c r="D24" s="69"/>
      <c r="E24" s="69"/>
      <c r="F24" s="160">
        <f>D24*E24</f>
        <v>0</v>
      </c>
      <c r="H24" s="161"/>
      <c r="I24" s="69"/>
      <c r="J24" s="138">
        <f>'[1]App.2-ZA_Com. Exp. Forecast'!L51</f>
        <v>889331.81519240001</v>
      </c>
      <c r="K24" s="139"/>
    </row>
    <row r="25" spans="1:12" x14ac:dyDescent="0.25">
      <c r="A25" s="140" t="str">
        <f t="shared" si="0"/>
        <v>GS&lt;50</v>
      </c>
      <c r="B25" s="159"/>
      <c r="C25" s="135"/>
      <c r="D25" s="69"/>
      <c r="E25" s="69"/>
      <c r="F25" s="160">
        <f t="shared" ref="F25:F30" si="1">D25*E25</f>
        <v>0</v>
      </c>
      <c r="H25" s="161"/>
      <c r="I25" s="69"/>
      <c r="J25" s="138">
        <f>'[1]App.2-ZA_Com. Exp. Forecast'!L52</f>
        <v>943665.49813620001</v>
      </c>
      <c r="K25" s="139"/>
    </row>
    <row r="26" spans="1:12" x14ac:dyDescent="0.25">
      <c r="A26" s="140" t="str">
        <f t="shared" si="0"/>
        <v>GS&gt;50</v>
      </c>
      <c r="B26" s="159"/>
      <c r="C26" s="135"/>
      <c r="D26" s="69"/>
      <c r="E26" s="69"/>
      <c r="F26" s="160">
        <f t="shared" si="1"/>
        <v>0</v>
      </c>
      <c r="H26" s="161"/>
      <c r="I26" s="69"/>
      <c r="J26" s="138">
        <f>'[1]App.2-ZA_Com. Exp. Forecast'!L53+'[1]App.2-ZA_Com. Exp. Forecast'!L43</f>
        <v>15678946.973953489</v>
      </c>
      <c r="K26" s="139"/>
    </row>
    <row r="27" spans="1:12" x14ac:dyDescent="0.25">
      <c r="A27" s="140" t="str">
        <f t="shared" si="0"/>
        <v>GS&gt;3000&lt;4999</v>
      </c>
      <c r="B27" s="159"/>
      <c r="C27" s="135"/>
      <c r="D27" s="69"/>
      <c r="E27" s="69"/>
      <c r="F27" s="160">
        <f t="shared" si="1"/>
        <v>0</v>
      </c>
      <c r="H27" s="161"/>
      <c r="I27" s="69"/>
      <c r="J27" s="138">
        <f>+'[1]App.2-ZA_Com. Exp. Forecast'!L44</f>
        <v>973807.63593170641</v>
      </c>
      <c r="K27" s="139"/>
    </row>
    <row r="28" spans="1:12" x14ac:dyDescent="0.25">
      <c r="A28" s="140" t="str">
        <f t="shared" si="0"/>
        <v>Sent</v>
      </c>
      <c r="B28" s="159"/>
      <c r="C28" s="135"/>
      <c r="D28" s="69"/>
      <c r="E28" s="69"/>
      <c r="F28" s="160">
        <f t="shared" si="1"/>
        <v>0</v>
      </c>
      <c r="H28" s="161"/>
      <c r="I28" s="69"/>
      <c r="J28" s="138">
        <f>+'[1]App.2-ZA_Com. Exp. Forecast'!L55</f>
        <v>751.56736179999996</v>
      </c>
      <c r="K28" s="139"/>
      <c r="L28" s="9"/>
    </row>
    <row r="29" spans="1:12" x14ac:dyDescent="0.25">
      <c r="A29" s="140" t="str">
        <f t="shared" si="0"/>
        <v>Street Light</v>
      </c>
      <c r="B29" s="159"/>
      <c r="C29" s="135"/>
      <c r="D29" s="69"/>
      <c r="E29" s="69"/>
      <c r="F29" s="160">
        <f t="shared" si="1"/>
        <v>0</v>
      </c>
      <c r="H29" s="161"/>
      <c r="I29" s="69"/>
      <c r="J29" s="138">
        <f>+'[1]App.2-ZA_Com. Exp. Forecast'!L56</f>
        <v>176895.56126240001</v>
      </c>
      <c r="K29" s="139"/>
    </row>
    <row r="30" spans="1:12" x14ac:dyDescent="0.25">
      <c r="A30" s="140" t="str">
        <f t="shared" si="0"/>
        <v>USML</v>
      </c>
      <c r="B30" s="159"/>
      <c r="C30" s="135"/>
      <c r="D30" s="69"/>
      <c r="E30" s="69"/>
      <c r="F30" s="162">
        <f t="shared" si="1"/>
        <v>0</v>
      </c>
      <c r="H30" s="161"/>
      <c r="I30" s="69"/>
      <c r="J30" s="138">
        <f>+'[1]App.2-ZA_Com. Exp. Forecast'!L57</f>
        <v>0</v>
      </c>
      <c r="K30" s="139"/>
    </row>
    <row r="31" spans="1:12" x14ac:dyDescent="0.25">
      <c r="A31" s="133" t="s">
        <v>70</v>
      </c>
      <c r="B31" s="159"/>
      <c r="C31" s="135"/>
      <c r="D31" s="146">
        <f>SUM(D24:D30)</f>
        <v>0</v>
      </c>
      <c r="E31" s="145"/>
      <c r="F31" s="140">
        <f>SUM(F24:F30)</f>
        <v>0</v>
      </c>
      <c r="G31" s="140"/>
      <c r="H31" s="145"/>
      <c r="I31" s="145"/>
      <c r="J31" s="163">
        <f>SUM(J24:J30)</f>
        <v>18663399.051837996</v>
      </c>
      <c r="K31" s="148">
        <f>F31+J31</f>
        <v>18663399.051837996</v>
      </c>
      <c r="L31" s="164" t="str">
        <f>IF(K31=('[1]App.2-ZA_Com. Exp. Forecast'!L46+'[1]App.2-ZA_Com. Exp. Forecast'!L60), "OK","ERROR")</f>
        <v>OK</v>
      </c>
    </row>
    <row r="32" spans="1:12" ht="8.25" customHeight="1" x14ac:dyDescent="0.25">
      <c r="B32" s="149"/>
      <c r="D32" s="149"/>
    </row>
    <row r="33" spans="1:11" x14ac:dyDescent="0.25">
      <c r="A33" s="128" t="s">
        <v>73</v>
      </c>
      <c r="B33" s="151"/>
      <c r="C33" s="130"/>
      <c r="D33" s="150" t="s">
        <v>74</v>
      </c>
      <c r="E33" s="139" t="s">
        <v>64</v>
      </c>
      <c r="F33" s="154" t="s">
        <v>65</v>
      </c>
      <c r="G33" s="9"/>
      <c r="H33" s="155" t="s">
        <v>63</v>
      </c>
      <c r="I33" s="139" t="s">
        <v>64</v>
      </c>
      <c r="J33" s="154" t="s">
        <v>65</v>
      </c>
      <c r="K33" s="152" t="s">
        <v>60</v>
      </c>
    </row>
    <row r="34" spans="1:11" x14ac:dyDescent="0.25">
      <c r="A34" s="133" t="s">
        <v>72</v>
      </c>
      <c r="B34" s="165"/>
      <c r="C34" s="166"/>
      <c r="D34" s="158"/>
      <c r="E34" s="139"/>
      <c r="F34" s="156"/>
      <c r="G34" s="9"/>
      <c r="H34" s="167"/>
      <c r="I34" s="139"/>
      <c r="J34" s="156"/>
      <c r="K34" s="158"/>
    </row>
    <row r="35" spans="1:11" x14ac:dyDescent="0.25">
      <c r="A35" s="140" t="str">
        <f>IF(A24=0,"",A24)</f>
        <v>Residential</v>
      </c>
      <c r="B35" s="159" t="s">
        <v>38</v>
      </c>
      <c r="C35" s="135"/>
      <c r="D35" s="168">
        <f>+D13</f>
        <v>198904757.41</v>
      </c>
      <c r="E35" s="169">
        <v>7.1999999999999998E-3</v>
      </c>
      <c r="F35" s="170">
        <f>D35*E35</f>
        <v>1432114.2533519999</v>
      </c>
      <c r="H35" s="168">
        <f>+H13</f>
        <v>10635396.02</v>
      </c>
      <c r="I35" s="169">
        <v>7.1999999999999998E-3</v>
      </c>
      <c r="J35" s="170">
        <f>H35*I35</f>
        <v>76574.851343999995</v>
      </c>
      <c r="K35" s="139"/>
    </row>
    <row r="36" spans="1:11" x14ac:dyDescent="0.25">
      <c r="A36" s="140" t="str">
        <f t="shared" ref="A36:A41" si="2">IF(A25=0,"",A25)</f>
        <v>GS&lt;50</v>
      </c>
      <c r="B36" s="159" t="s">
        <v>38</v>
      </c>
      <c r="C36" s="144"/>
      <c r="D36" s="168">
        <f>+D14</f>
        <v>70820760.390000001</v>
      </c>
      <c r="E36" s="169">
        <v>6.8999999999999999E-3</v>
      </c>
      <c r="F36" s="170">
        <f t="shared" ref="F36:F41" si="3">D36*E36</f>
        <v>488663.24669100001</v>
      </c>
      <c r="H36" s="168">
        <f>+H14</f>
        <v>11285165.01</v>
      </c>
      <c r="I36" s="169">
        <v>6.8999999999999999E-3</v>
      </c>
      <c r="J36" s="170">
        <f t="shared" ref="J36:J41" si="4">H36*I36</f>
        <v>77867.638569000002</v>
      </c>
      <c r="K36" s="139"/>
    </row>
    <row r="37" spans="1:11" x14ac:dyDescent="0.25">
      <c r="A37" s="140" t="str">
        <f t="shared" si="2"/>
        <v>GS&gt;50</v>
      </c>
      <c r="B37" s="159" t="s">
        <v>75</v>
      </c>
      <c r="C37" s="135"/>
      <c r="D37" s="168">
        <v>41729.0123217609</v>
      </c>
      <c r="E37" s="169">
        <v>2.7532999999999999</v>
      </c>
      <c r="F37" s="170">
        <f t="shared" si="3"/>
        <v>114892.48962550428</v>
      </c>
      <c r="H37" s="168">
        <v>472461.45767823904</v>
      </c>
      <c r="I37" s="169">
        <v>2.7532999999999999</v>
      </c>
      <c r="J37" s="170">
        <f t="shared" si="4"/>
        <v>1300828.1314254955</v>
      </c>
      <c r="K37" s="139"/>
    </row>
    <row r="38" spans="1:11" x14ac:dyDescent="0.25">
      <c r="A38" s="140" t="str">
        <f t="shared" si="2"/>
        <v>GS&gt;3000&lt;4999</v>
      </c>
      <c r="B38" s="159" t="s">
        <v>75</v>
      </c>
      <c r="C38" s="135"/>
      <c r="D38" s="168">
        <v>0</v>
      </c>
      <c r="E38" s="169">
        <v>2.9205999999999999</v>
      </c>
      <c r="F38" s="170">
        <f t="shared" si="3"/>
        <v>0</v>
      </c>
      <c r="H38" s="168">
        <v>27098.26</v>
      </c>
      <c r="I38" s="169">
        <v>2.9205999999999999</v>
      </c>
      <c r="J38" s="170">
        <f t="shared" si="4"/>
        <v>79143.178155999994</v>
      </c>
      <c r="K38" s="139"/>
    </row>
    <row r="39" spans="1:11" x14ac:dyDescent="0.25">
      <c r="A39" s="140" t="str">
        <f t="shared" si="2"/>
        <v>Sent</v>
      </c>
      <c r="B39" s="159" t="s">
        <v>75</v>
      </c>
      <c r="C39" s="135"/>
      <c r="D39" s="168">
        <v>276.34743716360458</v>
      </c>
      <c r="E39" s="169">
        <v>2.0868000000000002</v>
      </c>
      <c r="F39" s="170">
        <f t="shared" si="3"/>
        <v>576.68183187301008</v>
      </c>
      <c r="H39" s="168">
        <v>21.979719234772549</v>
      </c>
      <c r="I39" s="169">
        <v>2.0868000000000002</v>
      </c>
      <c r="J39" s="170">
        <f t="shared" si="4"/>
        <v>45.867278099123361</v>
      </c>
      <c r="K39" s="139"/>
    </row>
    <row r="40" spans="1:11" x14ac:dyDescent="0.25">
      <c r="A40" s="140" t="str">
        <f t="shared" si="2"/>
        <v>Street Light</v>
      </c>
      <c r="B40" s="159" t="s">
        <v>75</v>
      </c>
      <c r="C40" s="135"/>
      <c r="D40" s="168">
        <v>0</v>
      </c>
      <c r="E40" s="169">
        <v>2.0766</v>
      </c>
      <c r="F40" s="170">
        <f t="shared" si="3"/>
        <v>0</v>
      </c>
      <c r="H40" s="168">
        <v>5690.2799999999988</v>
      </c>
      <c r="I40" s="169">
        <v>2.0766</v>
      </c>
      <c r="J40" s="170">
        <f t="shared" si="4"/>
        <v>11816.435447999998</v>
      </c>
      <c r="K40" s="139"/>
    </row>
    <row r="41" spans="1:11" x14ac:dyDescent="0.25">
      <c r="A41" s="140" t="str">
        <f t="shared" si="2"/>
        <v>USML</v>
      </c>
      <c r="B41" s="159" t="s">
        <v>38</v>
      </c>
      <c r="C41" s="135"/>
      <c r="D41" s="168">
        <f>+D19</f>
        <v>41023.64</v>
      </c>
      <c r="E41" s="169">
        <v>6.8999999999999999E-3</v>
      </c>
      <c r="F41" s="170">
        <f t="shared" si="3"/>
        <v>283.06311599999998</v>
      </c>
      <c r="H41" s="168">
        <f>+H19</f>
        <v>0</v>
      </c>
      <c r="I41" s="168"/>
      <c r="J41" s="170">
        <f t="shared" si="4"/>
        <v>0</v>
      </c>
      <c r="K41" s="139"/>
    </row>
    <row r="42" spans="1:11" x14ac:dyDescent="0.25">
      <c r="A42" s="133" t="s">
        <v>70</v>
      </c>
      <c r="B42" s="159"/>
      <c r="C42" s="135"/>
      <c r="D42" s="163"/>
      <c r="E42" s="140"/>
      <c r="F42" s="163">
        <f>SUM(F35:F41)</f>
        <v>2036529.7346163772</v>
      </c>
      <c r="G42" s="140"/>
      <c r="H42" s="136"/>
      <c r="I42" s="140"/>
      <c r="J42" s="163">
        <f>SUM(J35:J41)</f>
        <v>1546276.1022205947</v>
      </c>
      <c r="K42" s="170">
        <f>F42+J42</f>
        <v>3582805.8368369718</v>
      </c>
    </row>
    <row r="43" spans="1:11" ht="5.25" customHeight="1" x14ac:dyDescent="0.25"/>
    <row r="44" spans="1:11" x14ac:dyDescent="0.25">
      <c r="A44" s="128" t="s">
        <v>76</v>
      </c>
      <c r="B44" s="153"/>
      <c r="C44" s="130"/>
      <c r="D44" s="152" t="s">
        <v>63</v>
      </c>
      <c r="E44" s="139" t="s">
        <v>64</v>
      </c>
      <c r="F44" s="154" t="s">
        <v>65</v>
      </c>
      <c r="G44" s="9"/>
      <c r="H44" s="155" t="s">
        <v>63</v>
      </c>
      <c r="I44" s="139" t="s">
        <v>64</v>
      </c>
      <c r="J44" s="154" t="s">
        <v>65</v>
      </c>
      <c r="K44" s="152" t="s">
        <v>60</v>
      </c>
    </row>
    <row r="45" spans="1:11" x14ac:dyDescent="0.25">
      <c r="A45" s="133" t="s">
        <v>72</v>
      </c>
      <c r="B45" s="165"/>
      <c r="C45" s="166"/>
      <c r="D45" s="158"/>
      <c r="E45" s="139"/>
      <c r="F45" s="156"/>
      <c r="G45" s="9"/>
      <c r="H45" s="167"/>
      <c r="I45" s="139"/>
      <c r="J45" s="156"/>
      <c r="K45" s="158"/>
    </row>
    <row r="46" spans="1:11" x14ac:dyDescent="0.25">
      <c r="A46" s="140" t="str">
        <f>IF(A35=0,"",A35)</f>
        <v>Residential</v>
      </c>
      <c r="B46" s="159" t="s">
        <v>38</v>
      </c>
      <c r="C46" s="135"/>
      <c r="D46" s="168">
        <f>+D35</f>
        <v>198904757.41</v>
      </c>
      <c r="E46" s="169">
        <v>6.8999999999999999E-3</v>
      </c>
      <c r="F46" s="170">
        <f>D46*E46</f>
        <v>1372442.8261289999</v>
      </c>
      <c r="H46" s="168">
        <f>+H35</f>
        <v>10635396.02</v>
      </c>
      <c r="I46" s="169">
        <v>6.8999999999999999E-3</v>
      </c>
      <c r="J46" s="170">
        <f>H46*I46</f>
        <v>73384.232537999997</v>
      </c>
      <c r="K46" s="139"/>
    </row>
    <row r="47" spans="1:11" x14ac:dyDescent="0.25">
      <c r="A47" s="140" t="str">
        <f t="shared" ref="A47:A52" si="5">IF(A36=0,"",A36)</f>
        <v>GS&lt;50</v>
      </c>
      <c r="B47" s="159" t="s">
        <v>38</v>
      </c>
      <c r="C47" s="145"/>
      <c r="D47" s="168">
        <f t="shared" ref="D47:D52" si="6">+D36</f>
        <v>70820760.390000001</v>
      </c>
      <c r="E47" s="169">
        <v>6.1000000000000004E-3</v>
      </c>
      <c r="F47" s="170">
        <f t="shared" ref="F47:F52" si="7">D47*E47</f>
        <v>432006.63837900001</v>
      </c>
      <c r="H47" s="168">
        <f t="shared" ref="H47:H52" si="8">+H36</f>
        <v>11285165.01</v>
      </c>
      <c r="I47" s="169">
        <v>6.1000000000000004E-3</v>
      </c>
      <c r="J47" s="170">
        <f t="shared" ref="J47:J52" si="9">H47*I47</f>
        <v>68839.506561000002</v>
      </c>
      <c r="K47" s="139"/>
    </row>
    <row r="48" spans="1:11" x14ac:dyDescent="0.25">
      <c r="A48" s="140" t="str">
        <f t="shared" si="5"/>
        <v>GS&gt;50</v>
      </c>
      <c r="B48" s="159" t="s">
        <v>75</v>
      </c>
      <c r="C48" s="171"/>
      <c r="D48" s="168">
        <f t="shared" si="6"/>
        <v>41729.0123217609</v>
      </c>
      <c r="E48" s="169">
        <v>2.4178000000000002</v>
      </c>
      <c r="F48" s="170">
        <f t="shared" si="7"/>
        <v>100892.4059915535</v>
      </c>
      <c r="H48" s="168">
        <f t="shared" si="8"/>
        <v>472461.45767823904</v>
      </c>
      <c r="I48" s="169">
        <v>2.4178000000000002</v>
      </c>
      <c r="J48" s="170">
        <f t="shared" si="9"/>
        <v>1142317.3123744463</v>
      </c>
      <c r="K48" s="139"/>
    </row>
    <row r="49" spans="1:11" x14ac:dyDescent="0.25">
      <c r="A49" s="140" t="str">
        <f t="shared" si="5"/>
        <v>GS&gt;3000&lt;4999</v>
      </c>
      <c r="B49" s="159" t="s">
        <v>75</v>
      </c>
      <c r="C49" s="171"/>
      <c r="D49" s="168">
        <f t="shared" si="6"/>
        <v>0</v>
      </c>
      <c r="E49" s="169">
        <v>2.6718999999999999</v>
      </c>
      <c r="F49" s="170">
        <f t="shared" si="7"/>
        <v>0</v>
      </c>
      <c r="H49" s="168">
        <f t="shared" si="8"/>
        <v>27098.26</v>
      </c>
      <c r="I49" s="169">
        <v>2.6718999999999999</v>
      </c>
      <c r="J49" s="170">
        <f t="shared" si="9"/>
        <v>72403.840893999994</v>
      </c>
      <c r="K49" s="139"/>
    </row>
    <row r="50" spans="1:11" x14ac:dyDescent="0.25">
      <c r="A50" s="140" t="str">
        <f t="shared" si="5"/>
        <v>Sent</v>
      </c>
      <c r="B50" s="159" t="s">
        <v>75</v>
      </c>
      <c r="C50" s="171"/>
      <c r="D50" s="168">
        <f t="shared" si="6"/>
        <v>276.34743716360458</v>
      </c>
      <c r="E50" s="169">
        <v>1.9079999999999999</v>
      </c>
      <c r="F50" s="170">
        <f t="shared" si="7"/>
        <v>527.27091010815752</v>
      </c>
      <c r="H50" s="168">
        <f t="shared" si="8"/>
        <v>21.979719234772549</v>
      </c>
      <c r="I50" s="169">
        <v>1.9079999999999999</v>
      </c>
      <c r="J50" s="170">
        <f t="shared" si="9"/>
        <v>41.937304299946021</v>
      </c>
      <c r="K50" s="139"/>
    </row>
    <row r="51" spans="1:11" x14ac:dyDescent="0.25">
      <c r="A51" s="140" t="str">
        <f t="shared" si="5"/>
        <v>Street Light</v>
      </c>
      <c r="B51" s="159" t="s">
        <v>75</v>
      </c>
      <c r="C51" s="171"/>
      <c r="D51" s="168">
        <f t="shared" si="6"/>
        <v>0</v>
      </c>
      <c r="E51" s="169">
        <v>1.8689</v>
      </c>
      <c r="F51" s="170">
        <f t="shared" si="7"/>
        <v>0</v>
      </c>
      <c r="H51" s="168">
        <f t="shared" si="8"/>
        <v>5690.2799999999988</v>
      </c>
      <c r="I51" s="169">
        <v>1.8689</v>
      </c>
      <c r="J51" s="170">
        <f t="shared" si="9"/>
        <v>10634.564291999997</v>
      </c>
      <c r="K51" s="139"/>
    </row>
    <row r="52" spans="1:11" x14ac:dyDescent="0.25">
      <c r="A52" s="140" t="str">
        <f t="shared" si="5"/>
        <v>USML</v>
      </c>
      <c r="B52" s="159" t="s">
        <v>38</v>
      </c>
      <c r="C52" s="171"/>
      <c r="D52" s="168">
        <f t="shared" si="6"/>
        <v>41023.64</v>
      </c>
      <c r="E52" s="169">
        <v>6.1000000000000004E-3</v>
      </c>
      <c r="F52" s="170">
        <f t="shared" si="7"/>
        <v>250.24420400000002</v>
      </c>
      <c r="H52" s="168">
        <f t="shared" si="8"/>
        <v>0</v>
      </c>
      <c r="I52" s="169">
        <v>6.1000000000000004E-3</v>
      </c>
      <c r="J52" s="170">
        <f t="shared" si="9"/>
        <v>0</v>
      </c>
      <c r="K52" s="139"/>
    </row>
    <row r="53" spans="1:11" x14ac:dyDescent="0.25">
      <c r="A53" s="133" t="s">
        <v>70</v>
      </c>
      <c r="B53" s="159"/>
      <c r="C53" s="172"/>
      <c r="D53" s="163"/>
      <c r="E53" s="140"/>
      <c r="F53" s="163">
        <f>SUM(F46:F52)</f>
        <v>1906119.3856136617</v>
      </c>
      <c r="G53" s="140"/>
      <c r="H53" s="140"/>
      <c r="I53" s="140"/>
      <c r="J53" s="163">
        <f>SUM(J46:J52)</f>
        <v>1367621.393963746</v>
      </c>
      <c r="K53" s="170">
        <f>F53+J53</f>
        <v>3273740.779577408</v>
      </c>
    </row>
    <row r="54" spans="1:11" ht="7.5" customHeight="1" x14ac:dyDescent="0.25"/>
    <row r="55" spans="1:11" x14ac:dyDescent="0.25">
      <c r="A55" s="128" t="s">
        <v>77</v>
      </c>
      <c r="B55" s="152"/>
      <c r="C55" s="173"/>
      <c r="D55" s="152" t="s">
        <v>74</v>
      </c>
      <c r="E55" s="139" t="s">
        <v>64</v>
      </c>
      <c r="F55" s="154" t="s">
        <v>65</v>
      </c>
      <c r="G55" s="9"/>
      <c r="H55" s="155" t="s">
        <v>63</v>
      </c>
      <c r="I55" s="139" t="s">
        <v>64</v>
      </c>
      <c r="J55" s="139" t="s">
        <v>65</v>
      </c>
      <c r="K55" s="152" t="s">
        <v>60</v>
      </c>
    </row>
    <row r="56" spans="1:11" x14ac:dyDescent="0.25">
      <c r="A56" s="133" t="s">
        <v>72</v>
      </c>
      <c r="B56" s="158"/>
      <c r="C56" s="9"/>
      <c r="D56" s="158"/>
      <c r="E56" s="139"/>
      <c r="F56" s="156"/>
      <c r="G56" s="9"/>
      <c r="H56" s="167"/>
      <c r="I56" s="139"/>
      <c r="J56" s="139"/>
      <c r="K56" s="158"/>
    </row>
    <row r="57" spans="1:11" x14ac:dyDescent="0.25">
      <c r="A57" s="140" t="str">
        <f>IF(A46=0,"",A46)</f>
        <v>Residential</v>
      </c>
      <c r="B57" s="159" t="s">
        <v>38</v>
      </c>
      <c r="C57" s="135"/>
      <c r="D57" s="168">
        <f>+D46</f>
        <v>198904757.41</v>
      </c>
      <c r="E57" s="174">
        <v>3.0000000000000001E-3</v>
      </c>
      <c r="F57" s="170">
        <f>D57*E57</f>
        <v>596714.27223</v>
      </c>
      <c r="H57" s="168">
        <f>+H13</f>
        <v>10635396.02</v>
      </c>
      <c r="I57" s="174">
        <v>3.0000000000000001E-3</v>
      </c>
      <c r="J57" s="170">
        <f>H57*I57</f>
        <v>31906.18806</v>
      </c>
      <c r="K57" s="139"/>
    </row>
    <row r="58" spans="1:11" x14ac:dyDescent="0.25">
      <c r="A58" s="140" t="str">
        <f t="shared" ref="A58:A63" si="10">IF(A47=0,"",A47)</f>
        <v>GS&lt;50</v>
      </c>
      <c r="B58" s="159" t="s">
        <v>38</v>
      </c>
      <c r="C58" s="135"/>
      <c r="D58" s="168">
        <f>+D47</f>
        <v>70820760.390000001</v>
      </c>
      <c r="E58" s="174">
        <v>3.0000000000000001E-3</v>
      </c>
      <c r="F58" s="170">
        <f t="shared" ref="F58:F63" si="11">D58*E58</f>
        <v>212462.28117</v>
      </c>
      <c r="H58" s="168">
        <f t="shared" ref="H58:H63" si="12">+H14</f>
        <v>11285165.01</v>
      </c>
      <c r="I58" s="174">
        <v>3.0000000000000001E-3</v>
      </c>
      <c r="J58" s="170">
        <f t="shared" ref="J58:J63" si="13">H58*I58</f>
        <v>33855.495029999998</v>
      </c>
      <c r="K58" s="139"/>
    </row>
    <row r="59" spans="1:11" x14ac:dyDescent="0.25">
      <c r="A59" s="140" t="str">
        <f t="shared" si="10"/>
        <v>GS&gt;50</v>
      </c>
      <c r="B59" s="159" t="s">
        <v>38</v>
      </c>
      <c r="C59" s="135"/>
      <c r="D59" s="168">
        <f>+D15</f>
        <v>16330088.09</v>
      </c>
      <c r="E59" s="174">
        <v>3.0000000000000001E-3</v>
      </c>
      <c r="F59" s="170">
        <f t="shared" si="11"/>
        <v>48990.26427</v>
      </c>
      <c r="H59" s="168">
        <f t="shared" si="12"/>
        <v>184891441.08000001</v>
      </c>
      <c r="I59" s="174">
        <v>3.0000000000000001E-3</v>
      </c>
      <c r="J59" s="170">
        <f t="shared" si="13"/>
        <v>554674.32324000006</v>
      </c>
      <c r="K59" s="139"/>
    </row>
    <row r="60" spans="1:11" x14ac:dyDescent="0.25">
      <c r="A60" s="140" t="str">
        <f t="shared" si="10"/>
        <v>GS&gt;3000&lt;4999</v>
      </c>
      <c r="B60" s="159" t="s">
        <v>38</v>
      </c>
      <c r="C60" s="135"/>
      <c r="D60" s="168">
        <f>+D16</f>
        <v>0</v>
      </c>
      <c r="E60" s="174">
        <v>3.0000000000000001E-3</v>
      </c>
      <c r="F60" s="170">
        <f t="shared" si="11"/>
        <v>0</v>
      </c>
      <c r="H60" s="168">
        <f t="shared" si="12"/>
        <v>15016547</v>
      </c>
      <c r="I60" s="174">
        <v>3.0000000000000001E-3</v>
      </c>
      <c r="J60" s="170">
        <f t="shared" si="13"/>
        <v>45049.641000000003</v>
      </c>
      <c r="K60" s="139"/>
    </row>
    <row r="61" spans="1:11" x14ac:dyDescent="0.25">
      <c r="A61" s="140" t="str">
        <f t="shared" si="10"/>
        <v>Sent</v>
      </c>
      <c r="B61" s="159" t="s">
        <v>38</v>
      </c>
      <c r="C61" s="135"/>
      <c r="D61" s="168">
        <f>+D17</f>
        <v>113003.28</v>
      </c>
      <c r="E61" s="174">
        <v>3.0000000000000001E-3</v>
      </c>
      <c r="F61" s="170">
        <f t="shared" si="11"/>
        <v>339.00984</v>
      </c>
      <c r="H61" s="168">
        <f t="shared" si="12"/>
        <v>8987.89</v>
      </c>
      <c r="I61" s="174">
        <v>3.0000000000000001E-3</v>
      </c>
      <c r="J61" s="170">
        <f t="shared" si="13"/>
        <v>26.96367</v>
      </c>
      <c r="K61" s="139"/>
    </row>
    <row r="62" spans="1:11" x14ac:dyDescent="0.25">
      <c r="A62" s="140" t="str">
        <f t="shared" si="10"/>
        <v>Street Light</v>
      </c>
      <c r="B62" s="159" t="s">
        <v>38</v>
      </c>
      <c r="C62" s="135"/>
      <c r="D62" s="168">
        <f>+D18</f>
        <v>0</v>
      </c>
      <c r="E62" s="174">
        <v>3.0000000000000001E-3</v>
      </c>
      <c r="F62" s="170">
        <f t="shared" si="11"/>
        <v>0</v>
      </c>
      <c r="H62" s="168">
        <f t="shared" si="12"/>
        <v>2115469.52</v>
      </c>
      <c r="I62" s="174">
        <v>3.0000000000000001E-3</v>
      </c>
      <c r="J62" s="170">
        <f t="shared" si="13"/>
        <v>6346.4085599999999</v>
      </c>
      <c r="K62" s="139"/>
    </row>
    <row r="63" spans="1:11" x14ac:dyDescent="0.25">
      <c r="A63" s="140" t="str">
        <f t="shared" si="10"/>
        <v>USML</v>
      </c>
      <c r="B63" s="159" t="s">
        <v>38</v>
      </c>
      <c r="C63" s="135"/>
      <c r="D63" s="168">
        <f>+D52</f>
        <v>41023.64</v>
      </c>
      <c r="E63" s="174">
        <v>3.0000000000000001E-3</v>
      </c>
      <c r="F63" s="170">
        <f t="shared" si="11"/>
        <v>123.07092</v>
      </c>
      <c r="H63" s="168">
        <f t="shared" si="12"/>
        <v>0</v>
      </c>
      <c r="I63" s="174">
        <v>3.0000000000000001E-3</v>
      </c>
      <c r="J63" s="170">
        <f t="shared" si="13"/>
        <v>0</v>
      </c>
      <c r="K63" s="139"/>
    </row>
    <row r="64" spans="1:11" x14ac:dyDescent="0.25">
      <c r="A64" s="133" t="s">
        <v>70</v>
      </c>
      <c r="B64" s="159"/>
      <c r="C64" s="135"/>
      <c r="D64" s="163"/>
      <c r="E64" s="140"/>
      <c r="F64" s="163">
        <f>SUM(F57:F63)</f>
        <v>858628.89842999994</v>
      </c>
      <c r="G64" s="140"/>
      <c r="H64" s="140"/>
      <c r="I64" s="140"/>
      <c r="J64" s="163">
        <f>SUM(J57:J63)</f>
        <v>671859.01956000004</v>
      </c>
      <c r="K64" s="170">
        <f>F64+J64</f>
        <v>1530487.91799</v>
      </c>
    </row>
    <row r="65" spans="1:11" ht="6.75" customHeight="1" x14ac:dyDescent="0.25"/>
    <row r="66" spans="1:11" x14ac:dyDescent="0.25">
      <c r="A66" s="128" t="s">
        <v>78</v>
      </c>
      <c r="B66" s="152"/>
      <c r="C66" s="173"/>
      <c r="D66" s="152" t="s">
        <v>74</v>
      </c>
      <c r="E66" s="139" t="s">
        <v>64</v>
      </c>
      <c r="F66" s="154" t="s">
        <v>65</v>
      </c>
      <c r="G66" s="9"/>
      <c r="H66" s="155" t="s">
        <v>63</v>
      </c>
      <c r="I66" s="139" t="s">
        <v>64</v>
      </c>
      <c r="J66" s="139" t="s">
        <v>65</v>
      </c>
      <c r="K66" s="152" t="s">
        <v>60</v>
      </c>
    </row>
    <row r="67" spans="1:11" x14ac:dyDescent="0.25">
      <c r="A67" s="133" t="s">
        <v>72</v>
      </c>
      <c r="B67" s="158"/>
      <c r="C67" s="9"/>
      <c r="D67" s="158"/>
      <c r="E67" s="139"/>
      <c r="F67" s="156"/>
      <c r="G67" s="9"/>
      <c r="H67" s="167"/>
      <c r="I67" s="139"/>
      <c r="J67" s="139"/>
      <c r="K67" s="158"/>
    </row>
    <row r="68" spans="1:11" x14ac:dyDescent="0.25">
      <c r="A68" s="140" t="str">
        <f>IF(A57=0,"",A57)</f>
        <v>Residential</v>
      </c>
      <c r="B68" s="159" t="s">
        <v>38</v>
      </c>
      <c r="C68" s="135"/>
      <c r="D68" s="168">
        <f>+D57</f>
        <v>198904757.41</v>
      </c>
      <c r="E68" s="169">
        <v>4.0000000000000002E-4</v>
      </c>
      <c r="F68" s="170">
        <f>D68*E68</f>
        <v>79561.902964000008</v>
      </c>
      <c r="H68" s="168">
        <f>+H57</f>
        <v>10635396.02</v>
      </c>
      <c r="I68" s="169">
        <v>4.0000000000000002E-4</v>
      </c>
      <c r="J68" s="170">
        <f>H68*I68</f>
        <v>4254.1584080000002</v>
      </c>
      <c r="K68" s="139"/>
    </row>
    <row r="69" spans="1:11" x14ac:dyDescent="0.25">
      <c r="A69" s="140" t="str">
        <f t="shared" ref="A69:A74" si="14">IF(A58=0,"",A58)</f>
        <v>GS&lt;50</v>
      </c>
      <c r="B69" s="159" t="s">
        <v>38</v>
      </c>
      <c r="C69" s="135"/>
      <c r="D69" s="168">
        <f t="shared" ref="D69:D74" si="15">+D58</f>
        <v>70820760.390000001</v>
      </c>
      <c r="E69" s="169">
        <v>4.0000000000000002E-4</v>
      </c>
      <c r="F69" s="170">
        <f t="shared" ref="F69:F74" si="16">D69*E69</f>
        <v>28328.304156000002</v>
      </c>
      <c r="H69" s="168">
        <f t="shared" ref="H69:H74" si="17">+H58</f>
        <v>11285165.01</v>
      </c>
      <c r="I69" s="169">
        <v>4.0000000000000002E-4</v>
      </c>
      <c r="J69" s="170">
        <f t="shared" ref="J69:J74" si="18">H69*I69</f>
        <v>4514.0660040000002</v>
      </c>
      <c r="K69" s="139"/>
    </row>
    <row r="70" spans="1:11" x14ac:dyDescent="0.25">
      <c r="A70" s="140" t="str">
        <f t="shared" si="14"/>
        <v>GS&gt;50</v>
      </c>
      <c r="B70" s="159" t="s">
        <v>38</v>
      </c>
      <c r="C70" s="135"/>
      <c r="D70" s="168">
        <f t="shared" si="15"/>
        <v>16330088.09</v>
      </c>
      <c r="E70" s="169">
        <v>4.0000000000000002E-4</v>
      </c>
      <c r="F70" s="170">
        <f t="shared" si="16"/>
        <v>6532.0352360000006</v>
      </c>
      <c r="H70" s="168">
        <f>+H59-H81</f>
        <v>154993697.08000001</v>
      </c>
      <c r="I70" s="169">
        <v>4.0000000000000002E-4</v>
      </c>
      <c r="J70" s="170">
        <f t="shared" si="18"/>
        <v>61997.478832000008</v>
      </c>
      <c r="K70" s="139"/>
    </row>
    <row r="71" spans="1:11" x14ac:dyDescent="0.25">
      <c r="A71" s="140" t="str">
        <f t="shared" si="14"/>
        <v>GS&gt;3000&lt;4999</v>
      </c>
      <c r="B71" s="159" t="s">
        <v>38</v>
      </c>
      <c r="C71" s="135"/>
      <c r="D71" s="168">
        <f t="shared" si="15"/>
        <v>0</v>
      </c>
      <c r="E71" s="169">
        <v>4.0000000000000002E-4</v>
      </c>
      <c r="F71" s="170">
        <f t="shared" si="16"/>
        <v>0</v>
      </c>
      <c r="H71" s="168">
        <f>+H60-H82</f>
        <v>0</v>
      </c>
      <c r="I71" s="169">
        <v>4.0000000000000002E-4</v>
      </c>
      <c r="J71" s="170">
        <f t="shared" si="18"/>
        <v>0</v>
      </c>
      <c r="K71" s="139"/>
    </row>
    <row r="72" spans="1:11" x14ac:dyDescent="0.25">
      <c r="A72" s="140" t="str">
        <f t="shared" si="14"/>
        <v>Sent</v>
      </c>
      <c r="B72" s="159" t="s">
        <v>38</v>
      </c>
      <c r="C72" s="135"/>
      <c r="D72" s="168">
        <f t="shared" si="15"/>
        <v>113003.28</v>
      </c>
      <c r="E72" s="169">
        <v>4.0000000000000002E-4</v>
      </c>
      <c r="F72" s="170">
        <f t="shared" si="16"/>
        <v>45.201312000000001</v>
      </c>
      <c r="H72" s="168">
        <f t="shared" si="17"/>
        <v>8987.89</v>
      </c>
      <c r="I72" s="169">
        <v>4.0000000000000002E-4</v>
      </c>
      <c r="J72" s="170">
        <f t="shared" si="18"/>
        <v>3.5951559999999998</v>
      </c>
      <c r="K72" s="139"/>
    </row>
    <row r="73" spans="1:11" x14ac:dyDescent="0.25">
      <c r="A73" s="140" t="str">
        <f t="shared" si="14"/>
        <v>Street Light</v>
      </c>
      <c r="B73" s="159" t="s">
        <v>38</v>
      </c>
      <c r="C73" s="135"/>
      <c r="D73" s="168">
        <f t="shared" si="15"/>
        <v>0</v>
      </c>
      <c r="E73" s="169">
        <v>4.0000000000000002E-4</v>
      </c>
      <c r="F73" s="170">
        <f t="shared" si="16"/>
        <v>0</v>
      </c>
      <c r="H73" s="168">
        <f t="shared" si="17"/>
        <v>2115469.52</v>
      </c>
      <c r="I73" s="169">
        <v>4.0000000000000002E-4</v>
      </c>
      <c r="J73" s="170">
        <f t="shared" si="18"/>
        <v>846.18780800000002</v>
      </c>
      <c r="K73" s="139"/>
    </row>
    <row r="74" spans="1:11" x14ac:dyDescent="0.25">
      <c r="A74" s="140" t="str">
        <f t="shared" si="14"/>
        <v>USML</v>
      </c>
      <c r="B74" s="159" t="s">
        <v>38</v>
      </c>
      <c r="C74" s="135"/>
      <c r="D74" s="168">
        <f t="shared" si="15"/>
        <v>41023.64</v>
      </c>
      <c r="E74" s="169">
        <v>4.0000000000000002E-4</v>
      </c>
      <c r="F74" s="170">
        <f t="shared" si="16"/>
        <v>16.409456000000002</v>
      </c>
      <c r="H74" s="168">
        <f t="shared" si="17"/>
        <v>0</v>
      </c>
      <c r="I74" s="169">
        <v>4.0000000000000002E-4</v>
      </c>
      <c r="J74" s="170">
        <f t="shared" si="18"/>
        <v>0</v>
      </c>
      <c r="K74" s="139"/>
    </row>
    <row r="75" spans="1:11" x14ac:dyDescent="0.25">
      <c r="A75" s="133" t="s">
        <v>70</v>
      </c>
      <c r="B75" s="159"/>
      <c r="C75" s="135"/>
      <c r="D75" s="163"/>
      <c r="E75" s="140"/>
      <c r="F75" s="163">
        <f>SUM(F68:F74)</f>
        <v>114483.853124</v>
      </c>
      <c r="G75" s="140"/>
      <c r="H75" s="140"/>
      <c r="I75" s="140"/>
      <c r="J75" s="163">
        <f>SUM(J68:J74)</f>
        <v>71615.486208000002</v>
      </c>
      <c r="K75" s="170">
        <f>F75+J75</f>
        <v>186099.339332</v>
      </c>
    </row>
    <row r="76" spans="1:11" ht="6.75" customHeight="1" x14ac:dyDescent="0.25"/>
    <row r="77" spans="1:11" x14ac:dyDescent="0.25">
      <c r="A77" s="128" t="s">
        <v>79</v>
      </c>
      <c r="B77" s="152"/>
      <c r="C77" s="173"/>
      <c r="D77" s="152" t="s">
        <v>74</v>
      </c>
      <c r="E77" s="139" t="s">
        <v>64</v>
      </c>
      <c r="F77" s="154" t="s">
        <v>65</v>
      </c>
      <c r="G77" s="9"/>
      <c r="H77" s="155" t="s">
        <v>63</v>
      </c>
      <c r="I77" s="139" t="s">
        <v>64</v>
      </c>
      <c r="J77" s="139" t="s">
        <v>65</v>
      </c>
      <c r="K77" s="152" t="s">
        <v>60</v>
      </c>
    </row>
    <row r="78" spans="1:11" x14ac:dyDescent="0.25">
      <c r="A78" s="133" t="s">
        <v>72</v>
      </c>
      <c r="B78" s="158"/>
      <c r="C78" s="9"/>
      <c r="D78" s="158"/>
      <c r="E78" s="139"/>
      <c r="F78" s="156"/>
      <c r="G78" s="9"/>
      <c r="H78" s="167"/>
      <c r="I78" s="139"/>
      <c r="J78" s="139"/>
      <c r="K78" s="158"/>
    </row>
    <row r="79" spans="1:11" x14ac:dyDescent="0.25">
      <c r="A79" s="140" t="str">
        <f t="shared" ref="A79:A85" si="19">IF(A57=0,"",A57)</f>
        <v>Residential</v>
      </c>
      <c r="B79" s="159" t="s">
        <v>38</v>
      </c>
      <c r="C79" s="135"/>
      <c r="D79" s="168"/>
      <c r="E79" s="168"/>
      <c r="F79" s="170">
        <f>D79*E79</f>
        <v>0</v>
      </c>
      <c r="H79" s="168"/>
      <c r="I79" s="168"/>
      <c r="J79" s="170">
        <f>H79*I79</f>
        <v>0</v>
      </c>
      <c r="K79" s="139"/>
    </row>
    <row r="80" spans="1:11" x14ac:dyDescent="0.25">
      <c r="A80" s="140" t="str">
        <f t="shared" si="19"/>
        <v>GS&lt;50</v>
      </c>
      <c r="B80" s="159" t="s">
        <v>38</v>
      </c>
      <c r="C80" s="135"/>
      <c r="D80" s="168"/>
      <c r="E80" s="168"/>
      <c r="F80" s="170">
        <f t="shared" ref="F80:F85" si="20">D80*E80</f>
        <v>0</v>
      </c>
      <c r="H80" s="168"/>
      <c r="I80" s="168"/>
      <c r="J80" s="170">
        <f t="shared" ref="J80:J85" si="21">H80*I80</f>
        <v>0</v>
      </c>
      <c r="K80" s="139"/>
    </row>
    <row r="81" spans="1:11" x14ac:dyDescent="0.25">
      <c r="A81" s="140" t="str">
        <f t="shared" si="19"/>
        <v>GS&gt;50</v>
      </c>
      <c r="B81" s="159" t="s">
        <v>68</v>
      </c>
      <c r="C81" s="135"/>
      <c r="D81" s="168"/>
      <c r="E81" s="168"/>
      <c r="F81" s="170">
        <f t="shared" si="20"/>
        <v>0</v>
      </c>
      <c r="H81" s="168">
        <v>29897744</v>
      </c>
      <c r="I81" s="175">
        <v>3.0538083273841285E-4</v>
      </c>
      <c r="J81" s="170">
        <f t="shared" si="21"/>
        <v>9130.1979597198861</v>
      </c>
      <c r="K81" s="139"/>
    </row>
    <row r="82" spans="1:11" x14ac:dyDescent="0.25">
      <c r="A82" s="140" t="str">
        <f t="shared" si="19"/>
        <v>GS&gt;3000&lt;4999</v>
      </c>
      <c r="B82" s="159" t="s">
        <v>68</v>
      </c>
      <c r="C82" s="135"/>
      <c r="D82" s="168"/>
      <c r="E82" s="168"/>
      <c r="F82" s="170">
        <f t="shared" si="20"/>
        <v>0</v>
      </c>
      <c r="H82" s="168">
        <v>15016547</v>
      </c>
      <c r="I82" s="175">
        <v>1.9467260821863134E-4</v>
      </c>
      <c r="J82" s="170">
        <f t="shared" si="21"/>
        <v>2923.3103709276638</v>
      </c>
      <c r="K82" s="139"/>
    </row>
    <row r="83" spans="1:11" x14ac:dyDescent="0.25">
      <c r="A83" s="140" t="str">
        <f t="shared" si="19"/>
        <v>Sent</v>
      </c>
      <c r="B83" s="159"/>
      <c r="C83" s="135"/>
      <c r="D83" s="168"/>
      <c r="E83" s="168"/>
      <c r="F83" s="170">
        <f t="shared" si="20"/>
        <v>0</v>
      </c>
      <c r="H83" s="168"/>
      <c r="I83" s="168"/>
      <c r="J83" s="170">
        <f t="shared" si="21"/>
        <v>0</v>
      </c>
      <c r="K83" s="139"/>
    </row>
    <row r="84" spans="1:11" x14ac:dyDescent="0.25">
      <c r="A84" s="140" t="str">
        <f t="shared" si="19"/>
        <v>Street Light</v>
      </c>
      <c r="B84" s="159"/>
      <c r="C84" s="135"/>
      <c r="D84" s="168"/>
      <c r="E84" s="168"/>
      <c r="F84" s="170">
        <f t="shared" si="20"/>
        <v>0</v>
      </c>
      <c r="H84" s="168"/>
      <c r="I84" s="168"/>
      <c r="J84" s="170">
        <f t="shared" si="21"/>
        <v>0</v>
      </c>
      <c r="K84" s="139"/>
    </row>
    <row r="85" spans="1:11" x14ac:dyDescent="0.25">
      <c r="A85" s="140" t="str">
        <f t="shared" si="19"/>
        <v>USML</v>
      </c>
      <c r="B85" s="159"/>
      <c r="C85" s="135"/>
      <c r="D85" s="168"/>
      <c r="E85" s="168"/>
      <c r="F85" s="170">
        <f t="shared" si="20"/>
        <v>0</v>
      </c>
      <c r="H85" s="168"/>
      <c r="I85" s="168"/>
      <c r="J85" s="170">
        <f t="shared" si="21"/>
        <v>0</v>
      </c>
      <c r="K85" s="139"/>
    </row>
    <row r="86" spans="1:11" x14ac:dyDescent="0.25">
      <c r="A86" s="133" t="s">
        <v>70</v>
      </c>
      <c r="B86" s="159"/>
      <c r="C86" s="135"/>
      <c r="D86" s="163"/>
      <c r="E86" s="140"/>
      <c r="F86" s="163">
        <f>SUM(F79:F85)</f>
        <v>0</v>
      </c>
      <c r="G86" s="140"/>
      <c r="H86" s="140"/>
      <c r="I86" s="140"/>
      <c r="J86" s="163">
        <f>SUM(J79:J85)</f>
        <v>12053.50833064755</v>
      </c>
      <c r="K86" s="170">
        <f>F86+J86</f>
        <v>12053.50833064755</v>
      </c>
    </row>
    <row r="87" spans="1:11" ht="6.75" customHeight="1" x14ac:dyDescent="0.25">
      <c r="A87" s="133"/>
      <c r="B87" s="176"/>
      <c r="C87" s="135"/>
      <c r="D87" s="177"/>
      <c r="E87" s="172"/>
      <c r="F87" s="163"/>
      <c r="H87" s="137"/>
      <c r="I87" s="172"/>
      <c r="J87" s="163"/>
      <c r="K87" s="178"/>
    </row>
    <row r="88" spans="1:11" ht="15" customHeight="1" x14ac:dyDescent="0.25">
      <c r="A88" s="128" t="s">
        <v>80</v>
      </c>
      <c r="B88" s="152"/>
      <c r="C88" s="130"/>
      <c r="D88" s="154" t="s">
        <v>74</v>
      </c>
      <c r="E88" s="153" t="s">
        <v>64</v>
      </c>
      <c r="F88" s="139" t="s">
        <v>65</v>
      </c>
      <c r="G88" s="9"/>
      <c r="H88" s="155" t="s">
        <v>63</v>
      </c>
      <c r="I88" s="153" t="s">
        <v>64</v>
      </c>
      <c r="J88" s="139" t="s">
        <v>65</v>
      </c>
      <c r="K88" s="152" t="s">
        <v>60</v>
      </c>
    </row>
    <row r="89" spans="1:11" x14ac:dyDescent="0.25">
      <c r="A89" s="133" t="s">
        <v>72</v>
      </c>
      <c r="B89" s="158"/>
      <c r="C89" s="130"/>
      <c r="D89" s="156"/>
      <c r="E89" s="165"/>
      <c r="F89" s="139"/>
      <c r="G89" s="9"/>
      <c r="H89" s="167"/>
      <c r="I89" s="165"/>
      <c r="J89" s="139"/>
      <c r="K89" s="158"/>
    </row>
    <row r="90" spans="1:11" x14ac:dyDescent="0.25">
      <c r="A90" s="140" t="str">
        <f>IF(A79=0,"",A79)</f>
        <v>Residential</v>
      </c>
      <c r="B90" s="159" t="s">
        <v>38</v>
      </c>
      <c r="C90" s="135"/>
      <c r="D90" s="168">
        <f>+D68</f>
        <v>198904757.41</v>
      </c>
      <c r="E90" s="169">
        <v>5.0000000000000001E-4</v>
      </c>
      <c r="F90" s="170">
        <f>D90*E90</f>
        <v>99452.378704999996</v>
      </c>
      <c r="H90" s="168">
        <f>+H68</f>
        <v>10635396.02</v>
      </c>
      <c r="I90" s="169">
        <v>5.0000000000000001E-4</v>
      </c>
      <c r="J90" s="170">
        <f>H90*I90</f>
        <v>5317.6980100000001</v>
      </c>
      <c r="K90" s="139"/>
    </row>
    <row r="91" spans="1:11" x14ac:dyDescent="0.25">
      <c r="A91" s="140" t="str">
        <f t="shared" ref="A91:A96" si="22">IF(A80=0,"",A80)</f>
        <v>GS&lt;50</v>
      </c>
      <c r="B91" s="159" t="s">
        <v>38</v>
      </c>
      <c r="C91" s="135"/>
      <c r="D91" s="168">
        <f t="shared" ref="D91:D96" si="23">+D69</f>
        <v>70820760.390000001</v>
      </c>
      <c r="E91" s="169">
        <v>5.0000000000000001E-4</v>
      </c>
      <c r="F91" s="170">
        <f t="shared" ref="F91:F96" si="24">D91*E91</f>
        <v>35410.380194999998</v>
      </c>
      <c r="H91" s="168">
        <f t="shared" ref="H91" si="25">+H69</f>
        <v>11285165.01</v>
      </c>
      <c r="I91" s="169">
        <v>5.0000000000000001E-4</v>
      </c>
      <c r="J91" s="170">
        <f t="shared" ref="J91:J96" si="26">H91*I91</f>
        <v>5642.5825050000003</v>
      </c>
      <c r="K91" s="139"/>
    </row>
    <row r="92" spans="1:11" x14ac:dyDescent="0.25">
      <c r="A92" s="140" t="str">
        <f t="shared" si="22"/>
        <v>GS&gt;50</v>
      </c>
      <c r="B92" s="159" t="s">
        <v>38</v>
      </c>
      <c r="C92" s="135"/>
      <c r="D92" s="168">
        <f t="shared" si="23"/>
        <v>16330088.09</v>
      </c>
      <c r="E92" s="169">
        <v>5.0000000000000001E-4</v>
      </c>
      <c r="F92" s="170">
        <f t="shared" si="24"/>
        <v>8165.0440449999996</v>
      </c>
      <c r="H92" s="168">
        <f>+H59</f>
        <v>184891441.08000001</v>
      </c>
      <c r="I92" s="169">
        <v>5.0000000000000001E-4</v>
      </c>
      <c r="J92" s="170">
        <f t="shared" si="26"/>
        <v>92445.720540000009</v>
      </c>
      <c r="K92" s="139"/>
    </row>
    <row r="93" spans="1:11" x14ac:dyDescent="0.25">
      <c r="A93" s="140" t="str">
        <f t="shared" si="22"/>
        <v>GS&gt;3000&lt;4999</v>
      </c>
      <c r="B93" s="159" t="s">
        <v>38</v>
      </c>
      <c r="C93" s="135"/>
      <c r="D93" s="168">
        <f t="shared" si="23"/>
        <v>0</v>
      </c>
      <c r="E93" s="169">
        <v>5.0000000000000001E-4</v>
      </c>
      <c r="F93" s="170">
        <f t="shared" si="24"/>
        <v>0</v>
      </c>
      <c r="H93" s="168">
        <f t="shared" ref="H93:H96" si="27">+H60</f>
        <v>15016547</v>
      </c>
      <c r="I93" s="169">
        <v>5.0000000000000001E-4</v>
      </c>
      <c r="J93" s="170">
        <f t="shared" si="26"/>
        <v>7508.2735000000002</v>
      </c>
      <c r="K93" s="139"/>
    </row>
    <row r="94" spans="1:11" x14ac:dyDescent="0.25">
      <c r="A94" s="140" t="str">
        <f t="shared" si="22"/>
        <v>Sent</v>
      </c>
      <c r="B94" s="159" t="s">
        <v>38</v>
      </c>
      <c r="C94" s="135"/>
      <c r="D94" s="168">
        <f t="shared" si="23"/>
        <v>113003.28</v>
      </c>
      <c r="E94" s="169">
        <v>5.0000000000000001E-4</v>
      </c>
      <c r="F94" s="170">
        <f t="shared" si="24"/>
        <v>56.501640000000002</v>
      </c>
      <c r="H94" s="168">
        <f t="shared" si="27"/>
        <v>8987.89</v>
      </c>
      <c r="I94" s="169">
        <v>5.0000000000000001E-4</v>
      </c>
      <c r="J94" s="170">
        <f t="shared" si="26"/>
        <v>4.4939450000000001</v>
      </c>
      <c r="K94" s="139"/>
    </row>
    <row r="95" spans="1:11" x14ac:dyDescent="0.25">
      <c r="A95" s="140" t="str">
        <f t="shared" si="22"/>
        <v>Street Light</v>
      </c>
      <c r="B95" s="159" t="s">
        <v>38</v>
      </c>
      <c r="C95" s="135"/>
      <c r="D95" s="168">
        <f t="shared" si="23"/>
        <v>0</v>
      </c>
      <c r="E95" s="169">
        <v>5.0000000000000001E-4</v>
      </c>
      <c r="F95" s="170">
        <f t="shared" si="24"/>
        <v>0</v>
      </c>
      <c r="H95" s="168">
        <f t="shared" si="27"/>
        <v>2115469.52</v>
      </c>
      <c r="I95" s="169">
        <v>5.0000000000000001E-4</v>
      </c>
      <c r="J95" s="170">
        <f t="shared" si="26"/>
        <v>1057.7347600000001</v>
      </c>
      <c r="K95" s="139"/>
    </row>
    <row r="96" spans="1:11" x14ac:dyDescent="0.25">
      <c r="A96" s="140" t="str">
        <f t="shared" si="22"/>
        <v>USML</v>
      </c>
      <c r="B96" s="159" t="s">
        <v>38</v>
      </c>
      <c r="C96" s="135"/>
      <c r="D96" s="168">
        <f t="shared" si="23"/>
        <v>41023.64</v>
      </c>
      <c r="E96" s="169">
        <v>5.0000000000000001E-4</v>
      </c>
      <c r="F96" s="170">
        <f t="shared" si="24"/>
        <v>20.51182</v>
      </c>
      <c r="H96" s="168">
        <f t="shared" si="27"/>
        <v>0</v>
      </c>
      <c r="I96" s="169">
        <v>5.0000000000000001E-4</v>
      </c>
      <c r="J96" s="170">
        <f t="shared" si="26"/>
        <v>0</v>
      </c>
      <c r="K96" s="139"/>
    </row>
    <row r="97" spans="1:11" x14ac:dyDescent="0.25">
      <c r="A97" s="133" t="s">
        <v>70</v>
      </c>
      <c r="B97" s="159"/>
      <c r="C97" s="144"/>
      <c r="D97" s="163"/>
      <c r="E97" s="140"/>
      <c r="F97" s="163">
        <f>SUM(F90:F96)</f>
        <v>143104.81640499999</v>
      </c>
      <c r="G97" s="140"/>
      <c r="H97" s="140"/>
      <c r="I97" s="140"/>
      <c r="J97" s="163">
        <f>SUM(J90:J96)</f>
        <v>111976.50326000001</v>
      </c>
      <c r="K97" s="170">
        <f>F97+J97</f>
        <v>255081.31966500002</v>
      </c>
    </row>
    <row r="98" spans="1:11" ht="6.75" customHeight="1" x14ac:dyDescent="0.25"/>
    <row r="99" spans="1:11" ht="15.75" customHeight="1" x14ac:dyDescent="0.25">
      <c r="A99" s="128" t="s">
        <v>81</v>
      </c>
      <c r="B99" s="152"/>
      <c r="C99" s="130"/>
      <c r="D99" s="154" t="s">
        <v>63</v>
      </c>
      <c r="E99" s="153" t="s">
        <v>64</v>
      </c>
      <c r="F99" s="139" t="s">
        <v>65</v>
      </c>
      <c r="G99" s="9"/>
      <c r="H99" s="155" t="s">
        <v>63</v>
      </c>
      <c r="I99" s="153" t="s">
        <v>64</v>
      </c>
      <c r="J99" s="139" t="s">
        <v>65</v>
      </c>
      <c r="K99" s="152" t="s">
        <v>60</v>
      </c>
    </row>
    <row r="100" spans="1:11" x14ac:dyDescent="0.25">
      <c r="A100" s="133" t="s">
        <v>72</v>
      </c>
      <c r="B100" s="158"/>
      <c r="C100" s="130"/>
      <c r="D100" s="156"/>
      <c r="E100" s="165"/>
      <c r="F100" s="139"/>
      <c r="G100" s="9"/>
      <c r="H100" s="167"/>
      <c r="I100" s="165"/>
      <c r="J100" s="139"/>
      <c r="K100" s="158"/>
    </row>
    <row r="101" spans="1:11" x14ac:dyDescent="0.25">
      <c r="A101" s="140" t="str">
        <f>IF(A90=0,"",A90)</f>
        <v>Residential</v>
      </c>
      <c r="B101" s="159" t="s">
        <v>82</v>
      </c>
      <c r="C101" s="135"/>
      <c r="D101" s="168">
        <v>191467389.55630946</v>
      </c>
      <c r="E101" s="175">
        <v>1.481940135271753E-4</v>
      </c>
      <c r="F101" s="140">
        <f>D101*E101</f>
        <v>28374.320917920668</v>
      </c>
      <c r="H101" s="168">
        <v>10237721.507331761</v>
      </c>
      <c r="I101" s="175">
        <v>1.481940135271753E-4</v>
      </c>
      <c r="J101" s="140">
        <f>H101*I101</f>
        <v>1517.1690395449764</v>
      </c>
      <c r="K101" s="139"/>
    </row>
    <row r="102" spans="1:11" x14ac:dyDescent="0.25">
      <c r="A102" s="140" t="str">
        <f t="shared" ref="A102:A107" si="28">IF(A91=0,"",A91)</f>
        <v>GS&lt;50</v>
      </c>
      <c r="B102" s="159" t="s">
        <v>82</v>
      </c>
      <c r="C102" s="135"/>
      <c r="D102" s="168">
        <v>68172658.587121636</v>
      </c>
      <c r="E102" s="175">
        <v>1.3101209891532887E-4</v>
      </c>
      <c r="F102" s="140">
        <f t="shared" ref="F102:F107" si="29">D102*E102</f>
        <v>8931.4430901369233</v>
      </c>
      <c r="H102" s="168">
        <v>10863194.592791932</v>
      </c>
      <c r="I102" s="175">
        <v>1.3101209891532887E-4</v>
      </c>
      <c r="J102" s="140">
        <f t="shared" ref="J102:J107" si="30">H102*I102</f>
        <v>1423.2099245273223</v>
      </c>
      <c r="K102" s="139"/>
    </row>
    <row r="103" spans="1:11" x14ac:dyDescent="0.25">
      <c r="A103" s="140" t="str">
        <f t="shared" si="28"/>
        <v>GS&gt;50</v>
      </c>
      <c r="B103" s="159" t="s">
        <v>75</v>
      </c>
      <c r="C103" s="179"/>
      <c r="D103" s="168">
        <v>41729.0123217609</v>
      </c>
      <c r="E103" s="175">
        <v>5.1928041435652827E-2</v>
      </c>
      <c r="F103" s="140">
        <f t="shared" si="29"/>
        <v>2166.9058809132675</v>
      </c>
      <c r="H103" s="168">
        <v>472461.45767823904</v>
      </c>
      <c r="I103" s="175">
        <v>5.1928041435652827E-2</v>
      </c>
      <c r="J103" s="140">
        <f t="shared" si="30"/>
        <v>24533.99815106453</v>
      </c>
      <c r="K103" s="139"/>
    </row>
    <row r="104" spans="1:11" x14ac:dyDescent="0.25">
      <c r="A104" s="140" t="str">
        <f t="shared" si="28"/>
        <v>GS&gt;3000&lt;4999</v>
      </c>
      <c r="B104" s="159" t="s">
        <v>75</v>
      </c>
      <c r="C104" s="179"/>
      <c r="D104" s="168">
        <v>0</v>
      </c>
      <c r="E104" s="175">
        <v>5.7385447064240536E-2</v>
      </c>
      <c r="F104" s="140">
        <f t="shared" si="29"/>
        <v>0</v>
      </c>
      <c r="H104" s="168">
        <v>27098.26</v>
      </c>
      <c r="I104" s="175">
        <v>5.7385447064240536E-2</v>
      </c>
      <c r="J104" s="140">
        <f t="shared" si="30"/>
        <v>1555.0457647630267</v>
      </c>
      <c r="K104" s="139"/>
    </row>
    <row r="105" spans="1:11" x14ac:dyDescent="0.25">
      <c r="A105" s="140" t="str">
        <f t="shared" si="28"/>
        <v>Sent</v>
      </c>
      <c r="B105" s="159" t="s">
        <v>75</v>
      </c>
      <c r="C105" s="179"/>
      <c r="D105" s="168">
        <v>276.34743716360458</v>
      </c>
      <c r="E105" s="175">
        <v>4.0139100272599697E-2</v>
      </c>
      <c r="F105" s="140">
        <f t="shared" si="29"/>
        <v>11.092337490385868</v>
      </c>
      <c r="H105" s="168">
        <v>21.979719234772549</v>
      </c>
      <c r="I105" s="175">
        <v>4.0139100272599697E-2</v>
      </c>
      <c r="J105" s="140">
        <f t="shared" si="30"/>
        <v>0.88224615432812359</v>
      </c>
      <c r="K105" s="139"/>
    </row>
    <row r="106" spans="1:11" ht="14.25" customHeight="1" x14ac:dyDescent="0.25">
      <c r="A106" s="140" t="str">
        <f t="shared" si="28"/>
        <v>Street Light</v>
      </c>
      <c r="B106" s="159" t="s">
        <v>75</v>
      </c>
      <c r="C106" s="135"/>
      <c r="D106" s="168">
        <v>0</v>
      </c>
      <c r="E106" s="175">
        <v>4.0978866349253691E-2</v>
      </c>
      <c r="F106" s="140">
        <f t="shared" si="29"/>
        <v>0</v>
      </c>
      <c r="H106" s="168">
        <v>5690.2799999999988</v>
      </c>
      <c r="I106" s="175">
        <v>4.0978866349253691E-2</v>
      </c>
      <c r="J106" s="140">
        <f t="shared" si="30"/>
        <v>233.18122360983125</v>
      </c>
      <c r="K106" s="139"/>
    </row>
    <row r="107" spans="1:11" x14ac:dyDescent="0.25">
      <c r="A107" s="140" t="str">
        <f t="shared" si="28"/>
        <v>USML</v>
      </c>
      <c r="B107" s="159" t="s">
        <v>82</v>
      </c>
      <c r="C107" s="135"/>
      <c r="D107" s="168">
        <v>39489.700312733206</v>
      </c>
      <c r="E107" s="175">
        <v>1.3101209891532887E-4</v>
      </c>
      <c r="F107" s="140">
        <f t="shared" si="29"/>
        <v>5.173628523508496</v>
      </c>
      <c r="H107" s="168"/>
      <c r="I107" s="175">
        <v>1.3101209891532887E-4</v>
      </c>
      <c r="J107" s="140">
        <f t="shared" si="30"/>
        <v>0</v>
      </c>
      <c r="K107" s="139"/>
    </row>
    <row r="108" spans="1:11" x14ac:dyDescent="0.25">
      <c r="A108" s="133" t="s">
        <v>70</v>
      </c>
      <c r="B108" s="159"/>
      <c r="C108" s="135"/>
      <c r="D108" s="180">
        <f>SUM(D101:D107)</f>
        <v>259721543.20350277</v>
      </c>
      <c r="E108" s="181"/>
      <c r="F108" s="181">
        <f>SUM(F101:F107)</f>
        <v>39488.93585498476</v>
      </c>
      <c r="G108" s="181"/>
      <c r="H108" s="182"/>
      <c r="I108" s="181"/>
      <c r="J108" s="181">
        <f>SUM(J101:J107)</f>
        <v>29263.486349664014</v>
      </c>
      <c r="K108" s="182">
        <f>F108+J108</f>
        <v>68752.42220464877</v>
      </c>
    </row>
    <row r="110" spans="1:11" x14ac:dyDescent="0.25">
      <c r="A110" s="128" t="s">
        <v>83</v>
      </c>
      <c r="B110" s="153"/>
      <c r="C110" s="130"/>
      <c r="D110" s="154" t="s">
        <v>84</v>
      </c>
      <c r="E110" s="153" t="s">
        <v>64</v>
      </c>
      <c r="F110" s="139" t="s">
        <v>65</v>
      </c>
      <c r="G110" s="9"/>
      <c r="H110" s="152" t="s">
        <v>84</v>
      </c>
      <c r="I110" s="153" t="s">
        <v>64</v>
      </c>
      <c r="J110" s="139" t="s">
        <v>65</v>
      </c>
      <c r="K110" s="152" t="s">
        <v>60</v>
      </c>
    </row>
    <row r="111" spans="1:11" x14ac:dyDescent="0.25">
      <c r="A111" s="133" t="s">
        <v>72</v>
      </c>
      <c r="B111" s="165"/>
      <c r="C111" s="130"/>
      <c r="D111" s="156"/>
      <c r="E111" s="165"/>
      <c r="F111" s="139"/>
      <c r="G111" s="9"/>
      <c r="H111" s="158"/>
      <c r="I111" s="165"/>
      <c r="J111" s="139"/>
      <c r="K111" s="158"/>
    </row>
    <row r="112" spans="1:11" x14ac:dyDescent="0.25">
      <c r="A112" s="140" t="str">
        <f>IF(A101=0,"",A101)</f>
        <v>Residential</v>
      </c>
      <c r="B112" s="159"/>
      <c r="C112" s="135"/>
      <c r="D112" s="183">
        <v>20268.260334347317</v>
      </c>
      <c r="E112" s="184">
        <v>0.56999999999999995</v>
      </c>
      <c r="F112" s="185">
        <f>D112*E112*12</f>
        <v>138634.90068693564</v>
      </c>
      <c r="G112" s="186"/>
      <c r="H112" s="183">
        <v>1083.7396656526828</v>
      </c>
      <c r="I112" s="184">
        <v>0.56999999999999995</v>
      </c>
      <c r="J112" s="182">
        <f>H112*I112*12</f>
        <v>7412.7793130643495</v>
      </c>
      <c r="K112" s="139"/>
    </row>
    <row r="113" spans="1:11" x14ac:dyDescent="0.25">
      <c r="A113" s="140" t="str">
        <f t="shared" ref="A113" si="31">IF(A102=0,"",A102)</f>
        <v>GS&lt;50</v>
      </c>
      <c r="B113" s="159"/>
      <c r="C113" s="135"/>
      <c r="D113" s="183">
        <v>2285.086276351743</v>
      </c>
      <c r="E113" s="184">
        <v>0.56999999999999995</v>
      </c>
      <c r="F113" s="185">
        <f>D113*E113*12</f>
        <v>15629.990130245918</v>
      </c>
      <c r="G113" s="186"/>
      <c r="H113" s="183">
        <v>363.91372364825696</v>
      </c>
      <c r="I113" s="184">
        <v>0.56999999999999995</v>
      </c>
      <c r="J113" s="182">
        <f>H113*I113*12</f>
        <v>2489.1698697540774</v>
      </c>
      <c r="K113" s="139"/>
    </row>
    <row r="114" spans="1:11" x14ac:dyDescent="0.25">
      <c r="A114" s="137" t="s">
        <v>85</v>
      </c>
      <c r="B114" s="159"/>
      <c r="C114" s="135"/>
      <c r="D114" s="168"/>
      <c r="E114" s="168"/>
      <c r="F114" s="170">
        <f>D114*E114*12</f>
        <v>0</v>
      </c>
      <c r="H114" s="168"/>
      <c r="I114" s="168"/>
      <c r="J114" s="140"/>
      <c r="K114" s="65"/>
    </row>
    <row r="115" spans="1:11" x14ac:dyDescent="0.25">
      <c r="A115" s="133" t="s">
        <v>70</v>
      </c>
      <c r="B115" s="159"/>
      <c r="C115" s="135"/>
      <c r="D115" s="140"/>
      <c r="E115" s="140"/>
      <c r="F115" s="170">
        <f>SUM(F112:F114)</f>
        <v>154264.89081718156</v>
      </c>
      <c r="G115" s="140"/>
      <c r="H115" s="140"/>
      <c r="I115" s="140"/>
      <c r="J115" s="182">
        <f>SUM(J112:J113)</f>
        <v>9901.9491828184273</v>
      </c>
      <c r="K115" s="170">
        <f>F115+J115</f>
        <v>164166.84</v>
      </c>
    </row>
    <row r="116" spans="1:11" x14ac:dyDescent="0.25">
      <c r="A116" s="140"/>
      <c r="B116" s="140"/>
      <c r="C116" s="135"/>
      <c r="D116" s="140"/>
      <c r="E116" s="140"/>
      <c r="F116" s="140"/>
      <c r="G116" s="140"/>
      <c r="H116" s="140"/>
      <c r="I116" s="140"/>
      <c r="J116" s="140"/>
    </row>
    <row r="117" spans="1:11" x14ac:dyDescent="0.25">
      <c r="A117" s="133" t="s">
        <v>86</v>
      </c>
      <c r="B117" s="140"/>
      <c r="C117" s="135"/>
      <c r="D117" s="140"/>
      <c r="E117" s="140"/>
      <c r="F117" s="170">
        <f>SUM(F20+F42+F53+F64+F97+F108+F115)+F75</f>
        <v>36085984.257482506</v>
      </c>
      <c r="G117" s="140"/>
      <c r="H117" s="140"/>
      <c r="I117" s="140"/>
      <c r="J117" s="170">
        <f>SUM(J20+J42+J53+J64+J97+J108+J115)+J75+J86+J31</f>
        <v>27157865.746985864</v>
      </c>
      <c r="K117" s="147">
        <f>+F117+J117</f>
        <v>63243850.004468367</v>
      </c>
    </row>
    <row r="118" spans="1:11" ht="15.75" thickBot="1" x14ac:dyDescent="0.3">
      <c r="A118" s="133" t="s">
        <v>87</v>
      </c>
      <c r="B118" s="187">
        <v>0.21199999999999999</v>
      </c>
      <c r="C118" s="135"/>
      <c r="D118" s="140"/>
      <c r="E118" s="140"/>
      <c r="F118" s="188">
        <f>-F117*B118</f>
        <v>-7650228.6625862913</v>
      </c>
      <c r="G118" s="140"/>
      <c r="H118" s="140"/>
      <c r="I118" s="140"/>
      <c r="J118" s="140">
        <v>0</v>
      </c>
      <c r="K118" s="147">
        <f>+F118+J118</f>
        <v>-7650228.6625862913</v>
      </c>
    </row>
    <row r="119" spans="1:11" ht="15.75" thickBot="1" x14ac:dyDescent="0.3">
      <c r="A119" s="133" t="s">
        <v>45</v>
      </c>
      <c r="B119" s="189"/>
      <c r="C119" s="190"/>
      <c r="D119" s="133"/>
      <c r="E119" s="133"/>
      <c r="F119" s="191">
        <f>+F117+F118</f>
        <v>28435755.594896216</v>
      </c>
      <c r="G119" s="133"/>
      <c r="H119" s="133"/>
      <c r="I119" s="133"/>
      <c r="J119" s="191">
        <f>+J117+J118</f>
        <v>27157865.746985864</v>
      </c>
      <c r="K119" s="191">
        <f>+K117+K118</f>
        <v>55593621.341882072</v>
      </c>
    </row>
    <row r="120" spans="1:11" ht="15.75" thickTop="1" x14ac:dyDescent="0.25">
      <c r="A120" s="135" t="s">
        <v>88</v>
      </c>
    </row>
    <row r="121" spans="1:11" x14ac:dyDescent="0.25">
      <c r="A121" s="135" t="s">
        <v>89</v>
      </c>
    </row>
    <row r="122" spans="1:11" x14ac:dyDescent="0.25">
      <c r="A122" s="126"/>
    </row>
    <row r="123" spans="1:11" x14ac:dyDescent="0.25">
      <c r="D123" s="192" t="str">
        <f>D10 &amp; " - Cop"</f>
        <v>2021 Test Year - Cop</v>
      </c>
      <c r="E123" s="192"/>
    </row>
    <row r="124" spans="1:11" x14ac:dyDescent="0.25">
      <c r="D124" s="140" t="s">
        <v>90</v>
      </c>
      <c r="E124" s="193">
        <f>K20</f>
        <v>35507262.988693699</v>
      </c>
      <c r="F124" s="194">
        <v>42905781.996832207</v>
      </c>
    </row>
    <row r="125" spans="1:11" x14ac:dyDescent="0.25">
      <c r="D125" s="140" t="s">
        <v>91</v>
      </c>
      <c r="E125" s="148">
        <f>K31</f>
        <v>18663399.051837996</v>
      </c>
      <c r="F125" s="194">
        <v>23291549.848029997</v>
      </c>
    </row>
    <row r="126" spans="1:11" x14ac:dyDescent="0.25">
      <c r="D126" s="140" t="s">
        <v>92</v>
      </c>
      <c r="E126" s="148">
        <f>K64+K86+K97+K75</f>
        <v>1983722.0853176476</v>
      </c>
      <c r="F126" s="194">
        <v>1983722.0853176476</v>
      </c>
    </row>
    <row r="127" spans="1:11" x14ac:dyDescent="0.25">
      <c r="D127" s="140" t="s">
        <v>93</v>
      </c>
      <c r="E127" s="148">
        <f>K42</f>
        <v>3582805.8368369718</v>
      </c>
      <c r="F127" s="194">
        <v>3582805.8368369718</v>
      </c>
    </row>
    <row r="128" spans="1:11" x14ac:dyDescent="0.25">
      <c r="D128" s="140" t="s">
        <v>94</v>
      </c>
      <c r="E128" s="148">
        <f>K53</f>
        <v>3273740.779577408</v>
      </c>
      <c r="F128" s="194">
        <v>3273740.779577408</v>
      </c>
    </row>
    <row r="129" spans="4:6" x14ac:dyDescent="0.25">
      <c r="D129" s="140" t="s">
        <v>95</v>
      </c>
      <c r="E129" s="148">
        <f>K108</f>
        <v>68752.42220464877</v>
      </c>
      <c r="F129" s="194">
        <v>68752.42220464877</v>
      </c>
    </row>
    <row r="130" spans="4:6" x14ac:dyDescent="0.25">
      <c r="D130" s="140" t="s">
        <v>96</v>
      </c>
      <c r="E130" s="148">
        <f>K115</f>
        <v>164166.84</v>
      </c>
      <c r="F130" s="194">
        <v>164166.84</v>
      </c>
    </row>
    <row r="131" spans="4:6" x14ac:dyDescent="0.25">
      <c r="D131" s="140" t="s">
        <v>97</v>
      </c>
      <c r="E131" s="148">
        <f>+K118</f>
        <v>-7650228.6625862913</v>
      </c>
      <c r="F131" s="194">
        <v>-9218714.6923116539</v>
      </c>
    </row>
    <row r="132" spans="4:6" x14ac:dyDescent="0.25">
      <c r="D132" s="133" t="s">
        <v>45</v>
      </c>
      <c r="E132" s="195">
        <f>SUM(E124:E131)</f>
        <v>55593621.34188208</v>
      </c>
      <c r="F132" s="194">
        <v>66051805.116487227</v>
      </c>
    </row>
    <row r="133" spans="4:6" x14ac:dyDescent="0.25">
      <c r="E133" s="118">
        <f>+E132-K119</f>
        <v>0</v>
      </c>
    </row>
  </sheetData>
  <mergeCells count="90">
    <mergeCell ref="K112:K113"/>
    <mergeCell ref="D123:E123"/>
    <mergeCell ref="K101:K107"/>
    <mergeCell ref="B110:B111"/>
    <mergeCell ref="D110:D111"/>
    <mergeCell ref="E110:E111"/>
    <mergeCell ref="F110:F111"/>
    <mergeCell ref="H110:H111"/>
    <mergeCell ref="I110:I111"/>
    <mergeCell ref="J110:J111"/>
    <mergeCell ref="K110:K111"/>
    <mergeCell ref="K90:K96"/>
    <mergeCell ref="B99:B100"/>
    <mergeCell ref="D99:D100"/>
    <mergeCell ref="E99:E100"/>
    <mergeCell ref="F99:F100"/>
    <mergeCell ref="H99:H100"/>
    <mergeCell ref="I99:I100"/>
    <mergeCell ref="J99:J100"/>
    <mergeCell ref="K99:K100"/>
    <mergeCell ref="K79:K85"/>
    <mergeCell ref="B88:B89"/>
    <mergeCell ref="D88:D89"/>
    <mergeCell ref="E88:E89"/>
    <mergeCell ref="F88:F89"/>
    <mergeCell ref="H88:H89"/>
    <mergeCell ref="I88:I89"/>
    <mergeCell ref="J88:J89"/>
    <mergeCell ref="K88:K89"/>
    <mergeCell ref="K68:K74"/>
    <mergeCell ref="B77:B78"/>
    <mergeCell ref="D77:D78"/>
    <mergeCell ref="E77:E78"/>
    <mergeCell ref="F77:F78"/>
    <mergeCell ref="H77:H78"/>
    <mergeCell ref="I77:I78"/>
    <mergeCell ref="J77:J78"/>
    <mergeCell ref="K77:K78"/>
    <mergeCell ref="K57:K63"/>
    <mergeCell ref="B66:B67"/>
    <mergeCell ref="D66:D67"/>
    <mergeCell ref="E66:E67"/>
    <mergeCell ref="F66:F67"/>
    <mergeCell ref="H66:H67"/>
    <mergeCell ref="I66:I67"/>
    <mergeCell ref="J66:J67"/>
    <mergeCell ref="K66:K67"/>
    <mergeCell ref="K46:K52"/>
    <mergeCell ref="B55:B56"/>
    <mergeCell ref="D55:D56"/>
    <mergeCell ref="E55:E56"/>
    <mergeCell ref="F55:F56"/>
    <mergeCell ref="H55:H56"/>
    <mergeCell ref="I55:I56"/>
    <mergeCell ref="J55:J56"/>
    <mergeCell ref="K55:K56"/>
    <mergeCell ref="K35:K41"/>
    <mergeCell ref="B44:B45"/>
    <mergeCell ref="D44:D45"/>
    <mergeCell ref="E44:E45"/>
    <mergeCell ref="F44:F45"/>
    <mergeCell ref="H44:H45"/>
    <mergeCell ref="I44:I45"/>
    <mergeCell ref="J44:J45"/>
    <mergeCell ref="K44:K45"/>
    <mergeCell ref="K24:K30"/>
    <mergeCell ref="B33:B34"/>
    <mergeCell ref="D33:D34"/>
    <mergeCell ref="E33:E34"/>
    <mergeCell ref="F33:F34"/>
    <mergeCell ref="H33:H34"/>
    <mergeCell ref="I33:I34"/>
    <mergeCell ref="J33:J34"/>
    <mergeCell ref="K33:K34"/>
    <mergeCell ref="K12:K19"/>
    <mergeCell ref="I21:J21"/>
    <mergeCell ref="B22:B23"/>
    <mergeCell ref="D22:D23"/>
    <mergeCell ref="E22:E23"/>
    <mergeCell ref="F22:F23"/>
    <mergeCell ref="H22:H23"/>
    <mergeCell ref="I22:I23"/>
    <mergeCell ref="J22:J23"/>
    <mergeCell ref="K22:K23"/>
    <mergeCell ref="A1:J1"/>
    <mergeCell ref="E9:F9"/>
    <mergeCell ref="I9:J9"/>
    <mergeCell ref="E10:F10"/>
    <mergeCell ref="I10:J10"/>
    <mergeCell ref="B11:B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App2 ZA</vt:lpstr>
      <vt:lpstr>App2 ZB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Micheal Roth</dc:creator>
  <cp:lastModifiedBy>Micheal Roth</cp:lastModifiedBy>
  <dcterms:created xsi:type="dcterms:W3CDTF">2015-06-05T18:17:20Z</dcterms:created>
  <dcterms:modified xsi:type="dcterms:W3CDTF">2021-03-31T18:06:46Z</dcterms:modified>
</cp:coreProperties>
</file>