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T:\5. TESI UTILITIES\Hearst Power\2021 Cost of Service\IRs\Supplemental IRs\Final Filing no links and macros\"/>
    </mc:Choice>
  </mc:AlternateContent>
  <xr:revisionPtr revIDLastSave="0" documentId="13_ncr:1_{2D1D8134-1E18-47CA-BE07-7471CADE018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PDC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" l="1"/>
  <c r="H24" i="2"/>
  <c r="E20" i="2" l="1"/>
  <c r="D20" i="2" l="1"/>
  <c r="H27" i="2" l="1"/>
  <c r="H14" i="2" l="1"/>
  <c r="B25" i="2" s="1"/>
  <c r="C25" i="2" l="1"/>
  <c r="B19" i="2"/>
  <c r="E25" i="2"/>
  <c r="E21" i="2"/>
  <c r="E23" i="2"/>
  <c r="C24" i="2"/>
  <c r="C21" i="2"/>
  <c r="D25" i="2"/>
  <c r="D21" i="2"/>
  <c r="C23" i="2"/>
  <c r="B24" i="2"/>
  <c r="B21" i="2"/>
  <c r="D23" i="2"/>
  <c r="F21" i="2"/>
  <c r="F25" i="2"/>
  <c r="F23" i="2"/>
  <c r="G21" i="2"/>
  <c r="G23" i="2"/>
  <c r="G25" i="2"/>
  <c r="G22" i="2"/>
  <c r="E22" i="2"/>
  <c r="D24" i="2"/>
  <c r="F18" i="2"/>
  <c r="F19" i="2"/>
  <c r="F17" i="2"/>
  <c r="C22" i="2"/>
  <c r="G18" i="2"/>
  <c r="D19" i="2"/>
  <c r="E17" i="2"/>
  <c r="B23" i="2"/>
  <c r="C18" i="2"/>
  <c r="B18" i="2"/>
  <c r="C17" i="2"/>
  <c r="G17" i="2"/>
  <c r="E19" i="2"/>
  <c r="D18" i="2"/>
  <c r="D17" i="2"/>
  <c r="E18" i="2"/>
  <c r="D22" i="2"/>
  <c r="B17" i="2"/>
  <c r="G19" i="2"/>
  <c r="B22" i="2"/>
  <c r="F22" i="2"/>
  <c r="C19" i="2"/>
  <c r="D16" i="2"/>
  <c r="C16" i="2"/>
  <c r="H13" i="2"/>
  <c r="D27" i="2" l="1"/>
  <c r="D29" i="2" s="1"/>
  <c r="B27" i="2"/>
  <c r="F27" i="2"/>
  <c r="E27" i="2"/>
  <c r="G27" i="2"/>
  <c r="G29" i="2" s="1"/>
  <c r="C27" i="2"/>
  <c r="C29" i="2" s="1"/>
  <c r="H8" i="1"/>
  <c r="E29" i="2" l="1"/>
  <c r="F29" i="2"/>
  <c r="B29" i="2"/>
  <c r="B31" i="2" s="1"/>
  <c r="B7" i="1"/>
  <c r="C7" i="1"/>
  <c r="F31" i="2" l="1"/>
  <c r="E31" i="2"/>
  <c r="C31" i="2"/>
  <c r="G31" i="2"/>
  <c r="D31" i="2"/>
  <c r="H11" i="1"/>
  <c r="H14" i="1" s="1"/>
  <c r="H4" i="1"/>
  <c r="H6" i="1"/>
  <c r="C12" i="1" l="1"/>
  <c r="D12" i="1"/>
  <c r="D14" i="1" s="1"/>
  <c r="B12" i="1"/>
  <c r="D11" i="1"/>
  <c r="E11" i="1"/>
  <c r="B11" i="1"/>
  <c r="F11" i="1"/>
  <c r="C6" i="1"/>
  <c r="G6" i="1"/>
  <c r="D6" i="1"/>
  <c r="E6" i="1"/>
  <c r="B6" i="1"/>
  <c r="F6" i="1"/>
  <c r="C11" i="1"/>
  <c r="G11" i="1"/>
  <c r="G12" i="1"/>
  <c r="C9" i="1"/>
  <c r="D9" i="1"/>
  <c r="B9" i="1"/>
  <c r="B14" i="1" s="1"/>
  <c r="E12" i="1"/>
  <c r="F12" i="1"/>
  <c r="G14" i="1" l="1"/>
  <c r="G16" i="1" s="1"/>
  <c r="C14" i="1"/>
  <c r="C16" i="1" s="1"/>
  <c r="B16" i="1"/>
  <c r="B18" i="1" s="1"/>
  <c r="F14" i="1"/>
  <c r="F16" i="1" s="1"/>
  <c r="E14" i="1"/>
  <c r="E16" i="1" s="1"/>
  <c r="D16" i="1"/>
  <c r="E18" i="1" l="1"/>
  <c r="C18" i="1"/>
  <c r="G18" i="1"/>
  <c r="F18" i="1"/>
  <c r="D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Kittel, Ethan</author>
  </authors>
  <commentList>
    <comment ref="H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November 2016 bill multiplied by 12.  
Breakdown on bill shows $8,523 related to GS greater than 50 and streetlights.  The $8,523 is for 179 points.  Of these 179 points 6 are streetlights and 173 are GS over 50
$5,109.06 for residential and GS less than 50.  
$150 for shadow billing applied equal across all bills</t>
        </r>
      </text>
    </comment>
    <comment ref="A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Used for Residential and GS&lt;50</t>
        </r>
      </text>
    </comment>
    <comment ref="A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See excel file AR Analysis by Rate Category in Management Drive - 2017 COS Application</t>
        </r>
      </text>
    </comment>
    <comment ref="A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Used same split as bad debt expense</t>
        </r>
      </text>
    </comment>
    <comment ref="A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Account is mostly made up of postage fees for sending bills. Split GL Account across all invoices evenly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Kittel, Ethan:</t>
        </r>
        <r>
          <rPr>
            <sz val="9"/>
            <color indexed="81"/>
            <rFont val="Tahoma"/>
            <family val="2"/>
          </rPr>
          <t xml:space="preserve">
Account is mostly made up of the collections staff wages.  Half applied evenly across all bills and half applied at same rate as bad debt</t>
        </r>
      </text>
    </comment>
  </commentList>
</comments>
</file>

<file path=xl/sharedStrings.xml><?xml version="1.0" encoding="utf-8"?>
<sst xmlns="http://schemas.openxmlformats.org/spreadsheetml/2006/main" count="51" uniqueCount="40">
  <si>
    <t>Residential</t>
  </si>
  <si>
    <t>GS &lt; 50</t>
  </si>
  <si>
    <t>GS &gt; 50</t>
  </si>
  <si>
    <t>Street Lighting</t>
  </si>
  <si>
    <t>Sentinel Lighting</t>
  </si>
  <si>
    <t>USL</t>
  </si>
  <si>
    <t>Utilismart</t>
  </si>
  <si>
    <t>Utiliassist</t>
  </si>
  <si>
    <t>Total Annual Cost</t>
  </si>
  <si>
    <t># of Connections</t>
  </si>
  <si>
    <t>Cost Per Connection</t>
  </si>
  <si>
    <t>Total</t>
  </si>
  <si>
    <t>Bad Debt</t>
  </si>
  <si>
    <t>Accounts 5305 - 5340</t>
  </si>
  <si>
    <t>Collection Charges</t>
  </si>
  <si>
    <t>5315 - Customer Billing</t>
  </si>
  <si>
    <t>Acct</t>
  </si>
  <si>
    <t>5320 - Collecting</t>
  </si>
  <si>
    <t>Weighting (Residential set as standard)</t>
  </si>
  <si>
    <t>Intermediate</t>
  </si>
  <si>
    <t xml:space="preserve">5305-Supervision
</t>
  </si>
  <si>
    <t xml:space="preserve">5310-Meter Reading Expense
</t>
  </si>
  <si>
    <t xml:space="preserve">5315-Customer Billing
</t>
  </si>
  <si>
    <t xml:space="preserve">5320-Collecting
</t>
  </si>
  <si>
    <t xml:space="preserve">5325-Collecting- Cash Over and Short
</t>
  </si>
  <si>
    <t xml:space="preserve">5330-Collection Charges
</t>
  </si>
  <si>
    <t xml:space="preserve">5340-Miscellaneous Customer Accounts Expenses
</t>
  </si>
  <si>
    <r>
      <rPr>
        <b/>
        <u/>
        <sz val="11"/>
        <color theme="1"/>
        <rFont val="Calibri"/>
        <family val="2"/>
        <scheme val="minor"/>
      </rPr>
      <t>2021</t>
    </r>
    <r>
      <rPr>
        <sz val="11"/>
        <color theme="1"/>
        <rFont val="Calibri"/>
        <family val="2"/>
        <scheme val="minor"/>
      </rPr>
      <t xml:space="preserve"> Projected # of Customer/Connections (load forecast)</t>
    </r>
  </si>
  <si>
    <t>5310 - Meter Reading - Labor</t>
  </si>
  <si>
    <t>5310 - Meter Reading expenses (ERTH Holdings &amp; Metersense)</t>
  </si>
  <si>
    <t>5315 - Customer Billing expenses (ERTH Holdings, Canada Post, IT services &amp; Supplies)</t>
  </si>
  <si>
    <t>5315 - Customer Billing - Labor &amp; overheads</t>
  </si>
  <si>
    <t>5320 - Collecting - Labour</t>
  </si>
  <si>
    <t>5320 - Collecting - Services provided by other parties</t>
  </si>
  <si>
    <t>5330 - Credit bureau collection fees</t>
  </si>
  <si>
    <t>5340 - Misc. Cust Account Exp. - Communication services (24 hr emergency service)</t>
  </si>
  <si>
    <t>GS &lt; 50 *</t>
  </si>
  <si>
    <t>5315 - Customer Billing expenses (Utilismart - Meter reads)</t>
  </si>
  <si>
    <t>5315 - Customer Billing expenses (Utilismart - Settlements)</t>
  </si>
  <si>
    <t xml:space="preserve"># bills (per tab I6.2 of CA model)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</si>
</sst>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&quot;$&quot;#,##0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i/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11" fillId="0" borderId="0" xfId="0" applyFont="1"/>
    <xf numFmtId="0" fontId="9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2" fillId="0" borderId="0" xfId="0" applyFont="1"/>
    <xf numFmtId="43" fontId="12" fillId="0" borderId="0" xfId="1" applyFont="1"/>
    <xf numFmtId="43" fontId="12" fillId="2" borderId="0" xfId="1" applyFont="1" applyFill="1"/>
    <xf numFmtId="0" fontId="12" fillId="0" borderId="0" xfId="1" applyNumberFormat="1" applyFont="1"/>
    <xf numFmtId="43" fontId="12" fillId="0" borderId="0" xfId="0" applyNumberFormat="1" applyFont="1"/>
    <xf numFmtId="0" fontId="12" fillId="0" borderId="0" xfId="0" applyNumberFormat="1" applyFont="1"/>
    <xf numFmtId="43" fontId="9" fillId="0" borderId="0" xfId="1" applyFont="1"/>
    <xf numFmtId="43" fontId="9" fillId="0" borderId="0" xfId="1" applyFont="1" applyFill="1"/>
    <xf numFmtId="0" fontId="9" fillId="0" borderId="0" xfId="1" applyNumberFormat="1" applyFont="1"/>
    <xf numFmtId="43" fontId="9" fillId="2" borderId="0" xfId="1" applyFont="1" applyFill="1"/>
    <xf numFmtId="43" fontId="9" fillId="0" borderId="2" xfId="1" applyFont="1" applyBorder="1"/>
    <xf numFmtId="43" fontId="9" fillId="0" borderId="0" xfId="0" applyNumberFormat="1" applyFont="1"/>
    <xf numFmtId="2" fontId="9" fillId="0" borderId="0" xfId="0" applyNumberFormat="1" applyFont="1"/>
    <xf numFmtId="0" fontId="5" fillId="3" borderId="0" xfId="0" applyFont="1" applyFill="1"/>
    <xf numFmtId="165" fontId="0" fillId="0" borderId="0" xfId="0" applyNumberFormat="1"/>
    <xf numFmtId="41" fontId="0" fillId="2" borderId="0" xfId="0" applyNumberFormat="1" applyFont="1" applyFill="1" applyBorder="1" applyAlignment="1"/>
    <xf numFmtId="0" fontId="0" fillId="2" borderId="0" xfId="0" applyFont="1" applyFill="1" applyBorder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4" borderId="0" xfId="0" applyNumberForma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165" fontId="0" fillId="2" borderId="0" xfId="1" applyNumberFormat="1" applyFont="1" applyFill="1" applyAlignment="1">
      <alignment horizontal="right"/>
    </xf>
    <xf numFmtId="165" fontId="5" fillId="3" borderId="3" xfId="1" applyNumberFormat="1" applyFont="1" applyFill="1" applyBorder="1" applyAlignment="1">
      <alignment horizontal="right"/>
    </xf>
    <xf numFmtId="165" fontId="5" fillId="3" borderId="5" xfId="1" applyNumberFormat="1" applyFont="1" applyFill="1" applyBorder="1" applyAlignment="1">
      <alignment horizontal="right"/>
    </xf>
    <xf numFmtId="165" fontId="0" fillId="3" borderId="5" xfId="1" applyNumberFormat="1" applyFont="1" applyFill="1" applyBorder="1" applyAlignment="1">
      <alignment horizontal="right"/>
    </xf>
    <xf numFmtId="165" fontId="0" fillId="3" borderId="6" xfId="1" applyNumberFormat="1" applyFont="1" applyFill="1" applyBorder="1" applyAlignment="1">
      <alignment horizontal="right"/>
    </xf>
    <xf numFmtId="43" fontId="0" fillId="0" borderId="0" xfId="1" applyFont="1" applyAlignment="1">
      <alignment horizontal="right"/>
    </xf>
    <xf numFmtId="43" fontId="0" fillId="0" borderId="2" xfId="1" applyFont="1" applyBorder="1" applyAlignment="1">
      <alignment horizontal="right" vertical="center"/>
    </xf>
    <xf numFmtId="43" fontId="0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" fontId="2" fillId="0" borderId="0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663F-E496-4EE4-930B-C363D7F4D7A2}">
  <sheetPr codeName="Sheet1"/>
  <dimension ref="A1:L35"/>
  <sheetViews>
    <sheetView tabSelected="1" zoomScaleNormal="100" workbookViewId="0">
      <selection activeCell="H29" sqref="H29"/>
    </sheetView>
  </sheetViews>
  <sheetFormatPr defaultRowHeight="15" x14ac:dyDescent="0.25"/>
  <cols>
    <col min="1" max="1" width="53.28515625" bestFit="1" customWidth="1"/>
    <col min="2" max="3" width="21.7109375" style="28" customWidth="1"/>
    <col min="4" max="7" width="17" style="28" customWidth="1"/>
    <col min="8" max="8" width="19.28515625" style="28" customWidth="1"/>
    <col min="9" max="9" width="1.7109375" style="28" customWidth="1"/>
    <col min="10" max="10" width="9.5703125" style="28" bestFit="1" customWidth="1"/>
    <col min="12" max="12" width="11.140625" bestFit="1" customWidth="1"/>
  </cols>
  <sheetData>
    <row r="1" spans="1:10" ht="15.75" x14ac:dyDescent="0.25">
      <c r="A1" s="2">
        <v>2019</v>
      </c>
    </row>
    <row r="2" spans="1:10" ht="15.75" x14ac:dyDescent="0.25">
      <c r="A2" s="3" t="s">
        <v>13</v>
      </c>
      <c r="B2" s="28">
        <v>2019</v>
      </c>
    </row>
    <row r="3" spans="1:10" ht="15.75" x14ac:dyDescent="0.25">
      <c r="A3" s="4" t="s">
        <v>20</v>
      </c>
      <c r="B3" s="29">
        <v>0</v>
      </c>
    </row>
    <row r="4" spans="1:10" ht="15.75" x14ac:dyDescent="0.25">
      <c r="A4" s="4" t="s">
        <v>21</v>
      </c>
      <c r="B4" s="30">
        <v>0</v>
      </c>
    </row>
    <row r="5" spans="1:10" ht="15.75" x14ac:dyDescent="0.25">
      <c r="A5" s="4" t="s">
        <v>22</v>
      </c>
      <c r="B5" s="29">
        <v>224474.99999999997</v>
      </c>
    </row>
    <row r="6" spans="1:10" ht="15.75" x14ac:dyDescent="0.25">
      <c r="A6" s="4" t="s">
        <v>23</v>
      </c>
      <c r="B6" s="29">
        <v>47149.999999999993</v>
      </c>
    </row>
    <row r="7" spans="1:10" ht="15.75" x14ac:dyDescent="0.25">
      <c r="A7" s="4" t="s">
        <v>24</v>
      </c>
      <c r="B7" s="29">
        <v>0</v>
      </c>
    </row>
    <row r="8" spans="1:10" ht="15.75" x14ac:dyDescent="0.25">
      <c r="A8" s="4" t="s">
        <v>25</v>
      </c>
      <c r="B8" s="29">
        <v>819.99999999999989</v>
      </c>
    </row>
    <row r="9" spans="1:10" ht="15.75" x14ac:dyDescent="0.25">
      <c r="A9" s="4" t="s">
        <v>26</v>
      </c>
      <c r="B9" s="29">
        <v>24599.999999999996</v>
      </c>
    </row>
    <row r="10" spans="1:10" ht="15.75" x14ac:dyDescent="0.25">
      <c r="A10" s="3"/>
    </row>
    <row r="11" spans="1:10" ht="15.75" x14ac:dyDescent="0.25">
      <c r="A11" s="3"/>
    </row>
    <row r="12" spans="1:10" x14ac:dyDescent="0.25">
      <c r="B12" s="38" t="s">
        <v>0</v>
      </c>
      <c r="C12" s="38" t="s">
        <v>36</v>
      </c>
      <c r="D12" s="38" t="s">
        <v>2</v>
      </c>
      <c r="E12" s="38" t="s">
        <v>19</v>
      </c>
      <c r="F12" s="38" t="s">
        <v>3</v>
      </c>
      <c r="G12" s="38" t="s">
        <v>4</v>
      </c>
      <c r="H12" s="39"/>
      <c r="J12" s="1" t="s">
        <v>16</v>
      </c>
    </row>
    <row r="13" spans="1:10" x14ac:dyDescent="0.25">
      <c r="A13" t="s">
        <v>27</v>
      </c>
      <c r="B13" s="40">
        <v>2248</v>
      </c>
      <c r="C13" s="41">
        <v>458</v>
      </c>
      <c r="D13" s="40">
        <v>37</v>
      </c>
      <c r="E13" s="40">
        <v>2</v>
      </c>
      <c r="F13" s="40">
        <v>1</v>
      </c>
      <c r="G13" s="40">
        <v>10</v>
      </c>
      <c r="H13" s="42">
        <f>SUM(B13:G13)</f>
        <v>2756</v>
      </c>
    </row>
    <row r="14" spans="1:10" x14ac:dyDescent="0.25">
      <c r="A14" t="s">
        <v>39</v>
      </c>
      <c r="B14" s="26">
        <v>26974.358245164254</v>
      </c>
      <c r="C14" s="26">
        <v>5492</v>
      </c>
      <c r="D14" s="26">
        <v>440.48081857699077</v>
      </c>
      <c r="E14" s="26">
        <v>22.942753882151404</v>
      </c>
      <c r="F14" s="27">
        <v>24</v>
      </c>
      <c r="G14" s="27">
        <v>120</v>
      </c>
      <c r="H14" s="55">
        <f>SUM(B14:G14)</f>
        <v>33073.7818176234</v>
      </c>
    </row>
    <row r="15" spans="1:10" ht="15.75" thickBot="1" x14ac:dyDescent="0.3">
      <c r="B15" s="43"/>
      <c r="C15" s="43"/>
      <c r="D15" s="43"/>
      <c r="E15" s="43"/>
      <c r="F15" s="43"/>
      <c r="G15" s="43"/>
      <c r="H15" s="39" t="s">
        <v>8</v>
      </c>
    </row>
    <row r="16" spans="1:10" x14ac:dyDescent="0.25">
      <c r="A16" s="24" t="s">
        <v>28</v>
      </c>
      <c r="B16" s="44"/>
      <c r="C16" s="44">
        <f t="shared" ref="C16:D16" si="0">$H$16*C14/$H$14</f>
        <v>0</v>
      </c>
      <c r="D16" s="44">
        <f t="shared" si="0"/>
        <v>0</v>
      </c>
      <c r="E16" s="44"/>
      <c r="F16" s="44"/>
      <c r="G16" s="44"/>
      <c r="H16" s="45"/>
      <c r="I16" s="31"/>
      <c r="J16" s="31">
        <v>5310</v>
      </c>
    </row>
    <row r="17" spans="1:12" x14ac:dyDescent="0.25">
      <c r="A17" s="24" t="s">
        <v>29</v>
      </c>
      <c r="B17" s="44">
        <f t="shared" ref="B17:G17" si="1">$H$17*B14/$H$14</f>
        <v>0</v>
      </c>
      <c r="C17" s="44">
        <f t="shared" si="1"/>
        <v>0</v>
      </c>
      <c r="D17" s="44">
        <f t="shared" si="1"/>
        <v>0</v>
      </c>
      <c r="E17" s="44">
        <f t="shared" si="1"/>
        <v>0</v>
      </c>
      <c r="F17" s="44">
        <f t="shared" si="1"/>
        <v>0</v>
      </c>
      <c r="G17" s="44">
        <f t="shared" si="1"/>
        <v>0</v>
      </c>
      <c r="H17" s="46"/>
      <c r="I17" s="32"/>
      <c r="J17" s="33">
        <v>5310</v>
      </c>
    </row>
    <row r="18" spans="1:12" x14ac:dyDescent="0.25">
      <c r="A18" s="24" t="s">
        <v>31</v>
      </c>
      <c r="B18" s="44">
        <f t="shared" ref="B18:G18" si="2">$H$18*B14/$H$14</f>
        <v>93214.711670706587</v>
      </c>
      <c r="C18" s="44">
        <f t="shared" si="2"/>
        <v>18978.586694914091</v>
      </c>
      <c r="D18" s="44">
        <f t="shared" si="2"/>
        <v>1522.16012432814</v>
      </c>
      <c r="E18" s="44">
        <f t="shared" si="2"/>
        <v>79.282782879185589</v>
      </c>
      <c r="F18" s="44">
        <f t="shared" si="2"/>
        <v>82.936285629631868</v>
      </c>
      <c r="G18" s="44">
        <f t="shared" si="2"/>
        <v>414.68142814815928</v>
      </c>
      <c r="H18" s="46">
        <v>114292.3589866058</v>
      </c>
      <c r="I18" s="32"/>
      <c r="J18" s="33">
        <v>5315</v>
      </c>
      <c r="L18" s="25"/>
    </row>
    <row r="19" spans="1:12" x14ac:dyDescent="0.25">
      <c r="A19" s="24" t="s">
        <v>30</v>
      </c>
      <c r="B19" s="44">
        <f>$H$19*B14/$H$14</f>
        <v>73601.435125688658</v>
      </c>
      <c r="C19" s="44">
        <f t="shared" ref="C19:F19" si="3">$H$19*C14/$H$14</f>
        <v>14985.308567359421</v>
      </c>
      <c r="D19" s="44">
        <f t="shared" si="3"/>
        <v>1201.8829177675293</v>
      </c>
      <c r="E19" s="44">
        <f t="shared" si="3"/>
        <v>62.600918847236358</v>
      </c>
      <c r="F19" s="44">
        <f t="shared" si="3"/>
        <v>65.485689296545175</v>
      </c>
      <c r="G19" s="44">
        <f>$H$19*G14/$H$14</f>
        <v>327.42844648272592</v>
      </c>
      <c r="H19" s="46">
        <v>90244.141665442134</v>
      </c>
      <c r="I19" s="32"/>
      <c r="J19" s="33">
        <v>5315</v>
      </c>
      <c r="L19" s="25"/>
    </row>
    <row r="20" spans="1:12" x14ac:dyDescent="0.25">
      <c r="A20" s="24" t="s">
        <v>37</v>
      </c>
      <c r="B20" s="44"/>
      <c r="C20" s="44"/>
      <c r="D20" s="44">
        <f>H20/2</f>
        <v>1818.0447469286437</v>
      </c>
      <c r="E20" s="44">
        <f>H20/2</f>
        <v>1818.0447469286437</v>
      </c>
      <c r="F20" s="44"/>
      <c r="G20" s="44"/>
      <c r="H20" s="46">
        <v>3636.0894938572874</v>
      </c>
      <c r="I20" s="32"/>
      <c r="J20" s="33">
        <v>5315</v>
      </c>
      <c r="L20" s="25"/>
    </row>
    <row r="21" spans="1:12" x14ac:dyDescent="0.25">
      <c r="A21" s="24" t="s">
        <v>38</v>
      </c>
      <c r="B21" s="44">
        <f t="shared" ref="B21:G21" si="4">$H$21*B14/$H$14</f>
        <v>13295.940757205077</v>
      </c>
      <c r="C21" s="44">
        <f t="shared" si="4"/>
        <v>2707.0637223282579</v>
      </c>
      <c r="D21" s="44">
        <f t="shared" si="4"/>
        <v>217.11756087968439</v>
      </c>
      <c r="E21" s="44">
        <f t="shared" si="4"/>
        <v>11.308721180749794</v>
      </c>
      <c r="F21" s="44">
        <f t="shared" si="4"/>
        <v>11.829848750159902</v>
      </c>
      <c r="G21" s="44">
        <f t="shared" si="4"/>
        <v>59.149243750799513</v>
      </c>
      <c r="H21" s="46">
        <v>16302.409854094729</v>
      </c>
      <c r="I21" s="32"/>
      <c r="J21" s="33">
        <v>5315</v>
      </c>
      <c r="L21" s="25"/>
    </row>
    <row r="22" spans="1:12" x14ac:dyDescent="0.25">
      <c r="A22" s="24" t="s">
        <v>32</v>
      </c>
      <c r="B22" s="44">
        <f t="shared" ref="B22:G22" si="5">$H$22*B14/$H$14</f>
        <v>3023.5673156827193</v>
      </c>
      <c r="C22" s="44">
        <f t="shared" si="5"/>
        <v>615.60062140519631</v>
      </c>
      <c r="D22" s="44">
        <f t="shared" si="5"/>
        <v>49.373682744549349</v>
      </c>
      <c r="E22" s="44">
        <f t="shared" si="5"/>
        <v>2.5716630638381068</v>
      </c>
      <c r="F22" s="44">
        <f t="shared" si="5"/>
        <v>2.6901702319236542</v>
      </c>
      <c r="G22" s="44">
        <f t="shared" si="5"/>
        <v>13.450851159618271</v>
      </c>
      <c r="H22" s="46">
        <v>3707.2543042878451</v>
      </c>
      <c r="I22" s="32"/>
      <c r="J22" s="33">
        <v>5320</v>
      </c>
      <c r="L22" s="25"/>
    </row>
    <row r="23" spans="1:12" x14ac:dyDescent="0.25">
      <c r="A23" s="24" t="s">
        <v>33</v>
      </c>
      <c r="B23" s="44">
        <f t="shared" ref="B23:G23" si="6">$H$23*B14/$H$14</f>
        <v>35431.091370545677</v>
      </c>
      <c r="C23" s="44">
        <f t="shared" si="6"/>
        <v>7213.7973418485672</v>
      </c>
      <c r="D23" s="44">
        <f t="shared" si="6"/>
        <v>578.57599384304024</v>
      </c>
      <c r="E23" s="44">
        <f t="shared" si="6"/>
        <v>30.135538414011236</v>
      </c>
      <c r="F23" s="44">
        <f t="shared" si="6"/>
        <v>31.524241843475163</v>
      </c>
      <c r="G23" s="44">
        <f t="shared" si="6"/>
        <v>157.62120921737582</v>
      </c>
      <c r="H23" s="46">
        <v>43442.745695712154</v>
      </c>
      <c r="I23" s="32"/>
      <c r="J23" s="33">
        <v>5320</v>
      </c>
      <c r="L23" s="25"/>
    </row>
    <row r="24" spans="1:12" x14ac:dyDescent="0.25">
      <c r="A24" s="24" t="s">
        <v>34</v>
      </c>
      <c r="B24" s="44">
        <f>$H$24*B14/$H$14</f>
        <v>668.77667280397213</v>
      </c>
      <c r="C24" s="44">
        <f>$H$24*C14/$H$14</f>
        <v>136.16344283919585</v>
      </c>
      <c r="D24" s="44">
        <f>$H$24*D14/$H$14</f>
        <v>10.920863940653732</v>
      </c>
      <c r="E24" s="44"/>
      <c r="F24" s="44"/>
      <c r="G24" s="44"/>
      <c r="H24" s="47">
        <f>B8</f>
        <v>819.99999999999989</v>
      </c>
      <c r="I24" s="34"/>
      <c r="J24" s="35">
        <v>5330</v>
      </c>
    </row>
    <row r="25" spans="1:12" ht="15.75" thickBot="1" x14ac:dyDescent="0.3">
      <c r="A25" s="24" t="s">
        <v>35</v>
      </c>
      <c r="B25" s="44">
        <f t="shared" ref="B25:G25" si="7">$H$23*B14/$H$14</f>
        <v>35431.091370545677</v>
      </c>
      <c r="C25" s="44">
        <f t="shared" si="7"/>
        <v>7213.7973418485672</v>
      </c>
      <c r="D25" s="44">
        <f t="shared" si="7"/>
        <v>578.57599384304024</v>
      </c>
      <c r="E25" s="44">
        <f t="shared" si="7"/>
        <v>30.135538414011236</v>
      </c>
      <c r="F25" s="44">
        <f t="shared" si="7"/>
        <v>31.524241843475163</v>
      </c>
      <c r="G25" s="44">
        <f t="shared" si="7"/>
        <v>157.62120921737582</v>
      </c>
      <c r="H25" s="48">
        <f>B9</f>
        <v>24599.999999999996</v>
      </c>
      <c r="I25" s="36"/>
      <c r="J25" s="37">
        <v>5340</v>
      </c>
    </row>
    <row r="26" spans="1:12" x14ac:dyDescent="0.25">
      <c r="B26" s="49"/>
      <c r="C26" s="49"/>
      <c r="D26" s="49"/>
      <c r="E26" s="49"/>
      <c r="F26" s="49"/>
      <c r="G26" s="49"/>
      <c r="H26" s="43"/>
    </row>
    <row r="27" spans="1:12" x14ac:dyDescent="0.25">
      <c r="A27" t="s">
        <v>15</v>
      </c>
      <c r="B27" s="50">
        <f t="shared" ref="B27:G27" si="8">SUM(B16:B25)</f>
        <v>254666.61428317835</v>
      </c>
      <c r="C27" s="50">
        <f t="shared" si="8"/>
        <v>51850.317732543292</v>
      </c>
      <c r="D27" s="50">
        <f t="shared" si="8"/>
        <v>5976.6518842752803</v>
      </c>
      <c r="E27" s="50">
        <f t="shared" si="8"/>
        <v>2034.0799097276763</v>
      </c>
      <c r="F27" s="50">
        <f t="shared" si="8"/>
        <v>225.99047759521088</v>
      </c>
      <c r="G27" s="50">
        <f t="shared" si="8"/>
        <v>1129.9523879760548</v>
      </c>
      <c r="H27" s="50">
        <f>SUM(H16:H26)</f>
        <v>297044.99999999994</v>
      </c>
    </row>
    <row r="28" spans="1:12" x14ac:dyDescent="0.25">
      <c r="B28" s="51"/>
      <c r="C28" s="51"/>
      <c r="D28" s="51"/>
      <c r="E28" s="51"/>
      <c r="F28" s="51"/>
      <c r="G28" s="51"/>
      <c r="H28" s="52"/>
    </row>
    <row r="29" spans="1:12" x14ac:dyDescent="0.25">
      <c r="A29" t="s">
        <v>11</v>
      </c>
      <c r="B29" s="53">
        <f>B27/B14</f>
        <v>9.4410629520290037</v>
      </c>
      <c r="C29" s="53">
        <f>C27/C14</f>
        <v>9.4410629520290037</v>
      </c>
      <c r="D29" s="53">
        <f t="shared" ref="D29:G29" si="9">D27/D14</f>
        <v>13.568472524146095</v>
      </c>
      <c r="E29" s="53">
        <f t="shared" si="9"/>
        <v>88.658925610064344</v>
      </c>
      <c r="F29" s="53">
        <f t="shared" si="9"/>
        <v>9.4162698998004526</v>
      </c>
      <c r="G29" s="53">
        <f t="shared" si="9"/>
        <v>9.4162698998004561</v>
      </c>
      <c r="H29" s="52"/>
    </row>
    <row r="30" spans="1:12" x14ac:dyDescent="0.25">
      <c r="B30" s="52"/>
      <c r="C30" s="52"/>
      <c r="D30" s="52"/>
      <c r="E30" s="52"/>
      <c r="F30" s="52"/>
      <c r="G30" s="52"/>
      <c r="H30" s="52"/>
    </row>
    <row r="31" spans="1:12" x14ac:dyDescent="0.25">
      <c r="A31" t="s">
        <v>10</v>
      </c>
      <c r="B31" s="54">
        <f>B29/$B$29</f>
        <v>1</v>
      </c>
      <c r="C31" s="54">
        <f>C29/$B$29</f>
        <v>1</v>
      </c>
      <c r="D31" s="54">
        <f t="shared" ref="D31:G31" si="10">D29/$B$29</f>
        <v>1.4371763638362414</v>
      </c>
      <c r="E31" s="54">
        <f>E29/$B$29</f>
        <v>9.3907779304670793</v>
      </c>
      <c r="F31" s="54">
        <f>F29/$B$29</f>
        <v>0.99737391304829481</v>
      </c>
      <c r="G31" s="54">
        <f t="shared" si="10"/>
        <v>0.99737391304829515</v>
      </c>
      <c r="H31" s="52"/>
    </row>
    <row r="33" spans="1:10" x14ac:dyDescent="0.25">
      <c r="A33" t="s">
        <v>18</v>
      </c>
    </row>
    <row r="35" spans="1:10" x14ac:dyDescent="0.25">
      <c r="B35"/>
      <c r="C35"/>
      <c r="D35"/>
      <c r="E35"/>
      <c r="F35"/>
      <c r="G35"/>
      <c r="H35"/>
      <c r="I35"/>
      <c r="J35"/>
    </row>
  </sheetData>
  <phoneticPr fontId="10" type="noConversion"/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20"/>
  <sheetViews>
    <sheetView workbookViewId="0">
      <selection activeCell="C23" sqref="C23"/>
    </sheetView>
  </sheetViews>
  <sheetFormatPr defaultRowHeight="15" x14ac:dyDescent="0.25"/>
  <cols>
    <col min="1" max="1" width="38.7109375" customWidth="1"/>
    <col min="2" max="3" width="21.7109375" customWidth="1"/>
    <col min="4" max="7" width="17" customWidth="1"/>
    <col min="8" max="8" width="19.28515625" customWidth="1"/>
    <col min="9" max="9" width="3.42578125" customWidth="1"/>
    <col min="10" max="10" width="9.5703125" bestFit="1" customWidth="1"/>
  </cols>
  <sheetData>
    <row r="1" spans="1:11" x14ac:dyDescent="0.25">
      <c r="A1" s="5" t="s">
        <v>13</v>
      </c>
      <c r="B1" s="6"/>
      <c r="C1" s="6"/>
      <c r="D1" s="6"/>
      <c r="E1" s="6"/>
      <c r="F1" s="6"/>
      <c r="G1" s="6"/>
      <c r="H1" s="6"/>
      <c r="I1" s="6"/>
      <c r="J1" s="6"/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x14ac:dyDescent="0.25">
      <c r="A3" s="6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8" t="s">
        <v>8</v>
      </c>
      <c r="I3" s="6"/>
      <c r="J3" s="9" t="s">
        <v>16</v>
      </c>
      <c r="K3" s="1"/>
    </row>
    <row r="4" spans="1:11" x14ac:dyDescent="0.25">
      <c r="A4" s="6" t="s">
        <v>9</v>
      </c>
      <c r="B4" s="10">
        <v>20269</v>
      </c>
      <c r="C4" s="10">
        <v>2546</v>
      </c>
      <c r="D4" s="10">
        <v>234</v>
      </c>
      <c r="E4" s="10">
        <v>6244</v>
      </c>
      <c r="F4" s="10">
        <v>8</v>
      </c>
      <c r="G4" s="10">
        <v>57</v>
      </c>
      <c r="H4" s="9">
        <f>SUM(B4:G4)</f>
        <v>29358</v>
      </c>
      <c r="I4" s="6"/>
      <c r="J4" s="6"/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x14ac:dyDescent="0.25">
      <c r="A6" s="11" t="s">
        <v>6</v>
      </c>
      <c r="B6" s="12">
        <f>5109.06*12*B4/(B4+C4)+150*12*B4/H4</f>
        <v>55709.815197201176</v>
      </c>
      <c r="C6" s="12">
        <f>5109.06*12*C4/(B4+C4)+150*12*C4/H4</f>
        <v>6997.7398733077207</v>
      </c>
      <c r="D6" s="12">
        <f>8523*12*173/179+150*12*D4/H4</f>
        <v>98862.101216308321</v>
      </c>
      <c r="E6" s="12">
        <f>8523*12*6/179+150*12*E4/H4</f>
        <v>3811.0784280816169</v>
      </c>
      <c r="F6" s="12">
        <f>150*12*F4/H4</f>
        <v>0.49049662783568365</v>
      </c>
      <c r="G6" s="12">
        <f>150*12*G4/H4</f>
        <v>3.4947884733292458</v>
      </c>
      <c r="H6" s="12">
        <f>13782.06*12</f>
        <v>165384.72</v>
      </c>
      <c r="I6" s="11"/>
      <c r="J6" s="11">
        <v>5310</v>
      </c>
    </row>
    <row r="7" spans="1:11" x14ac:dyDescent="0.25">
      <c r="A7" s="11" t="s">
        <v>7</v>
      </c>
      <c r="B7" s="12">
        <f>H7/(B4+C4)*B4</f>
        <v>33151.075555555552</v>
      </c>
      <c r="C7" s="12">
        <f>H7/(B4+C4)*C4</f>
        <v>4164.1244444444437</v>
      </c>
      <c r="D7" s="12">
        <v>0</v>
      </c>
      <c r="E7" s="12">
        <v>0</v>
      </c>
      <c r="F7" s="12">
        <v>0</v>
      </c>
      <c r="G7" s="12">
        <v>0</v>
      </c>
      <c r="H7" s="13">
        <v>37315.199999999997</v>
      </c>
      <c r="I7" s="11"/>
      <c r="J7" s="14">
        <v>5310</v>
      </c>
    </row>
    <row r="8" spans="1:11" x14ac:dyDescent="0.25">
      <c r="A8" s="11" t="s">
        <v>12</v>
      </c>
      <c r="B8" s="13">
        <v>51130.93</v>
      </c>
      <c r="C8" s="13">
        <v>5010.28</v>
      </c>
      <c r="D8" s="13">
        <v>9513.7900000000009</v>
      </c>
      <c r="E8" s="12">
        <v>0</v>
      </c>
      <c r="F8" s="12">
        <v>0</v>
      </c>
      <c r="G8" s="12">
        <v>0</v>
      </c>
      <c r="H8" s="15">
        <f>SUM(B8:G8)</f>
        <v>65655</v>
      </c>
      <c r="I8" s="11"/>
      <c r="J8" s="16">
        <v>5335</v>
      </c>
    </row>
    <row r="9" spans="1:11" x14ac:dyDescent="0.25">
      <c r="A9" s="11" t="s">
        <v>14</v>
      </c>
      <c r="B9" s="12">
        <f>$H$9*B8/$H$8</f>
        <v>33253.989962683729</v>
      </c>
      <c r="C9" s="12">
        <f>$H$9*C8/$H$8</f>
        <v>3258.5325717767114</v>
      </c>
      <c r="D9" s="12">
        <f>$H$9*D8/$H$8</f>
        <v>6187.477465539564</v>
      </c>
      <c r="E9" s="12">
        <v>0</v>
      </c>
      <c r="F9" s="12">
        <v>0</v>
      </c>
      <c r="G9" s="12">
        <v>0</v>
      </c>
      <c r="H9" s="13">
        <v>42700</v>
      </c>
      <c r="I9" s="11"/>
      <c r="J9" s="14">
        <v>5330</v>
      </c>
    </row>
    <row r="10" spans="1:11" x14ac:dyDescent="0.25">
      <c r="A10" s="6"/>
      <c r="B10" s="17"/>
      <c r="C10" s="17"/>
      <c r="D10" s="17"/>
      <c r="E10" s="17"/>
      <c r="F10" s="17"/>
      <c r="G10" s="17"/>
      <c r="H10" s="18"/>
      <c r="I10" s="6"/>
      <c r="J10" s="19"/>
    </row>
    <row r="11" spans="1:11" x14ac:dyDescent="0.25">
      <c r="A11" s="6" t="s">
        <v>15</v>
      </c>
      <c r="B11" s="17">
        <f t="shared" ref="B11:G11" si="0">$H$11*B4/$H$4</f>
        <v>285367.74671299133</v>
      </c>
      <c r="C11" s="17">
        <f t="shared" si="0"/>
        <v>35845.196266775667</v>
      </c>
      <c r="D11" s="17">
        <f t="shared" si="0"/>
        <v>3294.4917228694053</v>
      </c>
      <c r="E11" s="17">
        <f t="shared" si="0"/>
        <v>87909.428707677638</v>
      </c>
      <c r="F11" s="17">
        <f t="shared" si="0"/>
        <v>112.63219565365488</v>
      </c>
      <c r="G11" s="17">
        <f t="shared" si="0"/>
        <v>802.50439403229097</v>
      </c>
      <c r="H11" s="17">
        <f>413332</f>
        <v>413332</v>
      </c>
      <c r="I11" s="6"/>
      <c r="J11" s="19">
        <v>5315</v>
      </c>
    </row>
    <row r="12" spans="1:11" x14ac:dyDescent="0.25">
      <c r="A12" s="6" t="s">
        <v>17</v>
      </c>
      <c r="B12" s="17">
        <f t="shared" ref="B12:G12" si="1">$H$12*0.5*B4/$H$4+$H$12*0.5*B8/$H$8</f>
        <v>223193.47294441724</v>
      </c>
      <c r="C12" s="17">
        <f t="shared" si="1"/>
        <v>24767.589663196144</v>
      </c>
      <c r="D12" s="17">
        <f t="shared" si="1"/>
        <v>23224.36596381518</v>
      </c>
      <c r="E12" s="17">
        <f t="shared" si="1"/>
        <v>32310.222222222223</v>
      </c>
      <c r="F12" s="17">
        <f t="shared" si="1"/>
        <v>41.396825396825399</v>
      </c>
      <c r="G12" s="17">
        <f t="shared" si="1"/>
        <v>294.95238095238096</v>
      </c>
      <c r="H12" s="20">
        <v>303832</v>
      </c>
      <c r="I12" s="6"/>
      <c r="J12" s="19">
        <v>5320</v>
      </c>
    </row>
    <row r="13" spans="1:11" x14ac:dyDescent="0.25">
      <c r="A13" s="6"/>
      <c r="B13" s="17"/>
      <c r="C13" s="17"/>
      <c r="D13" s="17"/>
      <c r="E13" s="17"/>
      <c r="F13" s="17"/>
      <c r="G13" s="17"/>
      <c r="H13" s="6"/>
      <c r="I13" s="6"/>
      <c r="J13" s="6"/>
    </row>
    <row r="14" spans="1:11" x14ac:dyDescent="0.25">
      <c r="A14" s="6" t="s">
        <v>11</v>
      </c>
      <c r="B14" s="21">
        <f>SUM(B11:B13)</f>
        <v>508561.21965740854</v>
      </c>
      <c r="C14" s="21">
        <f t="shared" ref="C14:H14" si="2">SUM(C11:C13)</f>
        <v>60612.785929971811</v>
      </c>
      <c r="D14" s="21">
        <f t="shared" si="2"/>
        <v>26518.857686684587</v>
      </c>
      <c r="E14" s="21">
        <f t="shared" si="2"/>
        <v>120219.65092989986</v>
      </c>
      <c r="F14" s="21">
        <f t="shared" si="2"/>
        <v>154.02902105048028</v>
      </c>
      <c r="G14" s="21">
        <f t="shared" si="2"/>
        <v>1097.4567749846719</v>
      </c>
      <c r="H14" s="21">
        <f t="shared" si="2"/>
        <v>717164</v>
      </c>
      <c r="I14" s="6"/>
      <c r="J14" s="6"/>
    </row>
    <row r="15" spans="1:11" x14ac:dyDescent="0.25">
      <c r="A15" s="6"/>
      <c r="B15" s="17"/>
      <c r="C15" s="17"/>
      <c r="D15" s="17"/>
      <c r="E15" s="17"/>
      <c r="F15" s="17"/>
      <c r="G15" s="17"/>
      <c r="H15" s="6"/>
      <c r="I15" s="6"/>
      <c r="J15" s="6"/>
    </row>
    <row r="16" spans="1:11" x14ac:dyDescent="0.25">
      <c r="A16" s="6" t="s">
        <v>10</v>
      </c>
      <c r="B16" s="22">
        <f t="shared" ref="B16:G16" si="3">B14/B4</f>
        <v>25.090592513563003</v>
      </c>
      <c r="C16" s="22">
        <f t="shared" si="3"/>
        <v>23.807064387263082</v>
      </c>
      <c r="D16" s="22">
        <f t="shared" si="3"/>
        <v>113.32845165249823</v>
      </c>
      <c r="E16" s="22">
        <f t="shared" si="3"/>
        <v>19.253627631310035</v>
      </c>
      <c r="F16" s="22">
        <f t="shared" si="3"/>
        <v>19.253627631310035</v>
      </c>
      <c r="G16" s="22">
        <f t="shared" si="3"/>
        <v>19.253627631310035</v>
      </c>
      <c r="H16" s="6"/>
      <c r="I16" s="6"/>
      <c r="J16" s="6"/>
    </row>
    <row r="17" spans="1:10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5">
      <c r="A18" s="6" t="s">
        <v>18</v>
      </c>
      <c r="B18" s="23">
        <f t="shared" ref="B18:G18" si="4">B16/$B$16</f>
        <v>1</v>
      </c>
      <c r="C18" s="23">
        <f t="shared" si="4"/>
        <v>0.94884424807401047</v>
      </c>
      <c r="D18" s="23">
        <f t="shared" si="4"/>
        <v>4.5167706418745297</v>
      </c>
      <c r="E18" s="23">
        <f t="shared" si="4"/>
        <v>0.76736440643648685</v>
      </c>
      <c r="F18" s="23">
        <f t="shared" si="4"/>
        <v>0.76736440643648685</v>
      </c>
      <c r="G18" s="23">
        <f t="shared" si="4"/>
        <v>0.76736440643648685</v>
      </c>
      <c r="H18" s="6"/>
      <c r="I18" s="6"/>
      <c r="J18" s="6"/>
    </row>
    <row r="19" spans="1:10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HPDC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Kittel, Ethan</dc:creator>
  <cp:lastModifiedBy>Tandem Energy Services</cp:lastModifiedBy>
  <cp:lastPrinted>2018-07-23T20:58:00Z</cp:lastPrinted>
  <dcterms:created xsi:type="dcterms:W3CDTF">2017-04-06T18:54:34Z</dcterms:created>
  <dcterms:modified xsi:type="dcterms:W3CDTF">2021-04-02T20:17:35Z</dcterms:modified>
</cp:coreProperties>
</file>