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filterPrivacy="1" defaultThemeVersion="124226"/>
  <xr:revisionPtr revIDLastSave="0" documentId="13_ncr:1_{5CD7DB66-F195-40F7-B264-C8AE7B4667DB}" xr6:coauthVersionLast="46" xr6:coauthVersionMax="46" xr10:uidLastSave="{00000000-0000-0000-0000-000000000000}"/>
  <bookViews>
    <workbookView xWindow="-120" yWindow="-120" windowWidth="29040" windowHeight="15840" tabRatio="799" xr2:uid="{00000000-000D-0000-FFFF-FFFF00000000}"/>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Chart" sheetId="59" state="hidden" r:id="rId7"/>
    <sheet name="6.1 Regression Scenarios" sheetId="17" r:id="rId8"/>
    <sheet name="7. Weather Senstive Class" sheetId="29" r:id="rId9"/>
    <sheet name="8. KW and Non-Weather Sensitive" sheetId="46" r:id="rId10"/>
    <sheet name="9. Weather Adj LF" sheetId="32" r:id="rId11"/>
    <sheet name="10. CDM Adjustment" sheetId="42" state="hidden" r:id="rId12"/>
    <sheet name="10.CDM Allocation V2" sheetId="56" state="hidden" r:id="rId13"/>
    <sheet name="10.1 CDM Allocation" sheetId="53" state="hidden" r:id="rId14"/>
    <sheet name="11. Final Load Forecast" sheetId="51" r:id="rId15"/>
    <sheet name="12. Analysis_ Avg Per Cust" sheetId="38" state="hidden" r:id="rId16"/>
    <sheet name="13. Analysis_Weather adj LF" sheetId="47" state="hidden" r:id="rId17"/>
    <sheet name="A - CDM Adjustment" sheetId="54" state="hidden" r:id="rId18"/>
    <sheet name="A - CDM Adjustment V2" sheetId="55" state="hidden" r:id="rId19"/>
    <sheet name="Regression 1" sheetId="57" state="hidden" r:id="rId20"/>
    <sheet name="Regression 2" sheetId="58" state="hidden" r:id="rId21"/>
  </sheets>
  <externalReferences>
    <externalReference r:id="rId22"/>
    <externalReference r:id="rId23"/>
  </externalReferences>
  <definedNames>
    <definedName name="_xlnm._FilterDatabase" localSheetId="5" hidden="1">'6. WS Regression Analysis'!$A$20:$E$163</definedName>
    <definedName name="AllVariables" localSheetId="12">'[1]5.Variables'!$B$120:$B$125</definedName>
    <definedName name="AllVariables" localSheetId="18">'[1]5.Variables'!$B$120:$B$125</definedName>
    <definedName name="AllVariables">'5.Variables'!$B$120:$B$125</definedName>
    <definedName name="EBNUMBER" localSheetId="12">'[2]LDC Info'!$E$16</definedName>
    <definedName name="_xlnm.Print_Area" localSheetId="4">'5.Variables'!$A$10:$Y$132</definedName>
    <definedName name="_xlnm.Print_Area" localSheetId="5">'6. WS Regression Analysis'!$C$127:$I$139</definedName>
    <definedName name="Variable1" localSheetId="12">'[1]5.Variables'!$B$16</definedName>
    <definedName name="Variable1" localSheetId="18">'[1]5.Variables'!$B$16</definedName>
    <definedName name="Variable1">'5.Variables'!$B$16</definedName>
    <definedName name="Variable2" localSheetId="12">'[1]5.Variables'!$B$39</definedName>
    <definedName name="Variable2" localSheetId="18">'[1]5.Variables'!$B$39</definedName>
    <definedName name="Variable2">'5.Variables'!$B$39</definedName>
    <definedName name="Variable3" localSheetId="12">'[1]5.Variables'!$B$62</definedName>
    <definedName name="Variable3" localSheetId="18">'[1]5.Variables'!$B$62</definedName>
    <definedName name="Variable3">'5.Variables'!$B$62</definedName>
    <definedName name="Variable5" localSheetId="12">'[1]5.Variables'!$B$90</definedName>
    <definedName name="Variable5" localSheetId="18">'[1]5.Variables'!$B$90</definedName>
    <definedName name="Variable5">'5.Variables'!$B$90</definedName>
    <definedName name="Variable6" localSheetId="12">'[1]5.Variables'!$B$104</definedName>
    <definedName name="Variable6" localSheetId="18">'[1]5.Variables'!$B$104</definedName>
    <definedName name="Variable6">'5.Variables'!$B$104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1" i="4" l="1"/>
  <c r="C132" i="4"/>
  <c r="C133" i="4"/>
  <c r="D28" i="6" l="1"/>
  <c r="C30" i="6" s="1"/>
  <c r="AE18" i="59"/>
  <c r="AD7" i="59" l="1"/>
  <c r="AD8" i="59"/>
  <c r="AD9" i="59"/>
  <c r="AD10" i="59"/>
  <c r="AD11" i="59"/>
  <c r="AD12" i="59"/>
  <c r="AD13" i="59"/>
  <c r="AD14" i="59"/>
  <c r="AD15" i="59"/>
  <c r="AD16" i="59"/>
  <c r="AD17" i="59"/>
  <c r="AD6" i="59"/>
  <c r="AE7" i="59"/>
  <c r="AE8" i="59"/>
  <c r="AE12" i="59"/>
  <c r="AE13" i="59"/>
  <c r="AE14" i="59"/>
  <c r="AE15" i="59"/>
  <c r="AE16" i="59"/>
  <c r="AE17" i="59"/>
  <c r="AE6" i="59"/>
  <c r="N115" i="52"/>
  <c r="M115" i="52"/>
  <c r="L115" i="52"/>
  <c r="K115" i="52"/>
  <c r="J115" i="52"/>
  <c r="I115" i="52"/>
  <c r="H115" i="52"/>
  <c r="G115" i="52"/>
  <c r="F115" i="52"/>
  <c r="E115" i="52"/>
  <c r="D115" i="52"/>
  <c r="C115" i="52"/>
  <c r="N114" i="52"/>
  <c r="M114" i="52"/>
  <c r="L114" i="52"/>
  <c r="K114" i="52"/>
  <c r="J114" i="52"/>
  <c r="I114" i="52"/>
  <c r="H114" i="52"/>
  <c r="G114" i="52"/>
  <c r="F114" i="52"/>
  <c r="E114" i="52"/>
  <c r="D114" i="52"/>
  <c r="C114" i="52"/>
  <c r="N113" i="52"/>
  <c r="M113" i="52"/>
  <c r="L113" i="52"/>
  <c r="K113" i="52"/>
  <c r="J113" i="52"/>
  <c r="I113" i="52"/>
  <c r="H113" i="52"/>
  <c r="G113" i="52"/>
  <c r="F113" i="52"/>
  <c r="E113" i="52"/>
  <c r="D113" i="52"/>
  <c r="C113" i="52"/>
  <c r="N112" i="52"/>
  <c r="M112" i="52"/>
  <c r="L112" i="52"/>
  <c r="K112" i="52"/>
  <c r="J112" i="52"/>
  <c r="I112" i="52"/>
  <c r="H112" i="52"/>
  <c r="G112" i="52"/>
  <c r="F112" i="52"/>
  <c r="E112" i="52"/>
  <c r="D112" i="52"/>
  <c r="C112" i="52"/>
  <c r="N111" i="52"/>
  <c r="M111" i="52"/>
  <c r="L111" i="52"/>
  <c r="K111" i="52"/>
  <c r="J111" i="52"/>
  <c r="I111" i="52"/>
  <c r="H111" i="52"/>
  <c r="G111" i="52"/>
  <c r="F111" i="52"/>
  <c r="E111" i="52"/>
  <c r="D111" i="52"/>
  <c r="O141" i="4" l="1"/>
  <c r="O153" i="4" s="1"/>
  <c r="O142" i="4"/>
  <c r="O154" i="4" s="1"/>
  <c r="O143" i="4"/>
  <c r="O155" i="4" s="1"/>
  <c r="O144" i="4"/>
  <c r="O156" i="4" s="1"/>
  <c r="O145" i="4"/>
  <c r="O146" i="4"/>
  <c r="O158" i="4" s="1"/>
  <c r="O147" i="4"/>
  <c r="O159" i="4" s="1"/>
  <c r="O148" i="4"/>
  <c r="O160" i="4" s="1"/>
  <c r="O149" i="4"/>
  <c r="O150" i="4"/>
  <c r="O162" i="4" s="1"/>
  <c r="O151" i="4"/>
  <c r="O163" i="4" s="1"/>
  <c r="O157" i="4"/>
  <c r="O161" i="4"/>
  <c r="O140" i="4"/>
  <c r="O152" i="4" s="1"/>
  <c r="C91" i="4"/>
  <c r="C116" i="4"/>
  <c r="C127" i="4"/>
  <c r="C136" i="4"/>
  <c r="C79" i="4"/>
  <c r="C124" i="4"/>
  <c r="C122" i="4"/>
  <c r="AE26" i="30" l="1"/>
  <c r="AE27" i="30"/>
  <c r="AE28" i="30"/>
  <c r="AE29" i="30"/>
  <c r="AE30" i="30"/>
  <c r="AE31" i="30"/>
  <c r="AE32" i="30"/>
  <c r="AE33" i="30"/>
  <c r="AE34" i="30"/>
  <c r="AE35" i="30"/>
  <c r="AE36" i="30"/>
  <c r="AE37" i="30"/>
  <c r="AE38" i="30"/>
  <c r="AE39" i="30"/>
  <c r="AE40" i="30"/>
  <c r="AE41" i="30"/>
  <c r="AE42" i="30"/>
  <c r="AE43" i="30"/>
  <c r="AE44" i="30"/>
  <c r="AE45" i="30"/>
  <c r="AE46" i="30"/>
  <c r="AE47" i="30"/>
  <c r="AE48" i="30"/>
  <c r="AE49" i="30"/>
  <c r="AE50" i="30"/>
  <c r="AE51" i="30"/>
  <c r="AE52" i="30"/>
  <c r="AE53" i="30"/>
  <c r="AE54" i="30"/>
  <c r="AE55" i="30"/>
  <c r="AE56" i="30"/>
  <c r="AE57" i="30"/>
  <c r="AE58" i="30"/>
  <c r="AE59" i="30"/>
  <c r="AE60" i="30"/>
  <c r="AE61" i="30"/>
  <c r="AE62" i="30"/>
  <c r="AE63" i="30"/>
  <c r="AE64" i="30"/>
  <c r="AE65" i="30"/>
  <c r="AE66" i="30"/>
  <c r="AE67" i="30"/>
  <c r="AE68" i="30"/>
  <c r="AE69" i="30"/>
  <c r="AE70" i="30"/>
  <c r="AE71" i="30"/>
  <c r="AE72" i="30"/>
  <c r="AE73" i="30"/>
  <c r="AE74" i="30"/>
  <c r="AE75" i="30"/>
  <c r="AE76" i="30"/>
  <c r="AE77" i="30"/>
  <c r="AE78" i="30"/>
  <c r="AE79" i="30"/>
  <c r="AE80" i="30"/>
  <c r="AE81" i="30"/>
  <c r="AE82" i="30"/>
  <c r="AE83" i="30"/>
  <c r="AE84" i="30"/>
  <c r="AE85" i="30"/>
  <c r="AE86" i="30"/>
  <c r="AE87" i="30"/>
  <c r="AE88" i="30"/>
  <c r="AE89" i="30"/>
  <c r="AE90" i="30"/>
  <c r="AE91" i="30"/>
  <c r="AE92" i="30"/>
  <c r="AE93" i="30"/>
  <c r="AE94" i="30"/>
  <c r="AE95" i="30"/>
  <c r="AE96" i="30"/>
  <c r="AE97" i="30"/>
  <c r="AE98" i="30"/>
  <c r="AE99" i="30"/>
  <c r="AE100" i="30"/>
  <c r="AE101" i="30"/>
  <c r="AE102" i="30"/>
  <c r="AE103" i="30"/>
  <c r="AE104" i="30"/>
  <c r="AE105" i="30"/>
  <c r="AE106" i="30"/>
  <c r="AE107" i="30"/>
  <c r="AE108" i="30"/>
  <c r="AE109" i="30"/>
  <c r="AE110" i="30"/>
  <c r="AE111" i="30"/>
  <c r="AE112" i="30"/>
  <c r="AE113" i="30"/>
  <c r="AE114" i="30"/>
  <c r="AE115" i="30"/>
  <c r="AE116" i="30"/>
  <c r="AE117" i="30"/>
  <c r="AE118" i="30"/>
  <c r="AE119" i="30"/>
  <c r="AE120" i="30"/>
  <c r="AE121" i="30"/>
  <c r="AE122" i="30"/>
  <c r="AE123" i="30"/>
  <c r="AE124" i="30"/>
  <c r="AE125" i="30"/>
  <c r="AE126" i="30"/>
  <c r="AE127" i="30"/>
  <c r="AE128" i="30"/>
  <c r="AE129" i="30"/>
  <c r="AE130" i="30"/>
  <c r="AE131" i="30"/>
  <c r="AE132" i="30"/>
  <c r="AE133" i="30"/>
  <c r="AE134" i="30"/>
  <c r="AE135" i="30"/>
  <c r="AE136" i="30"/>
  <c r="AE137" i="30"/>
  <c r="AE138" i="30"/>
  <c r="AE139" i="30"/>
  <c r="AE140" i="30"/>
  <c r="AE141" i="30"/>
  <c r="AE142" i="30"/>
  <c r="AE143" i="30"/>
  <c r="AE144" i="30"/>
  <c r="AE25" i="30"/>
  <c r="C86" i="4" l="1"/>
  <c r="C80" i="4" l="1"/>
  <c r="I21" i="4"/>
  <c r="F32" i="52"/>
  <c r="C32" i="52"/>
  <c r="M143" i="30" l="1"/>
  <c r="M144" i="30"/>
  <c r="M142" i="30"/>
  <c r="M141" i="30"/>
  <c r="M140" i="30"/>
  <c r="M139" i="30"/>
  <c r="N144" i="30" l="1"/>
  <c r="N143" i="30"/>
  <c r="N142" i="30"/>
  <c r="N141" i="30"/>
  <c r="N140" i="30"/>
  <c r="N139" i="30"/>
  <c r="G144" i="30"/>
  <c r="G143" i="30"/>
  <c r="G142" i="30"/>
  <c r="G141" i="30"/>
  <c r="G140" i="30"/>
  <c r="G139" i="30"/>
  <c r="E144" i="30"/>
  <c r="E143" i="30"/>
  <c r="E142" i="30"/>
  <c r="E141" i="30"/>
  <c r="E140" i="30"/>
  <c r="E139" i="30"/>
  <c r="I64" i="4" l="1"/>
  <c r="C111" i="52" l="1"/>
  <c r="Q139" i="30" l="1"/>
  <c r="Q140" i="30" s="1"/>
  <c r="Q141" i="30" s="1"/>
  <c r="Q142" i="30" s="1"/>
  <c r="Q143" i="30" s="1"/>
  <c r="Q144" i="30" s="1"/>
  <c r="P140" i="30"/>
  <c r="P141" i="30" s="1"/>
  <c r="P142" i="30" s="1"/>
  <c r="P143" i="30" s="1"/>
  <c r="P144" i="30" s="1"/>
  <c r="P139" i="30"/>
  <c r="I140" i="30"/>
  <c r="I141" i="30" s="1"/>
  <c r="I142" i="30" s="1"/>
  <c r="P133" i="30"/>
  <c r="P134" i="30"/>
  <c r="P135" i="30"/>
  <c r="P136" i="30"/>
  <c r="P137" i="30"/>
  <c r="P138" i="30"/>
  <c r="P121" i="30" l="1"/>
  <c r="P122" i="30"/>
  <c r="P123" i="30"/>
  <c r="P124" i="30"/>
  <c r="P125" i="30"/>
  <c r="P126" i="30"/>
  <c r="P127" i="30"/>
  <c r="P128" i="30"/>
  <c r="P129" i="30"/>
  <c r="P130" i="30"/>
  <c r="P131" i="30"/>
  <c r="P132" i="30"/>
  <c r="D132" i="30"/>
  <c r="D131" i="30"/>
  <c r="D130" i="30"/>
  <c r="D129" i="30"/>
  <c r="D128" i="30"/>
  <c r="D127" i="30"/>
  <c r="D126" i="30"/>
  <c r="D125" i="30"/>
  <c r="D124" i="30"/>
  <c r="D123" i="30"/>
  <c r="D122" i="30"/>
  <c r="D121" i="30"/>
  <c r="G120" i="30" l="1"/>
  <c r="G119" i="30"/>
  <c r="G118" i="30"/>
  <c r="G117" i="30"/>
  <c r="G116" i="30"/>
  <c r="G115" i="30"/>
  <c r="G114" i="30"/>
  <c r="G113" i="30"/>
  <c r="G112" i="30"/>
  <c r="G111" i="30"/>
  <c r="G110" i="30"/>
  <c r="G109" i="30"/>
  <c r="E120" i="30"/>
  <c r="E119" i="30"/>
  <c r="E118" i="30"/>
  <c r="E117" i="30"/>
  <c r="E116" i="30"/>
  <c r="E115" i="30"/>
  <c r="E114" i="30"/>
  <c r="E113" i="30"/>
  <c r="E112" i="30"/>
  <c r="E111" i="30"/>
  <c r="E110" i="30"/>
  <c r="E109" i="30"/>
  <c r="P109" i="30"/>
  <c r="P110" i="30"/>
  <c r="P111" i="30"/>
  <c r="P112" i="30"/>
  <c r="P113" i="30"/>
  <c r="P114" i="30"/>
  <c r="P115" i="30"/>
  <c r="P116" i="30"/>
  <c r="P117" i="30"/>
  <c r="P118" i="30"/>
  <c r="P119" i="30"/>
  <c r="P120" i="30"/>
  <c r="O120" i="30"/>
  <c r="O119" i="30"/>
  <c r="O118" i="30"/>
  <c r="O117" i="30"/>
  <c r="O116" i="30"/>
  <c r="O115" i="30"/>
  <c r="O114" i="30"/>
  <c r="O113" i="30"/>
  <c r="O112" i="30"/>
  <c r="O111" i="30"/>
  <c r="O110" i="30"/>
  <c r="O109" i="30"/>
  <c r="F120" i="30"/>
  <c r="F119" i="30"/>
  <c r="F118" i="30"/>
  <c r="F117" i="30"/>
  <c r="F116" i="30"/>
  <c r="F115" i="30"/>
  <c r="F114" i="30"/>
  <c r="F113" i="30"/>
  <c r="F112" i="30"/>
  <c r="F111" i="30"/>
  <c r="F110" i="30"/>
  <c r="F109" i="30"/>
  <c r="D116" i="30"/>
  <c r="D115" i="30"/>
  <c r="D113" i="30"/>
  <c r="D120" i="30"/>
  <c r="D119" i="30"/>
  <c r="D118" i="30"/>
  <c r="D117" i="30"/>
  <c r="D114" i="30"/>
  <c r="D112" i="30" l="1"/>
  <c r="D111" i="30"/>
  <c r="D110" i="30"/>
  <c r="D109" i="30"/>
  <c r="N107" i="30" l="1"/>
  <c r="N108" i="30"/>
  <c r="N106" i="30"/>
  <c r="N105" i="30"/>
  <c r="N104" i="30"/>
  <c r="N103" i="30"/>
  <c r="N102" i="30"/>
  <c r="N101" i="30"/>
  <c r="N100" i="30"/>
  <c r="N99" i="30"/>
  <c r="N98" i="30"/>
  <c r="N97" i="30"/>
  <c r="G108" i="30"/>
  <c r="G107" i="30"/>
  <c r="G106" i="30"/>
  <c r="G105" i="30"/>
  <c r="G104" i="30"/>
  <c r="G103" i="30"/>
  <c r="G102" i="30"/>
  <c r="G101" i="30"/>
  <c r="G100" i="30"/>
  <c r="G99" i="30"/>
  <c r="G98" i="30"/>
  <c r="G97" i="30"/>
  <c r="E108" i="30"/>
  <c r="E107" i="30"/>
  <c r="E106" i="30"/>
  <c r="E105" i="30"/>
  <c r="E104" i="30"/>
  <c r="E103" i="30"/>
  <c r="E102" i="30"/>
  <c r="E101" i="30"/>
  <c r="E100" i="30"/>
  <c r="E99" i="30"/>
  <c r="E98" i="30"/>
  <c r="E97" i="30"/>
  <c r="P99" i="30"/>
  <c r="P100" i="30"/>
  <c r="P101" i="30"/>
  <c r="P102" i="30"/>
  <c r="P103" i="30"/>
  <c r="P104" i="30"/>
  <c r="P105" i="30"/>
  <c r="P106" i="30"/>
  <c r="P107" i="30"/>
  <c r="P108" i="30"/>
  <c r="P98" i="30"/>
  <c r="P97" i="30"/>
  <c r="M108" i="30"/>
  <c r="M107" i="30"/>
  <c r="M106" i="30"/>
  <c r="M105" i="30"/>
  <c r="M104" i="30"/>
  <c r="M103" i="30"/>
  <c r="M102" i="30"/>
  <c r="M101" i="30"/>
  <c r="M100" i="30"/>
  <c r="M99" i="30"/>
  <c r="M98" i="30"/>
  <c r="M97" i="30"/>
  <c r="O108" i="30"/>
  <c r="O107" i="30"/>
  <c r="O106" i="30"/>
  <c r="O105" i="30"/>
  <c r="O99" i="30"/>
  <c r="O98" i="30"/>
  <c r="O97" i="30"/>
  <c r="L108" i="30" l="1"/>
  <c r="L107" i="30"/>
  <c r="L106" i="30"/>
  <c r="F108" i="30"/>
  <c r="F107" i="30"/>
  <c r="F106" i="30"/>
  <c r="F102" i="30"/>
  <c r="F101" i="30"/>
  <c r="N96" i="30" l="1"/>
  <c r="N95" i="30"/>
  <c r="N94" i="30"/>
  <c r="N93" i="30"/>
  <c r="N92" i="30"/>
  <c r="N91" i="30"/>
  <c r="N90" i="30"/>
  <c r="N89" i="30"/>
  <c r="N88" i="30"/>
  <c r="N87" i="30"/>
  <c r="N86" i="30"/>
  <c r="N85" i="30"/>
  <c r="G96" i="30"/>
  <c r="G95" i="30"/>
  <c r="G94" i="30"/>
  <c r="G93" i="30"/>
  <c r="G92" i="30"/>
  <c r="G91" i="30"/>
  <c r="G90" i="30"/>
  <c r="G89" i="30"/>
  <c r="G88" i="30"/>
  <c r="G87" i="30"/>
  <c r="G86" i="30"/>
  <c r="G85" i="30"/>
  <c r="E96" i="30"/>
  <c r="E95" i="30"/>
  <c r="E94" i="30"/>
  <c r="E93" i="30"/>
  <c r="E92" i="30"/>
  <c r="E91" i="30"/>
  <c r="E90" i="30"/>
  <c r="E89" i="30"/>
  <c r="E88" i="30"/>
  <c r="E87" i="30"/>
  <c r="E86" i="30"/>
  <c r="E85" i="30"/>
  <c r="M96" i="30"/>
  <c r="M95" i="30"/>
  <c r="M94" i="30"/>
  <c r="M93" i="30"/>
  <c r="M92" i="30"/>
  <c r="M91" i="30"/>
  <c r="M90" i="30"/>
  <c r="M89" i="30"/>
  <c r="M88" i="30"/>
  <c r="M87" i="30"/>
  <c r="M86" i="30"/>
  <c r="L87" i="30"/>
  <c r="O96" i="30"/>
  <c r="O95" i="30"/>
  <c r="O94" i="30"/>
  <c r="O93" i="30"/>
  <c r="O92" i="30"/>
  <c r="O91" i="30"/>
  <c r="O90" i="30"/>
  <c r="O89" i="30"/>
  <c r="O88" i="30"/>
  <c r="O87" i="30"/>
  <c r="O86" i="30"/>
  <c r="L96" i="30"/>
  <c r="L95" i="30"/>
  <c r="L94" i="30"/>
  <c r="L93" i="30"/>
  <c r="L92" i="30"/>
  <c r="L91" i="30"/>
  <c r="L90" i="30"/>
  <c r="L89" i="30"/>
  <c r="L88" i="30"/>
  <c r="F96" i="30"/>
  <c r="F95" i="30"/>
  <c r="F94" i="30"/>
  <c r="F93" i="30"/>
  <c r="F92" i="30"/>
  <c r="F91" i="30"/>
  <c r="F90" i="30"/>
  <c r="F89" i="30"/>
  <c r="F88" i="30"/>
  <c r="F87" i="30"/>
  <c r="F86" i="30"/>
  <c r="L86" i="30"/>
  <c r="AC84" i="30" l="1"/>
  <c r="I22" i="4" l="1"/>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20" i="4"/>
  <c r="N20" i="4" l="1"/>
  <c r="O138" i="55" l="1"/>
  <c r="O139" i="55"/>
  <c r="O140" i="55"/>
  <c r="O141" i="55"/>
  <c r="O142" i="55"/>
  <c r="O143" i="55"/>
  <c r="O144" i="55"/>
  <c r="O145" i="55"/>
  <c r="O146" i="55"/>
  <c r="O147" i="55"/>
  <c r="O148" i="55"/>
  <c r="O137" i="55"/>
  <c r="O125" i="55"/>
  <c r="O126" i="55"/>
  <c r="O127" i="55"/>
  <c r="O128" i="55"/>
  <c r="O129" i="55"/>
  <c r="O130" i="55"/>
  <c r="O131" i="55"/>
  <c r="O132" i="55"/>
  <c r="O133" i="55"/>
  <c r="O134" i="55"/>
  <c r="O135" i="55"/>
  <c r="O124" i="55"/>
  <c r="O112" i="55"/>
  <c r="O113" i="55"/>
  <c r="O114" i="55"/>
  <c r="O115" i="55"/>
  <c r="O116" i="55"/>
  <c r="O117" i="55"/>
  <c r="O118" i="55"/>
  <c r="O119" i="55"/>
  <c r="O120" i="55"/>
  <c r="O121" i="55"/>
  <c r="O122" i="55"/>
  <c r="O111" i="55"/>
  <c r="O99" i="55"/>
  <c r="O100" i="55"/>
  <c r="O101" i="55"/>
  <c r="O102" i="55"/>
  <c r="O103" i="55"/>
  <c r="O104" i="55"/>
  <c r="O105" i="55"/>
  <c r="O106" i="55"/>
  <c r="O107" i="55"/>
  <c r="O108" i="55"/>
  <c r="O109" i="55"/>
  <c r="O98" i="55"/>
  <c r="O96" i="55"/>
  <c r="O86" i="55"/>
  <c r="O87" i="55"/>
  <c r="O88" i="55"/>
  <c r="O89" i="55"/>
  <c r="O90" i="55"/>
  <c r="O91" i="55"/>
  <c r="O92" i="55"/>
  <c r="O93" i="55"/>
  <c r="O94" i="55"/>
  <c r="O95" i="55"/>
  <c r="O85" i="55"/>
  <c r="M20" i="4"/>
  <c r="F120" i="56" l="1"/>
  <c r="E120" i="56"/>
  <c r="E118" i="56"/>
  <c r="D118" i="56"/>
  <c r="D89" i="56"/>
  <c r="F89" i="56" s="1"/>
  <c r="C89" i="56"/>
  <c r="E89" i="56" s="1"/>
  <c r="H70" i="56"/>
  <c r="B56" i="56" s="1"/>
  <c r="B70" i="56"/>
  <c r="A69" i="56"/>
  <c r="A68" i="56"/>
  <c r="A67" i="56"/>
  <c r="A66" i="56"/>
  <c r="A65" i="56"/>
  <c r="C64" i="56"/>
  <c r="C70" i="56" s="1"/>
  <c r="A64" i="56"/>
  <c r="J39" i="56"/>
  <c r="J38" i="56"/>
  <c r="J37" i="56"/>
  <c r="K36" i="56"/>
  <c r="J36" i="56"/>
  <c r="N35" i="56"/>
  <c r="M35" i="56"/>
  <c r="L35" i="56"/>
  <c r="K35" i="56"/>
  <c r="H1" i="56"/>
  <c r="P148" i="55"/>
  <c r="P135" i="55"/>
  <c r="P122" i="55"/>
  <c r="P109" i="55"/>
  <c r="P96" i="55"/>
  <c r="G81" i="55"/>
  <c r="F81" i="55"/>
  <c r="E81" i="55"/>
  <c r="D81" i="55"/>
  <c r="G80" i="55"/>
  <c r="F80" i="55"/>
  <c r="E80" i="55"/>
  <c r="D80" i="55"/>
  <c r="G79" i="55"/>
  <c r="F79" i="55"/>
  <c r="E79" i="55"/>
  <c r="D79" i="55"/>
  <c r="G78" i="55"/>
  <c r="F78" i="55"/>
  <c r="E78" i="55"/>
  <c r="D78" i="55"/>
  <c r="G77" i="55"/>
  <c r="F77" i="55"/>
  <c r="E77" i="55"/>
  <c r="D77" i="55"/>
  <c r="G76" i="55"/>
  <c r="F76" i="55"/>
  <c r="E76" i="55"/>
  <c r="D76" i="55"/>
  <c r="G75" i="55"/>
  <c r="F75" i="55"/>
  <c r="E75" i="55"/>
  <c r="D75" i="55"/>
  <c r="G74" i="55"/>
  <c r="F74" i="55"/>
  <c r="E74" i="55"/>
  <c r="D74" i="55"/>
  <c r="G73" i="55"/>
  <c r="F73" i="55"/>
  <c r="E73" i="55"/>
  <c r="D73" i="55"/>
  <c r="G72" i="55"/>
  <c r="F72" i="55"/>
  <c r="E72" i="55"/>
  <c r="D72" i="55"/>
  <c r="G71" i="55"/>
  <c r="F71" i="55"/>
  <c r="E71" i="55"/>
  <c r="D71" i="55"/>
  <c r="G70" i="55"/>
  <c r="F70" i="55"/>
  <c r="E70" i="55"/>
  <c r="D70" i="55"/>
  <c r="F68" i="55"/>
  <c r="E68" i="55"/>
  <c r="D68" i="55"/>
  <c r="F67" i="55"/>
  <c r="E67" i="55"/>
  <c r="D67" i="55"/>
  <c r="F66" i="55"/>
  <c r="E66" i="55"/>
  <c r="D66" i="55"/>
  <c r="F65" i="55"/>
  <c r="E65" i="55"/>
  <c r="D65" i="55"/>
  <c r="F64" i="55"/>
  <c r="E64" i="55"/>
  <c r="D64" i="55"/>
  <c r="F63" i="55"/>
  <c r="E63" i="55"/>
  <c r="D63" i="55"/>
  <c r="F62" i="55"/>
  <c r="E62" i="55"/>
  <c r="D62" i="55"/>
  <c r="F61" i="55"/>
  <c r="E61" i="55"/>
  <c r="D61" i="55"/>
  <c r="F60" i="55"/>
  <c r="E60" i="55"/>
  <c r="D60" i="55"/>
  <c r="F59" i="55"/>
  <c r="E59" i="55"/>
  <c r="D59" i="55"/>
  <c r="F58" i="55"/>
  <c r="E58" i="55"/>
  <c r="D58" i="55"/>
  <c r="F57" i="55"/>
  <c r="E57" i="55"/>
  <c r="D57" i="55"/>
  <c r="E55" i="55"/>
  <c r="D55" i="55"/>
  <c r="E54" i="55"/>
  <c r="D54" i="55"/>
  <c r="E53" i="55"/>
  <c r="D53" i="55"/>
  <c r="E52" i="55"/>
  <c r="D52" i="55"/>
  <c r="E51" i="55"/>
  <c r="D51" i="55"/>
  <c r="E50" i="55"/>
  <c r="D50" i="55"/>
  <c r="E49" i="55"/>
  <c r="D49" i="55"/>
  <c r="E48" i="55"/>
  <c r="D48" i="55"/>
  <c r="E47" i="55"/>
  <c r="D47" i="55"/>
  <c r="E46" i="55"/>
  <c r="D46" i="55"/>
  <c r="E45" i="55"/>
  <c r="D45" i="55"/>
  <c r="E44" i="55"/>
  <c r="D44" i="55"/>
  <c r="D42" i="55"/>
  <c r="D41" i="55"/>
  <c r="D40" i="55"/>
  <c r="D39" i="55"/>
  <c r="D38" i="55"/>
  <c r="D37" i="55"/>
  <c r="D36" i="55"/>
  <c r="D35" i="55"/>
  <c r="D34" i="55"/>
  <c r="D33" i="55"/>
  <c r="D32" i="55"/>
  <c r="D31" i="55"/>
  <c r="C29" i="55"/>
  <c r="J29" i="55" s="1"/>
  <c r="C28" i="55"/>
  <c r="J28" i="55" s="1"/>
  <c r="C27" i="55"/>
  <c r="J27" i="55" s="1"/>
  <c r="C26" i="55"/>
  <c r="C25" i="55"/>
  <c r="J25" i="55" s="1"/>
  <c r="C24" i="55"/>
  <c r="J24" i="55" s="1"/>
  <c r="C23" i="55"/>
  <c r="J23" i="55" s="1"/>
  <c r="C22" i="55"/>
  <c r="C21" i="55"/>
  <c r="J21" i="55" s="1"/>
  <c r="C20" i="55"/>
  <c r="J20" i="55" s="1"/>
  <c r="C19" i="55"/>
  <c r="J19" i="55" s="1"/>
  <c r="C18" i="55"/>
  <c r="B62" i="56" l="1"/>
  <c r="H56" i="56"/>
  <c r="C31" i="55"/>
  <c r="J18" i="55"/>
  <c r="C35" i="55"/>
  <c r="J22" i="55"/>
  <c r="C39" i="55"/>
  <c r="J26" i="55"/>
  <c r="C34" i="55"/>
  <c r="J34" i="55" s="1"/>
  <c r="C37" i="55"/>
  <c r="C33" i="55"/>
  <c r="C41" i="55"/>
  <c r="H64" i="56"/>
  <c r="C57" i="56"/>
  <c r="H120" i="56"/>
  <c r="H122" i="56" s="1"/>
  <c r="H125" i="56" s="1"/>
  <c r="E67" i="56"/>
  <c r="D58" i="56"/>
  <c r="D70" i="56"/>
  <c r="H66" i="56"/>
  <c r="F122" i="56"/>
  <c r="F125" i="56" s="1"/>
  <c r="H65" i="56"/>
  <c r="G120" i="56"/>
  <c r="G122" i="56" s="1"/>
  <c r="G125" i="56" s="1"/>
  <c r="C32" i="55"/>
  <c r="J32" i="55" s="1"/>
  <c r="C47" i="55"/>
  <c r="J47" i="55" s="1"/>
  <c r="C42" i="55"/>
  <c r="J42" i="55" s="1"/>
  <c r="C36" i="55"/>
  <c r="J36" i="55" s="1"/>
  <c r="C40" i="55"/>
  <c r="J40" i="55" s="1"/>
  <c r="C38" i="55"/>
  <c r="J38" i="55" s="1"/>
  <c r="I54" i="42"/>
  <c r="J41" i="55" l="1"/>
  <c r="C54" i="55"/>
  <c r="J33" i="55"/>
  <c r="C46" i="55"/>
  <c r="J39" i="55"/>
  <c r="C52" i="55"/>
  <c r="J31" i="55"/>
  <c r="C44" i="55"/>
  <c r="J37" i="55"/>
  <c r="C50" i="55"/>
  <c r="J35" i="55"/>
  <c r="C48" i="55"/>
  <c r="H57" i="56"/>
  <c r="C62" i="56"/>
  <c r="D62" i="56"/>
  <c r="H58" i="56"/>
  <c r="H67" i="56"/>
  <c r="E59" i="56"/>
  <c r="E70" i="56"/>
  <c r="F68" i="56"/>
  <c r="I120" i="56"/>
  <c r="C51" i="55"/>
  <c r="J51" i="55" s="1"/>
  <c r="C55" i="55"/>
  <c r="J55" i="55" s="1"/>
  <c r="C49" i="55"/>
  <c r="J49" i="55" s="1"/>
  <c r="C60" i="55"/>
  <c r="J60" i="55" s="1"/>
  <c r="K29" i="55"/>
  <c r="C53" i="55"/>
  <c r="J53" i="55" s="1"/>
  <c r="C45" i="55"/>
  <c r="J45" i="55" s="1"/>
  <c r="K42" i="55"/>
  <c r="J48" i="55" l="1"/>
  <c r="C61" i="55"/>
  <c r="J46" i="55"/>
  <c r="C59" i="55"/>
  <c r="J50" i="55"/>
  <c r="C63" i="55"/>
  <c r="J52" i="55"/>
  <c r="C65" i="55"/>
  <c r="J54" i="55"/>
  <c r="C67" i="55"/>
  <c r="J44" i="55"/>
  <c r="C57" i="55"/>
  <c r="E62" i="56"/>
  <c r="H59" i="56"/>
  <c r="H68" i="56"/>
  <c r="F60" i="56"/>
  <c r="F70" i="56"/>
  <c r="G69" i="56"/>
  <c r="C68" i="55"/>
  <c r="J68" i="55" s="1"/>
  <c r="C66" i="55"/>
  <c r="J66" i="55" s="1"/>
  <c r="C73" i="55"/>
  <c r="J73" i="55" s="1"/>
  <c r="C64" i="55"/>
  <c r="J64" i="55" s="1"/>
  <c r="K55" i="55"/>
  <c r="C58" i="55"/>
  <c r="J58" i="55" s="1"/>
  <c r="C62" i="55"/>
  <c r="J62" i="55" s="1"/>
  <c r="J59" i="55" l="1"/>
  <c r="C72" i="55"/>
  <c r="J72" i="55" s="1"/>
  <c r="J57" i="55"/>
  <c r="C70" i="55"/>
  <c r="J70" i="55" s="1"/>
  <c r="J67" i="55"/>
  <c r="C80" i="55"/>
  <c r="J80" i="55" s="1"/>
  <c r="J63" i="55"/>
  <c r="C76" i="55"/>
  <c r="J76" i="55" s="1"/>
  <c r="J61" i="55"/>
  <c r="C74" i="55"/>
  <c r="J74" i="55" s="1"/>
  <c r="J65" i="55"/>
  <c r="C78" i="55"/>
  <c r="J78" i="55" s="1"/>
  <c r="F62" i="56"/>
  <c r="H60" i="56"/>
  <c r="G70" i="56"/>
  <c r="G61" i="56"/>
  <c r="H69" i="56"/>
  <c r="C71" i="55"/>
  <c r="J71" i="55" s="1"/>
  <c r="C79" i="55"/>
  <c r="J79" i="55" s="1"/>
  <c r="C81" i="55"/>
  <c r="J81" i="55" s="1"/>
  <c r="C75" i="55"/>
  <c r="J75" i="55" s="1"/>
  <c r="C77" i="55"/>
  <c r="J77" i="55" s="1"/>
  <c r="G62" i="56" l="1"/>
  <c r="H62" i="56" s="1"/>
  <c r="H61" i="56"/>
  <c r="K81" i="55"/>
  <c r="K68" i="55"/>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AC108" i="30" l="1"/>
  <c r="AC96" i="30"/>
  <c r="AC120" i="30"/>
  <c r="AC132" i="30"/>
  <c r="F29" i="42"/>
  <c r="E45" i="56" s="1"/>
  <c r="F28" i="42"/>
  <c r="E44" i="56" s="1"/>
  <c r="F27" i="42"/>
  <c r="E43" i="56" s="1"/>
  <c r="F26" i="42"/>
  <c r="E42" i="56" s="1"/>
  <c r="E29" i="42"/>
  <c r="E28" i="42"/>
  <c r="E27" i="42"/>
  <c r="D43" i="56" s="1"/>
  <c r="E26" i="42"/>
  <c r="D42" i="56" s="1"/>
  <c r="D27" i="42"/>
  <c r="C43" i="56" s="1"/>
  <c r="D26" i="42"/>
  <c r="C42" i="56" s="1"/>
  <c r="C27" i="42"/>
  <c r="G27" i="42" s="1"/>
  <c r="C26" i="42"/>
  <c r="B18" i="42"/>
  <c r="D44" i="56" l="1"/>
  <c r="G28" i="42"/>
  <c r="D116" i="56"/>
  <c r="D122" i="56" s="1"/>
  <c r="D125" i="56" s="1"/>
  <c r="C46" i="56"/>
  <c r="D45" i="56"/>
  <c r="F45" i="56" s="1"/>
  <c r="G29" i="42"/>
  <c r="E116" i="56"/>
  <c r="E122" i="56" s="1"/>
  <c r="E125" i="56" s="1"/>
  <c r="C116" i="56"/>
  <c r="C122" i="56" s="1"/>
  <c r="C125" i="56" s="1"/>
  <c r="F43" i="56"/>
  <c r="B42" i="56"/>
  <c r="G26" i="42"/>
  <c r="E46" i="56"/>
  <c r="B116" i="56"/>
  <c r="B122" i="56" s="1"/>
  <c r="C13" i="54"/>
  <c r="C12" i="54"/>
  <c r="C11" i="54"/>
  <c r="C10" i="54"/>
  <c r="C14" i="54"/>
  <c r="I122" i="56" l="1"/>
  <c r="L34" i="53" s="1"/>
  <c r="B125" i="56"/>
  <c r="I125" i="56" s="1"/>
  <c r="F42" i="56"/>
  <c r="B46" i="56"/>
  <c r="D46" i="56"/>
  <c r="F44" i="56"/>
  <c r="F46" i="56" l="1"/>
  <c r="D37" i="56" l="1"/>
  <c r="E38" i="56"/>
  <c r="E37" i="56"/>
  <c r="E36" i="56"/>
  <c r="E40" i="56" s="1"/>
  <c r="D36" i="56"/>
  <c r="C36" i="56"/>
  <c r="E39" i="56"/>
  <c r="F39" i="56" s="1"/>
  <c r="C37" i="56"/>
  <c r="F37" i="56" s="1"/>
  <c r="D38" i="56"/>
  <c r="B36" i="56"/>
  <c r="F36" i="56" l="1"/>
  <c r="B40" i="56"/>
  <c r="C40" i="56"/>
  <c r="F38" i="56"/>
  <c r="D40" i="56"/>
  <c r="F40" i="56" l="1"/>
  <c r="S17" i="54" l="1"/>
  <c r="C71" i="54" l="1"/>
  <c r="C45" i="54"/>
  <c r="C32" i="54"/>
  <c r="C58" i="54"/>
  <c r="C19" i="54"/>
  <c r="E32" i="54" l="1"/>
  <c r="C33" i="54"/>
  <c r="E58" i="54"/>
  <c r="C59" i="54"/>
  <c r="E45" i="54"/>
  <c r="C46" i="54"/>
  <c r="E19" i="54"/>
  <c r="C20" i="54"/>
  <c r="E71" i="54"/>
  <c r="C72" i="54"/>
  <c r="J128" i="4"/>
  <c r="J127" i="4"/>
  <c r="C47" i="54" l="1"/>
  <c r="E46" i="54"/>
  <c r="E20" i="54"/>
  <c r="C21" i="54"/>
  <c r="C34" i="54"/>
  <c r="E33" i="54"/>
  <c r="C60" i="54"/>
  <c r="E59" i="54"/>
  <c r="E72" i="54"/>
  <c r="C73" i="54"/>
  <c r="C22" i="54" l="1"/>
  <c r="E21" i="54"/>
  <c r="C35" i="54"/>
  <c r="E34" i="54"/>
  <c r="C61" i="54"/>
  <c r="E60" i="54"/>
  <c r="C74" i="54"/>
  <c r="E73" i="54"/>
  <c r="C48" i="54"/>
  <c r="E47" i="54"/>
  <c r="AB144" i="30"/>
  <c r="AG144" i="30" s="1"/>
  <c r="AB143" i="30"/>
  <c r="AG143" i="30" s="1"/>
  <c r="AB140" i="30"/>
  <c r="AG140" i="30" s="1"/>
  <c r="AB139" i="30"/>
  <c r="AG139" i="30" s="1"/>
  <c r="C36" i="54" l="1"/>
  <c r="E35" i="54"/>
  <c r="C62" i="54"/>
  <c r="E61" i="54"/>
  <c r="AB141" i="30"/>
  <c r="AG141" i="30" s="1"/>
  <c r="C23" i="54"/>
  <c r="E22" i="54"/>
  <c r="AB142" i="30"/>
  <c r="AG142" i="30" s="1"/>
  <c r="C49" i="54"/>
  <c r="E48" i="54"/>
  <c r="C75" i="54"/>
  <c r="E74" i="54"/>
  <c r="AC144" i="30" l="1"/>
  <c r="C63" i="54"/>
  <c r="E62" i="54"/>
  <c r="C50" i="54"/>
  <c r="E49" i="54"/>
  <c r="E75" i="54"/>
  <c r="C76" i="54"/>
  <c r="C37" i="54"/>
  <c r="E36" i="54"/>
  <c r="C24" i="54"/>
  <c r="E23" i="54"/>
  <c r="F42" i="29"/>
  <c r="C51" i="54" l="1"/>
  <c r="E50" i="54"/>
  <c r="E76" i="54"/>
  <c r="C77" i="54"/>
  <c r="C38" i="54"/>
  <c r="E37" i="54"/>
  <c r="C25" i="54"/>
  <c r="E24" i="54"/>
  <c r="C64" i="54"/>
  <c r="E63" i="54"/>
  <c r="C30" i="29"/>
  <c r="B120" i="52"/>
  <c r="R19" i="6"/>
  <c r="R20" i="6"/>
  <c r="R21" i="6"/>
  <c r="R22" i="6"/>
  <c r="R23" i="6"/>
  <c r="R24" i="6"/>
  <c r="R25" i="6"/>
  <c r="R26" i="6"/>
  <c r="R18" i="6"/>
  <c r="R28" i="6" s="1"/>
  <c r="Q30" i="6" s="1"/>
  <c r="Q31" i="6" s="1"/>
  <c r="U46" i="4"/>
  <c r="U59" i="4" s="1"/>
  <c r="C65" i="54" l="1"/>
  <c r="E64" i="54"/>
  <c r="C78" i="54"/>
  <c r="E77" i="54"/>
  <c r="C39" i="54"/>
  <c r="E38" i="54"/>
  <c r="C26" i="54"/>
  <c r="E25" i="54"/>
  <c r="C52" i="54"/>
  <c r="E51" i="54"/>
  <c r="R37" i="6"/>
  <c r="C18" i="6"/>
  <c r="C19" i="6"/>
  <c r="I15" i="6"/>
  <c r="C79" i="54" l="1"/>
  <c r="E78" i="54"/>
  <c r="C53" i="54"/>
  <c r="E52" i="54"/>
  <c r="C27" i="54"/>
  <c r="E26" i="54"/>
  <c r="C40" i="54"/>
  <c r="E39" i="54"/>
  <c r="C66" i="54"/>
  <c r="E65" i="54"/>
  <c r="AK28" i="46"/>
  <c r="AK30" i="46"/>
  <c r="AK29" i="46"/>
  <c r="AK27" i="46"/>
  <c r="AK26" i="46"/>
  <c r="AK25" i="46"/>
  <c r="AK24" i="46"/>
  <c r="AK23" i="46"/>
  <c r="AK22" i="46"/>
  <c r="AK21" i="46"/>
  <c r="G24" i="6"/>
  <c r="G23" i="6"/>
  <c r="AH30" i="46"/>
  <c r="AH29" i="46"/>
  <c r="AH28" i="46"/>
  <c r="AH27" i="46"/>
  <c r="AH26" i="46"/>
  <c r="AH25" i="46"/>
  <c r="AH24" i="46"/>
  <c r="AH23" i="46"/>
  <c r="AH22" i="46"/>
  <c r="AH21" i="46"/>
  <c r="AA24" i="46"/>
  <c r="U20" i="30"/>
  <c r="J139" i="4"/>
  <c r="J138" i="4"/>
  <c r="J137" i="4"/>
  <c r="J136" i="4"/>
  <c r="J135" i="4"/>
  <c r="J134" i="4"/>
  <c r="J133" i="4"/>
  <c r="J132" i="4"/>
  <c r="J131" i="4"/>
  <c r="J130" i="4"/>
  <c r="J129"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B40" i="52"/>
  <c r="K20" i="4"/>
  <c r="K21" i="4"/>
  <c r="K22" i="4"/>
  <c r="K23" i="4"/>
  <c r="K24" i="4"/>
  <c r="K25" i="4"/>
  <c r="K26" i="4"/>
  <c r="K27" i="4"/>
  <c r="K28" i="4"/>
  <c r="K29" i="4"/>
  <c r="K30" i="4"/>
  <c r="K31" i="4"/>
  <c r="B18" i="52"/>
  <c r="C41" i="54" l="1"/>
  <c r="E40" i="54"/>
  <c r="C67" i="54"/>
  <c r="E66" i="54"/>
  <c r="C54" i="54"/>
  <c r="E53" i="54"/>
  <c r="C28" i="54"/>
  <c r="E27" i="54"/>
  <c r="C80" i="54"/>
  <c r="E79" i="54"/>
  <c r="J140" i="4"/>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C29" i="54" l="1"/>
  <c r="E28" i="54"/>
  <c r="C81" i="54"/>
  <c r="E80" i="54"/>
  <c r="C68" i="54"/>
  <c r="E67" i="54"/>
  <c r="C55" i="54"/>
  <c r="E54" i="54"/>
  <c r="C42" i="54"/>
  <c r="E41" i="54"/>
  <c r="AY23" i="46"/>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C56" i="54" l="1"/>
  <c r="E55" i="54"/>
  <c r="C82" i="54"/>
  <c r="E81" i="54"/>
  <c r="C43" i="54"/>
  <c r="E42" i="54"/>
  <c r="C69" i="54"/>
  <c r="E68" i="54"/>
  <c r="C30" i="54"/>
  <c r="E29" i="54"/>
  <c r="AY34" i="46"/>
  <c r="F89" i="42"/>
  <c r="E89" i="42"/>
  <c r="D89" i="42"/>
  <c r="E87" i="42"/>
  <c r="D87" i="42"/>
  <c r="C87" i="42"/>
  <c r="E71" i="42"/>
  <c r="G71" i="42" s="1"/>
  <c r="D71" i="42"/>
  <c r="B53" i="42"/>
  <c r="B52" i="42"/>
  <c r="B51" i="42"/>
  <c r="B50" i="42"/>
  <c r="B49" i="42"/>
  <c r="C48" i="42"/>
  <c r="G91" i="42" s="1"/>
  <c r="G95" i="42" s="1"/>
  <c r="B48" i="42"/>
  <c r="E30" i="42"/>
  <c r="D30" i="42"/>
  <c r="C30" i="42"/>
  <c r="E82" i="54" l="1"/>
  <c r="D82" i="54"/>
  <c r="E69" i="54"/>
  <c r="D69" i="54"/>
  <c r="E30" i="54"/>
  <c r="D30" i="54"/>
  <c r="E43" i="54"/>
  <c r="D43" i="54"/>
  <c r="E56" i="54"/>
  <c r="D56" i="54"/>
  <c r="H91" i="42"/>
  <c r="H95" i="42" s="1"/>
  <c r="D95" i="42"/>
  <c r="F71" i="42"/>
  <c r="C54" i="42"/>
  <c r="C40" i="42"/>
  <c r="C46" i="42" s="1"/>
  <c r="D49" i="42"/>
  <c r="F87" i="42"/>
  <c r="F95" i="42" s="1"/>
  <c r="F30" i="42"/>
  <c r="G30" i="42"/>
  <c r="C20" i="42" s="1"/>
  <c r="I91" i="42"/>
  <c r="I48" i="42"/>
  <c r="I95" i="42" l="1"/>
  <c r="I49" i="42"/>
  <c r="I40" i="42"/>
  <c r="E50" i="42"/>
  <c r="D41" i="42"/>
  <c r="D46" i="42" s="1"/>
  <c r="D54" i="42"/>
  <c r="F20" i="42"/>
  <c r="E20" i="42"/>
  <c r="D21" i="42"/>
  <c r="D20" i="42"/>
  <c r="F22" i="42"/>
  <c r="F21" i="42"/>
  <c r="E22" i="42"/>
  <c r="E21" i="42"/>
  <c r="F23" i="42"/>
  <c r="G23" i="42" s="1"/>
  <c r="D24" i="42" l="1"/>
  <c r="I41" i="42"/>
  <c r="E42" i="42"/>
  <c r="F51" i="42"/>
  <c r="I50" i="42"/>
  <c r="E54" i="42"/>
  <c r="G21" i="42"/>
  <c r="E24" i="42"/>
  <c r="G22" i="42"/>
  <c r="C24" i="42"/>
  <c r="G20" i="42"/>
  <c r="F24" i="42"/>
  <c r="G24" i="42" l="1"/>
  <c r="F43" i="42"/>
  <c r="I51" i="42"/>
  <c r="F54" i="42"/>
  <c r="G52" i="42"/>
  <c r="E46" i="42"/>
  <c r="I42" i="42"/>
  <c r="B64" i="32"/>
  <c r="F64" i="32" s="1"/>
  <c r="C16" i="32" s="1"/>
  <c r="B65" i="32"/>
  <c r="F65" i="32" s="1"/>
  <c r="B66" i="32"/>
  <c r="F66" i="32" s="1"/>
  <c r="B67" i="32"/>
  <c r="F67" i="32" s="1"/>
  <c r="B68" i="32"/>
  <c r="F68" i="32" s="1"/>
  <c r="B69" i="32"/>
  <c r="F69"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W37" i="6" s="1"/>
  <c r="V36" i="6"/>
  <c r="M41" i="32" l="1"/>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E26" i="32" l="1"/>
  <c r="D24" i="51" s="1"/>
  <c r="I21" i="46"/>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E98" i="47"/>
  <c r="E100" i="47"/>
  <c r="G21" i="47"/>
  <c r="G114" i="47"/>
  <c r="H38" i="53"/>
  <c r="N16" i="51"/>
  <c r="K39" i="51"/>
  <c r="E32" i="53"/>
  <c r="F48" i="53"/>
  <c r="L36" i="51"/>
  <c r="G32" i="53"/>
  <c r="M39" i="51"/>
  <c r="F38" i="53"/>
  <c r="L16" i="51"/>
  <c r="G50" i="53"/>
  <c r="M40" i="51"/>
  <c r="E80" i="47"/>
  <c r="E118" i="47"/>
  <c r="F32" i="53"/>
  <c r="L39" i="51"/>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O15" i="38"/>
  <c r="C112" i="47"/>
  <c r="E112" i="47"/>
  <c r="G33" i="47"/>
  <c r="E84" i="47"/>
  <c r="G35" i="47"/>
  <c r="E86" i="47"/>
  <c r="G36" i="47"/>
  <c r="I38" i="53"/>
  <c r="G115" i="47"/>
  <c r="E81" i="47"/>
  <c r="B38" i="51"/>
  <c r="B32" i="53"/>
  <c r="B50" i="53" s="1"/>
  <c r="G38" i="47"/>
  <c r="G101" i="47"/>
  <c r="H40" i="53"/>
  <c r="N20" i="51"/>
  <c r="G48" i="47"/>
  <c r="E67" i="47"/>
  <c r="E40" i="53"/>
  <c r="K20" i="51"/>
  <c r="G28" i="53"/>
  <c r="M31" i="51"/>
  <c r="G113" i="47"/>
  <c r="D16" i="51"/>
  <c r="E42" i="53"/>
  <c r="K24" i="51"/>
  <c r="E66" i="47"/>
  <c r="E83" i="47"/>
  <c r="B28" i="53"/>
  <c r="B46" i="53" s="1"/>
  <c r="B30" i="51"/>
  <c r="G102" i="47"/>
  <c r="G48" i="53"/>
  <c r="M36" i="51"/>
  <c r="G30" i="53"/>
  <c r="M35" i="51"/>
  <c r="E26" i="53"/>
  <c r="K27" i="51"/>
  <c r="E28" i="53"/>
  <c r="K31" i="51"/>
  <c r="B30" i="53"/>
  <c r="B48" i="53" s="1"/>
  <c r="B34" i="51"/>
  <c r="E68" i="47"/>
  <c r="L35" i="51"/>
  <c r="F30" i="53"/>
  <c r="F16" i="51"/>
  <c r="G38" i="53"/>
  <c r="M16" i="51"/>
  <c r="E97" i="47"/>
  <c r="E99" i="47"/>
  <c r="E101" i="47"/>
  <c r="E102" i="47"/>
  <c r="E115" i="47"/>
  <c r="G99" i="47"/>
  <c r="B24" i="53"/>
  <c r="B42" i="53" s="1"/>
  <c r="B22" i="51"/>
  <c r="E96" i="47"/>
  <c r="G96" i="47"/>
  <c r="E65" i="47"/>
  <c r="G42" i="53"/>
  <c r="M24" i="51"/>
  <c r="G51" i="47"/>
  <c r="E82" i="47"/>
  <c r="E116" i="47"/>
  <c r="G26" i="53"/>
  <c r="M27" i="51"/>
  <c r="E30" i="53"/>
  <c r="K35" i="51"/>
  <c r="B22" i="53"/>
  <c r="B40" i="53" s="1"/>
  <c r="B18" i="51"/>
  <c r="E64" i="47"/>
  <c r="G40" i="53"/>
  <c r="M20" i="51"/>
  <c r="L27" i="51"/>
  <c r="F26" i="53"/>
  <c r="G17" i="47"/>
  <c r="E117" i="47"/>
  <c r="E113" i="47"/>
  <c r="G97" i="47"/>
  <c r="E114" i="47"/>
  <c r="G98" i="47"/>
  <c r="G112" i="47"/>
  <c r="P15" i="38"/>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AW34" i="46" l="1"/>
  <c r="AU49" i="46" s="1"/>
  <c r="G85" i="47"/>
  <c r="E44" i="53"/>
  <c r="G69" i="47"/>
  <c r="G81" i="47"/>
  <c r="G70" i="47"/>
  <c r="G65" i="47"/>
  <c r="G67" i="47"/>
  <c r="G80" i="47"/>
  <c r="G66" i="47"/>
  <c r="G83" i="47"/>
  <c r="G84" i="47"/>
  <c r="G82" i="47"/>
  <c r="H82" i="47" s="1"/>
  <c r="G68" i="47"/>
  <c r="G86" i="47"/>
  <c r="M28" i="51"/>
  <c r="M32" i="51"/>
  <c r="F44" i="53"/>
  <c r="G57" i="32"/>
  <c r="F46" i="53"/>
  <c r="F57" i="32"/>
  <c r="AX34" i="46"/>
  <c r="AV49" i="46" s="1"/>
  <c r="E46" i="53"/>
  <c r="E52" i="53" s="1"/>
  <c r="E57" i="32"/>
  <c r="S30" i="46"/>
  <c r="AD34" i="46"/>
  <c r="AB49" i="46" s="1"/>
  <c r="AC34" i="46"/>
  <c r="AA49" i="46" s="1"/>
  <c r="H30" i="46"/>
  <c r="H34" i="46" s="1"/>
  <c r="F50" i="46" s="1"/>
  <c r="N28" i="6"/>
  <c r="M30" i="6" s="1"/>
  <c r="M31" i="6" s="1"/>
  <c r="M43" i="6" s="1"/>
  <c r="H22" i="47"/>
  <c r="H115" i="47"/>
  <c r="H20" i="47"/>
  <c r="F99" i="47"/>
  <c r="H118" i="47"/>
  <c r="F113" i="47"/>
  <c r="H101" i="47"/>
  <c r="F82" i="47"/>
  <c r="H97" i="47"/>
  <c r="F101" i="47"/>
  <c r="F83" i="47"/>
  <c r="H113" i="47"/>
  <c r="H116" i="47"/>
  <c r="H98" i="47"/>
  <c r="F100" i="47"/>
  <c r="F115" i="47"/>
  <c r="H38" i="47"/>
  <c r="H36" i="47"/>
  <c r="H34" i="47"/>
  <c r="E103" i="47"/>
  <c r="F103" i="47" s="1"/>
  <c r="G57" i="47"/>
  <c r="G103" i="47"/>
  <c r="G23" i="47"/>
  <c r="H23" i="47" s="1"/>
  <c r="G40" i="47"/>
  <c r="E105" i="47"/>
  <c r="L57" i="32"/>
  <c r="F117" i="47"/>
  <c r="E89" i="47"/>
  <c r="F84" i="47"/>
  <c r="E72" i="47"/>
  <c r="H99" i="47"/>
  <c r="H102" i="47"/>
  <c r="G42" i="47"/>
  <c r="E88" i="47"/>
  <c r="G120" i="47"/>
  <c r="G24" i="47"/>
  <c r="G56" i="47"/>
  <c r="J57" i="32"/>
  <c r="G41" i="47"/>
  <c r="F97" i="47"/>
  <c r="E104" i="47"/>
  <c r="G87" i="47"/>
  <c r="B78" i="47"/>
  <c r="K13" i="38"/>
  <c r="O13" i="38"/>
  <c r="B110" i="47"/>
  <c r="H35" i="47"/>
  <c r="H117" i="47"/>
  <c r="E119" i="47"/>
  <c r="F119" i="47" s="1"/>
  <c r="I57" i="32"/>
  <c r="G55" i="47"/>
  <c r="N38" i="53"/>
  <c r="M38" i="53"/>
  <c r="F116" i="47"/>
  <c r="E87" i="47"/>
  <c r="F87" i="47" s="1"/>
  <c r="G26" i="47"/>
  <c r="G13" i="38"/>
  <c r="B46" i="47"/>
  <c r="G25" i="47"/>
  <c r="E120" i="47"/>
  <c r="E121" i="47"/>
  <c r="G52" i="53"/>
  <c r="G119" i="47"/>
  <c r="H119" i="47" s="1"/>
  <c r="K57" i="32"/>
  <c r="F114" i="47"/>
  <c r="E73" i="47"/>
  <c r="F102" i="47"/>
  <c r="B94" i="47"/>
  <c r="M13" i="38"/>
  <c r="G39" i="47"/>
  <c r="H39" i="47" s="1"/>
  <c r="F81" i="47"/>
  <c r="H33" i="47"/>
  <c r="G88" i="47"/>
  <c r="H100" i="47"/>
  <c r="G121" i="47"/>
  <c r="G104" i="47"/>
  <c r="H114" i="47"/>
  <c r="F98" i="47"/>
  <c r="G72" i="47"/>
  <c r="N57" i="32"/>
  <c r="M57" i="32"/>
  <c r="F85" i="47"/>
  <c r="B30" i="47"/>
  <c r="E13" i="38"/>
  <c r="G105" i="47"/>
  <c r="G16" i="47"/>
  <c r="H17" i="47" s="1"/>
  <c r="G71" i="47"/>
  <c r="G18" i="47"/>
  <c r="H18" i="47" s="1"/>
  <c r="E71" i="47"/>
  <c r="F86" i="47"/>
  <c r="B14" i="47"/>
  <c r="C13" i="38"/>
  <c r="H37" i="47"/>
  <c r="F118" i="47"/>
  <c r="H21" i="47"/>
  <c r="B62" i="47"/>
  <c r="I13" i="38"/>
  <c r="H57" i="32"/>
  <c r="H46" i="42"/>
  <c r="I46" i="42" s="1"/>
  <c r="I45" i="42"/>
  <c r="I34" i="46"/>
  <c r="G49" i="46" s="1"/>
  <c r="U34" i="46"/>
  <c r="T34" i="46"/>
  <c r="J34" i="46"/>
  <c r="B125" i="52"/>
  <c r="B123" i="52"/>
  <c r="H85" i="47" l="1"/>
  <c r="AU50" i="46"/>
  <c r="H86" i="47"/>
  <c r="F52" i="53"/>
  <c r="H83" i="47"/>
  <c r="H81" i="47"/>
  <c r="H87" i="47"/>
  <c r="H84" i="47"/>
  <c r="G89" i="47"/>
  <c r="H89" i="47" s="1"/>
  <c r="G73" i="47"/>
  <c r="N42" i="6"/>
  <c r="AV50" i="46"/>
  <c r="M42" i="6"/>
  <c r="R31" i="46" s="1"/>
  <c r="P49" i="46" s="1"/>
  <c r="N43" i="6"/>
  <c r="AB50" i="46"/>
  <c r="R32" i="46"/>
  <c r="P50" i="46" s="1"/>
  <c r="AA50" i="46"/>
  <c r="F104" i="47"/>
  <c r="H121" i="47"/>
  <c r="F120" i="47"/>
  <c r="H88" i="47"/>
  <c r="H24" i="47"/>
  <c r="H19" i="47"/>
  <c r="H42" i="47"/>
  <c r="F89" i="47"/>
  <c r="H40" i="47"/>
  <c r="O38" i="53"/>
  <c r="O16" i="51" s="1"/>
  <c r="H120" i="47"/>
  <c r="H26" i="47"/>
  <c r="H105" i="47"/>
  <c r="F121" i="47"/>
  <c r="F88" i="47"/>
  <c r="F105" i="47"/>
  <c r="H25" i="47"/>
  <c r="H41" i="47"/>
  <c r="H104" i="47"/>
  <c r="H103" i="47"/>
  <c r="F49" i="46"/>
  <c r="R49" i="46"/>
  <c r="R50" i="46"/>
  <c r="G50" i="46"/>
  <c r="G27" i="47" l="1"/>
  <c r="H27" i="47" s="1"/>
  <c r="L20" i="4" l="1"/>
  <c r="Q20" i="4" s="1"/>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L140" i="4" l="1"/>
  <c r="C177" i="4"/>
  <c r="C179" i="4"/>
  <c r="C178" i="4"/>
  <c r="J36" i="6"/>
  <c r="K148" i="4" l="1"/>
  <c r="K160" i="4" s="1"/>
  <c r="K146" i="4"/>
  <c r="K158" i="4" s="1"/>
  <c r="K141" i="4"/>
  <c r="K153" i="4" s="1"/>
  <c r="K142" i="4"/>
  <c r="K154" i="4" s="1"/>
  <c r="K143" i="4"/>
  <c r="K155" i="4" s="1"/>
  <c r="K147" i="4"/>
  <c r="K159" i="4" s="1"/>
  <c r="K140" i="4"/>
  <c r="K145" i="4"/>
  <c r="K157" i="4" s="1"/>
  <c r="K150" i="4"/>
  <c r="K162" i="4" s="1"/>
  <c r="K149" i="4"/>
  <c r="K161" i="4" s="1"/>
  <c r="K144" i="4"/>
  <c r="K156" i="4" s="1"/>
  <c r="K151" i="4"/>
  <c r="K163" i="4" s="1"/>
  <c r="L143" i="4"/>
  <c r="L155" i="4" s="1"/>
  <c r="L151" i="4"/>
  <c r="L163" i="4" s="1"/>
  <c r="L150" i="4"/>
  <c r="L162" i="4" s="1"/>
  <c r="L141" i="4"/>
  <c r="L153" i="4" s="1"/>
  <c r="L148" i="4"/>
  <c r="L160" i="4" s="1"/>
  <c r="L145" i="4"/>
  <c r="L157" i="4" s="1"/>
  <c r="L142" i="4"/>
  <c r="L154" i="4" s="1"/>
  <c r="L147" i="4"/>
  <c r="L159" i="4" s="1"/>
  <c r="L144" i="4"/>
  <c r="L156" i="4" s="1"/>
  <c r="L152" i="4"/>
  <c r="L149" i="4"/>
  <c r="L161" i="4" s="1"/>
  <c r="L146" i="4"/>
  <c r="L158" i="4" s="1"/>
  <c r="K152" i="4" l="1"/>
  <c r="E22" i="6"/>
  <c r="C22" i="6"/>
  <c r="J43" i="6" l="1"/>
  <c r="J42" i="6"/>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Y27" i="52"/>
  <c r="Y28" i="52"/>
  <c r="Y29" i="52"/>
  <c r="Y30" i="52"/>
  <c r="Y31" i="52"/>
  <c r="H65" i="46" l="1"/>
  <c r="H61" i="46"/>
  <c r="H63" i="46"/>
  <c r="H59" i="46"/>
  <c r="H67" i="46"/>
  <c r="H66" i="46"/>
  <c r="H64" i="46"/>
  <c r="H62" i="46"/>
  <c r="H60" i="46"/>
  <c r="Q50" i="46"/>
  <c r="Q49" i="46"/>
  <c r="B92" i="52"/>
  <c r="B106" i="52" s="1"/>
  <c r="D21" i="29"/>
  <c r="F21" i="29" s="1"/>
  <c r="L21" i="29" l="1"/>
  <c r="B42" i="51"/>
  <c r="B46" i="51"/>
  <c r="B50" i="51"/>
  <c r="B43" i="32"/>
  <c r="B47" i="32"/>
  <c r="B51" i="32"/>
  <c r="B40" i="29"/>
  <c r="J40" i="29"/>
  <c r="R40" i="29"/>
  <c r="M21" i="4"/>
  <c r="N21" i="4"/>
  <c r="M22" i="4"/>
  <c r="Q22" i="4" s="1"/>
  <c r="N22" i="4"/>
  <c r="M23" i="4"/>
  <c r="N23" i="4"/>
  <c r="M24" i="4"/>
  <c r="Q24" i="4" s="1"/>
  <c r="N24" i="4"/>
  <c r="M25" i="4"/>
  <c r="N25" i="4"/>
  <c r="M26" i="4"/>
  <c r="Q26" i="4" s="1"/>
  <c r="N26" i="4"/>
  <c r="M27" i="4"/>
  <c r="N27" i="4"/>
  <c r="M28" i="4"/>
  <c r="Q28" i="4" s="1"/>
  <c r="N28" i="4"/>
  <c r="M29" i="4"/>
  <c r="N29" i="4"/>
  <c r="M30" i="4"/>
  <c r="Q30" i="4" s="1"/>
  <c r="N30" i="4"/>
  <c r="M31" i="4"/>
  <c r="N31" i="4"/>
  <c r="M32" i="4"/>
  <c r="Q32" i="4" s="1"/>
  <c r="N32" i="4"/>
  <c r="M33" i="4"/>
  <c r="N33" i="4"/>
  <c r="M34" i="4"/>
  <c r="Q34" i="4" s="1"/>
  <c r="N34" i="4"/>
  <c r="M35" i="4"/>
  <c r="N35" i="4"/>
  <c r="M36" i="4"/>
  <c r="Q36" i="4" s="1"/>
  <c r="N36" i="4"/>
  <c r="M37" i="4"/>
  <c r="N37" i="4"/>
  <c r="M38" i="4"/>
  <c r="Q38" i="4" s="1"/>
  <c r="N38" i="4"/>
  <c r="M39" i="4"/>
  <c r="N39" i="4"/>
  <c r="M40" i="4"/>
  <c r="Q40" i="4" s="1"/>
  <c r="N40" i="4"/>
  <c r="M41" i="4"/>
  <c r="N41" i="4"/>
  <c r="M42" i="4"/>
  <c r="Q42" i="4" s="1"/>
  <c r="N42" i="4"/>
  <c r="M43" i="4"/>
  <c r="N43" i="4"/>
  <c r="M44" i="4"/>
  <c r="Q44" i="4" s="1"/>
  <c r="N44" i="4"/>
  <c r="M45" i="4"/>
  <c r="N45" i="4"/>
  <c r="M46" i="4"/>
  <c r="Q46" i="4" s="1"/>
  <c r="N46" i="4"/>
  <c r="M47" i="4"/>
  <c r="N47" i="4"/>
  <c r="U47" i="4"/>
  <c r="U60" i="4" s="1"/>
  <c r="M48" i="4"/>
  <c r="N48" i="4"/>
  <c r="M49" i="4"/>
  <c r="Q49" i="4" s="1"/>
  <c r="N49" i="4"/>
  <c r="M50" i="4"/>
  <c r="N50" i="4"/>
  <c r="M51" i="4"/>
  <c r="Q51" i="4" s="1"/>
  <c r="N51" i="4"/>
  <c r="U48"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U51" i="4"/>
  <c r="M80" i="4"/>
  <c r="Q80" i="4" s="1"/>
  <c r="N80" i="4"/>
  <c r="M81" i="4"/>
  <c r="N81" i="4"/>
  <c r="M82" i="4"/>
  <c r="Q82" i="4" s="1"/>
  <c r="N82" i="4"/>
  <c r="M83" i="4"/>
  <c r="N83" i="4"/>
  <c r="M84" i="4"/>
  <c r="Q84" i="4" s="1"/>
  <c r="N84" i="4"/>
  <c r="M85" i="4"/>
  <c r="N85" i="4"/>
  <c r="M86" i="4"/>
  <c r="Q86" i="4" s="1"/>
  <c r="N86" i="4"/>
  <c r="M87" i="4"/>
  <c r="N87" i="4"/>
  <c r="M88" i="4"/>
  <c r="Q88" i="4" s="1"/>
  <c r="N88" i="4"/>
  <c r="M89" i="4"/>
  <c r="N89" i="4"/>
  <c r="M90" i="4"/>
  <c r="Q90" i="4" s="1"/>
  <c r="N90" i="4"/>
  <c r="M91" i="4"/>
  <c r="N91" i="4"/>
  <c r="M92" i="4"/>
  <c r="Q92" i="4" s="1"/>
  <c r="N92" i="4"/>
  <c r="M93" i="4"/>
  <c r="N93" i="4"/>
  <c r="M94" i="4"/>
  <c r="Q94" i="4" s="1"/>
  <c r="N94" i="4"/>
  <c r="M95" i="4"/>
  <c r="N95" i="4"/>
  <c r="M96" i="4"/>
  <c r="Q96" i="4" s="1"/>
  <c r="N96" i="4"/>
  <c r="M97" i="4"/>
  <c r="N97" i="4"/>
  <c r="M98" i="4"/>
  <c r="Q98" i="4" s="1"/>
  <c r="N98" i="4"/>
  <c r="M99" i="4"/>
  <c r="N99" i="4"/>
  <c r="M100" i="4"/>
  <c r="Q100" i="4" s="1"/>
  <c r="N100" i="4"/>
  <c r="M101" i="4"/>
  <c r="N101" i="4"/>
  <c r="M102" i="4"/>
  <c r="Q102" i="4" s="1"/>
  <c r="N102" i="4"/>
  <c r="M103" i="4"/>
  <c r="N103" i="4"/>
  <c r="M104" i="4"/>
  <c r="Q104" i="4" s="1"/>
  <c r="N104" i="4"/>
  <c r="M105" i="4"/>
  <c r="N105" i="4"/>
  <c r="M106" i="4"/>
  <c r="Q106" i="4" s="1"/>
  <c r="N106" i="4"/>
  <c r="M107" i="4"/>
  <c r="N107" i="4"/>
  <c r="M108" i="4"/>
  <c r="Q108" i="4" s="1"/>
  <c r="N108" i="4"/>
  <c r="M109" i="4"/>
  <c r="N109" i="4"/>
  <c r="M110" i="4"/>
  <c r="Q110" i="4" s="1"/>
  <c r="N110" i="4"/>
  <c r="M111" i="4"/>
  <c r="N111" i="4"/>
  <c r="M112" i="4"/>
  <c r="Q112" i="4" s="1"/>
  <c r="N112" i="4"/>
  <c r="M113" i="4"/>
  <c r="N113" i="4"/>
  <c r="M114" i="4"/>
  <c r="Q114" i="4" s="1"/>
  <c r="N114" i="4"/>
  <c r="M115" i="4"/>
  <c r="N115" i="4"/>
  <c r="M116" i="4"/>
  <c r="Q116" i="4" s="1"/>
  <c r="N116" i="4"/>
  <c r="M117" i="4"/>
  <c r="N117" i="4"/>
  <c r="M118" i="4"/>
  <c r="Q118" i="4" s="1"/>
  <c r="N118" i="4"/>
  <c r="M119" i="4"/>
  <c r="N119" i="4"/>
  <c r="M120" i="4"/>
  <c r="Q120" i="4" s="1"/>
  <c r="N120" i="4"/>
  <c r="M121" i="4"/>
  <c r="N121" i="4"/>
  <c r="M122" i="4"/>
  <c r="Q122" i="4" s="1"/>
  <c r="N122" i="4"/>
  <c r="M123" i="4"/>
  <c r="N123" i="4"/>
  <c r="M124" i="4"/>
  <c r="Q124" i="4" s="1"/>
  <c r="N124" i="4"/>
  <c r="M125" i="4"/>
  <c r="N125" i="4"/>
  <c r="M126" i="4"/>
  <c r="N126" i="4"/>
  <c r="M127" i="4"/>
  <c r="N127" i="4"/>
  <c r="U55" i="4"/>
  <c r="M128" i="4"/>
  <c r="N128" i="4"/>
  <c r="M129" i="4"/>
  <c r="N129" i="4"/>
  <c r="M130" i="4"/>
  <c r="N130" i="4"/>
  <c r="M131" i="4"/>
  <c r="N131" i="4"/>
  <c r="M132" i="4"/>
  <c r="N132" i="4"/>
  <c r="M133" i="4"/>
  <c r="N133" i="4"/>
  <c r="M134" i="4"/>
  <c r="N134" i="4"/>
  <c r="M135" i="4"/>
  <c r="N135" i="4"/>
  <c r="M136" i="4"/>
  <c r="N136" i="4"/>
  <c r="M137" i="4"/>
  <c r="N137" i="4"/>
  <c r="M138" i="4"/>
  <c r="N138" i="4"/>
  <c r="M139" i="4"/>
  <c r="N139" i="4"/>
  <c r="C15" i="6"/>
  <c r="E15" i="6"/>
  <c r="G15" i="6"/>
  <c r="K15" i="6"/>
  <c r="Q15" i="6"/>
  <c r="S15" i="6"/>
  <c r="B17" i="6"/>
  <c r="B21" i="29" s="1"/>
  <c r="C17" i="6"/>
  <c r="E17" i="6"/>
  <c r="AL21" i="46"/>
  <c r="B18" i="6"/>
  <c r="E18" i="6"/>
  <c r="H18" i="6"/>
  <c r="AL22" i="46"/>
  <c r="B19" i="6"/>
  <c r="E19" i="6"/>
  <c r="P19" i="6"/>
  <c r="AL23" i="46"/>
  <c r="B20" i="6"/>
  <c r="T62" i="4" s="1"/>
  <c r="C20" i="6"/>
  <c r="E20" i="6"/>
  <c r="AL24" i="46"/>
  <c r="B21" i="6"/>
  <c r="B25" i="29" s="1"/>
  <c r="C21" i="6"/>
  <c r="E21" i="6"/>
  <c r="L22" i="6"/>
  <c r="AL25" i="46"/>
  <c r="B22" i="6"/>
  <c r="B23" i="6"/>
  <c r="C23" i="6"/>
  <c r="E23" i="6"/>
  <c r="AL27" i="46"/>
  <c r="B24" i="6"/>
  <c r="C24" i="6"/>
  <c r="E24" i="6"/>
  <c r="AL28" i="46"/>
  <c r="B25" i="6"/>
  <c r="B29" i="46" s="1"/>
  <c r="C25" i="6"/>
  <c r="E25" i="6"/>
  <c r="AL29" i="46"/>
  <c r="B26" i="6"/>
  <c r="T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Q78" i="4" l="1"/>
  <c r="Q72" i="4"/>
  <c r="Q68" i="4"/>
  <c r="Q62" i="4"/>
  <c r="Q60" i="4"/>
  <c r="Q58" i="4"/>
  <c r="Q56" i="4"/>
  <c r="Q54" i="4"/>
  <c r="Q52" i="4"/>
  <c r="Q47" i="4"/>
  <c r="Q45" i="4"/>
  <c r="Q43" i="4"/>
  <c r="Q41" i="4"/>
  <c r="Q39" i="4"/>
  <c r="Q37" i="4"/>
  <c r="Q35" i="4"/>
  <c r="Q33" i="4"/>
  <c r="Q31" i="4"/>
  <c r="Q29" i="4"/>
  <c r="Q27" i="4"/>
  <c r="Q25" i="4"/>
  <c r="Q23" i="4"/>
  <c r="Q21" i="4"/>
  <c r="Q74" i="4"/>
  <c r="Q66" i="4"/>
  <c r="Q121" i="4"/>
  <c r="Q113" i="4"/>
  <c r="Q105" i="4"/>
  <c r="Q101" i="4"/>
  <c r="Q97" i="4"/>
  <c r="Q93" i="4"/>
  <c r="Q89" i="4"/>
  <c r="Q83" i="4"/>
  <c r="Q50" i="4"/>
  <c r="Q48" i="4"/>
  <c r="Q76" i="4"/>
  <c r="Q70" i="4"/>
  <c r="Q64" i="4"/>
  <c r="Q125" i="4"/>
  <c r="Q123" i="4"/>
  <c r="Q117" i="4"/>
  <c r="Q115" i="4"/>
  <c r="Q109" i="4"/>
  <c r="Q107" i="4"/>
  <c r="Q103" i="4"/>
  <c r="Q99" i="4"/>
  <c r="Q95" i="4"/>
  <c r="Q91" i="4"/>
  <c r="Q87" i="4"/>
  <c r="Q85" i="4"/>
  <c r="Q138" i="4"/>
  <c r="Q136" i="4"/>
  <c r="Q134" i="4"/>
  <c r="Q132" i="4"/>
  <c r="Q130" i="4"/>
  <c r="Q128" i="4"/>
  <c r="Q79" i="4"/>
  <c r="Q77" i="4"/>
  <c r="Q75" i="4"/>
  <c r="Q73" i="4"/>
  <c r="Q71" i="4"/>
  <c r="Q69" i="4"/>
  <c r="Q67" i="4"/>
  <c r="Q65" i="4"/>
  <c r="Q63" i="4"/>
  <c r="Q61" i="4"/>
  <c r="Q59" i="4"/>
  <c r="Q57" i="4"/>
  <c r="Q55" i="4"/>
  <c r="Q53" i="4"/>
  <c r="Q139" i="4"/>
  <c r="Q137" i="4"/>
  <c r="Q135" i="4"/>
  <c r="Q133" i="4"/>
  <c r="Q131" i="4"/>
  <c r="Q129" i="4"/>
  <c r="Q127" i="4"/>
  <c r="Q126" i="4"/>
  <c r="Q119" i="4"/>
  <c r="Q111" i="4"/>
  <c r="N140" i="4"/>
  <c r="Q81" i="4"/>
  <c r="M147" i="4"/>
  <c r="N146" i="4"/>
  <c r="M140" i="4"/>
  <c r="Q140" i="4" s="1"/>
  <c r="L36" i="32"/>
  <c r="M36" i="32"/>
  <c r="L34" i="51" s="1"/>
  <c r="J36" i="32"/>
  <c r="I34" i="51" s="1"/>
  <c r="F36" i="32"/>
  <c r="P36" i="32"/>
  <c r="E36" i="32"/>
  <c r="N36" i="32"/>
  <c r="M34" i="51" s="1"/>
  <c r="H36" i="32"/>
  <c r="G34" i="51" s="1"/>
  <c r="E32" i="32"/>
  <c r="O36" i="32"/>
  <c r="K36" i="32"/>
  <c r="J34" i="51" s="1"/>
  <c r="G36" i="32"/>
  <c r="I36" i="32"/>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C180" i="4"/>
  <c r="H58" i="46"/>
  <c r="C181" i="4"/>
  <c r="T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E34" i="51"/>
  <c r="K20" i="32"/>
  <c r="L24" i="32"/>
  <c r="K22" i="51" s="1"/>
  <c r="E28" i="32"/>
  <c r="D26" i="51" s="1"/>
  <c r="F34" i="51"/>
  <c r="K28" i="32"/>
  <c r="J26" i="51" s="1"/>
  <c r="F28" i="32"/>
  <c r="E26" i="51" s="1"/>
  <c r="F24" i="32"/>
  <c r="E22" i="51" s="1"/>
  <c r="K32" i="32"/>
  <c r="J30" i="51" s="1"/>
  <c r="H34" i="51"/>
  <c r="J20" i="32"/>
  <c r="I24" i="32"/>
  <c r="H22" i="51" s="1"/>
  <c r="D30" i="51"/>
  <c r="K24" i="32"/>
  <c r="J22" i="51" s="1"/>
  <c r="E20" i="32"/>
  <c r="J24" i="32"/>
  <c r="I22" i="51" s="1"/>
  <c r="N20" i="32"/>
  <c r="L20" i="32"/>
  <c r="G28" i="32"/>
  <c r="F26" i="51" s="1"/>
  <c r="M24" i="32"/>
  <c r="L22" i="51" s="1"/>
  <c r="G32" i="32"/>
  <c r="F30" i="51" s="1"/>
  <c r="H24" i="32"/>
  <c r="G22" i="51" s="1"/>
  <c r="I20" i="32"/>
  <c r="N24" i="32"/>
  <c r="M22" i="51" s="1"/>
  <c r="F20" i="32"/>
  <c r="M28" i="32"/>
  <c r="L26" i="51" s="1"/>
  <c r="M32" i="32"/>
  <c r="L30" i="51" s="1"/>
  <c r="G20" i="32"/>
  <c r="J32" i="32"/>
  <c r="I30" i="51" s="1"/>
  <c r="L32" i="32"/>
  <c r="K30" i="51" s="1"/>
  <c r="K34" i="51"/>
  <c r="I28" i="32"/>
  <c r="H26" i="51" s="1"/>
  <c r="J28" i="32"/>
  <c r="I26" i="51" s="1"/>
  <c r="G24" i="32"/>
  <c r="F22" i="51" s="1"/>
  <c r="N32" i="32"/>
  <c r="M30" i="51" s="1"/>
  <c r="F32" i="32"/>
  <c r="E30" i="51" s="1"/>
  <c r="M20" i="32"/>
  <c r="L28" i="32"/>
  <c r="K26" i="51" s="1"/>
  <c r="N28" i="32"/>
  <c r="M26" i="51" s="1"/>
  <c r="D34" i="51"/>
  <c r="H20" i="32"/>
  <c r="E24" i="32"/>
  <c r="D22" i="51" s="1"/>
  <c r="H32" i="32"/>
  <c r="G30" i="51" s="1"/>
  <c r="F66" i="46"/>
  <c r="AQ29" i="46"/>
  <c r="AG29" i="46"/>
  <c r="D22" i="6"/>
  <c r="L26" i="6"/>
  <c r="P24" i="6"/>
  <c r="D25" i="6"/>
  <c r="P18" i="6"/>
  <c r="F20" i="6"/>
  <c r="D36" i="6"/>
  <c r="D20" i="6"/>
  <c r="H24" i="6"/>
  <c r="D26" i="6"/>
  <c r="H20" i="6"/>
  <c r="F18" i="6"/>
  <c r="H36" i="6"/>
  <c r="P20" i="6"/>
  <c r="F36" i="6"/>
  <c r="H22" i="6"/>
  <c r="H26" i="6"/>
  <c r="F23" i="6"/>
  <c r="P22" i="6"/>
  <c r="R36" i="6"/>
  <c r="R42" i="6" s="1"/>
  <c r="D24" i="6"/>
  <c r="I42" i="6"/>
  <c r="D21" i="6"/>
  <c r="L20" i="6"/>
  <c r="H21" i="6"/>
  <c r="F24" i="6"/>
  <c r="L24" i="6"/>
  <c r="F22" i="6"/>
  <c r="P26" i="6"/>
  <c r="F26" i="6"/>
  <c r="V47" i="4"/>
  <c r="L25" i="6"/>
  <c r="M29" i="46"/>
  <c r="W29" i="46"/>
  <c r="P23" i="6"/>
  <c r="D23" i="6"/>
  <c r="B20" i="38"/>
  <c r="I13" i="51"/>
  <c r="J15" i="32"/>
  <c r="B26" i="46"/>
  <c r="B26" i="29"/>
  <c r="T51" i="4"/>
  <c r="T64" i="4"/>
  <c r="F21" i="6"/>
  <c r="H19" i="6"/>
  <c r="F13" i="51"/>
  <c r="B17" i="38"/>
  <c r="B23" i="46"/>
  <c r="G15" i="32"/>
  <c r="T48" i="4"/>
  <c r="T61" i="4"/>
  <c r="B23" i="29"/>
  <c r="B16" i="38"/>
  <c r="E13" i="51"/>
  <c r="F15" i="32"/>
  <c r="B22" i="46"/>
  <c r="B22" i="29"/>
  <c r="T47" i="4"/>
  <c r="T60" i="4"/>
  <c r="B24" i="38"/>
  <c r="M13" i="51"/>
  <c r="N15" i="32"/>
  <c r="B30" i="29"/>
  <c r="B30" i="46"/>
  <c r="T68" i="4"/>
  <c r="F25" i="6"/>
  <c r="H23" i="6"/>
  <c r="J13" i="51"/>
  <c r="B21" i="38"/>
  <c r="B27" i="46"/>
  <c r="K15" i="32"/>
  <c r="T52" i="4"/>
  <c r="T65" i="4"/>
  <c r="B27" i="29"/>
  <c r="L19" i="6"/>
  <c r="F19" i="6"/>
  <c r="L18" i="6"/>
  <c r="D18" i="6"/>
  <c r="U61" i="4"/>
  <c r="V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U68" i="4"/>
  <c r="U64" i="4"/>
  <c r="T54" i="4"/>
  <c r="T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U52" i="4"/>
  <c r="B28" i="29"/>
  <c r="B23" i="38"/>
  <c r="L13" i="51"/>
  <c r="M15" i="32"/>
  <c r="B19" i="38"/>
  <c r="H13" i="51"/>
  <c r="I15" i="32"/>
  <c r="T67" i="4"/>
  <c r="T63" i="4"/>
  <c r="T59" i="4"/>
  <c r="U53" i="4"/>
  <c r="U49" i="4"/>
  <c r="D23" i="29"/>
  <c r="L23" i="29" s="1"/>
  <c r="T23" i="29" s="1"/>
  <c r="D22" i="29"/>
  <c r="L22" i="29" s="1"/>
  <c r="T22" i="29" s="1"/>
  <c r="T21" i="29"/>
  <c r="V21" i="29" s="1"/>
  <c r="B24" i="29"/>
  <c r="B25" i="46"/>
  <c r="U54" i="4"/>
  <c r="T53" i="4"/>
  <c r="U50" i="4"/>
  <c r="T49" i="4"/>
  <c r="T46" i="4"/>
  <c r="F65" i="47"/>
  <c r="R115" i="4" l="1"/>
  <c r="W53" i="4" s="1"/>
  <c r="V66" i="4" s="1"/>
  <c r="AA42" i="29"/>
  <c r="AI42" i="29"/>
  <c r="G18" i="51"/>
  <c r="F18" i="38" s="1"/>
  <c r="L18" i="51"/>
  <c r="E18" i="51"/>
  <c r="K18" i="51"/>
  <c r="F18" i="51"/>
  <c r="M18" i="51"/>
  <c r="I18" i="51"/>
  <c r="H18" i="51"/>
  <c r="C36" i="47" s="1"/>
  <c r="J18" i="51"/>
  <c r="D14" i="51"/>
  <c r="I20" i="38"/>
  <c r="I21" i="38"/>
  <c r="W23" i="6"/>
  <c r="AM26" i="46"/>
  <c r="AM34" i="46" s="1"/>
  <c r="AN26" i="46"/>
  <c r="AN34" i="46" s="1"/>
  <c r="E14" i="51"/>
  <c r="F55" i="32"/>
  <c r="J150" i="4"/>
  <c r="N141" i="4"/>
  <c r="N149" i="4"/>
  <c r="N145" i="4"/>
  <c r="N142" i="4"/>
  <c r="N150" i="4"/>
  <c r="N147" i="4"/>
  <c r="N144" i="4"/>
  <c r="N158" i="4"/>
  <c r="N143" i="4"/>
  <c r="N151" i="4"/>
  <c r="N148" i="4"/>
  <c r="J147" i="4"/>
  <c r="I63" i="46"/>
  <c r="I66" i="46"/>
  <c r="J149" i="4"/>
  <c r="J148" i="4"/>
  <c r="J145" i="4"/>
  <c r="J141" i="4"/>
  <c r="J151" i="4"/>
  <c r="J152" i="4"/>
  <c r="J143" i="4"/>
  <c r="J144" i="4"/>
  <c r="J142" i="4"/>
  <c r="J146" i="4"/>
  <c r="I67" i="46"/>
  <c r="I61" i="46"/>
  <c r="I58" i="46"/>
  <c r="E21" i="29"/>
  <c r="I62" i="46"/>
  <c r="I60" i="46"/>
  <c r="I65" i="46"/>
  <c r="I59" i="46"/>
  <c r="I64" i="46"/>
  <c r="C18" i="47"/>
  <c r="D17" i="38"/>
  <c r="C20" i="47"/>
  <c r="D19" i="38"/>
  <c r="C19" i="47"/>
  <c r="D18" i="38"/>
  <c r="C25" i="47"/>
  <c r="D24" i="38"/>
  <c r="C23" i="47"/>
  <c r="D22" i="38"/>
  <c r="C24" i="47"/>
  <c r="D23" i="38"/>
  <c r="D21" i="38"/>
  <c r="C22" i="47"/>
  <c r="C21" i="47"/>
  <c r="D20" i="38"/>
  <c r="C16" i="47"/>
  <c r="D15" i="38"/>
  <c r="C97" i="47"/>
  <c r="N16" i="38"/>
  <c r="M16" i="38"/>
  <c r="C83" i="47"/>
  <c r="L18" i="38"/>
  <c r="K18" i="38"/>
  <c r="C117" i="47"/>
  <c r="O20" i="38"/>
  <c r="P20" i="38"/>
  <c r="C68" i="47"/>
  <c r="J19" i="38"/>
  <c r="I19" i="38"/>
  <c r="F16" i="38"/>
  <c r="C33" i="47"/>
  <c r="C82" i="47"/>
  <c r="L17" i="38"/>
  <c r="K17" i="38"/>
  <c r="C54" i="47"/>
  <c r="H21" i="38"/>
  <c r="C101" i="47"/>
  <c r="N20" i="38"/>
  <c r="M20" i="38"/>
  <c r="C119" i="47"/>
  <c r="O22" i="38"/>
  <c r="P22" i="38"/>
  <c r="C115" i="47"/>
  <c r="P18" i="38"/>
  <c r="O18" i="38"/>
  <c r="C103" i="47"/>
  <c r="N22" i="38"/>
  <c r="M22" i="38"/>
  <c r="C57" i="47"/>
  <c r="H24" i="38"/>
  <c r="C120" i="47"/>
  <c r="P23" i="38"/>
  <c r="O23" i="38"/>
  <c r="C86" i="47"/>
  <c r="K21" i="38"/>
  <c r="L21" i="38"/>
  <c r="C104" i="47"/>
  <c r="N23" i="38"/>
  <c r="M23" i="38"/>
  <c r="C48" i="47"/>
  <c r="H15" i="38"/>
  <c r="C85" i="47"/>
  <c r="L20" i="38"/>
  <c r="K20" i="38"/>
  <c r="C65" i="47"/>
  <c r="I16" i="38"/>
  <c r="J16" i="38"/>
  <c r="C96" i="47"/>
  <c r="N15" i="38"/>
  <c r="M15" i="38"/>
  <c r="C89" i="47"/>
  <c r="K24" i="38"/>
  <c r="L24" i="38"/>
  <c r="F24" i="38"/>
  <c r="C114" i="47"/>
  <c r="O17" i="38"/>
  <c r="P17" i="38"/>
  <c r="C118" i="47"/>
  <c r="O21" i="38"/>
  <c r="P21" i="38"/>
  <c r="C55" i="47"/>
  <c r="H22" i="38"/>
  <c r="C56" i="47"/>
  <c r="H23" i="38"/>
  <c r="C49" i="47"/>
  <c r="H16" i="38"/>
  <c r="C102" i="47"/>
  <c r="M21" i="38"/>
  <c r="N21" i="38"/>
  <c r="C51" i="47"/>
  <c r="H18" i="38"/>
  <c r="C113" i="47"/>
  <c r="D113" i="47" s="1"/>
  <c r="O16" i="38"/>
  <c r="P16" i="38"/>
  <c r="C99" i="47"/>
  <c r="M18" i="38"/>
  <c r="N18" i="38"/>
  <c r="C81" i="47"/>
  <c r="K16" i="38"/>
  <c r="L16" i="38"/>
  <c r="C121" i="47"/>
  <c r="O24" i="38"/>
  <c r="P24" i="38"/>
  <c r="C52" i="47"/>
  <c r="H19" i="38"/>
  <c r="C64" i="47"/>
  <c r="J15" i="38"/>
  <c r="I15" i="38"/>
  <c r="C73" i="47"/>
  <c r="I24" i="38"/>
  <c r="J24" i="38"/>
  <c r="C50" i="47"/>
  <c r="H17" i="38"/>
  <c r="C88" i="47"/>
  <c r="K23" i="38"/>
  <c r="L23" i="38"/>
  <c r="C105" i="47"/>
  <c r="M24" i="38"/>
  <c r="N24" i="38"/>
  <c r="C53" i="47"/>
  <c r="H20" i="38"/>
  <c r="F20" i="38"/>
  <c r="C67" i="47"/>
  <c r="I18" i="38"/>
  <c r="J18" i="38"/>
  <c r="C87" i="47"/>
  <c r="L22" i="38"/>
  <c r="K22" i="38"/>
  <c r="C80" i="47"/>
  <c r="K15" i="38"/>
  <c r="L15" i="38"/>
  <c r="C66" i="47"/>
  <c r="I17" i="38"/>
  <c r="J17" i="38"/>
  <c r="C98" i="47"/>
  <c r="N17" i="38"/>
  <c r="M17" i="38"/>
  <c r="C84" i="47"/>
  <c r="K19" i="38"/>
  <c r="L19" i="38"/>
  <c r="C71" i="47"/>
  <c r="J22" i="38"/>
  <c r="I22" i="38"/>
  <c r="J20" i="38"/>
  <c r="C69" i="47"/>
  <c r="E69" i="47"/>
  <c r="F69" i="47" s="1"/>
  <c r="C72" i="47"/>
  <c r="I23" i="38"/>
  <c r="J23" i="38"/>
  <c r="D18" i="51"/>
  <c r="E55" i="32"/>
  <c r="C100" i="47"/>
  <c r="N19" i="38"/>
  <c r="M19" i="38"/>
  <c r="C70" i="47"/>
  <c r="J21" i="38"/>
  <c r="C116"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R31" i="4"/>
  <c r="W46" i="4" s="1"/>
  <c r="F31" i="29"/>
  <c r="N24" i="29"/>
  <c r="L25" i="29"/>
  <c r="T25" i="29" s="1"/>
  <c r="F25" i="29"/>
  <c r="F24" i="29"/>
  <c r="H56" i="47"/>
  <c r="H28" i="6"/>
  <c r="H42" i="6" s="1"/>
  <c r="P28" i="6"/>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V50" i="4"/>
  <c r="U63" i="4"/>
  <c r="J56" i="51"/>
  <c r="N23" i="29"/>
  <c r="R28" i="29"/>
  <c r="AH28" i="29" s="1"/>
  <c r="J28" i="29"/>
  <c r="Z28" i="29" s="1"/>
  <c r="T29" i="29"/>
  <c r="N29" i="29"/>
  <c r="M28" i="46"/>
  <c r="W28" i="46"/>
  <c r="M55" i="32"/>
  <c r="W31" i="46"/>
  <c r="W49" i="46" s="1"/>
  <c r="M31" i="46"/>
  <c r="M49" i="46" s="1"/>
  <c r="I43" i="6"/>
  <c r="M22" i="46"/>
  <c r="W22" i="46"/>
  <c r="J23" i="29"/>
  <c r="Z23" i="29" s="1"/>
  <c r="R23" i="29"/>
  <c r="AH23" i="29" s="1"/>
  <c r="M23" i="46"/>
  <c r="W23" i="46"/>
  <c r="K55" i="32"/>
  <c r="H65" i="47"/>
  <c r="H53" i="47"/>
  <c r="U62" i="4"/>
  <c r="V49" i="4"/>
  <c r="N21" i="29"/>
  <c r="L30" i="29"/>
  <c r="N30" i="29" s="1"/>
  <c r="N31" i="29" s="1"/>
  <c r="M24" i="46"/>
  <c r="W24" i="46"/>
  <c r="V51" i="4"/>
  <c r="G55" i="32"/>
  <c r="L55" i="32"/>
  <c r="J32" i="29"/>
  <c r="Z32" i="29" s="1"/>
  <c r="R32" i="29"/>
  <c r="AH32" i="29" s="1"/>
  <c r="B43" i="29"/>
  <c r="J27" i="29"/>
  <c r="Z27" i="29" s="1"/>
  <c r="R27" i="29"/>
  <c r="AH27" i="29" s="1"/>
  <c r="M27" i="46"/>
  <c r="W27" i="46"/>
  <c r="H69" i="47"/>
  <c r="H57" i="47"/>
  <c r="H66" i="47"/>
  <c r="V54" i="4"/>
  <c r="U67" i="4"/>
  <c r="R24" i="29"/>
  <c r="AH24" i="29" s="1"/>
  <c r="J24" i="29"/>
  <c r="Z24" i="29" s="1"/>
  <c r="U66" i="4"/>
  <c r="V53" i="4"/>
  <c r="K56" i="51"/>
  <c r="F22" i="29"/>
  <c r="U65" i="4"/>
  <c r="V52" i="4"/>
  <c r="J31" i="29"/>
  <c r="Z31" i="29" s="1"/>
  <c r="R31" i="29"/>
  <c r="AH31" i="29" s="1"/>
  <c r="B42" i="29"/>
  <c r="F29" i="29"/>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V55" i="4"/>
  <c r="H55" i="32"/>
  <c r="R30" i="29"/>
  <c r="AH30" i="29" s="1"/>
  <c r="J30" i="29"/>
  <c r="Z30" i="29" s="1"/>
  <c r="R22" i="29"/>
  <c r="AH22" i="29" s="1"/>
  <c r="J22" i="29"/>
  <c r="Z22" i="29" s="1"/>
  <c r="M26" i="46"/>
  <c r="W26" i="46"/>
  <c r="E28" i="29"/>
  <c r="R67" i="4"/>
  <c r="W49" i="4" s="1"/>
  <c r="Y49" i="4" s="1"/>
  <c r="E23" i="29"/>
  <c r="E24" i="29"/>
  <c r="M24" i="29" s="1"/>
  <c r="E29" i="29"/>
  <c r="R79" i="4"/>
  <c r="W50" i="4" s="1"/>
  <c r="V63" i="4" s="1"/>
  <c r="R103" i="4"/>
  <c r="W52" i="4" s="1"/>
  <c r="V65" i="4" s="1"/>
  <c r="E30" i="29"/>
  <c r="G30" i="29" s="1"/>
  <c r="R55" i="4"/>
  <c r="W48" i="4" s="1"/>
  <c r="R91" i="4"/>
  <c r="W51" i="4" s="1"/>
  <c r="E27" i="29"/>
  <c r="M27" i="29" s="1"/>
  <c r="R43" i="4"/>
  <c r="E25" i="29"/>
  <c r="E26" i="29"/>
  <c r="M26" i="29" s="1"/>
  <c r="J25" i="32" s="1"/>
  <c r="I23" i="51" s="1"/>
  <c r="R127" i="4"/>
  <c r="W54" i="4" s="1"/>
  <c r="Y54" i="4" s="1"/>
  <c r="R139" i="4"/>
  <c r="E22" i="29"/>
  <c r="N163" i="4" l="1"/>
  <c r="N155" i="4"/>
  <c r="N162" i="4"/>
  <c r="N153" i="4"/>
  <c r="N159" i="4"/>
  <c r="Q147" i="4"/>
  <c r="N154" i="4"/>
  <c r="N161" i="4"/>
  <c r="N160" i="4"/>
  <c r="N156" i="4"/>
  <c r="N157" i="4"/>
  <c r="J158" i="4"/>
  <c r="J160" i="4"/>
  <c r="J159" i="4"/>
  <c r="J154" i="4"/>
  <c r="J163" i="4"/>
  <c r="J161" i="4"/>
  <c r="J162" i="4"/>
  <c r="J156" i="4"/>
  <c r="J153" i="4"/>
  <c r="J155" i="4"/>
  <c r="J157" i="4"/>
  <c r="F21" i="38"/>
  <c r="C39" i="47"/>
  <c r="D40" i="47" s="1"/>
  <c r="C41" i="47"/>
  <c r="F22" i="38"/>
  <c r="K54" i="51"/>
  <c r="G54" i="51"/>
  <c r="N152" i="4"/>
  <c r="C35" i="47"/>
  <c r="D36" i="47" s="1"/>
  <c r="AA43" i="29"/>
  <c r="AI43" i="29"/>
  <c r="C38" i="47"/>
  <c r="C17" i="47"/>
  <c r="D18" i="47" s="1"/>
  <c r="F54" i="51"/>
  <c r="L54" i="51"/>
  <c r="F17" i="38"/>
  <c r="C40" i="47"/>
  <c r="F19" i="38"/>
  <c r="J54" i="51"/>
  <c r="I54" i="51"/>
  <c r="D54" i="51"/>
  <c r="C37" i="47"/>
  <c r="C34" i="47"/>
  <c r="D34" i="47" s="1"/>
  <c r="F23" i="38"/>
  <c r="W47" i="4"/>
  <c r="Y47" i="4" s="1"/>
  <c r="E53" i="47"/>
  <c r="W55" i="4"/>
  <c r="V68" i="4" s="1"/>
  <c r="W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41" i="47"/>
  <c r="D57" i="47"/>
  <c r="D50" i="47"/>
  <c r="D21" i="47"/>
  <c r="D53" i="47"/>
  <c r="D72" i="47"/>
  <c r="D87" i="47"/>
  <c r="D54" i="47"/>
  <c r="D116" i="47"/>
  <c r="D65" i="47"/>
  <c r="D49" i="47"/>
  <c r="D103" i="47"/>
  <c r="D68" i="47"/>
  <c r="D23" i="47"/>
  <c r="D19" i="47"/>
  <c r="D118" i="47"/>
  <c r="D55" i="47"/>
  <c r="D17" i="47"/>
  <c r="D25" i="47"/>
  <c r="D20" i="47"/>
  <c r="D24" i="47"/>
  <c r="D100" i="47"/>
  <c r="D102" i="47"/>
  <c r="D22" i="47"/>
  <c r="D83" i="47"/>
  <c r="D69" i="47"/>
  <c r="D81" i="47"/>
  <c r="D70" i="47"/>
  <c r="D67" i="47"/>
  <c r="D51" i="47"/>
  <c r="D85" i="47"/>
  <c r="D89" i="47"/>
  <c r="D71" i="47"/>
  <c r="D52" i="47"/>
  <c r="D56" i="47"/>
  <c r="D73" i="47"/>
  <c r="D88" i="47"/>
  <c r="D119" i="47"/>
  <c r="D104" i="47"/>
  <c r="D105" i="47"/>
  <c r="D99" i="47"/>
  <c r="D82" i="47"/>
  <c r="D66" i="47"/>
  <c r="D115" i="47"/>
  <c r="D117"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F32" i="29"/>
  <c r="G25" i="29"/>
  <c r="W63" i="4"/>
  <c r="W65" i="4"/>
  <c r="W66" i="4"/>
  <c r="G28" i="29"/>
  <c r="G29" i="29"/>
  <c r="R42" i="29"/>
  <c r="AH42" i="29" s="1"/>
  <c r="J42" i="29"/>
  <c r="Z42" i="29" s="1"/>
  <c r="J43" i="29"/>
  <c r="Z43" i="29" s="1"/>
  <c r="R43" i="29"/>
  <c r="AH43" i="29" s="1"/>
  <c r="T28" i="29"/>
  <c r="N28" i="29"/>
  <c r="T30" i="29"/>
  <c r="V30" i="29" s="1"/>
  <c r="V31" i="29" s="1"/>
  <c r="X49" i="4"/>
  <c r="M29" i="29"/>
  <c r="U29" i="29" s="1"/>
  <c r="Y53" i="4"/>
  <c r="Y52" i="4"/>
  <c r="G27" i="29"/>
  <c r="V62" i="4"/>
  <c r="W62" i="4" s="1"/>
  <c r="X53" i="4"/>
  <c r="V61" i="4"/>
  <c r="W61" i="4" s="1"/>
  <c r="M23" i="29"/>
  <c r="U23" i="29" s="1"/>
  <c r="Y50" i="4"/>
  <c r="M28" i="29"/>
  <c r="X51" i="4"/>
  <c r="Y48" i="4"/>
  <c r="X50" i="4"/>
  <c r="V64" i="4"/>
  <c r="W64" i="4" s="1"/>
  <c r="Y51" i="4"/>
  <c r="X54" i="4"/>
  <c r="M25" i="29"/>
  <c r="U25" i="29" s="1"/>
  <c r="G24" i="29"/>
  <c r="M30" i="29"/>
  <c r="V67" i="4"/>
  <c r="W67" i="4" s="1"/>
  <c r="X52" i="4"/>
  <c r="G26" i="29"/>
  <c r="Y46" i="4"/>
  <c r="V59" i="4"/>
  <c r="W59" i="4" s="1"/>
  <c r="U26" i="29"/>
  <c r="O26" i="29"/>
  <c r="G22" i="29"/>
  <c r="M22" i="29"/>
  <c r="O27" i="29"/>
  <c r="U27" i="29"/>
  <c r="M21" i="29"/>
  <c r="G21" i="29"/>
  <c r="H21" i="29" s="1"/>
  <c r="O24" i="29"/>
  <c r="U24" i="29"/>
  <c r="D39" i="47" l="1"/>
  <c r="D35" i="47"/>
  <c r="D38" i="47"/>
  <c r="D37" i="47"/>
  <c r="X47" i="4"/>
  <c r="X48" i="4"/>
  <c r="V60" i="4"/>
  <c r="W60" i="4" s="1"/>
  <c r="W69" i="4" s="1"/>
  <c r="X55" i="4"/>
  <c r="Y55" i="4"/>
  <c r="K31" i="6"/>
  <c r="K43" i="6" s="1"/>
  <c r="G32" i="46" s="1"/>
  <c r="E50" i="46" s="1"/>
  <c r="C42" i="6"/>
  <c r="O16" i="32" s="1"/>
  <c r="N14" i="51" s="1"/>
  <c r="V30" i="6"/>
  <c r="P28" i="32"/>
  <c r="O26" i="51" s="1"/>
  <c r="G31" i="46"/>
  <c r="E49" i="46" s="1"/>
  <c r="O28" i="32"/>
  <c r="N26" i="51" s="1"/>
  <c r="O31" i="6"/>
  <c r="O43" i="6" s="1"/>
  <c r="AB32" i="46" s="1"/>
  <c r="Z50" i="46" s="1"/>
  <c r="E31" i="6"/>
  <c r="E43" i="6" s="1"/>
  <c r="K43" i="29" s="1"/>
  <c r="G31" i="6"/>
  <c r="G43" i="6" s="1"/>
  <c r="S43" i="29" s="1"/>
  <c r="G42" i="6"/>
  <c r="S42" i="29" s="1"/>
  <c r="Q43" i="6"/>
  <c r="Q42" i="6"/>
  <c r="W42" i="6"/>
  <c r="M141" i="4" s="1"/>
  <c r="Q141" i="4" s="1"/>
  <c r="W43" i="6"/>
  <c r="P32" i="32"/>
  <c r="O30" i="51" s="1"/>
  <c r="AB31" i="46"/>
  <c r="Z49" i="46" s="1"/>
  <c r="O32" i="32"/>
  <c r="N30" i="51" s="1"/>
  <c r="K42" i="29"/>
  <c r="O20" i="32"/>
  <c r="C31" i="6"/>
  <c r="C42" i="29"/>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E25" i="32" s="1"/>
  <c r="D23" i="51" s="1"/>
  <c r="O21" i="29"/>
  <c r="O22" i="29"/>
  <c r="U22" i="29"/>
  <c r="M142" i="4" l="1"/>
  <c r="Q142" i="4" s="1"/>
  <c r="M152" i="4"/>
  <c r="Q152" i="4" s="1"/>
  <c r="W70" i="4"/>
  <c r="N18" i="51"/>
  <c r="C74" i="47"/>
  <c r="D74" i="47" s="1"/>
  <c r="C90" i="47"/>
  <c r="D90" i="47" s="1"/>
  <c r="C75" i="47"/>
  <c r="C91" i="47"/>
  <c r="P24" i="32"/>
  <c r="O22" i="51" s="1"/>
  <c r="P20" i="32"/>
  <c r="C43" i="6"/>
  <c r="C43" i="29" s="1"/>
  <c r="V31" i="6"/>
  <c r="V42" i="6"/>
  <c r="O24" i="32"/>
  <c r="N22" i="51" s="1"/>
  <c r="X25" i="29"/>
  <c r="I25" i="32"/>
  <c r="H23" i="51" s="1"/>
  <c r="X24" i="29"/>
  <c r="H25" i="32"/>
  <c r="G23" i="51" s="1"/>
  <c r="X23" i="29"/>
  <c r="G25" i="32"/>
  <c r="F23" i="51" s="1"/>
  <c r="E48" i="47"/>
  <c r="G15" i="38"/>
  <c r="X29" i="29"/>
  <c r="M25" i="32"/>
  <c r="X27" i="29"/>
  <c r="K25" i="32"/>
  <c r="J23" i="51" s="1"/>
  <c r="AV31" i="46"/>
  <c r="AT49" i="46" s="1"/>
  <c r="N34" i="51"/>
  <c r="AL32" i="46"/>
  <c r="AJ50" i="46" s="1"/>
  <c r="P40" i="32"/>
  <c r="O38" i="51" s="1"/>
  <c r="AL31" i="46"/>
  <c r="AJ49" i="46" s="1"/>
  <c r="O40" i="32"/>
  <c r="N38" i="51" s="1"/>
  <c r="AV32" i="46"/>
  <c r="AT50" i="46" s="1"/>
  <c r="O34" i="51"/>
  <c r="V43" i="6"/>
  <c r="D25" i="38"/>
  <c r="C26" i="47"/>
  <c r="D26" i="47" s="1"/>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6" i="32"/>
  <c r="X21" i="29"/>
  <c r="AC21" i="29"/>
  <c r="W30" i="29"/>
  <c r="AC30" i="29"/>
  <c r="W28" i="29"/>
  <c r="AC28" i="29"/>
  <c r="W22" i="29"/>
  <c r="AC22" i="29"/>
  <c r="M153" i="4" l="1"/>
  <c r="Q153" i="4" s="1"/>
  <c r="M143" i="4"/>
  <c r="Q143" i="4" s="1"/>
  <c r="C42" i="47"/>
  <c r="D42" i="47" s="1"/>
  <c r="F25" i="38"/>
  <c r="P16" i="32"/>
  <c r="O14" i="51" s="1"/>
  <c r="O18" i="51"/>
  <c r="D91" i="47"/>
  <c r="D75" i="47"/>
  <c r="C122" i="47"/>
  <c r="D122" i="47" s="1"/>
  <c r="C123" i="47"/>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P55" i="32"/>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D107" i="47" l="1"/>
  <c r="D26" i="38"/>
  <c r="M144" i="4"/>
  <c r="Q144" i="4" s="1"/>
  <c r="M154" i="4"/>
  <c r="Q154" i="4" s="1"/>
  <c r="C27" i="47"/>
  <c r="D27" i="47" s="1"/>
  <c r="D123" i="47"/>
  <c r="O54" i="51"/>
  <c r="C43" i="47"/>
  <c r="D43" i="47" s="1"/>
  <c r="F53" i="47"/>
  <c r="D59" i="47"/>
  <c r="E55" i="51"/>
  <c r="F51" i="47"/>
  <c r="F56" i="32"/>
  <c r="F34" i="53"/>
  <c r="E24" i="53"/>
  <c r="E34" i="53" s="1"/>
  <c r="K23" i="51"/>
  <c r="G24" i="53"/>
  <c r="G34" i="53" s="1"/>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M155" i="4" l="1"/>
  <c r="Q155" i="4" s="1"/>
  <c r="M145" i="4"/>
  <c r="Q145" i="4" s="1"/>
  <c r="M55" i="51"/>
  <c r="E57" i="47"/>
  <c r="F57" i="47" s="1"/>
  <c r="G24" i="38"/>
  <c r="E55" i="47"/>
  <c r="G22" i="38"/>
  <c r="F49" i="47"/>
  <c r="K55" i="51"/>
  <c r="F41" i="47"/>
  <c r="F40" i="47"/>
  <c r="M146" i="4" l="1"/>
  <c r="Q146" i="4" s="1"/>
  <c r="M156" i="4"/>
  <c r="Q156" i="4" s="1"/>
  <c r="F55" i="47"/>
  <c r="F56" i="47"/>
  <c r="M157" i="4" l="1"/>
  <c r="Q157" i="4" s="1"/>
  <c r="M148" i="4"/>
  <c r="Q148" i="4" s="1"/>
  <c r="M149" i="4" l="1"/>
  <c r="Q149" i="4" s="1"/>
  <c r="M158" i="4"/>
  <c r="Q158" i="4" s="1"/>
  <c r="M159" i="4" l="1"/>
  <c r="Q159" i="4" s="1"/>
  <c r="M150" i="4"/>
  <c r="Q150" i="4" s="1"/>
  <c r="M151" i="4" l="1"/>
  <c r="M160" i="4"/>
  <c r="Q160" i="4" s="1"/>
  <c r="N42" i="29"/>
  <c r="V42" i="29"/>
  <c r="AB42" i="29"/>
  <c r="Q151" i="4" l="1"/>
  <c r="R151" i="4" s="1"/>
  <c r="AR31" i="46" s="1"/>
  <c r="AT31" i="46" s="1"/>
  <c r="M161" i="4"/>
  <c r="Q161" i="4" s="1"/>
  <c r="AD42" i="29"/>
  <c r="AJ42" i="29"/>
  <c r="N31" i="46" l="1"/>
  <c r="P31" i="46" s="1"/>
  <c r="Q31" i="46" s="1"/>
  <c r="X31" i="46"/>
  <c r="Z31" i="46" s="1"/>
  <c r="AD49" i="46" s="1"/>
  <c r="O33" i="32" s="1"/>
  <c r="C31" i="46"/>
  <c r="E31" i="46" s="1"/>
  <c r="F31" i="46" s="1"/>
  <c r="AH31" i="46"/>
  <c r="AJ31" i="46" s="1"/>
  <c r="AK31" i="46" s="1"/>
  <c r="U76" i="4"/>
  <c r="V76" i="4" s="1"/>
  <c r="E31" i="29"/>
  <c r="M162" i="4"/>
  <c r="Q162" i="4" s="1"/>
  <c r="T49" i="46"/>
  <c r="O29" i="32" s="1"/>
  <c r="AW31" i="46"/>
  <c r="AX49" i="46"/>
  <c r="O41" i="32" s="1"/>
  <c r="AU31" i="46"/>
  <c r="AL42" i="29"/>
  <c r="I49" i="46" l="1"/>
  <c r="AA31" i="46"/>
  <c r="AN49" i="46"/>
  <c r="O37" i="32" s="1"/>
  <c r="H30" i="53" s="1"/>
  <c r="G31" i="29"/>
  <c r="H31" i="29" s="1"/>
  <c r="D42" i="29" s="1"/>
  <c r="H42" i="29" s="1"/>
  <c r="M31" i="29"/>
  <c r="H26" i="53"/>
  <c r="N27" i="51"/>
  <c r="H32" i="53"/>
  <c r="N39" i="51"/>
  <c r="U31" i="46"/>
  <c r="U49" i="46"/>
  <c r="O30" i="32" s="1"/>
  <c r="S31" i="46"/>
  <c r="T31" i="46"/>
  <c r="M163" i="4"/>
  <c r="Q163" i="4" s="1"/>
  <c r="AY49" i="46"/>
  <c r="O42" i="32" s="1"/>
  <c r="AX31" i="46"/>
  <c r="H28" i="53"/>
  <c r="N31" i="51"/>
  <c r="AE31" i="46"/>
  <c r="AD31" i="46"/>
  <c r="AC31" i="46"/>
  <c r="AE49" i="46"/>
  <c r="O34" i="32" s="1"/>
  <c r="J31" i="46"/>
  <c r="I31" i="46"/>
  <c r="H31" i="46"/>
  <c r="J49" i="46"/>
  <c r="O26" i="32" s="1"/>
  <c r="AO31" i="46"/>
  <c r="AO49" i="46"/>
  <c r="O38" i="32" s="1"/>
  <c r="AM31" i="46"/>
  <c r="AN31" i="46"/>
  <c r="N35" i="51" l="1"/>
  <c r="O31" i="29"/>
  <c r="U31" i="29"/>
  <c r="O25" i="38"/>
  <c r="E122" i="47"/>
  <c r="F122" i="47" s="1"/>
  <c r="H44" i="53"/>
  <c r="N28" i="51"/>
  <c r="I25" i="38"/>
  <c r="E74" i="47"/>
  <c r="F74" i="47" s="1"/>
  <c r="E90" i="47"/>
  <c r="F90" i="47" s="1"/>
  <c r="K25" i="38"/>
  <c r="N36" i="51"/>
  <c r="H48" i="53"/>
  <c r="N24" i="51"/>
  <c r="H42" i="53"/>
  <c r="O57" i="32"/>
  <c r="N32" i="51"/>
  <c r="H46" i="53"/>
  <c r="N40" i="51"/>
  <c r="H50" i="53"/>
  <c r="M25" i="38" l="1"/>
  <c r="E106" i="47"/>
  <c r="F106" i="47" s="1"/>
  <c r="AC31" i="29"/>
  <c r="W31" i="29"/>
  <c r="P42" i="29"/>
  <c r="O21" i="32" s="1"/>
  <c r="P31" i="29"/>
  <c r="L42" i="29" s="1"/>
  <c r="G90" i="47"/>
  <c r="H90" i="47" s="1"/>
  <c r="L25" i="38"/>
  <c r="G106" i="47"/>
  <c r="H106" i="47" s="1"/>
  <c r="N25" i="38"/>
  <c r="G122" i="47"/>
  <c r="H122" i="47" s="1"/>
  <c r="P25" i="38"/>
  <c r="J25" i="38"/>
  <c r="G74" i="47"/>
  <c r="H74" i="47" s="1"/>
  <c r="H52" i="53"/>
  <c r="G58" i="47"/>
  <c r="H58" i="47" s="1"/>
  <c r="H25" i="38"/>
  <c r="N56" i="51"/>
  <c r="R163" i="4"/>
  <c r="H22" i="53" l="1"/>
  <c r="N19" i="51"/>
  <c r="X31" i="29"/>
  <c r="T42" i="29" s="1"/>
  <c r="X42" i="29"/>
  <c r="O25" i="32" s="1"/>
  <c r="AK31" i="29"/>
  <c r="AM31" i="29" s="1"/>
  <c r="AE31" i="29"/>
  <c r="U77" i="4"/>
  <c r="V77" i="4" s="1"/>
  <c r="E32" i="29"/>
  <c r="H24" i="53" l="1"/>
  <c r="N23" i="51"/>
  <c r="AF42" i="29"/>
  <c r="AF31" i="29"/>
  <c r="E42" i="47"/>
  <c r="F42" i="47" s="1"/>
  <c r="E25" i="38"/>
  <c r="AN31" i="29"/>
  <c r="AN42" i="29"/>
  <c r="O17" i="32" s="1"/>
  <c r="C32" i="46"/>
  <c r="E32" i="46" s="1"/>
  <c r="I50" i="46" s="1"/>
  <c r="P25" i="32" s="1"/>
  <c r="X32" i="46"/>
  <c r="Z32" i="46" s="1"/>
  <c r="N32" i="46"/>
  <c r="P32" i="46" s="1"/>
  <c r="Q32" i="46" s="1"/>
  <c r="U32" i="46" s="1"/>
  <c r="AH32" i="46"/>
  <c r="AJ32" i="46" s="1"/>
  <c r="AK32" i="46" s="1"/>
  <c r="AR32" i="46"/>
  <c r="AT32" i="46" s="1"/>
  <c r="AW32" i="46" s="1"/>
  <c r="M32" i="29"/>
  <c r="G32" i="29"/>
  <c r="E58" i="47" l="1"/>
  <c r="F58" i="47" s="1"/>
  <c r="G25" i="38"/>
  <c r="N15" i="51"/>
  <c r="H20" i="53"/>
  <c r="H34" i="53" s="1"/>
  <c r="O56" i="32"/>
  <c r="AX50" i="46"/>
  <c r="AU32" i="46"/>
  <c r="AY50" i="46" s="1"/>
  <c r="AO32" i="46"/>
  <c r="AN50" i="46"/>
  <c r="T50" i="46"/>
  <c r="P29" i="32" s="1"/>
  <c r="I26" i="53" s="1"/>
  <c r="AA32" i="46"/>
  <c r="AE32" i="46" s="1"/>
  <c r="AD50" i="46"/>
  <c r="F32" i="46"/>
  <c r="H32" i="29"/>
  <c r="D43" i="29" s="1"/>
  <c r="F43" i="29" s="1"/>
  <c r="U32" i="29"/>
  <c r="O32" i="29"/>
  <c r="E26" i="47" l="1"/>
  <c r="F26" i="47" s="1"/>
  <c r="N55" i="51"/>
  <c r="C25" i="38"/>
  <c r="J32" i="46"/>
  <c r="H32" i="46"/>
  <c r="P33" i="32"/>
  <c r="I28" i="53" s="1"/>
  <c r="P37" i="32"/>
  <c r="I30" i="53" s="1"/>
  <c r="P41" i="32"/>
  <c r="I32" i="53" s="1"/>
  <c r="S32" i="46"/>
  <c r="T32" i="46"/>
  <c r="U50" i="46"/>
  <c r="AM32" i="46"/>
  <c r="AN32" i="46"/>
  <c r="AO50" i="46"/>
  <c r="AC32" i="46"/>
  <c r="AD32" i="46"/>
  <c r="AE50" i="46"/>
  <c r="AX32" i="46"/>
  <c r="J50" i="46"/>
  <c r="I32" i="46"/>
  <c r="P32" i="29"/>
  <c r="L43" i="29" s="1"/>
  <c r="N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I24" i="53" s="1"/>
  <c r="N42" i="53" s="1"/>
  <c r="N52" i="53" l="1"/>
  <c r="AD43" i="29"/>
  <c r="AF43" i="29" s="1"/>
  <c r="AJ43" i="29"/>
  <c r="AL43" i="29" l="1"/>
  <c r="AN43" i="29" s="1"/>
  <c r="P17" i="32" s="1"/>
  <c r="P56" i="32" s="1"/>
  <c r="I20" i="53" l="1"/>
  <c r="I34" i="53" l="1"/>
  <c r="K20" i="53" s="1"/>
  <c r="L20" i="53" s="1"/>
  <c r="M20" i="53" l="1"/>
  <c r="O20" i="53" s="1"/>
  <c r="O15" i="51" s="1"/>
  <c r="K24" i="53"/>
  <c r="L24" i="53" s="1"/>
  <c r="M24" i="53" s="1"/>
  <c r="K32" i="53"/>
  <c r="L32" i="53" s="1"/>
  <c r="M32" i="53" s="1"/>
  <c r="K30" i="53"/>
  <c r="L30" i="53" s="1"/>
  <c r="M30" i="53" s="1"/>
  <c r="K28" i="53"/>
  <c r="L28" i="53" s="1"/>
  <c r="M28" i="53" s="1"/>
  <c r="K22" i="53"/>
  <c r="L22" i="53" s="1"/>
  <c r="M22" i="53" s="1"/>
  <c r="M34" i="53"/>
  <c r="K34" i="53"/>
  <c r="K26" i="53"/>
  <c r="L26" i="53" s="1"/>
  <c r="M26" i="53" s="1"/>
  <c r="O26" i="53" l="1"/>
  <c r="O27" i="51"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E27" i="47"/>
  <c r="F27" i="47" s="1"/>
  <c r="C26" i="38"/>
  <c r="I26" i="38" l="1"/>
  <c r="O55" i="5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6" authorId="0" shapeId="0" xr:uid="{00000000-0006-0000-0B00-00000100000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xr:uid="{00000000-0006-0000-0B00-00000200000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<sst xmlns="http://schemas.openxmlformats.org/spreadsheetml/2006/main" count="1215" uniqueCount="404">
  <si>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</si>
  <si>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</si>
  <si>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</si>
  <si>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</si>
  <si>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</si>
  <si>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</si>
  <si>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</si>
  <si>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</si>
  <si>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</si>
  <si>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</si>
  <si>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</si>
  <si>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</si>
  <si>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</si>
  <si>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</si>
  <si>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</si>
  <si>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</si>
  <si>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</si>
  <si>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</si>
  <si>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</si>
  <si>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</si>
  <si>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</si>
  <si>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</si>
  <si>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</si>
  <si>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</si>
  <si>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</si>
  <si>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</si>
  <si>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</si>
  <si>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</si>
  <si>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</si>
  <si>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</si>
  <si>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</si>
  <si>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</si>
  <si>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</si>
  <si>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</si>
  <si>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</si>
  <si>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</si>
  <si>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</si>
  <si>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</si>
  <si>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</si>
  <si>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</si>
  <si>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</si>
  <si>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</si>
  <si>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</si>
  <si>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</si>
  <si>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</si>
  <si>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</si>
  <si>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</si>
  <si>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</si>
  <si>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</si>
  <si>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</si>
  <si>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</si>
  <si>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</si>
  <si>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</si>
  <si>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</si>
  <si>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</si>
  <si>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</si>
  <si>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</si>
  <si>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</si>
  <si>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</si>
  <si>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</si>
  <si>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</si>
  <si>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</si>
  <si>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</si>
  <si>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</si>
  <si>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</si>
  <si>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</si>
  <si>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</si>
  <si>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</si>
  <si>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</si>
  <si>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</si>
  <si>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</si>
  <si>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</si>
  <si>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</si>
  <si>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</si>
  <si>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</si>
  <si>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</si>
  <si>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</si>
  <si>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</si>
  <si>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</si>
  <si>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</si>
  <si>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</si>
  <si>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</si>
  <si>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</si>
  <si>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</si>
  <si>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</si>
  <si>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</si>
  <si>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</si>
  <si>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</si>
  <si>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</si>
  <si>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</si>
  <si>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</si>
  <si>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</si>
  <si>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</si>
  <si>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</si>
  <si>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</si>
  <si>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</si>
  <si>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</si>
  <si>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</si>
  <si>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</si>
  <si>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</si>
  <si>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</si>
  <si>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</si>
  <si>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</si>
  <si>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</si>
  <si>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</si>
  <si>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</si>
  <si>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</si>
  <si>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</si>
  <si>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</si>
  <si>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</si>
  <si>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</si>
  <si>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</si>
  <si>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</si>
  <si>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</si>
  <si>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</si>
  <si>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</si>
  <si>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</si>
  <si>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</si>
  <si>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</si>
  <si>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</si>
  <si>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</si>
  <si>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</si>
  <si>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</si>
  <si>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</si>
  <si>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</si>
  <si>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</si>
  <si>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</si>
  <si>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</si>
  <si>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</si>
  <si>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</si>
  <si>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</si>
  <si>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</si>
  <si>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</si>
  <si>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</si>
  <si>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</si>
  <si>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</si>
  <si>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</si>
  <si>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</si>
  <si>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</si>
  <si>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</si>
  <si>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</si>
  <si>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</si>
  <si>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</si>
  <si>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</si>
  <si>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</si>
  <si>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</si>
  <si>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</si>
  <si>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</si>
  <si>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</si>
  <si>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</si>
  <si>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</si>
  <si>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</si>
  <si>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</si>
  <si>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</si>
  <si>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</si>
  <si>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</si>
  <si>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</si>
  <si>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</si>
  <si>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</si>
  <si>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</si>
  <si>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</si>
  <si>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</si>
  <si>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</si>
  <si>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</si>
  <si>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</si>
  <si>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</si>
  <si>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</si>
  <si>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</si>
  <si>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</si>
  <si>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</si>
  <si>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</si>
  <si>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</si>
  <si>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</si>
  <si>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</si>
  <si>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</si>
  <si>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</si>
  <si>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</si>
  <si>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</si>
  <si>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</si>
  <si>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</si>
  <si>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</si>
  <si>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</si>
  <si>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</si>
  <si>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</si>
  <si>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</si>
  <si>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</si>
  <si>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</si>
  <si>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</si>
  <si>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</si>
  <si>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</si>
  <si>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</si>
  <si>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</si>
  <si>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</si>
  <si>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</si>
  <si>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</si>
  <si>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</si>
  <si>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</si>
  <si>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</si>
  <si>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</si>
  <si>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</si>
  <si>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</si>
  <si>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</si>
  <si>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</si>
  <si>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</si>
  <si>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</si>
  <si>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</si>
  <si>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</si>
  <si>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</si>
  <si>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</si>
  <si>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</si>
  <si>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</si>
  <si>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</si>
  <si>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</si>
  <si>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</si>
  <si>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</si>
  <si>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</si>
  <si>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</si>
  <si>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</si>
  <si>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</si>
  <si>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</si>
  <si>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</si>
  <si>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</si>
  <si>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</si>
  <si>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</si>
  <si>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</si>
  <si>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</si>
  <si>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</si>
  <si>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</si>
  <si>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</si>
  <si>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</si>
  <si>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</si>
  <si>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</si>
  <si>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</si>
  <si>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</si>
  <si>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</si>
  <si>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Non-WN/kW</t>
  </si>
  <si>
    <t>Streetlighting-Non-WN/kW</t>
  </si>
  <si>
    <t>Sentinel 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</si>
  <si>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</si>
  <si>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</si>
  <si>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</si>
  <si>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</si>
  <si>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</si>
  <si>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</si>
  <si>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</si>
  <si>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</si>
  <si>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</si>
  <si>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</si>
  <si>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</si>
  <si>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</si>
  <si>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</si>
  <si>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</si>
  <si>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</si>
  <si>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</si>
  <si>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</si>
  <si>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</si>
  <si>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</si>
  <si>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 xml:space="preserve">Load Forecast Model version 1.0 © CHEC </t>
  </si>
  <si>
    <t>Input cells</t>
  </si>
  <si>
    <t>Drop down cells</t>
  </si>
  <si>
    <t>Model Notes</t>
  </si>
  <si>
    <t>2017</t>
  </si>
  <si>
    <t>General Service 3000-4999 kW</t>
  </si>
  <si>
    <t>General Service &gt; 50 kW - 2999 kW</t>
  </si>
  <si>
    <t>General Service &gt; 50 kW - 2999 kW-Non-WN/kW</t>
  </si>
  <si>
    <t>General Service 3000-4999 kW-Non-WN/kW</t>
  </si>
  <si>
    <t>Unmetered Scattered Load-Non-WN/kW</t>
  </si>
  <si>
    <t>Weather</t>
  </si>
  <si>
    <t>Normal</t>
  </si>
  <si>
    <t>Non-Weather</t>
  </si>
  <si>
    <t>Actual kWh Purchased</t>
  </si>
  <si>
    <t>Year over Year</t>
  </si>
  <si>
    <t>Predicted kWh</t>
  </si>
  <si>
    <t>Purchased vs Predicted</t>
  </si>
  <si>
    <t>Large Customer</t>
  </si>
  <si>
    <t>MicroFIT/FIT Generation</t>
  </si>
  <si>
    <t>Total Annual Net CDM Results</t>
  </si>
  <si>
    <t>Months</t>
  </si>
  <si>
    <t>2011 - January</t>
  </si>
  <si>
    <t>2011 - February</t>
  </si>
  <si>
    <t>2011 - March</t>
  </si>
  <si>
    <t>2011 - April</t>
  </si>
  <si>
    <t>2011 - May</t>
  </si>
  <si>
    <t>2011 - June</t>
  </si>
  <si>
    <t>2012 - July</t>
  </si>
  <si>
    <t>2011 - July</t>
  </si>
  <si>
    <t>2011 - August</t>
  </si>
  <si>
    <t>2011 - September</t>
  </si>
  <si>
    <t xml:space="preserve">2011 - October </t>
  </si>
  <si>
    <t>2011 - November</t>
  </si>
  <si>
    <t>2011 - December</t>
  </si>
  <si>
    <t>2012 - December</t>
  </si>
  <si>
    <t>2013 - December</t>
  </si>
  <si>
    <t>2014 - December</t>
  </si>
  <si>
    <t>2012 - January</t>
  </si>
  <si>
    <t>2012 - February</t>
  </si>
  <si>
    <t>2012 - March</t>
  </si>
  <si>
    <t>2012 - April</t>
  </si>
  <si>
    <t>2012 - May</t>
  </si>
  <si>
    <t>2012 - June</t>
  </si>
  <si>
    <t>2012 - August</t>
  </si>
  <si>
    <t>2012 - September</t>
  </si>
  <si>
    <t>2012 - October</t>
  </si>
  <si>
    <t>2012 - November</t>
  </si>
  <si>
    <t>2013 - January</t>
  </si>
  <si>
    <t>2013 - February</t>
  </si>
  <si>
    <t>2013 - March</t>
  </si>
  <si>
    <t>2013 - April</t>
  </si>
  <si>
    <t>2013 - May</t>
  </si>
  <si>
    <t>2013 - June</t>
  </si>
  <si>
    <t>2013 - July</t>
  </si>
  <si>
    <t>2013 - August</t>
  </si>
  <si>
    <t>2013 - September</t>
  </si>
  <si>
    <t>2013 - October</t>
  </si>
  <si>
    <t>2013 - November</t>
  </si>
  <si>
    <t>2014 - January</t>
  </si>
  <si>
    <t>2014 - February</t>
  </si>
  <si>
    <t>2014 - March</t>
  </si>
  <si>
    <t>2014 - April</t>
  </si>
  <si>
    <t>2014 - May</t>
  </si>
  <si>
    <t>2014 - June</t>
  </si>
  <si>
    <t>2014 - July</t>
  </si>
  <si>
    <t>2014 - August</t>
  </si>
  <si>
    <t>2014 - September</t>
  </si>
  <si>
    <t>2014 - October</t>
  </si>
  <si>
    <t>2014 - November</t>
  </si>
  <si>
    <t>2015 - January</t>
  </si>
  <si>
    <t>2015 - February</t>
  </si>
  <si>
    <t>2015 - March</t>
  </si>
  <si>
    <t>2015 - April</t>
  </si>
  <si>
    <t>2015 - May</t>
  </si>
  <si>
    <t>2015 - June</t>
  </si>
  <si>
    <t>2015 - July</t>
  </si>
  <si>
    <t>2015 - August</t>
  </si>
  <si>
    <t>2015 - September</t>
  </si>
  <si>
    <t>2015 - October</t>
  </si>
  <si>
    <t>2015 - November</t>
  </si>
  <si>
    <t>2015 - December</t>
  </si>
  <si>
    <t>CDM Adjustment</t>
  </si>
  <si>
    <t>Proposed Loss Factor (TLF)</t>
  </si>
  <si>
    <t xml:space="preserve">Spring and Fall </t>
  </si>
  <si>
    <t>incl persistance</t>
  </si>
  <si>
    <t>File Number:</t>
  </si>
  <si>
    <t>Exhibit:</t>
  </si>
  <si>
    <t>Tab:</t>
  </si>
  <si>
    <t>Schedule:</t>
  </si>
  <si>
    <t>Page:</t>
  </si>
  <si>
    <t>34-35</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</si>
  <si>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</si>
  <si>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</si>
  <si>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</si>
  <si>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</si>
  <si>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</si>
  <si>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</si>
  <si>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</si>
  <si>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</si>
  <si>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</si>
  <si>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</si>
  <si>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</si>
  <si>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</si>
  <si>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</si>
  <si>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</si>
  <si>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</si>
  <si>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</si>
  <si>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</si>
  <si>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</si>
  <si>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</si>
  <si>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</si>
  <si>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</si>
  <si>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</si>
  <si>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</si>
  <si>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</si>
  <si>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</si>
  <si>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</si>
  <si>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</si>
  <si>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</si>
  <si>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</si>
  <si>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2017</t>
  </si>
  <si>
    <t>CDM adjustment for test year forecast (per Board Decision in distributor's most recent Cost of Service Application) (enter as negative)</t>
  </si>
  <si>
    <t>Amount used for CDM threshold for LRAMVA (2016)</t>
  </si>
  <si>
    <t>Manual Adjustment for 2016 Load Forecast (billed basis)</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</si>
  <si>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</si>
  <si>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</si>
  <si>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</si>
  <si>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Peak Number of Hours</t>
  </si>
  <si>
    <t>Spring and Fall</t>
  </si>
  <si>
    <t>Note: Updated the Regression Analysis to reflect updates in variables (GDP and Employment)</t>
  </si>
  <si>
    <t>Note: Increase by 2900kW from 36,978 to 39878 as per Partial Settlement Agreement</t>
  </si>
  <si>
    <t>2021</t>
  </si>
  <si>
    <t>2022</t>
  </si>
  <si>
    <t>2001</t>
  </si>
  <si>
    <t>Equation Parameters</t>
  </si>
  <si>
    <t>okay</t>
  </si>
  <si>
    <t>Multiple Regression Equation</t>
  </si>
  <si>
    <t>Interecept</t>
  </si>
  <si>
    <t>Customer #</t>
  </si>
  <si>
    <t>2020 Actual</t>
  </si>
  <si>
    <t>2020 Updated</t>
  </si>
  <si>
    <t xml:space="preserve">Lakefront Utilities Inc. </t>
  </si>
  <si>
    <t>Coboourg/Colborne</t>
  </si>
  <si>
    <t>EB-2021-0039</t>
  </si>
  <si>
    <t>Adam Giddings, Director of Regulatory Finance</t>
  </si>
  <si>
    <t>905-372-2193 ext: 5242</t>
  </si>
  <si>
    <t>agiddings@lusi.on.ca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</si>
</sst>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0.00%;\(0.00%\)"/>
  </numFmts>
  <fonts count="140">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sz val="12"/>
      <name val="Calibri"/>
      <family val="2"/>
    </font>
    <font>
      <sz val="10"/>
      <name val="Calibri"/>
      <family val="2"/>
    </font>
    <font>
      <sz val="11"/>
      <name val="Calibri"/>
      <family val="2"/>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i/>
      <sz val="8"/>
      <color theme="0" tint="-0.14999847407452621"/>
      <name val="Effra-Regular"/>
    </font>
    <font>
      <sz val="10"/>
      <name val="Effra-Regular"/>
    </font>
    <font>
      <b/>
      <sz val="10"/>
      <name val="Effra-Regular"/>
    </font>
    <font>
      <sz val="8"/>
      <name val="Times New Roman"/>
      <family val="1"/>
    </font>
    <font>
      <u/>
      <sz val="10"/>
      <color theme="10"/>
      <name val="Times New Roman"/>
      <family val="1"/>
    </font>
  </fonts>
  <fills count="7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
      <left/>
      <right/>
      <top/>
      <bottom style="thin">
        <color theme="0"/>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448">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165" fontId="15" fillId="0" borderId="0" applyFont="0" applyFill="0" applyBorder="0" applyAlignment="0" applyProtection="0"/>
    <xf numFmtId="43" fontId="24"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0" fillId="0" borderId="0"/>
    <xf numFmtId="0" fontId="10"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59" fillId="0" borderId="0" applyFont="0" applyFill="0" applyBorder="0" applyAlignment="0" applyProtection="0"/>
    <xf numFmtId="43" fontId="11" fillId="0" borderId="0" applyFont="0" applyFill="0" applyBorder="0" applyAlignment="0" applyProtection="0"/>
    <xf numFmtId="165" fontId="1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15" fillId="0" borderId="0"/>
    <xf numFmtId="165"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177" fontId="11" fillId="0" borderId="0"/>
    <xf numFmtId="178" fontId="11" fillId="0" borderId="0"/>
    <xf numFmtId="177" fontId="11" fillId="0" borderId="0"/>
    <xf numFmtId="177" fontId="11" fillId="0" borderId="0"/>
    <xf numFmtId="177" fontId="11" fillId="0" borderId="0"/>
    <xf numFmtId="177" fontId="11" fillId="0" borderId="0"/>
    <xf numFmtId="179" fontId="11" fillId="0" borderId="0"/>
    <xf numFmtId="180" fontId="11" fillId="0" borderId="0"/>
    <xf numFmtId="179" fontId="11" fillId="0" borderId="0"/>
    <xf numFmtId="3" fontId="1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1" fontId="11" fillId="0" borderId="0"/>
    <xf numFmtId="181" fontId="11" fillId="0" borderId="0"/>
    <xf numFmtId="181" fontId="11" fillId="0" borderId="0"/>
    <xf numFmtId="181" fontId="11" fillId="0" borderId="0"/>
    <xf numFmtId="181" fontId="11" fillId="0" borderId="0"/>
    <xf numFmtId="183" fontId="11" fillId="0" borderId="0"/>
    <xf numFmtId="10" fontId="11"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4" fontId="11" fillId="0" borderId="0" applyFont="0" applyFill="0" applyBorder="0" applyAlignment="0" applyProtection="0"/>
    <xf numFmtId="0" fontId="5" fillId="0" borderId="0"/>
    <xf numFmtId="0" fontId="5" fillId="0" borderId="0"/>
    <xf numFmtId="182"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165"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4" fontId="11" fillId="0" borderId="0" applyFont="0" applyFill="0" applyBorder="0" applyAlignment="0" applyProtection="0"/>
    <xf numFmtId="43"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16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15" fillId="0" borderId="0"/>
    <xf numFmtId="165"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 fillId="0" borderId="0"/>
    <xf numFmtId="0" fontId="139" fillId="0" borderId="0" applyNumberFormat="0" applyFill="0" applyBorder="0" applyAlignment="0" applyProtection="0"/>
  </cellStyleXfs>
  <cellXfs count="1222">
    <xf numFmtId="0" fontId="0" fillId="0" borderId="0" xfId="0"/>
    <xf numFmtId="0" fontId="11" fillId="0" borderId="0" xfId="0" applyFont="1"/>
    <xf numFmtId="0" fontId="45" fillId="0" borderId="0" xfId="0" applyFont="1" applyBorder="1" applyAlignment="1">
      <alignment horizontal="left" vertic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6" fontId="11" fillId="0" borderId="1" xfId="0" applyNumberFormat="1" applyFont="1" applyBorder="1" applyAlignment="1">
      <alignment horizontal="center"/>
    </xf>
    <xf numFmtId="166"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6" fontId="17" fillId="0" borderId="1" xfId="0" applyNumberFormat="1" applyFont="1" applyBorder="1" applyAlignment="1">
      <alignment horizontal="center"/>
    </xf>
    <xf numFmtId="0" fontId="17" fillId="0" borderId="1" xfId="0" applyFont="1" applyBorder="1" applyAlignment="1">
      <alignment horizontal="center"/>
    </xf>
    <xf numFmtId="166" fontId="17" fillId="0" borderId="8" xfId="0" applyNumberFormat="1" applyFont="1" applyBorder="1" applyAlignment="1">
      <alignment horizont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49" fontId="11" fillId="0" borderId="9" xfId="0" applyNumberFormat="1" applyFont="1" applyBorder="1" applyAlignment="1">
      <alignment horizontal="center"/>
    </xf>
    <xf numFmtId="0" fontId="11" fillId="0" borderId="10" xfId="0" applyFont="1" applyFill="1" applyBorder="1" applyAlignment="1">
      <alignment horizontal="center"/>
    </xf>
    <xf numFmtId="0" fontId="11" fillId="0" borderId="12" xfId="0" applyFont="1" applyFill="1" applyBorder="1"/>
    <xf numFmtId="0" fontId="11" fillId="0" borderId="13" xfId="0" applyFont="1" applyFill="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6" fontId="11" fillId="0" borderId="11" xfId="0" applyNumberFormat="1" applyFont="1" applyBorder="1" applyAlignment="1">
      <alignment horizontal="center"/>
    </xf>
    <xf numFmtId="0" fontId="11" fillId="0" borderId="0" xfId="0" applyFont="1" applyFill="1" applyBorder="1"/>
    <xf numFmtId="2" fontId="44" fillId="0"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2" xfId="0" applyFont="1" applyFill="1" applyBorder="1" applyAlignment="1">
      <alignment horizontal="center"/>
    </xf>
    <xf numFmtId="2" fontId="44" fillId="0" borderId="8" xfId="0" applyNumberFormat="1" applyFont="1" applyFill="1" applyBorder="1" applyAlignment="1">
      <alignment horizontal="center"/>
    </xf>
    <xf numFmtId="0" fontId="11" fillId="0" borderId="16" xfId="0" applyFont="1" applyFill="1" applyBorder="1" applyAlignment="1">
      <alignment horizontal="center"/>
    </xf>
    <xf numFmtId="0" fontId="11" fillId="0" borderId="9" xfId="0" applyFont="1" applyFill="1" applyBorder="1" applyAlignment="1">
      <alignment horizontal="center"/>
    </xf>
    <xf numFmtId="2" fontId="44" fillId="0" borderId="11" xfId="0" applyNumberFormat="1" applyFont="1" applyFill="1" applyBorder="1" applyAlignment="1">
      <alignment horizontal="center"/>
    </xf>
    <xf numFmtId="0" fontId="11" fillId="0" borderId="17" xfId="0" applyFont="1" applyFill="1" applyBorder="1" applyAlignment="1">
      <alignment horizontal="center"/>
    </xf>
    <xf numFmtId="2" fontId="44" fillId="0" borderId="18" xfId="0" applyNumberFormat="1" applyFont="1" applyFill="1" applyBorder="1" applyAlignment="1">
      <alignment horizontal="center"/>
    </xf>
    <xf numFmtId="2" fontId="44" fillId="0" borderId="13" xfId="0" applyNumberFormat="1" applyFont="1" applyFill="1" applyBorder="1" applyAlignment="1">
      <alignment horizontal="center"/>
    </xf>
    <xf numFmtId="0" fontId="11" fillId="0" borderId="20" xfId="0" applyFont="1" applyFill="1" applyBorder="1" applyAlignment="1">
      <alignment horizontal="left"/>
    </xf>
    <xf numFmtId="17" fontId="11" fillId="0" borderId="15" xfId="0" applyNumberFormat="1" applyFont="1" applyFill="1" applyBorder="1" applyAlignment="1">
      <alignment horizontal="center"/>
    </xf>
    <xf numFmtId="1" fontId="44" fillId="33" borderId="8"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Fill="1" applyBorder="1" applyAlignment="1">
      <alignment horizontal="center"/>
    </xf>
    <xf numFmtId="0" fontId="11" fillId="0" borderId="0" xfId="0" applyFont="1" applyAlignment="1">
      <alignment horizontal="center"/>
    </xf>
    <xf numFmtId="0" fontId="11" fillId="0" borderId="1" xfId="0" applyFont="1" applyBorder="1"/>
    <xf numFmtId="17" fontId="11" fillId="0" borderId="0" xfId="0" applyNumberFormat="1" applyFont="1" applyBorder="1"/>
    <xf numFmtId="0" fontId="11" fillId="0" borderId="0" xfId="0" applyFont="1" applyAlignment="1">
      <alignment horizontal="left"/>
    </xf>
    <xf numFmtId="0" fontId="11" fillId="0" borderId="0" xfId="0" applyFont="1" applyFill="1"/>
    <xf numFmtId="0" fontId="47" fillId="0" borderId="0" xfId="0" applyFont="1" applyBorder="1" applyAlignment="1">
      <alignment horizontal="left" vertical="center"/>
    </xf>
    <xf numFmtId="0" fontId="11" fillId="0" borderId="0" xfId="0" applyFont="1" applyBorder="1"/>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Fill="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Border="1" applyAlignment="1">
      <alignment horizontal="center" vertical="center" wrapText="1"/>
    </xf>
    <xf numFmtId="3" fontId="44" fillId="0" borderId="0" xfId="0" applyNumberFormat="1" applyFont="1" applyBorder="1" applyAlignment="1">
      <alignment horizontal="center" vertical="center" wrapText="1"/>
    </xf>
    <xf numFmtId="0" fontId="46" fillId="0" borderId="30" xfId="0" applyFont="1" applyFill="1" applyBorder="1" applyAlignment="1">
      <alignment horizontal="center" vertical="center" wrapText="1"/>
    </xf>
    <xf numFmtId="3" fontId="46" fillId="0" borderId="0" xfId="0" applyNumberFormat="1" applyFont="1" applyBorder="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8"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8" xfId="0" applyFont="1" applyFill="1" applyBorder="1" applyAlignment="1">
      <alignment horizontal="center" vertical="center" wrapText="1"/>
    </xf>
    <xf numFmtId="3" fontId="46" fillId="0" borderId="1" xfId="0" applyNumberFormat="1" applyFont="1" applyFill="1" applyBorder="1" applyAlignment="1">
      <alignment horizontal="center" vertical="center" wrapText="1"/>
    </xf>
    <xf numFmtId="3" fontId="46" fillId="0" borderId="8" xfId="0" applyNumberFormat="1" applyFont="1" applyFill="1" applyBorder="1" applyAlignment="1">
      <alignment horizontal="center" vertical="center" wrapText="1"/>
    </xf>
    <xf numFmtId="3" fontId="46" fillId="0" borderId="10" xfId="0" applyNumberFormat="1"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0" xfId="0" applyFont="1" applyFill="1" applyAlignment="1">
      <alignment horizontal="center"/>
    </xf>
    <xf numFmtId="0" fontId="21" fillId="0" borderId="0" xfId="0" applyFont="1" applyFill="1" applyAlignment="1">
      <alignment horizontal="left"/>
    </xf>
    <xf numFmtId="0" fontId="22" fillId="0" borderId="0" xfId="0" applyFont="1" applyFill="1" applyAlignment="1">
      <alignment horizontal="left"/>
    </xf>
    <xf numFmtId="0" fontId="11" fillId="0" borderId="0" xfId="521" applyFont="1"/>
    <xf numFmtId="0" fontId="27" fillId="0" borderId="0" xfId="524" applyFont="1" applyFill="1"/>
    <xf numFmtId="0" fontId="11" fillId="0" borderId="0" xfId="521" applyFont="1" applyAlignment="1">
      <alignment horizontal="left"/>
    </xf>
    <xf numFmtId="0" fontId="27" fillId="0" borderId="0" xfId="524" applyFont="1"/>
    <xf numFmtId="9" fontId="11" fillId="0" borderId="0" xfId="559" applyFont="1" applyFill="1"/>
    <xf numFmtId="9" fontId="27" fillId="0" borderId="0" xfId="524" applyNumberFormat="1" applyFont="1" applyFill="1"/>
    <xf numFmtId="9" fontId="27" fillId="0" borderId="0" xfId="524" applyNumberFormat="1" applyFon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Fill="1" applyBorder="1" applyAlignment="1">
      <alignment horizontal="center"/>
    </xf>
    <xf numFmtId="167"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0" fontId="11" fillId="0" borderId="0" xfId="521" applyFont="1" applyFill="1" applyBorder="1"/>
    <xf numFmtId="1" fontId="11" fillId="0" borderId="0" xfId="521" applyNumberFormat="1" applyFont="1" applyFill="1" applyBorder="1" applyAlignment="1">
      <alignment horizontal="center"/>
    </xf>
    <xf numFmtId="1" fontId="44" fillId="0" borderId="0" xfId="521" applyNumberFormat="1" applyFont="1" applyFill="1" applyBorder="1" applyAlignment="1">
      <alignment horizontal="center"/>
    </xf>
    <xf numFmtId="0" fontId="11" fillId="0" borderId="0" xfId="521" applyFont="1" applyFill="1"/>
    <xf numFmtId="0" fontId="11" fillId="0" borderId="0" xfId="521" applyFont="1" applyFill="1" applyBorder="1" applyAlignment="1">
      <alignment horizontal="center"/>
    </xf>
    <xf numFmtId="3" fontId="11" fillId="0" borderId="0" xfId="521" applyNumberFormat="1" applyFont="1" applyFill="1" applyBorder="1" applyAlignment="1">
      <alignment horizontal="center"/>
    </xf>
    <xf numFmtId="3" fontId="44" fillId="0" borderId="0" xfId="521" applyNumberFormat="1" applyFont="1" applyFill="1" applyBorder="1" applyAlignment="1">
      <alignment horizontal="center"/>
    </xf>
    <xf numFmtId="0" fontId="53" fillId="0" borderId="0" xfId="521" applyFont="1" applyFill="1" applyBorder="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Border="1" applyAlignment="1">
      <alignment horizontal="left" vertical="center"/>
    </xf>
    <xf numFmtId="0" fontId="46" fillId="0" borderId="0" xfId="0" applyFont="1" applyFill="1" applyBorder="1" applyAlignment="1">
      <alignment vertical="top"/>
    </xf>
    <xf numFmtId="0" fontId="11" fillId="0" borderId="0" xfId="0" applyFont="1" applyProtection="1"/>
    <xf numFmtId="0" fontId="0" fillId="0" borderId="0" xfId="0" applyAlignment="1">
      <alignment horizontal="center"/>
    </xf>
    <xf numFmtId="0" fontId="25" fillId="0" borderId="0" xfId="0" applyFont="1" applyAlignment="1">
      <alignment horizontal="center" vertical="top"/>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171" fontId="11" fillId="0" borderId="0" xfId="383" applyNumberFormat="1" applyFont="1" applyFill="1" applyBorder="1" applyAlignment="1">
      <alignment horizontal="left"/>
    </xf>
    <xf numFmtId="0" fontId="11" fillId="0" borderId="0" xfId="0" applyFont="1" applyBorder="1" applyProtection="1"/>
    <xf numFmtId="0" fontId="11" fillId="0" borderId="0" xfId="0" applyFont="1" applyAlignment="1" applyProtection="1">
      <alignment vertical="center"/>
    </xf>
    <xf numFmtId="0" fontId="11" fillId="0" borderId="0" xfId="0" applyFont="1" applyFill="1" applyAlignment="1" applyProtection="1">
      <alignment vertical="center"/>
    </xf>
    <xf numFmtId="0" fontId="11" fillId="33" borderId="0" xfId="0" applyFont="1" applyFill="1" applyBorder="1" applyAlignment="1" applyProtection="1">
      <alignment vertical="center"/>
    </xf>
    <xf numFmtId="0" fontId="11" fillId="0" borderId="0" xfId="0" applyFont="1" applyBorder="1" applyAlignment="1">
      <alignment horizontal="center"/>
    </xf>
    <xf numFmtId="0" fontId="46" fillId="0" borderId="0" xfId="0" applyFont="1" applyFill="1" applyBorder="1" applyAlignment="1">
      <alignment horizontal="center" vertical="center" wrapText="1"/>
    </xf>
    <xf numFmtId="3" fontId="49" fillId="0" borderId="0" xfId="0" applyNumberFormat="1" applyFont="1" applyBorder="1" applyAlignment="1">
      <alignment horizontal="center" vertical="center" wrapText="1"/>
    </xf>
    <xf numFmtId="0" fontId="44" fillId="34" borderId="0" xfId="0" applyFont="1" applyFill="1" applyBorder="1" applyAlignment="1">
      <alignment horizontal="center" vertical="center" wrapText="1"/>
    </xf>
    <xf numFmtId="3" fontId="44" fillId="34" borderId="0" xfId="0" applyNumberFormat="1" applyFont="1" applyFill="1" applyBorder="1" applyAlignment="1">
      <alignment horizontal="center" vertical="center" wrapText="1"/>
    </xf>
    <xf numFmtId="10" fontId="44" fillId="34" borderId="0" xfId="0" applyNumberFormat="1" applyFont="1" applyFill="1" applyBorder="1" applyAlignment="1">
      <alignment horizontal="center" vertical="center" wrapText="1"/>
    </xf>
    <xf numFmtId="3" fontId="44" fillId="34" borderId="0" xfId="0" applyNumberFormat="1" applyFont="1" applyFill="1" applyBorder="1" applyAlignment="1">
      <alignment horizontal="left" vertical="center"/>
    </xf>
    <xf numFmtId="0" fontId="11" fillId="34" borderId="0" xfId="0" applyFont="1" applyFill="1"/>
    <xf numFmtId="0" fontId="11" fillId="34" borderId="0" xfId="0" applyFont="1" applyFill="1" applyBorder="1"/>
    <xf numFmtId="0" fontId="54" fillId="0" borderId="0" xfId="0" applyFont="1" applyFill="1" applyBorder="1" applyAlignment="1">
      <alignment horizontal="left" vertical="center"/>
    </xf>
    <xf numFmtId="0" fontId="51"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11" fillId="0" borderId="0" xfId="0" applyFont="1" applyFill="1" applyAlignment="1">
      <alignment horizontal="center"/>
    </xf>
    <xf numFmtId="0" fontId="26" fillId="0" borderId="0" xfId="0" applyFont="1" applyAlignment="1">
      <alignment horizontal="left" vertical="top"/>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11" fillId="0" borderId="38" xfId="0" applyFont="1" applyFill="1" applyBorder="1" applyAlignment="1">
      <alignment horizontal="center"/>
    </xf>
    <xf numFmtId="49" fontId="11" fillId="0" borderId="15" xfId="0" applyNumberFormat="1" applyFont="1" applyFill="1" applyBorder="1" applyAlignment="1">
      <alignment horizontal="center"/>
    </xf>
    <xf numFmtId="49" fontId="18" fillId="0" borderId="9" xfId="516" applyNumberFormat="1" applyFont="1" applyFill="1" applyBorder="1" applyAlignment="1">
      <alignment horizontal="center"/>
    </xf>
    <xf numFmtId="49" fontId="18" fillId="0" borderId="2" xfId="516" applyNumberFormat="1" applyFont="1" applyFill="1" applyBorder="1" applyAlignment="1">
      <alignment horizontal="center"/>
    </xf>
    <xf numFmtId="0" fontId="11" fillId="0" borderId="23" xfId="0" applyFont="1" applyFill="1" applyBorder="1" applyAlignment="1">
      <alignment horizontal="center"/>
    </xf>
    <xf numFmtId="0" fontId="11" fillId="0" borderId="4" xfId="0" applyFont="1" applyBorder="1" applyAlignment="1">
      <alignment horizontal="center" wrapText="1"/>
    </xf>
    <xf numFmtId="1" fontId="11" fillId="0" borderId="23" xfId="0" applyNumberFormat="1" applyFont="1" applyFill="1" applyBorder="1" applyAlignment="1">
      <alignment horizontal="center"/>
    </xf>
    <xf numFmtId="0" fontId="11" fillId="0" borderId="30" xfId="0" applyFont="1" applyFill="1" applyBorder="1" applyAlignment="1">
      <alignment horizontal="center"/>
    </xf>
    <xf numFmtId="166" fontId="11" fillId="0" borderId="1" xfId="0" applyNumberFormat="1" applyFont="1" applyFill="1" applyBorder="1" applyAlignment="1">
      <alignment horizontal="center"/>
    </xf>
    <xf numFmtId="166" fontId="11" fillId="0" borderId="8" xfId="0" applyNumberFormat="1" applyFont="1" applyFill="1" applyBorder="1" applyAlignment="1">
      <alignment horizontal="center"/>
    </xf>
    <xf numFmtId="17" fontId="11" fillId="0" borderId="0" xfId="0" applyNumberFormat="1" applyFont="1" applyBorder="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8" fontId="46" fillId="0" borderId="0" xfId="0" applyNumberFormat="1" applyFont="1" applyBorder="1" applyAlignment="1">
      <alignment horizontal="center" vertical="center" wrapText="1"/>
    </xf>
    <xf numFmtId="168" fontId="17" fillId="0" borderId="0" xfId="0" applyNumberFormat="1" applyFont="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4" fillId="0" borderId="10" xfId="557" applyFont="1" applyFill="1" applyBorder="1" applyAlignment="1">
      <alignment horizontal="center" vertical="center" wrapText="1"/>
    </xf>
    <xf numFmtId="0" fontId="46" fillId="0" borderId="46" xfId="0" applyFont="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8" fontId="17" fillId="0" borderId="8" xfId="0" applyNumberFormat="1" applyFont="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xf numFmtId="0" fontId="11" fillId="0" borderId="43" xfId="0" applyFont="1" applyBorder="1"/>
    <xf numFmtId="0" fontId="11" fillId="0" borderId="44" xfId="0" applyFont="1" applyBorder="1"/>
    <xf numFmtId="49" fontId="11" fillId="0" borderId="43" xfId="0" applyNumberFormat="1" applyFont="1" applyBorder="1"/>
    <xf numFmtId="169" fontId="11" fillId="0" borderId="23" xfId="379" applyNumberFormat="1" applyFont="1" applyFill="1" applyBorder="1" applyAlignment="1">
      <alignment horizontal="center"/>
    </xf>
    <xf numFmtId="169" fontId="11" fillId="0" borderId="1" xfId="379" applyNumberFormat="1" applyFont="1" applyFill="1" applyBorder="1" applyAlignment="1">
      <alignment horizontal="center"/>
    </xf>
    <xf numFmtId="0" fontId="11" fillId="0" borderId="19" xfId="0" applyFont="1" applyFill="1" applyBorder="1"/>
    <xf numFmtId="49" fontId="11" fillId="0" borderId="2"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49" fontId="44" fillId="0" borderId="9" xfId="0" applyNumberFormat="1" applyFont="1" applyFill="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0" fontId="11" fillId="0" borderId="0" xfId="521" applyFont="1" applyAlignment="1">
      <alignment horizontal="center"/>
    </xf>
    <xf numFmtId="49"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applyFill="1" applyBorder="1"/>
    <xf numFmtId="0" fontId="46" fillId="0" borderId="28" xfId="0" applyFont="1" applyBorder="1" applyAlignment="1">
      <alignment horizontal="center" wrapText="1"/>
    </xf>
    <xf numFmtId="0" fontId="18" fillId="0" borderId="39" xfId="0" applyFont="1" applyBorder="1" applyAlignment="1">
      <alignment horizontal="center"/>
    </xf>
    <xf numFmtId="165" fontId="11" fillId="0" borderId="1" xfId="379" applyFont="1" applyFill="1" applyBorder="1"/>
    <xf numFmtId="1" fontId="44" fillId="33" borderId="8" xfId="0" applyNumberFormat="1" applyFont="1" applyFill="1" applyBorder="1" applyAlignment="1">
      <alignment horizontal="center"/>
    </xf>
    <xf numFmtId="166" fontId="11" fillId="0" borderId="26" xfId="0" applyNumberFormat="1" applyFont="1" applyBorder="1"/>
    <xf numFmtId="1" fontId="11" fillId="33" borderId="21" xfId="0" applyNumberFormat="1" applyFont="1" applyFill="1" applyBorder="1" applyAlignment="1">
      <alignment horizontal="center"/>
    </xf>
    <xf numFmtId="3" fontId="46" fillId="0" borderId="1" xfId="0" applyNumberFormat="1" applyFont="1" applyBorder="1" applyAlignment="1">
      <alignment horizontal="center" vertical="center" wrapText="1"/>
    </xf>
    <xf numFmtId="173" fontId="27" fillId="0" borderId="0" xfId="524" applyNumberFormat="1" applyFont="1"/>
    <xf numFmtId="174" fontId="27" fillId="0" borderId="0" xfId="524" applyNumberFormat="1" applyFon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5" fontId="27" fillId="0" borderId="0" xfId="379" applyNumberFormat="1" applyFont="1"/>
    <xf numFmtId="0" fontId="17" fillId="0" borderId="2" xfId="0" quotePrefix="1" applyFont="1" applyBorder="1" applyAlignment="1">
      <alignment horizontal="center" vertical="center" wrapText="1"/>
    </xf>
    <xf numFmtId="170" fontId="11" fillId="0" borderId="0" xfId="379" applyNumberFormat="1" applyFont="1" applyFill="1" applyBorder="1" applyAlignment="1">
      <alignment horizontal="center"/>
    </xf>
    <xf numFmtId="170" fontId="44" fillId="0" borderId="0" xfId="379" applyNumberFormat="1" applyFont="1" applyFill="1" applyBorder="1" applyAlignment="1">
      <alignment horizontal="center"/>
    </xf>
    <xf numFmtId="169" fontId="11" fillId="0" borderId="0" xfId="379" applyNumberFormat="1" applyFont="1" applyAlignment="1">
      <alignment horizontal="center"/>
    </xf>
    <xf numFmtId="169" fontId="11" fillId="0" borderId="0" xfId="379" applyNumberFormat="1" applyFont="1"/>
    <xf numFmtId="166" fontId="11" fillId="0" borderId="52" xfId="0" applyNumberFormat="1" applyFont="1" applyFill="1" applyBorder="1" applyAlignment="1">
      <alignment horizontal="center"/>
    </xf>
    <xf numFmtId="169" fontId="11" fillId="0" borderId="2" xfId="379" applyNumberFormat="1" applyFont="1" applyBorder="1"/>
    <xf numFmtId="0" fontId="11" fillId="0" borderId="8" xfId="0" applyFont="1" applyBorder="1"/>
    <xf numFmtId="166" fontId="11" fillId="0" borderId="11" xfId="0" applyNumberFormat="1" applyFont="1" applyFill="1" applyBorder="1" applyAlignment="1">
      <alignment horizontal="center"/>
    </xf>
    <xf numFmtId="0" fontId="18" fillId="0" borderId="1" xfId="0" applyFont="1" applyFill="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0" xfId="0" applyFont="1" applyBorder="1" applyProtection="1">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Border="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6" fontId="11" fillId="0" borderId="30" xfId="0" applyNumberFormat="1" applyFont="1" applyBorder="1" applyAlignment="1">
      <alignment horizontal="center"/>
    </xf>
    <xf numFmtId="166" fontId="11" fillId="0" borderId="29" xfId="0" applyNumberFormat="1" applyFont="1" applyBorder="1" applyAlignment="1">
      <alignment horizontal="center"/>
    </xf>
    <xf numFmtId="0" fontId="0" fillId="0" borderId="0" xfId="0" applyProtection="1">
      <protection locked="0"/>
    </xf>
    <xf numFmtId="0" fontId="54" fillId="0" borderId="0" xfId="0" applyFont="1" applyBorder="1" applyAlignment="1" applyProtection="1">
      <alignment horizontal="left" vertical="center"/>
      <protection locked="0"/>
    </xf>
    <xf numFmtId="0" fontId="11" fillId="0" borderId="0" xfId="0" applyFont="1" applyFill="1" applyProtection="1">
      <protection locked="0"/>
    </xf>
    <xf numFmtId="0" fontId="11" fillId="0" borderId="1" xfId="0" applyFont="1" applyFill="1" applyBorder="1" applyProtection="1">
      <protection locked="0"/>
    </xf>
    <xf numFmtId="165" fontId="11" fillId="0" borderId="1" xfId="379" applyFont="1" applyFill="1" applyBorder="1" applyProtection="1">
      <protection locked="0"/>
    </xf>
    <xf numFmtId="0" fontId="15" fillId="0" borderId="0" xfId="0" applyFont="1" applyProtection="1">
      <protection locked="0"/>
    </xf>
    <xf numFmtId="165"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Border="1" applyProtection="1">
      <protection locked="0"/>
    </xf>
    <xf numFmtId="172" fontId="11" fillId="0" borderId="0" xfId="379"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Fill="1" applyBorder="1" applyAlignment="1">
      <alignment horizontal="center"/>
    </xf>
    <xf numFmtId="3" fontId="44" fillId="0" borderId="10"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0" fontId="11" fillId="0" borderId="39" xfId="0" applyFont="1" applyFill="1" applyBorder="1" applyAlignment="1">
      <alignment horizontal="left"/>
    </xf>
    <xf numFmtId="2" fontId="44" fillId="0" borderId="42" xfId="0" applyNumberFormat="1" applyFont="1" applyFill="1" applyBorder="1" applyAlignment="1">
      <alignment horizontal="center"/>
    </xf>
    <xf numFmtId="0" fontId="11" fillId="0" borderId="66" xfId="0" applyFont="1" applyFill="1" applyBorder="1" applyAlignment="1">
      <alignment horizontal="left"/>
    </xf>
    <xf numFmtId="0" fontId="11" fillId="0" borderId="26" xfId="0" applyFont="1" applyFill="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6" fontId="11" fillId="0" borderId="10" xfId="0" applyNumberFormat="1" applyFont="1" applyFill="1" applyBorder="1" applyAlignment="1">
      <alignment horizontal="center"/>
    </xf>
    <xf numFmtId="169" fontId="11" fillId="0" borderId="26" xfId="379" applyNumberFormat="1" applyFont="1" applyBorder="1"/>
    <xf numFmtId="169" fontId="11" fillId="0" borderId="1" xfId="379" applyNumberFormat="1" applyFont="1" applyBorder="1" applyAlignment="1">
      <alignment horizontal="center"/>
    </xf>
    <xf numFmtId="169" fontId="11" fillId="0" borderId="10" xfId="379" applyNumberFormat="1" applyFont="1" applyFill="1" applyBorder="1" applyAlignment="1">
      <alignment horizontal="center"/>
    </xf>
    <xf numFmtId="169" fontId="17" fillId="0" borderId="1" xfId="379" applyNumberFormat="1" applyFont="1" applyBorder="1" applyAlignment="1">
      <alignment horizontal="center"/>
    </xf>
    <xf numFmtId="169" fontId="11" fillId="33" borderId="1" xfId="379" applyNumberFormat="1" applyFont="1" applyFill="1" applyBorder="1" applyAlignment="1">
      <alignment horizontal="center"/>
    </xf>
    <xf numFmtId="169" fontId="11" fillId="33" borderId="10" xfId="379" applyNumberFormat="1" applyFont="1" applyFill="1" applyBorder="1" applyAlignment="1">
      <alignment horizontal="center"/>
    </xf>
    <xf numFmtId="169"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applyBorder="1"/>
    <xf numFmtId="0" fontId="67" fillId="0" borderId="50" xfId="0" applyFont="1" applyBorder="1"/>
    <xf numFmtId="0" fontId="67" fillId="0" borderId="54" xfId="0" applyFont="1" applyFill="1" applyBorder="1"/>
    <xf numFmtId="3" fontId="44" fillId="0" borderId="1"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Fill="1" applyAlignment="1" applyProtection="1">
      <alignment horizontal="center" vertical="center"/>
      <protection locked="0"/>
    </xf>
    <xf numFmtId="0" fontId="57" fillId="0" borderId="1" xfId="0" applyFont="1" applyBorder="1" applyAlignment="1">
      <alignment horizontal="center"/>
    </xf>
    <xf numFmtId="168" fontId="17" fillId="0" borderId="52" xfId="0" applyNumberFormat="1" applyFont="1" applyBorder="1" applyAlignment="1">
      <alignment horizontal="center" vertical="center" wrapText="1"/>
    </xf>
    <xf numFmtId="0" fontId="57" fillId="0" borderId="15" xfId="0" applyFont="1" applyBorder="1" applyAlignment="1"/>
    <xf numFmtId="0" fontId="57" fillId="0" borderId="16" xfId="0" applyFont="1" applyBorder="1" applyAlignment="1"/>
    <xf numFmtId="0" fontId="11" fillId="0" borderId="0" xfId="0" applyFont="1" applyAlignment="1">
      <alignment horizontal="center" wrapText="1"/>
    </xf>
    <xf numFmtId="0" fontId="83" fillId="0" borderId="0" xfId="0" applyFont="1" applyAlignment="1">
      <alignment horizontal="left"/>
    </xf>
    <xf numFmtId="171"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applyAlignment="1"/>
    <xf numFmtId="0" fontId="57" fillId="0" borderId="67" xfId="0" applyFont="1" applyBorder="1" applyAlignment="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Fill="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Fill="1" applyBorder="1" applyAlignment="1">
      <alignment horizontal="center" vertical="center" wrapText="1"/>
    </xf>
    <xf numFmtId="165" fontId="17" fillId="0" borderId="1" xfId="379" applyFont="1" applyBorder="1" applyAlignment="1">
      <alignment horizontal="center" vertical="center" wrapText="1"/>
    </xf>
    <xf numFmtId="0" fontId="46" fillId="0" borderId="13" xfId="0" applyFont="1" applyFill="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2" fontId="11" fillId="0" borderId="8" xfId="379" applyNumberFormat="1" applyFont="1" applyFill="1" applyBorder="1" applyAlignment="1"/>
    <xf numFmtId="1" fontId="11" fillId="0" borderId="1" xfId="0" applyNumberFormat="1" applyFont="1" applyBorder="1" applyAlignment="1">
      <alignment horizontal="center"/>
    </xf>
    <xf numFmtId="165" fontId="11" fillId="0" borderId="1" xfId="0" applyNumberFormat="1" applyFont="1" applyBorder="1" applyAlignment="1">
      <alignment horizontal="center"/>
    </xf>
    <xf numFmtId="169" fontId="11" fillId="0" borderId="8" xfId="379" applyNumberFormat="1" applyFont="1" applyBorder="1" applyAlignment="1">
      <alignment horizontal="center"/>
    </xf>
    <xf numFmtId="169"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5" fontId="11" fillId="0" borderId="50" xfId="0" applyNumberFormat="1" applyFont="1" applyBorder="1" applyAlignment="1">
      <alignment horizontal="center"/>
    </xf>
    <xf numFmtId="175" fontId="11" fillId="0" borderId="56" xfId="0" applyNumberFormat="1" applyFont="1" applyBorder="1" applyAlignment="1">
      <alignment horizontal="center"/>
    </xf>
    <xf numFmtId="169" fontId="11" fillId="0" borderId="21" xfId="379" applyNumberFormat="1" applyFont="1" applyBorder="1" applyAlignment="1">
      <alignment horizontal="center"/>
    </xf>
    <xf numFmtId="169" fontId="11" fillId="0" borderId="22" xfId="379" applyNumberFormat="1" applyFont="1" applyBorder="1" applyAlignment="1">
      <alignment horizontal="center"/>
    </xf>
    <xf numFmtId="0" fontId="11" fillId="0" borderId="36" xfId="0" applyFont="1" applyBorder="1" applyAlignment="1">
      <alignment horizontal="center" wrapText="1"/>
    </xf>
    <xf numFmtId="3" fontId="11" fillId="0" borderId="0" xfId="0" applyNumberFormat="1" applyFont="1" applyAlignment="1">
      <alignment horizontal="center"/>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applyBorder="1"/>
    <xf numFmtId="0" fontId="87" fillId="0" borderId="0" xfId="0" applyFont="1" applyBorder="1"/>
    <xf numFmtId="0" fontId="67" fillId="0" borderId="0" xfId="0" applyFont="1" applyBorder="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Fill="1" applyBorder="1" applyAlignment="1">
      <alignment horizontal="center" vertical="center" wrapText="1"/>
    </xf>
    <xf numFmtId="165" fontId="46" fillId="0" borderId="50" xfId="379" applyFont="1" applyBorder="1" applyAlignment="1">
      <alignment horizontal="center" vertical="center" wrapText="1"/>
    </xf>
    <xf numFmtId="171" fontId="11" fillId="0" borderId="8" xfId="383" applyNumberFormat="1" applyFont="1" applyFill="1" applyBorder="1" applyAlignment="1"/>
    <xf numFmtId="165" fontId="11" fillId="0" borderId="10" xfId="0" applyNumberFormat="1" applyFont="1" applyBorder="1" applyAlignment="1">
      <alignment horizontal="center"/>
    </xf>
    <xf numFmtId="175"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1" fontId="11" fillId="0" borderId="11" xfId="383" applyNumberFormat="1" applyFont="1" applyFill="1" applyBorder="1" applyAlignment="1"/>
    <xf numFmtId="176" fontId="17" fillId="0" borderId="1" xfId="0" applyNumberFormat="1" applyFont="1" applyBorder="1" applyAlignment="1">
      <alignment horizontal="center" vertical="center" wrapText="1"/>
    </xf>
    <xf numFmtId="175" fontId="17" fillId="0" borderId="1" xfId="379" applyNumberFormat="1" applyFont="1" applyBorder="1" applyAlignment="1">
      <alignment horizontal="center" vertical="center" wrapText="1"/>
    </xf>
    <xf numFmtId="0" fontId="27" fillId="0" borderId="0" xfId="524" applyFont="1"/>
    <xf numFmtId="10" fontId="11" fillId="0" borderId="0" xfId="559" applyNumberFormat="1" applyFont="1" applyBorder="1"/>
    <xf numFmtId="0" fontId="43" fillId="0" borderId="0" xfId="524" applyFont="1" applyBorder="1" applyAlignment="1">
      <alignment vertical="top" wrapText="1"/>
    </xf>
    <xf numFmtId="0" fontId="52" fillId="0" borderId="0" xfId="524" applyFont="1" applyBorder="1" applyAlignment="1">
      <alignment vertical="top" wrapText="1"/>
    </xf>
    <xf numFmtId="169" fontId="11" fillId="0" borderId="23" xfId="379" applyNumberFormat="1" applyFont="1" applyFill="1" applyBorder="1" applyAlignment="1">
      <alignment horizontal="center"/>
    </xf>
    <xf numFmtId="169" fontId="11" fillId="0" borderId="30" xfId="379" applyNumberFormat="1" applyFont="1" applyFill="1" applyBorder="1" applyAlignment="1">
      <alignment horizontal="center"/>
    </xf>
    <xf numFmtId="169" fontId="11" fillId="0" borderId="1" xfId="379" applyNumberFormat="1" applyFont="1" applyFill="1" applyBorder="1" applyAlignment="1">
      <alignment horizontal="center"/>
    </xf>
    <xf numFmtId="169" fontId="11" fillId="0" borderId="8" xfId="379" applyNumberFormat="1" applyFont="1" applyFill="1" applyBorder="1" applyAlignment="1">
      <alignment horizontal="center"/>
    </xf>
    <xf numFmtId="169" fontId="11" fillId="0" borderId="33" xfId="379" applyNumberFormat="1" applyFont="1" applyFill="1" applyBorder="1" applyAlignment="1">
      <alignment horizontal="center"/>
    </xf>
    <xf numFmtId="169" fontId="11" fillId="0" borderId="44" xfId="379" applyNumberFormat="1" applyFont="1" applyFill="1" applyBorder="1" applyAlignment="1">
      <alignment horizontal="center"/>
    </xf>
    <xf numFmtId="169" fontId="44" fillId="0" borderId="44" xfId="379" applyNumberFormat="1" applyFont="1" applyFill="1" applyBorder="1" applyAlignment="1">
      <alignment horizontal="center"/>
    </xf>
    <xf numFmtId="169" fontId="18" fillId="0" borderId="44" xfId="379" applyNumberFormat="1" applyFont="1" applyFill="1" applyBorder="1" applyAlignment="1">
      <alignment horizontal="center"/>
    </xf>
    <xf numFmtId="169" fontId="18" fillId="0" borderId="18" xfId="379" applyNumberFormat="1" applyFont="1" applyFill="1" applyBorder="1" applyAlignment="1">
      <alignment horizontal="center"/>
    </xf>
    <xf numFmtId="169" fontId="18" fillId="0" borderId="10" xfId="379" applyNumberFormat="1" applyFont="1" applyFill="1" applyBorder="1" applyAlignment="1">
      <alignment horizontal="center"/>
    </xf>
    <xf numFmtId="169" fontId="18" fillId="0" borderId="11" xfId="379" applyNumberFormat="1" applyFont="1" applyFill="1" applyBorder="1" applyAlignment="1">
      <alignment horizontal="center"/>
    </xf>
    <xf numFmtId="169" fontId="11" fillId="0" borderId="2" xfId="379" applyNumberFormat="1" applyFont="1" applyBorder="1"/>
    <xf numFmtId="169"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Fill="1" applyBorder="1" applyAlignment="1">
      <alignment horizontal="center" vertical="center" wrapText="1"/>
    </xf>
    <xf numFmtId="0" fontId="55" fillId="0" borderId="13" xfId="636" applyFont="1" applyFill="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69" fontId="11" fillId="0" borderId="1" xfId="379" applyNumberFormat="1" applyFont="1" applyFill="1" applyBorder="1" applyAlignment="1">
      <alignment horizontal="right"/>
    </xf>
    <xf numFmtId="169" fontId="44" fillId="0" borderId="1" xfId="379" applyNumberFormat="1" applyFont="1" applyFill="1" applyBorder="1" applyAlignment="1">
      <alignment horizontal="right"/>
    </xf>
    <xf numFmtId="169" fontId="44" fillId="0" borderId="8" xfId="379" applyNumberFormat="1" applyFont="1" applyFill="1" applyBorder="1" applyAlignment="1">
      <alignment horizontal="right"/>
    </xf>
    <xf numFmtId="169" fontId="11" fillId="0" borderId="44" xfId="379" applyNumberFormat="1" applyFont="1" applyFill="1" applyBorder="1" applyAlignment="1">
      <alignment horizontal="right"/>
    </xf>
    <xf numFmtId="169" fontId="44" fillId="0" borderId="44" xfId="379" applyNumberFormat="1" applyFont="1" applyFill="1" applyBorder="1" applyAlignment="1">
      <alignment horizontal="right"/>
    </xf>
    <xf numFmtId="169" fontId="44" fillId="0" borderId="18" xfId="379" applyNumberFormat="1" applyFont="1" applyFill="1" applyBorder="1" applyAlignment="1">
      <alignment horizontal="right"/>
    </xf>
    <xf numFmtId="169" fontId="18" fillId="0" borderId="44" xfId="379" applyNumberFormat="1" applyFont="1" applyFill="1" applyBorder="1" applyAlignment="1">
      <alignment horizontal="right"/>
    </xf>
    <xf numFmtId="169" fontId="18" fillId="0" borderId="18" xfId="379" applyNumberFormat="1" applyFont="1" applyFill="1" applyBorder="1" applyAlignment="1">
      <alignment horizontal="right"/>
    </xf>
    <xf numFmtId="165" fontId="18" fillId="0" borderId="44" xfId="379" applyNumberFormat="1" applyFont="1" applyFill="1" applyBorder="1" applyAlignment="1">
      <alignment horizontal="right"/>
    </xf>
    <xf numFmtId="169" fontId="18" fillId="0" borderId="10" xfId="379" applyNumberFormat="1" applyFont="1" applyFill="1" applyBorder="1" applyAlignment="1">
      <alignment horizontal="right"/>
    </xf>
    <xf numFmtId="169" fontId="18" fillId="0" borderId="11" xfId="379" applyNumberFormat="1" applyFont="1" applyFill="1" applyBorder="1" applyAlignment="1">
      <alignment horizontal="right"/>
    </xf>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69" fontId="11" fillId="0" borderId="18" xfId="379" applyNumberFormat="1" applyFont="1" applyFill="1" applyBorder="1" applyAlignment="1">
      <alignment horizontal="center"/>
    </xf>
    <xf numFmtId="169" fontId="27" fillId="0" borderId="12" xfId="379" applyNumberFormat="1" applyFont="1" applyBorder="1"/>
    <xf numFmtId="169" fontId="27" fillId="0" borderId="13" xfId="379" applyNumberFormat="1" applyFont="1" applyBorder="1"/>
    <xf numFmtId="169" fontId="27" fillId="0" borderId="1" xfId="379" applyNumberFormat="1" applyFont="1" applyBorder="1"/>
    <xf numFmtId="169" fontId="27" fillId="0" borderId="8" xfId="379" applyNumberFormat="1" applyFont="1" applyBorder="1"/>
    <xf numFmtId="169"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6" xfId="521" applyFont="1" applyFill="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Fill="1" applyBorder="1" applyAlignment="1">
      <alignment horizontal="center" wrapText="1"/>
    </xf>
    <xf numFmtId="3" fontId="44" fillId="0" borderId="19" xfId="521" applyNumberFormat="1" applyFont="1" applyFill="1" applyBorder="1" applyAlignment="1">
      <alignment horizontal="center"/>
    </xf>
    <xf numFmtId="3" fontId="44" fillId="0" borderId="2" xfId="521" applyNumberFormat="1" applyFont="1" applyFill="1" applyBorder="1" applyAlignment="1">
      <alignment horizontal="center"/>
    </xf>
    <xf numFmtId="3" fontId="44" fillId="0" borderId="9" xfId="521" applyNumberFormat="1" applyFont="1" applyFill="1" applyBorder="1" applyAlignment="1">
      <alignment horizontal="center"/>
    </xf>
    <xf numFmtId="169" fontId="11" fillId="33" borderId="12" xfId="379" applyNumberFormat="1" applyFont="1" applyFill="1" applyBorder="1"/>
    <xf numFmtId="169" fontId="11" fillId="33" borderId="1" xfId="379" applyNumberFormat="1" applyFont="1" applyFill="1" applyBorder="1"/>
    <xf numFmtId="165"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Fill="1" applyBorder="1" applyAlignment="1">
      <alignment horizontal="center"/>
    </xf>
    <xf numFmtId="0" fontId="11" fillId="0" borderId="35" xfId="521" applyFont="1" applyBorder="1" applyAlignment="1">
      <alignment horizontal="center" wrapText="1"/>
    </xf>
    <xf numFmtId="169" fontId="11" fillId="0" borderId="12" xfId="379" applyNumberFormat="1" applyFont="1" applyFill="1" applyBorder="1" applyAlignment="1">
      <alignment horizontal="center"/>
    </xf>
    <xf numFmtId="169" fontId="11" fillId="0" borderId="13" xfId="379" applyNumberFormat="1" applyFont="1" applyFill="1" applyBorder="1" applyAlignment="1">
      <alignment horizontal="center"/>
    </xf>
    <xf numFmtId="0" fontId="11" fillId="0" borderId="27" xfId="521" applyFont="1" applyBorder="1"/>
    <xf numFmtId="0" fontId="11" fillId="0" borderId="77" xfId="521" applyFont="1" applyBorder="1"/>
    <xf numFmtId="0" fontId="11" fillId="0" borderId="28" xfId="521" applyFont="1" applyBorder="1" applyAlignment="1">
      <alignment horizontal="center"/>
    </xf>
    <xf numFmtId="169" fontId="11" fillId="0" borderId="28" xfId="379" applyNumberFormat="1" applyFont="1" applyFill="1" applyBorder="1" applyAlignment="1">
      <alignment horizontal="center"/>
    </xf>
    <xf numFmtId="169"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Fill="1" applyBorder="1" applyAlignment="1">
      <alignment horizontal="center"/>
    </xf>
    <xf numFmtId="10" fontId="11" fillId="0" borderId="27" xfId="558" applyNumberFormat="1" applyFont="1" applyFill="1" applyBorder="1" applyAlignment="1">
      <alignment horizontal="center"/>
    </xf>
    <xf numFmtId="3" fontId="11" fillId="0" borderId="76" xfId="379" applyNumberFormat="1" applyFont="1" applyFill="1" applyBorder="1" applyAlignment="1">
      <alignment horizontal="center"/>
    </xf>
    <xf numFmtId="3" fontId="11" fillId="0" borderId="29" xfId="379" applyNumberFormat="1" applyFont="1" applyFill="1" applyBorder="1" applyAlignment="1">
      <alignment horizontal="center"/>
    </xf>
    <xf numFmtId="0" fontId="11" fillId="33" borderId="10" xfId="0" applyFont="1" applyFill="1" applyBorder="1"/>
    <xf numFmtId="3" fontId="44" fillId="0" borderId="27" xfId="521" applyNumberFormat="1" applyFont="1" applyFill="1" applyBorder="1" applyAlignment="1">
      <alignment horizontal="center"/>
    </xf>
    <xf numFmtId="3" fontId="11" fillId="0" borderId="29" xfId="521" applyNumberFormat="1" applyFont="1" applyFill="1" applyBorder="1" applyAlignment="1">
      <alignment horizontal="center"/>
    </xf>
    <xf numFmtId="0" fontId="18" fillId="0" borderId="32" xfId="0" applyFont="1" applyBorder="1"/>
    <xf numFmtId="0" fontId="18" fillId="0" borderId="68" xfId="0" applyFont="1" applyBorder="1"/>
    <xf numFmtId="0" fontId="18" fillId="0" borderId="33" xfId="0" applyFont="1" applyBorder="1"/>
    <xf numFmtId="169" fontId="18" fillId="0" borderId="33" xfId="379" applyNumberFormat="1" applyFont="1" applyFill="1" applyBorder="1" applyAlignment="1">
      <alignment horizontal="right"/>
    </xf>
    <xf numFmtId="169" fontId="18" fillId="0" borderId="34" xfId="379" applyNumberFormat="1" applyFont="1" applyFill="1" applyBorder="1" applyAlignment="1">
      <alignment horizontal="right"/>
    </xf>
    <xf numFmtId="0" fontId="11" fillId="0" borderId="22" xfId="0" applyFont="1" applyBorder="1"/>
    <xf numFmtId="169" fontId="11" fillId="0" borderId="10" xfId="379" applyNumberFormat="1" applyFont="1" applyFill="1" applyBorder="1" applyAlignment="1">
      <alignment horizontal="right"/>
    </xf>
    <xf numFmtId="169" fontId="44" fillId="0" borderId="10" xfId="379" applyNumberFormat="1" applyFont="1" applyFill="1" applyBorder="1" applyAlignment="1">
      <alignment horizontal="right"/>
    </xf>
    <xf numFmtId="169"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165" fontId="44" fillId="0" borderId="33" xfId="379" applyNumberFormat="1" applyFont="1" applyFill="1" applyBorder="1" applyAlignment="1">
      <alignment horizontal="center"/>
    </xf>
    <xf numFmtId="169" fontId="44" fillId="0" borderId="10" xfId="379" applyNumberFormat="1" applyFont="1" applyFill="1" applyBorder="1" applyAlignment="1">
      <alignment horizontal="center"/>
    </xf>
    <xf numFmtId="169" fontId="11" fillId="0" borderId="34" xfId="379" applyNumberFormat="1" applyFont="1" applyFill="1" applyBorder="1" applyAlignment="1">
      <alignment horizontal="center"/>
    </xf>
    <xf numFmtId="3" fontId="46" fillId="0" borderId="23" xfId="0" applyNumberFormat="1" applyFont="1" applyFill="1" applyBorder="1" applyAlignment="1">
      <alignment horizontal="center" vertical="center" wrapText="1"/>
    </xf>
    <xf numFmtId="3" fontId="46" fillId="0" borderId="30" xfId="0" applyNumberFormat="1" applyFont="1" applyFill="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6" xfId="0" applyFont="1" applyFill="1" applyBorder="1" applyAlignment="1">
      <alignment horizontal="center" vertical="center" wrapText="1"/>
    </xf>
    <xf numFmtId="0" fontId="46" fillId="0" borderId="42" xfId="0" applyFont="1" applyBorder="1" applyAlignment="1">
      <alignment horizontal="center" vertical="center" wrapText="1"/>
    </xf>
    <xf numFmtId="0" fontId="46" fillId="0" borderId="28" xfId="0" applyFont="1" applyFill="1" applyBorder="1" applyAlignment="1">
      <alignment horizontal="center" vertical="center" wrapText="1"/>
    </xf>
    <xf numFmtId="0" fontId="46" fillId="0" borderId="29" xfId="0" applyFont="1" applyBorder="1" applyAlignment="1">
      <alignment horizontal="center" vertical="center" wrapText="1"/>
    </xf>
    <xf numFmtId="9" fontId="46" fillId="0" borderId="8" xfId="557" applyFont="1" applyFill="1" applyBorder="1" applyAlignment="1">
      <alignment horizontal="center" vertical="center" wrapText="1"/>
    </xf>
    <xf numFmtId="9" fontId="44" fillId="0" borderId="8" xfId="557" applyFont="1" applyFill="1" applyBorder="1" applyAlignment="1">
      <alignment horizontal="center" vertical="center" wrapText="1"/>
    </xf>
    <xf numFmtId="9" fontId="44" fillId="0" borderId="11" xfId="557" applyFont="1" applyFill="1" applyBorder="1" applyAlignment="1">
      <alignment horizontal="center" vertical="center" wrapText="1"/>
    </xf>
    <xf numFmtId="0" fontId="55" fillId="0" borderId="20" xfId="636" applyFont="1" applyBorder="1" applyAlignment="1">
      <alignment horizontal="center" vertical="center" wrapText="1"/>
    </xf>
    <xf numFmtId="0" fontId="46" fillId="0" borderId="21" xfId="0" applyFont="1" applyFill="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0" fontId="107" fillId="0" borderId="0" xfId="0" applyFont="1" applyProtection="1">
      <protection locked="0"/>
    </xf>
    <xf numFmtId="0" fontId="67" fillId="0" borderId="1" xfId="860" applyFont="1" applyBorder="1"/>
    <xf numFmtId="49" fontId="11" fillId="36" borderId="112" xfId="0" applyNumberFormat="1" applyFont="1" applyFill="1" applyBorder="1" applyAlignment="1">
      <alignment wrapText="1"/>
    </xf>
    <xf numFmtId="0" fontId="18" fillId="36" borderId="113" xfId="0" applyFont="1" applyFill="1" applyBorder="1" applyAlignment="1">
      <alignment horizontal="center"/>
    </xf>
    <xf numFmtId="0" fontId="18" fillId="36" borderId="114" xfId="0" applyFont="1" applyFill="1" applyBorder="1" applyAlignment="1">
      <alignment horizontal="center"/>
    </xf>
    <xf numFmtId="0" fontId="63" fillId="0" borderId="0" xfId="0" applyFont="1" applyAlignment="1">
      <alignment vertical="center" wrapText="1"/>
    </xf>
    <xf numFmtId="169" fontId="46" fillId="0" borderId="23" xfId="379" applyNumberFormat="1" applyFont="1" applyBorder="1" applyAlignment="1">
      <alignment horizontal="right" vertical="center" wrapText="1"/>
    </xf>
    <xf numFmtId="169" fontId="46" fillId="0" borderId="30" xfId="379" applyNumberFormat="1" applyFont="1" applyBorder="1" applyAlignment="1">
      <alignment horizontal="right" vertical="center" wrapText="1"/>
    </xf>
    <xf numFmtId="169" fontId="11" fillId="0" borderId="8" xfId="379" applyNumberFormat="1" applyFont="1" applyFill="1" applyBorder="1" applyAlignment="1">
      <alignment horizontal="right"/>
    </xf>
    <xf numFmtId="169" fontId="46" fillId="0" borderId="1" xfId="379" applyNumberFormat="1" applyFont="1" applyBorder="1" applyAlignment="1">
      <alignment horizontal="right" vertical="center" wrapText="1"/>
    </xf>
    <xf numFmtId="169" fontId="46" fillId="0" borderId="8" xfId="379" applyNumberFormat="1" applyFont="1" applyBorder="1" applyAlignment="1">
      <alignment horizontal="right" vertical="center" wrapText="1"/>
    </xf>
    <xf numFmtId="0" fontId="25" fillId="0" borderId="0" xfId="0" applyFont="1" applyAlignment="1">
      <alignment horizontal="center" vertical="top"/>
    </xf>
    <xf numFmtId="0" fontId="15" fillId="0" borderId="0" xfId="0" applyFont="1"/>
    <xf numFmtId="169" fontId="11" fillId="0" borderId="28" xfId="379" applyNumberFormat="1" applyFont="1" applyBorder="1"/>
    <xf numFmtId="0" fontId="11" fillId="0" borderId="51" xfId="0" applyFont="1" applyFill="1" applyBorder="1" applyAlignment="1">
      <alignment horizontal="center"/>
    </xf>
    <xf numFmtId="0" fontId="110" fillId="0" borderId="0" xfId="0" applyFont="1" applyAlignment="1" applyProtection="1">
      <alignment horizontal="right"/>
      <protection locked="0"/>
    </xf>
    <xf numFmtId="166" fontId="11" fillId="0" borderId="28" xfId="0" applyNumberFormat="1" applyFont="1" applyBorder="1"/>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169" fontId="11" fillId="33" borderId="1" xfId="379" applyNumberFormat="1" applyFont="1" applyFill="1" applyBorder="1" applyAlignment="1">
      <alignment horizontal="center"/>
    </xf>
    <xf numFmtId="169" fontId="11" fillId="33" borderId="1" xfId="379" applyNumberFormat="1" applyFont="1" applyFill="1" applyBorder="1" applyAlignment="1">
      <alignment horizont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165"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0" fontId="11" fillId="0" borderId="0" xfId="0" applyFont="1"/>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20" xfId="0" applyFont="1" applyFill="1" applyBorder="1" applyAlignment="1">
      <alignment horizontal="left"/>
    </xf>
    <xf numFmtId="3" fontId="46" fillId="0" borderId="1" xfId="0" applyNumberFormat="1" applyFont="1" applyBorder="1" applyAlignment="1">
      <alignment horizontal="center" vertical="center" wrapText="1"/>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60" fillId="0" borderId="24" xfId="0" applyFont="1" applyFill="1" applyBorder="1" applyAlignment="1">
      <alignment horizontal="center"/>
    </xf>
    <xf numFmtId="0" fontId="60" fillId="0" borderId="24" xfId="0" applyFont="1" applyFill="1" applyBorder="1" applyAlignment="1">
      <alignment horizontal="centerContinuous"/>
    </xf>
    <xf numFmtId="0" fontId="18" fillId="0" borderId="27" xfId="0" applyFont="1" applyBorder="1" applyAlignment="1">
      <alignment horizontal="center"/>
    </xf>
    <xf numFmtId="0" fontId="62" fillId="0" borderId="81" xfId="0" applyFont="1" applyFill="1" applyBorder="1" applyAlignment="1" applyProtection="1">
      <alignment vertical="center" wrapText="1"/>
      <protection locked="0"/>
    </xf>
    <xf numFmtId="0" fontId="18" fillId="0" borderId="1" xfId="0" applyFont="1" applyBorder="1" applyAlignment="1" applyProtection="1">
      <alignment horizontal="center" wrapText="1"/>
      <protection locked="0"/>
    </xf>
    <xf numFmtId="169"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Border="1" applyAlignment="1">
      <alignment horizontal="center"/>
    </xf>
    <xf numFmtId="0" fontId="57" fillId="0" borderId="0" xfId="0" applyFont="1" applyBorder="1" applyAlignme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Border="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99" xfId="769" applyNumberFormat="1" applyFont="1" applyBorder="1"/>
    <xf numFmtId="10" fontId="21" fillId="0" borderId="41" xfId="769" applyNumberFormat="1" applyFont="1" applyBorder="1"/>
    <xf numFmtId="0" fontId="50" fillId="0" borderId="0" xfId="767" applyFont="1" applyBorder="1"/>
    <xf numFmtId="0" fontId="50" fillId="0" borderId="93" xfId="767" applyFont="1" applyBorder="1"/>
    <xf numFmtId="0" fontId="50" fillId="0" borderId="98" xfId="767" applyFont="1" applyBorder="1"/>
    <xf numFmtId="10" fontId="21" fillId="0" borderId="100" xfId="769" applyNumberFormat="1" applyFont="1" applyBorder="1"/>
    <xf numFmtId="10" fontId="21" fillId="0" borderId="94" xfId="769" applyNumberFormat="1" applyFont="1" applyBorder="1"/>
    <xf numFmtId="0" fontId="51" fillId="0" borderId="45" xfId="767" applyFont="1" applyBorder="1"/>
    <xf numFmtId="10" fontId="51" fillId="0" borderId="0" xfId="767" applyNumberFormat="1" applyFont="1" applyBorder="1"/>
    <xf numFmtId="10" fontId="51" fillId="0" borderId="99" xfId="767" applyNumberFormat="1" applyFont="1" applyBorder="1"/>
    <xf numFmtId="10" fontId="51" fillId="0" borderId="41" xfId="767" applyNumberFormat="1" applyFont="1" applyBorder="1"/>
    <xf numFmtId="165" fontId="21" fillId="33" borderId="0" xfId="768" applyNumberFormat="1" applyFont="1" applyFill="1" applyBorder="1"/>
    <xf numFmtId="165" fontId="21" fillId="33" borderId="17" xfId="768" applyNumberFormat="1" applyFont="1" applyFill="1" applyBorder="1"/>
    <xf numFmtId="165" fontId="21" fillId="0" borderId="41" xfId="768" applyNumberFormat="1" applyFont="1" applyBorder="1"/>
    <xf numFmtId="165" fontId="21" fillId="0" borderId="0" xfId="768" applyNumberFormat="1" applyFont="1" applyBorder="1"/>
    <xf numFmtId="165" fontId="21" fillId="33" borderId="103" xfId="768" applyNumberFormat="1" applyFont="1" applyFill="1" applyBorder="1"/>
    <xf numFmtId="165" fontId="21" fillId="33" borderId="110" xfId="768" applyNumberFormat="1" applyFont="1" applyFill="1" applyBorder="1"/>
    <xf numFmtId="165" fontId="21" fillId="0" borderId="98" xfId="768" applyNumberFormat="1" applyFont="1" applyBorder="1"/>
    <xf numFmtId="165" fontId="21" fillId="0" borderId="111" xfId="768" applyNumberFormat="1" applyFont="1" applyBorder="1"/>
    <xf numFmtId="165" fontId="21" fillId="0" borderId="94" xfId="768" applyNumberFormat="1" applyFont="1" applyBorder="1"/>
    <xf numFmtId="0" fontId="51" fillId="0" borderId="46" xfId="767" applyFont="1" applyBorder="1"/>
    <xf numFmtId="165" fontId="51" fillId="0" borderId="25" xfId="768" applyNumberFormat="1" applyFont="1" applyBorder="1"/>
    <xf numFmtId="165" fontId="51" fillId="0" borderId="101" xfId="768" applyNumberFormat="1" applyFont="1" applyBorder="1"/>
    <xf numFmtId="165" fontId="51" fillId="0" borderId="40" xfId="768" applyNumberFormat="1" applyFont="1" applyBorder="1"/>
    <xf numFmtId="0" fontId="51" fillId="0" borderId="0" xfId="767" applyFont="1" applyBorder="1"/>
    <xf numFmtId="165" fontId="51" fillId="0" borderId="0" xfId="768" applyNumberFormat="1" applyFont="1" applyBorder="1"/>
    <xf numFmtId="0" fontId="51" fillId="62" borderId="45" xfId="767" applyFont="1" applyFill="1" applyBorder="1" applyAlignment="1">
      <alignment horizontal="right"/>
    </xf>
    <xf numFmtId="0" fontId="51" fillId="62" borderId="0" xfId="767" applyFont="1" applyFill="1" applyBorder="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99" xfId="769" applyNumberFormat="1" applyFont="1" applyFill="1" applyBorder="1"/>
    <xf numFmtId="0" fontId="51" fillId="0" borderId="104" xfId="767" applyFont="1" applyBorder="1"/>
    <xf numFmtId="10" fontId="51" fillId="0" borderId="105" xfId="767" applyNumberFormat="1" applyFont="1" applyBorder="1"/>
    <xf numFmtId="10" fontId="51" fillId="0" borderId="106" xfId="767" applyNumberFormat="1" applyFont="1" applyBorder="1"/>
    <xf numFmtId="10" fontId="51" fillId="0" borderId="107" xfId="767" applyNumberFormat="1" applyFont="1" applyBorder="1"/>
    <xf numFmtId="165" fontId="21" fillId="61" borderId="0" xfId="768" applyNumberFormat="1" applyFont="1" applyFill="1" applyBorder="1"/>
    <xf numFmtId="165" fontId="21" fillId="61" borderId="99" xfId="768" applyNumberFormat="1" applyFont="1" applyFill="1" applyBorder="1"/>
    <xf numFmtId="165" fontId="21" fillId="61" borderId="103" xfId="768" applyNumberFormat="1" applyFont="1" applyFill="1" applyBorder="1"/>
    <xf numFmtId="165" fontId="21" fillId="61" borderId="102" xfId="768" applyNumberFormat="1" applyFont="1" applyFill="1" applyBorder="1"/>
    <xf numFmtId="165" fontId="21" fillId="0" borderId="0" xfId="768" applyNumberFormat="1" applyFont="1" applyFill="1" applyBorder="1"/>
    <xf numFmtId="165" fontId="21" fillId="33" borderId="100" xfId="768" applyNumberFormat="1" applyFont="1" applyFill="1" applyBorder="1"/>
    <xf numFmtId="0" fontId="50" fillId="0" borderId="0" xfId="767" applyFont="1" applyBorder="1" applyAlignment="1">
      <alignment vertical="top" wrapText="1"/>
    </xf>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Border="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Border="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Fill="1" applyBorder="1" applyAlignment="1">
      <alignment vertical="top"/>
    </xf>
    <xf numFmtId="0" fontId="50" fillId="0" borderId="0" xfId="767" applyFont="1" applyFill="1" applyBorder="1" applyAlignment="1">
      <alignment vertical="top"/>
    </xf>
    <xf numFmtId="0" fontId="51" fillId="33" borderId="0" xfId="767" applyFont="1" applyFill="1" applyBorder="1" applyAlignment="1">
      <alignment vertical="top"/>
    </xf>
    <xf numFmtId="0" fontId="51" fillId="0" borderId="0" xfId="767" applyFont="1" applyFill="1" applyBorder="1" applyAlignment="1">
      <alignment vertical="top"/>
    </xf>
    <xf numFmtId="0" fontId="51" fillId="0" borderId="41" xfId="767" applyFont="1" applyFill="1" applyBorder="1" applyAlignment="1">
      <alignment horizontal="center" vertical="top" wrapText="1"/>
    </xf>
    <xf numFmtId="0" fontId="50" fillId="0" borderId="93" xfId="767" applyFont="1" applyFill="1" applyBorder="1" applyAlignment="1">
      <alignment vertical="top"/>
    </xf>
    <xf numFmtId="0" fontId="50" fillId="0" borderId="98" xfId="767" applyFont="1" applyFill="1" applyBorder="1" applyAlignment="1">
      <alignment vertical="top"/>
    </xf>
    <xf numFmtId="0" fontId="51" fillId="33" borderId="98" xfId="767" applyFont="1" applyFill="1" applyBorder="1" applyAlignment="1">
      <alignment vertical="top"/>
    </xf>
    <xf numFmtId="0" fontId="50" fillId="0" borderId="25" xfId="767" applyFont="1" applyFill="1" applyBorder="1"/>
    <xf numFmtId="0" fontId="50" fillId="0" borderId="25" xfId="767" applyFont="1" applyBorder="1"/>
    <xf numFmtId="10" fontId="11" fillId="0" borderId="40" xfId="769" applyNumberFormat="1" applyFont="1" applyBorder="1"/>
    <xf numFmtId="0" fontId="51" fillId="0" borderId="0" xfId="767" applyFont="1" applyBorder="1" applyAlignment="1">
      <alignment vertical="top" wrapText="1"/>
    </xf>
    <xf numFmtId="0" fontId="50" fillId="0" borderId="0" xfId="767" applyFont="1" applyFill="1" applyBorder="1"/>
    <xf numFmtId="10" fontId="11" fillId="0" borderId="0" xfId="769" applyNumberFormat="1" applyFont="1" applyBorder="1"/>
    <xf numFmtId="0" fontId="51" fillId="0" borderId="0" xfId="767" applyFont="1" applyFill="1" applyBorder="1" applyAlignment="1">
      <alignment vertical="top" wrapText="1"/>
    </xf>
    <xf numFmtId="0" fontId="51" fillId="0" borderId="47" xfId="767" applyFont="1" applyBorder="1" applyAlignment="1">
      <alignment vertical="top" wrapText="1"/>
    </xf>
    <xf numFmtId="0" fontId="51" fillId="0" borderId="48" xfId="767" applyFont="1" applyFill="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Border="1" applyAlignment="1">
      <alignment horizontal="left" vertical="top" wrapText="1"/>
    </xf>
    <xf numFmtId="0" fontId="116" fillId="0" borderId="0" xfId="767" applyFont="1" applyBorder="1" applyAlignment="1">
      <alignment vertical="top" wrapText="1"/>
    </xf>
    <xf numFmtId="0" fontId="113" fillId="0" borderId="0" xfId="767" applyFont="1" applyBorder="1" applyAlignment="1">
      <alignment horizontal="center" vertical="top" wrapText="1"/>
    </xf>
    <xf numFmtId="0" fontId="50" fillId="0" borderId="35" xfId="767" applyFont="1" applyBorder="1"/>
    <xf numFmtId="0" fontId="50" fillId="0" borderId="7" xfId="767" applyFont="1" applyBorder="1"/>
    <xf numFmtId="0" fontId="50" fillId="0" borderId="32" xfId="767" applyFont="1" applyBorder="1" applyAlignment="1">
      <alignment wrapText="1"/>
    </xf>
    <xf numFmtId="165" fontId="50" fillId="0" borderId="0" xfId="767" applyNumberFormat="1" applyFont="1" applyBorder="1" applyAlignment="1">
      <alignment horizontal="center" vertical="center"/>
    </xf>
    <xf numFmtId="165" fontId="50" fillId="0" borderId="41" xfId="767" applyNumberFormat="1" applyFont="1" applyBorder="1" applyAlignment="1">
      <alignment horizontal="center" vertical="center"/>
    </xf>
    <xf numFmtId="0" fontId="50" fillId="0" borderId="7" xfId="767" applyFont="1" applyBorder="1" applyAlignment="1">
      <alignment wrapText="1"/>
    </xf>
    <xf numFmtId="165" fontId="11" fillId="33" borderId="70" xfId="796" applyFont="1" applyFill="1" applyBorder="1" applyAlignment="1">
      <alignment horizontal="center" vertical="center"/>
    </xf>
    <xf numFmtId="165" fontId="50" fillId="0" borderId="70" xfId="767" applyNumberFormat="1" applyFont="1" applyBorder="1" applyAlignment="1">
      <alignment horizontal="center" vertical="center"/>
    </xf>
    <xf numFmtId="165" fontId="50" fillId="0" borderId="78" xfId="767" applyNumberFormat="1" applyFont="1" applyBorder="1" applyAlignment="1">
      <alignment horizontal="center" vertical="center"/>
    </xf>
    <xf numFmtId="0" fontId="50" fillId="62" borderId="15" xfId="767" applyFont="1" applyFill="1" applyBorder="1" applyAlignment="1">
      <alignment wrapText="1"/>
    </xf>
    <xf numFmtId="165" fontId="50" fillId="62" borderId="51" xfId="767" applyNumberFormat="1" applyFont="1" applyFill="1" applyBorder="1" applyAlignment="1">
      <alignment horizontal="center" vertical="center"/>
    </xf>
    <xf numFmtId="0" fontId="50" fillId="0" borderId="96" xfId="767" applyFont="1" applyBorder="1" applyAlignment="1">
      <alignment wrapText="1"/>
    </xf>
    <xf numFmtId="165" fontId="50" fillId="0" borderId="81" xfId="767" applyNumberFormat="1" applyFont="1" applyBorder="1" applyAlignment="1">
      <alignment horizontal="center" vertical="center"/>
    </xf>
    <xf numFmtId="165" fontId="50" fillId="0" borderId="92" xfId="767" applyNumberFormat="1" applyFont="1" applyBorder="1" applyAlignment="1">
      <alignment horizontal="center" vertical="center"/>
    </xf>
    <xf numFmtId="165" fontId="50" fillId="0" borderId="95" xfId="767" applyNumberFormat="1" applyFont="1" applyBorder="1" applyAlignment="1">
      <alignment horizontal="center" vertical="center"/>
    </xf>
    <xf numFmtId="0" fontId="50" fillId="62" borderId="93" xfId="767" applyFont="1" applyFill="1" applyBorder="1" applyAlignment="1">
      <alignment wrapText="1"/>
    </xf>
    <xf numFmtId="165" fontId="50" fillId="62" borderId="108" xfId="767" applyNumberFormat="1" applyFont="1" applyFill="1" applyBorder="1" applyAlignment="1">
      <alignment horizontal="center" vertical="center"/>
    </xf>
    <xf numFmtId="165" fontId="50" fillId="62" borderId="109" xfId="767" applyNumberFormat="1" applyFont="1" applyFill="1" applyBorder="1" applyAlignment="1">
      <alignment horizontal="center" vertical="center"/>
    </xf>
    <xf numFmtId="165" fontId="11" fillId="62" borderId="51" xfId="768" applyNumberFormat="1" applyFont="1" applyFill="1" applyBorder="1" applyAlignment="1">
      <alignment horizontal="center" vertical="center"/>
    </xf>
    <xf numFmtId="165" fontId="11" fillId="62" borderId="52" xfId="768" applyNumberFormat="1" applyFont="1" applyFill="1" applyBorder="1" applyAlignment="1">
      <alignment horizontal="center" vertical="center"/>
    </xf>
    <xf numFmtId="1" fontId="11" fillId="33" borderId="23" xfId="634" applyNumberFormat="1" applyFont="1" applyFill="1" applyBorder="1" applyAlignment="1">
      <alignment horizontal="center"/>
    </xf>
    <xf numFmtId="165" fontId="11" fillId="65" borderId="23" xfId="379" applyFont="1" applyFill="1" applyBorder="1" applyAlignment="1">
      <alignment horizontal="center"/>
    </xf>
    <xf numFmtId="0" fontId="111" fillId="0" borderId="0" xfId="0" applyFont="1" applyFill="1" applyBorder="1" applyAlignment="1" applyProtection="1">
      <alignment horizontal="left" vertical="center" wrapText="1"/>
      <protection locked="0"/>
    </xf>
    <xf numFmtId="165" fontId="11" fillId="0" borderId="0" xfId="379" applyFont="1" applyAlignment="1">
      <alignment horizontal="center"/>
    </xf>
    <xf numFmtId="165" fontId="11" fillId="0" borderId="0" xfId="379" applyFont="1" applyAlignment="1" applyProtection="1">
      <alignment horizontal="center"/>
      <protection locked="0"/>
    </xf>
    <xf numFmtId="165" fontId="54" fillId="0" borderId="0" xfId="379" applyFont="1" applyBorder="1" applyAlignment="1" applyProtection="1">
      <alignment horizontal="left" vertical="center"/>
      <protection locked="0"/>
    </xf>
    <xf numFmtId="165" fontId="18" fillId="0" borderId="0" xfId="379" applyFont="1" applyAlignment="1" applyProtection="1">
      <alignment horizontal="center"/>
      <protection locked="0"/>
    </xf>
    <xf numFmtId="165" fontId="18" fillId="0" borderId="44" xfId="379" applyFont="1" applyBorder="1" applyAlignment="1" applyProtection="1">
      <alignment horizontal="center" wrapText="1"/>
      <protection locked="0"/>
    </xf>
    <xf numFmtId="165" fontId="11" fillId="0" borderId="0" xfId="379" applyFont="1" applyBorder="1" applyProtection="1">
      <protection locked="0"/>
    </xf>
    <xf numFmtId="165" fontId="11" fillId="0" borderId="0" xfId="379" applyFont="1" applyBorder="1"/>
    <xf numFmtId="165" fontId="11" fillId="0" borderId="70" xfId="379" applyFont="1" applyBorder="1" applyAlignment="1">
      <alignment horizontal="center"/>
    </xf>
    <xf numFmtId="165" fontId="67" fillId="0" borderId="17" xfId="379" applyFont="1" applyBorder="1" applyAlignment="1">
      <alignment horizontal="center"/>
    </xf>
    <xf numFmtId="165" fontId="67" fillId="0" borderId="21" xfId="379" applyFont="1" applyBorder="1" applyAlignment="1">
      <alignment horizontal="center"/>
    </xf>
    <xf numFmtId="165" fontId="67" fillId="0" borderId="55" xfId="379" applyFont="1" applyBorder="1" applyAlignment="1">
      <alignment horizontal="center"/>
    </xf>
    <xf numFmtId="165" fontId="67" fillId="0" borderId="1" xfId="379" applyFont="1" applyBorder="1" applyAlignment="1">
      <alignment horizontal="center"/>
    </xf>
    <xf numFmtId="165" fontId="108" fillId="0" borderId="1" xfId="379" applyFont="1" applyBorder="1"/>
    <xf numFmtId="0" fontId="11" fillId="0" borderId="0" xfId="0" applyFont="1" applyAlignment="1"/>
    <xf numFmtId="0" fontId="11" fillId="0" borderId="0" xfId="0" applyFont="1" applyAlignment="1" applyProtection="1">
      <protection locked="0"/>
    </xf>
    <xf numFmtId="2" fontId="11" fillId="0" borderId="23" xfId="379" applyNumberFormat="1" applyFont="1" applyFill="1" applyBorder="1" applyAlignment="1" applyProtection="1">
      <protection locked="0"/>
    </xf>
    <xf numFmtId="165" fontId="11" fillId="0" borderId="0" xfId="0" applyNumberFormat="1" applyFont="1" applyAlignment="1"/>
    <xf numFmtId="0" fontId="67" fillId="0" borderId="0" xfId="0" applyFont="1" applyBorder="1" applyAlignment="1">
      <alignment horizontal="center"/>
    </xf>
    <xf numFmtId="165" fontId="67" fillId="0" borderId="0" xfId="379" applyFont="1" applyBorder="1" applyAlignment="1">
      <alignment horizontal="center"/>
    </xf>
    <xf numFmtId="49" fontId="11" fillId="0" borderId="0" xfId="0" applyNumberFormat="1" applyFont="1" applyBorder="1" applyAlignment="1" applyProtection="1">
      <alignment horizontal="center"/>
      <protection locked="0"/>
    </xf>
    <xf numFmtId="165"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Border="1"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5" xfId="0" applyFont="1" applyBorder="1" applyAlignment="1">
      <alignment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Fill="1" applyBorder="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69" fontId="11" fillId="65" borderId="28" xfId="379" applyNumberFormat="1" applyFont="1" applyFill="1" applyBorder="1"/>
    <xf numFmtId="169" fontId="11" fillId="65" borderId="26" xfId="379" applyNumberFormat="1" applyFont="1" applyFill="1" applyBorder="1"/>
    <xf numFmtId="166" fontId="11" fillId="65" borderId="28" xfId="0" applyNumberFormat="1" applyFont="1" applyFill="1" applyBorder="1"/>
    <xf numFmtId="166"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applyBorder="1" applyAlignme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44" xfId="0" applyFont="1" applyFill="1" applyBorder="1" applyAlignment="1" applyProtection="1">
      <alignment horizontal="center" wrapText="1"/>
    </xf>
    <xf numFmtId="2" fontId="11" fillId="66" borderId="1" xfId="379" applyNumberFormat="1" applyFont="1" applyFill="1" applyBorder="1" applyAlignment="1" applyProtection="1">
      <alignment horizontal="center"/>
      <protection locked="0"/>
    </xf>
    <xf numFmtId="165" fontId="120" fillId="64" borderId="97" xfId="768" applyNumberFormat="1" applyFont="1" applyFill="1" applyBorder="1" applyAlignment="1">
      <alignment horizontal="center" vertical="center"/>
    </xf>
    <xf numFmtId="49" fontId="57" fillId="0" borderId="17" xfId="0" applyNumberFormat="1" applyFont="1" applyBorder="1"/>
    <xf numFmtId="0" fontId="57" fillId="0" borderId="17" xfId="0" applyFont="1" applyBorder="1"/>
    <xf numFmtId="0" fontId="57" fillId="0" borderId="22" xfId="0" applyFont="1" applyBorder="1"/>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8" fillId="0" borderId="81" xfId="0" applyFont="1" applyFill="1" applyBorder="1" applyAlignment="1" applyProtection="1">
      <alignment horizontal="center" vertical="center" wrapText="1"/>
      <protection locked="0"/>
    </xf>
    <xf numFmtId="0" fontId="11" fillId="0" borderId="0" xfId="0" applyFont="1" applyAlignment="1">
      <alignment vertical="center"/>
    </xf>
    <xf numFmtId="0" fontId="11" fillId="0" borderId="0" xfId="0" applyFont="1" applyAlignment="1" applyProtection="1">
      <alignment vertical="center"/>
      <protection locked="0"/>
    </xf>
    <xf numFmtId="0" fontId="54" fillId="0" borderId="0" xfId="0" applyFont="1" applyBorder="1" applyAlignment="1" applyProtection="1">
      <alignment horizontal="center" vertical="center"/>
      <protection locked="0"/>
    </xf>
    <xf numFmtId="17" fontId="11" fillId="0" borderId="0" xfId="0" applyNumberFormat="1" applyFont="1" applyBorder="1" applyAlignment="1" applyProtection="1">
      <alignment horizontal="center" vertical="center"/>
      <protection locked="0"/>
    </xf>
    <xf numFmtId="17" fontId="11" fillId="0" borderId="0" xfId="0" applyNumberFormat="1" applyFont="1" applyBorder="1" applyAlignment="1">
      <alignment horizontal="center" vertical="center"/>
    </xf>
    <xf numFmtId="0" fontId="112" fillId="0" borderId="0" xfId="0" applyFont="1" applyAlignment="1" applyProtection="1">
      <alignment horizontal="center"/>
      <protection locked="0"/>
    </xf>
    <xf numFmtId="0" fontId="18" fillId="0" borderId="68" xfId="0" applyFont="1" applyBorder="1" applyAlignment="1" applyProtection="1">
      <alignment horizontal="center"/>
      <protection locked="0"/>
    </xf>
    <xf numFmtId="0" fontId="112" fillId="0" borderId="0" xfId="0" applyFont="1" applyAlignment="1">
      <alignment horizontal="center"/>
    </xf>
    <xf numFmtId="0" fontId="18" fillId="0" borderId="0" xfId="0" applyFont="1" applyFill="1" applyAlignment="1" applyProtection="1">
      <alignment horizontal="center"/>
      <protection locked="0"/>
    </xf>
    <xf numFmtId="0" fontId="18" fillId="0" borderId="0" xfId="0" applyFont="1" applyAlignment="1">
      <alignment horizontal="center"/>
    </xf>
    <xf numFmtId="0" fontId="0" fillId="0" borderId="0" xfId="0" applyBorder="1" applyAlignment="1" applyProtection="1">
      <alignment vertical="center"/>
      <protection locked="0"/>
    </xf>
    <xf numFmtId="0" fontId="11" fillId="0" borderId="81" xfId="0" applyFont="1" applyBorder="1" applyAlignment="1" applyProtection="1">
      <alignment horizontal="center" vertical="center"/>
      <protection locked="0"/>
    </xf>
    <xf numFmtId="165" fontId="18" fillId="0" borderId="81" xfId="379" applyFont="1" applyBorder="1" applyAlignment="1" applyProtection="1">
      <alignment horizontal="center" vertical="center" wrapText="1"/>
      <protection locked="0"/>
    </xf>
    <xf numFmtId="0" fontId="18" fillId="66" borderId="1" xfId="0" applyFont="1" applyFill="1" applyBorder="1" applyAlignment="1" applyProtection="1">
      <alignment horizontal="center" vertical="center" wrapText="1"/>
    </xf>
    <xf numFmtId="0" fontId="0" fillId="0" borderId="0" xfId="0" applyAlignment="1">
      <alignment vertical="center"/>
    </xf>
    <xf numFmtId="0" fontId="11" fillId="0" borderId="0" xfId="0" applyFont="1" applyFill="1" applyAlignment="1" applyProtection="1">
      <alignment vertical="center"/>
      <protection locked="0"/>
    </xf>
    <xf numFmtId="0" fontId="122" fillId="0" borderId="0" xfId="0" applyFont="1"/>
    <xf numFmtId="0" fontId="60" fillId="66" borderId="24" xfId="0" applyFont="1" applyFill="1" applyBorder="1" applyAlignment="1">
      <alignment horizontal="centerContinuous"/>
    </xf>
    <xf numFmtId="0" fontId="60" fillId="66" borderId="24" xfId="0" applyFont="1" applyFill="1" applyBorder="1" applyAlignment="1">
      <alignment horizontal="center"/>
    </xf>
    <xf numFmtId="49" fontId="11" fillId="66" borderId="2" xfId="0" applyNumberFormat="1" applyFont="1" applyFill="1" applyBorder="1" applyAlignment="1">
      <alignment horizontal="center"/>
    </xf>
    <xf numFmtId="169" fontId="11" fillId="66" borderId="1" xfId="379" applyNumberFormat="1" applyFont="1" applyFill="1" applyBorder="1" applyAlignment="1">
      <alignment horizontal="center"/>
    </xf>
    <xf numFmtId="166" fontId="11" fillId="66" borderId="1" xfId="0" applyNumberFormat="1" applyFont="1" applyFill="1" applyBorder="1" applyAlignment="1">
      <alignment horizontal="center"/>
    </xf>
    <xf numFmtId="0" fontId="11" fillId="66" borderId="1" xfId="0" applyFont="1" applyFill="1" applyBorder="1" applyAlignment="1">
      <alignment horizontal="center"/>
    </xf>
    <xf numFmtId="1" fontId="11" fillId="66" borderId="1" xfId="0" applyNumberFormat="1" applyFont="1" applyFill="1" applyBorder="1" applyAlignment="1">
      <alignment horizontal="center"/>
    </xf>
    <xf numFmtId="0" fontId="11" fillId="66" borderId="8" xfId="0" applyFont="1" applyFill="1" applyBorder="1" applyAlignment="1">
      <alignment horizontal="center"/>
    </xf>
    <xf numFmtId="49" fontId="11" fillId="66" borderId="9" xfId="0" applyNumberFormat="1" applyFont="1" applyFill="1" applyBorder="1" applyAlignment="1">
      <alignment horizontal="center"/>
    </xf>
    <xf numFmtId="169" fontId="11" fillId="66" borderId="10" xfId="379" applyNumberFormat="1" applyFont="1" applyFill="1" applyBorder="1" applyAlignment="1">
      <alignment horizontal="center"/>
    </xf>
    <xf numFmtId="166" fontId="11" fillId="66" borderId="10" xfId="0" applyNumberFormat="1" applyFont="1" applyFill="1" applyBorder="1" applyAlignment="1">
      <alignment horizontal="center"/>
    </xf>
    <xf numFmtId="0" fontId="11" fillId="66" borderId="10" xfId="0" applyFont="1" applyFill="1" applyBorder="1" applyAlignment="1">
      <alignment horizontal="center"/>
    </xf>
    <xf numFmtId="1" fontId="11" fillId="66" borderId="10" xfId="0" applyNumberFormat="1" applyFont="1" applyFill="1" applyBorder="1" applyAlignment="1">
      <alignment horizontal="center"/>
    </xf>
    <xf numFmtId="0" fontId="11" fillId="66" borderId="11" xfId="0" applyFont="1" applyFill="1" applyBorder="1" applyAlignment="1">
      <alignment horizontal="center"/>
    </xf>
    <xf numFmtId="0" fontId="11" fillId="66" borderId="3" xfId="0" applyFont="1" applyFill="1" applyBorder="1" applyAlignment="1">
      <alignment horizontal="center"/>
    </xf>
    <xf numFmtId="169" fontId="11" fillId="66" borderId="2" xfId="379" applyNumberFormat="1" applyFont="1" applyFill="1" applyBorder="1"/>
    <xf numFmtId="0" fontId="11" fillId="66" borderId="8" xfId="0" applyFont="1" applyFill="1" applyBorder="1"/>
    <xf numFmtId="0" fontId="11" fillId="66" borderId="11" xfId="0" applyFont="1" applyFill="1" applyBorder="1"/>
    <xf numFmtId="0" fontId="11" fillId="66" borderId="4" xfId="0" applyFont="1" applyFill="1" applyBorder="1" applyAlignment="1">
      <alignment horizontal="center"/>
    </xf>
    <xf numFmtId="0" fontId="11" fillId="66" borderId="4" xfId="0" applyFont="1" applyFill="1" applyBorder="1" applyAlignment="1">
      <alignment horizontal="center" wrapText="1"/>
    </xf>
    <xf numFmtId="0" fontId="11" fillId="66" borderId="5" xfId="0" applyFont="1" applyFill="1" applyBorder="1" applyAlignment="1">
      <alignment horizontal="center"/>
    </xf>
    <xf numFmtId="0" fontId="11" fillId="66" borderId="6" xfId="0" applyFont="1" applyFill="1" applyBorder="1" applyAlignment="1">
      <alignment horizontal="center"/>
    </xf>
    <xf numFmtId="0" fontId="18" fillId="66" borderId="39" xfId="0" applyFont="1" applyFill="1" applyBorder="1"/>
    <xf numFmtId="2" fontId="18" fillId="66" borderId="7" xfId="0" applyNumberFormat="1" applyFont="1" applyFill="1" applyBorder="1"/>
    <xf numFmtId="0" fontId="18" fillId="0" borderId="2" xfId="0" applyFont="1" applyBorder="1"/>
    <xf numFmtId="2" fontId="18" fillId="66" borderId="2" xfId="0" applyNumberFormat="1" applyFont="1" applyFill="1" applyBorder="1"/>
    <xf numFmtId="2" fontId="18" fillId="66" borderId="43" xfId="0" applyNumberFormat="1" applyFont="1" applyFill="1" applyBorder="1"/>
    <xf numFmtId="0" fontId="18" fillId="66" borderId="26" xfId="0" applyFont="1" applyFill="1" applyBorder="1" applyAlignment="1">
      <alignment horizontal="center"/>
    </xf>
    <xf numFmtId="49" fontId="18" fillId="66" borderId="26" xfId="0" applyNumberFormat="1" applyFont="1" applyFill="1" applyBorder="1" applyAlignment="1">
      <alignment horizontal="center"/>
    </xf>
    <xf numFmtId="49" fontId="18" fillId="66" borderId="42" xfId="0" applyNumberFormat="1" applyFont="1" applyFill="1" applyBorder="1" applyAlignment="1">
      <alignment horizontal="center"/>
    </xf>
    <xf numFmtId="0" fontId="123" fillId="66" borderId="1" xfId="0" applyFont="1" applyFill="1" applyBorder="1" applyAlignment="1">
      <alignment horizontal="center"/>
    </xf>
    <xf numFmtId="0" fontId="123" fillId="66" borderId="1" xfId="0" applyFont="1" applyFill="1" applyBorder="1" applyAlignment="1">
      <alignment horizontal="center" wrapText="1"/>
    </xf>
    <xf numFmtId="0" fontId="124" fillId="0" borderId="0" xfId="0" applyFont="1"/>
    <xf numFmtId="0" fontId="123" fillId="66" borderId="44" xfId="0" applyFont="1" applyFill="1" applyBorder="1" applyAlignment="1">
      <alignment horizontal="center"/>
    </xf>
    <xf numFmtId="0" fontId="123" fillId="0" borderId="1" xfId="938" applyFont="1" applyBorder="1" applyAlignment="1">
      <alignment horizontal="center"/>
    </xf>
    <xf numFmtId="3" fontId="123" fillId="0" borderId="1" xfId="379" applyNumberFormat="1" applyFont="1" applyFill="1" applyBorder="1" applyAlignment="1">
      <alignment horizontal="center"/>
    </xf>
    <xf numFmtId="0" fontId="123" fillId="0" borderId="1" xfId="0" applyFont="1" applyBorder="1"/>
    <xf numFmtId="0" fontId="123" fillId="0" borderId="1" xfId="938" applyFont="1" applyFill="1" applyBorder="1" applyAlignment="1">
      <alignment horizontal="center"/>
    </xf>
    <xf numFmtId="0" fontId="123" fillId="62" borderId="1" xfId="0" applyFont="1" applyFill="1" applyBorder="1"/>
    <xf numFmtId="39" fontId="124" fillId="0" borderId="0" xfId="0" applyNumberFormat="1" applyFont="1"/>
    <xf numFmtId="39" fontId="124" fillId="0" borderId="0" xfId="0" applyNumberFormat="1" applyFont="1" applyAlignment="1">
      <alignment horizontal="center"/>
    </xf>
    <xf numFmtId="37" fontId="11" fillId="65" borderId="23" xfId="379" applyNumberFormat="1" applyFont="1" applyFill="1" applyBorder="1" applyAlignment="1" applyProtection="1">
      <alignment horizontal="center"/>
      <protection locked="0"/>
    </xf>
    <xf numFmtId="37" fontId="11" fillId="65" borderId="23" xfId="379" applyNumberFormat="1" applyFont="1" applyFill="1" applyBorder="1" applyAlignment="1" applyProtection="1">
      <alignment horizontal="center" vertical="center"/>
      <protection locked="0"/>
    </xf>
    <xf numFmtId="0" fontId="11" fillId="0" borderId="1" xfId="0" applyFont="1" applyFill="1" applyBorder="1"/>
    <xf numFmtId="0" fontId="11" fillId="66" borderId="26" xfId="0" applyFont="1" applyFill="1" applyBorder="1"/>
    <xf numFmtId="0" fontId="11" fillId="66" borderId="26" xfId="0" applyFont="1" applyFill="1" applyBorder="1" applyAlignment="1">
      <alignment horizontal="center"/>
    </xf>
    <xf numFmtId="49" fontId="11" fillId="66" borderId="26" xfId="0" applyNumberFormat="1" applyFont="1" applyFill="1" applyBorder="1" applyAlignment="1">
      <alignment horizontal="center"/>
    </xf>
    <xf numFmtId="49" fontId="11" fillId="66" borderId="42" xfId="0" applyNumberFormat="1" applyFont="1" applyFill="1" applyBorder="1" applyAlignment="1">
      <alignment horizontal="center"/>
    </xf>
    <xf numFmtId="0" fontId="11" fillId="66" borderId="39" xfId="521" applyFont="1" applyFill="1" applyBorder="1"/>
    <xf numFmtId="0" fontId="11" fillId="66" borderId="66" xfId="521" applyFont="1" applyFill="1" applyBorder="1"/>
    <xf numFmtId="0" fontId="11" fillId="66" borderId="26" xfId="521" applyFont="1" applyFill="1" applyBorder="1" applyAlignment="1">
      <alignment horizontal="center"/>
    </xf>
    <xf numFmtId="49" fontId="11" fillId="66" borderId="26" xfId="521" applyNumberFormat="1" applyFont="1" applyFill="1" applyBorder="1" applyAlignment="1">
      <alignment horizontal="center"/>
    </xf>
    <xf numFmtId="0" fontId="11" fillId="66" borderId="26" xfId="521" applyNumberFormat="1" applyFont="1" applyFill="1" applyBorder="1" applyAlignment="1">
      <alignment horizontal="center"/>
    </xf>
    <xf numFmtId="2" fontId="11" fillId="66" borderId="26" xfId="521" applyNumberFormat="1" applyFont="1" applyFill="1" applyBorder="1" applyAlignment="1">
      <alignment horizontal="center"/>
    </xf>
    <xf numFmtId="2" fontId="11" fillId="66" borderId="42" xfId="521" applyNumberFormat="1" applyFont="1" applyFill="1" applyBorder="1" applyAlignment="1">
      <alignment horizontal="center"/>
    </xf>
    <xf numFmtId="0" fontId="11" fillId="66" borderId="39" xfId="521" applyFont="1" applyFill="1" applyBorder="1" applyAlignment="1">
      <alignment horizontal="center" wrapText="1"/>
    </xf>
    <xf numFmtId="0" fontId="11" fillId="66" borderId="26" xfId="521" applyFont="1" applyFill="1" applyBorder="1" applyAlignment="1">
      <alignment horizontal="center" wrapText="1"/>
    </xf>
    <xf numFmtId="0" fontId="11" fillId="66" borderId="69" xfId="521" applyFont="1" applyFill="1" applyBorder="1" applyAlignment="1">
      <alignment horizontal="center" wrapText="1"/>
    </xf>
    <xf numFmtId="0" fontId="11" fillId="66" borderId="42" xfId="521" applyFont="1" applyFill="1" applyBorder="1" applyAlignment="1">
      <alignment horizontal="center" wrapText="1"/>
    </xf>
    <xf numFmtId="3" fontId="11" fillId="0" borderId="0" xfId="0" applyNumberFormat="1" applyFont="1" applyFill="1" applyBorder="1"/>
    <xf numFmtId="165" fontId="50" fillId="0" borderId="0" xfId="767" applyNumberFormat="1" applyFont="1" applyFill="1" applyBorder="1" applyAlignment="1">
      <alignment horizontal="center" vertical="center"/>
    </xf>
    <xf numFmtId="165" fontId="11" fillId="0" borderId="54" xfId="768" applyNumberFormat="1" applyFont="1" applyBorder="1" applyAlignment="1">
      <alignment horizontal="center" vertical="center"/>
    </xf>
    <xf numFmtId="165" fontId="11" fillId="0" borderId="70" xfId="768" applyNumberFormat="1" applyFont="1" applyBorder="1" applyAlignment="1">
      <alignment horizontal="center" vertical="center"/>
    </xf>
    <xf numFmtId="165" fontId="50" fillId="0" borderId="41" xfId="767" applyNumberFormat="1" applyFont="1" applyFill="1" applyBorder="1" applyAlignment="1">
      <alignment horizontal="center" vertical="center"/>
    </xf>
    <xf numFmtId="0" fontId="50" fillId="0" borderId="32" xfId="767" applyFont="1" applyFill="1" applyBorder="1" applyAlignment="1">
      <alignment wrapText="1"/>
    </xf>
    <xf numFmtId="0" fontId="2" fillId="0" borderId="32" xfId="767" applyFont="1" applyBorder="1" applyAlignment="1" applyProtection="1">
      <alignment wrapText="1"/>
      <protection locked="0"/>
    </xf>
    <xf numFmtId="165" fontId="117" fillId="64" borderId="78" xfId="768" applyNumberFormat="1" applyFont="1" applyFill="1" applyBorder="1" applyAlignment="1">
      <alignment horizontal="center" vertical="center"/>
    </xf>
    <xf numFmtId="0" fontId="27" fillId="0" borderId="68" xfId="524" applyFont="1" applyBorder="1"/>
    <xf numFmtId="165" fontId="50" fillId="62" borderId="55" xfId="767" applyNumberFormat="1" applyFont="1" applyFill="1" applyBorder="1" applyAlignment="1">
      <alignment horizontal="center" vertical="center"/>
    </xf>
    <xf numFmtId="165" fontId="50" fillId="62" borderId="120" xfId="767" applyNumberFormat="1" applyFont="1" applyFill="1" applyBorder="1" applyAlignment="1">
      <alignment horizontal="center" vertical="center"/>
    </xf>
    <xf numFmtId="0" fontId="27" fillId="0" borderId="55" xfId="524" applyFont="1" applyBorder="1"/>
    <xf numFmtId="0" fontId="51" fillId="65" borderId="121" xfId="767" applyFont="1" applyFill="1" applyBorder="1" applyAlignment="1">
      <alignment horizontal="center"/>
    </xf>
    <xf numFmtId="0" fontId="51" fillId="65" borderId="48" xfId="767" applyFont="1" applyFill="1" applyBorder="1" applyAlignment="1">
      <alignment horizontal="center"/>
    </xf>
    <xf numFmtId="0" fontId="51" fillId="65" borderId="48" xfId="767" applyFont="1" applyFill="1" applyBorder="1" applyAlignment="1">
      <alignment horizontal="center" vertical="center"/>
    </xf>
    <xf numFmtId="0" fontId="51" fillId="65" borderId="119" xfId="767" applyFont="1" applyFill="1" applyBorder="1" applyAlignment="1">
      <alignment horizontal="center" vertical="center"/>
    </xf>
    <xf numFmtId="0" fontId="51" fillId="65" borderId="49" xfId="767" applyFont="1" applyFill="1" applyBorder="1" applyAlignment="1">
      <alignment horizontal="center" vertical="center"/>
    </xf>
    <xf numFmtId="0" fontId="51" fillId="65" borderId="54" xfId="767" applyFont="1" applyFill="1" applyBorder="1" applyAlignment="1">
      <alignment horizontal="center" vertical="top"/>
    </xf>
    <xf numFmtId="0" fontId="51" fillId="65" borderId="70" xfId="767" applyFont="1" applyFill="1" applyBorder="1" applyAlignment="1">
      <alignment horizontal="center" vertical="top"/>
    </xf>
    <xf numFmtId="0" fontId="51" fillId="65" borderId="55" xfId="767" applyFont="1" applyFill="1" applyBorder="1" applyAlignment="1">
      <alignment horizontal="center" vertical="top"/>
    </xf>
    <xf numFmtId="165" fontId="50" fillId="65" borderId="78" xfId="767" applyNumberFormat="1" applyFont="1" applyFill="1" applyBorder="1" applyAlignment="1">
      <alignment horizontal="center" vertical="center"/>
    </xf>
    <xf numFmtId="165" fontId="50" fillId="62" borderId="78" xfId="767" applyNumberFormat="1" applyFont="1" applyFill="1" applyBorder="1" applyAlignment="1">
      <alignment horizontal="center" vertical="center"/>
    </xf>
    <xf numFmtId="165" fontId="11" fillId="62" borderId="70" xfId="768" applyNumberFormat="1" applyFont="1" applyFill="1" applyBorder="1" applyAlignment="1">
      <alignment horizontal="center" vertical="center"/>
    </xf>
    <xf numFmtId="10" fontId="50" fillId="0" borderId="118" xfId="767" applyNumberFormat="1" applyFont="1" applyFill="1" applyBorder="1" applyAlignment="1">
      <alignment horizontal="center" vertical="center"/>
    </xf>
    <xf numFmtId="3" fontId="11" fillId="0" borderId="75" xfId="379" applyNumberFormat="1" applyFont="1" applyFill="1" applyBorder="1" applyAlignment="1">
      <alignment horizontal="center"/>
    </xf>
    <xf numFmtId="3" fontId="11" fillId="0" borderId="50" xfId="379" applyNumberFormat="1" applyFont="1" applyFill="1" applyBorder="1" applyAlignment="1">
      <alignment horizontal="center"/>
    </xf>
    <xf numFmtId="3" fontId="11" fillId="0" borderId="56" xfId="379" applyNumberFormat="1" applyFont="1" applyFill="1" applyBorder="1" applyAlignment="1">
      <alignment horizontal="center"/>
    </xf>
    <xf numFmtId="0" fontId="15" fillId="0" borderId="0" xfId="0" applyFont="1" applyFill="1" applyBorder="1" applyAlignment="1"/>
    <xf numFmtId="0" fontId="11" fillId="66" borderId="39" xfId="0" applyFont="1" applyFill="1" applyBorder="1"/>
    <xf numFmtId="0" fontId="123" fillId="66" borderId="0" xfId="0" applyFont="1" applyFill="1" applyBorder="1" applyAlignment="1">
      <alignment horizontal="center" wrapText="1"/>
    </xf>
    <xf numFmtId="3" fontId="123" fillId="0" borderId="0" xfId="379" applyNumberFormat="1" applyFont="1" applyFill="1" applyBorder="1" applyAlignment="1">
      <alignment horizontal="center"/>
    </xf>
    <xf numFmtId="3" fontId="123" fillId="0" borderId="0" xfId="379" applyNumberFormat="1" applyFont="1" applyFill="1" applyBorder="1" applyAlignment="1">
      <alignment horizontal="left"/>
    </xf>
    <xf numFmtId="0" fontId="125" fillId="0" borderId="0" xfId="0" applyNumberFormat="1" applyFont="1" applyAlignment="1">
      <alignment horizontal="center" vertical="center"/>
    </xf>
    <xf numFmtId="3" fontId="125" fillId="0" borderId="0" xfId="0" applyNumberFormat="1" applyFont="1"/>
    <xf numFmtId="0" fontId="125" fillId="0" borderId="0" xfId="0" applyNumberFormat="1" applyFont="1" applyAlignment="1">
      <alignment horizontal="left" vertical="center"/>
    </xf>
    <xf numFmtId="0" fontId="123" fillId="0" borderId="0" xfId="0" applyFont="1" applyFill="1" applyBorder="1"/>
    <xf numFmtId="0" fontId="11" fillId="0" borderId="0" xfId="696" applyProtection="1">
      <protection locked="0"/>
    </xf>
    <xf numFmtId="0" fontId="18" fillId="0" borderId="0" xfId="696" applyFont="1" applyAlignment="1" applyProtection="1">
      <alignment horizontal="left"/>
      <protection locked="0"/>
    </xf>
    <xf numFmtId="0" fontId="89" fillId="0" borderId="0" xfId="696" applyFont="1" applyAlignment="1" applyProtection="1">
      <alignment horizontal="right" vertical="top"/>
      <protection locked="0"/>
    </xf>
    <xf numFmtId="0" fontId="1" fillId="0" borderId="0" xfId="1446" applyProtection="1">
      <protection locked="0"/>
    </xf>
    <xf numFmtId="0" fontId="89" fillId="33" borderId="122" xfId="696" applyFont="1" applyFill="1" applyBorder="1" applyAlignment="1" applyProtection="1">
      <alignment horizontal="right" vertical="top"/>
      <protection locked="0"/>
    </xf>
    <xf numFmtId="0" fontId="89" fillId="0" borderId="122" xfId="696" applyFont="1" applyFill="1" applyBorder="1" applyAlignment="1" applyProtection="1">
      <alignment horizontal="right" vertical="top"/>
      <protection locked="0"/>
    </xf>
    <xf numFmtId="0" fontId="89" fillId="33" borderId="0" xfId="696" applyFont="1" applyFill="1" applyAlignment="1" applyProtection="1">
      <alignment horizontal="right" vertical="top"/>
      <protection locked="0"/>
    </xf>
    <xf numFmtId="0" fontId="89" fillId="0" borderId="0" xfId="696" applyFont="1" applyFill="1" applyAlignment="1" applyProtection="1">
      <alignment horizontal="right" vertical="top"/>
      <protection locked="0"/>
    </xf>
    <xf numFmtId="15" fontId="89" fillId="33" borderId="0" xfId="696" applyNumberFormat="1" applyFont="1" applyFill="1" applyAlignment="1" applyProtection="1">
      <alignment vertical="top"/>
      <protection locked="0"/>
    </xf>
    <xf numFmtId="0" fontId="11" fillId="0" borderId="0" xfId="696" applyAlignment="1" applyProtection="1">
      <alignment horizontal="left"/>
      <protection locked="0"/>
    </xf>
    <xf numFmtId="0" fontId="1" fillId="0" borderId="0" xfId="1446" applyFont="1" applyProtection="1">
      <protection locked="0"/>
    </xf>
    <xf numFmtId="49" fontId="127" fillId="0" borderId="0" xfId="597" applyNumberFormat="1" applyFont="1" applyBorder="1" applyAlignment="1" applyProtection="1">
      <alignment vertical="top" wrapText="1"/>
      <protection locked="0"/>
    </xf>
    <xf numFmtId="49" fontId="1" fillId="0" borderId="0" xfId="1446" applyNumberFormat="1" applyFont="1" applyAlignment="1" applyProtection="1">
      <alignment vertical="top" wrapText="1"/>
      <protection locked="0"/>
    </xf>
    <xf numFmtId="49" fontId="128" fillId="0" borderId="0" xfId="597" applyNumberFormat="1" applyFont="1" applyBorder="1" applyAlignment="1" applyProtection="1">
      <alignment vertical="top" wrapText="1"/>
      <protection locked="0"/>
    </xf>
    <xf numFmtId="0" fontId="81" fillId="34" borderId="45" xfId="1446" applyFont="1" applyFill="1" applyBorder="1" applyAlignment="1" applyProtection="1">
      <alignment horizontal="right"/>
      <protection locked="0"/>
    </xf>
    <xf numFmtId="0" fontId="81" fillId="34" borderId="0" xfId="1446" applyFont="1" applyFill="1" applyBorder="1" applyAlignment="1" applyProtection="1">
      <alignment horizontal="right"/>
      <protection locked="0"/>
    </xf>
    <xf numFmtId="0" fontId="81" fillId="34" borderId="41" xfId="1446" applyFont="1" applyFill="1" applyBorder="1" applyAlignment="1" applyProtection="1">
      <alignment horizontal="right"/>
      <protection locked="0"/>
    </xf>
    <xf numFmtId="0" fontId="81" fillId="0" borderId="45" xfId="1446" applyFont="1" applyBorder="1" applyProtection="1">
      <protection locked="0"/>
    </xf>
    <xf numFmtId="0" fontId="81" fillId="0" borderId="123" xfId="1446" applyFont="1" applyBorder="1" applyProtection="1">
      <protection locked="0"/>
    </xf>
    <xf numFmtId="0" fontId="1" fillId="0" borderId="45" xfId="1446" applyFont="1" applyBorder="1" applyProtection="1">
      <protection locked="0"/>
    </xf>
    <xf numFmtId="10" fontId="127" fillId="0" borderId="0" xfId="611" applyNumberFormat="1" applyFont="1" applyBorder="1" applyProtection="1">
      <protection locked="0"/>
    </xf>
    <xf numFmtId="10" fontId="127" fillId="0" borderId="99" xfId="611" applyNumberFormat="1" applyFont="1" applyBorder="1" applyProtection="1">
      <protection locked="0"/>
    </xf>
    <xf numFmtId="10" fontId="127" fillId="0" borderId="41" xfId="611" applyNumberFormat="1" applyFont="1" applyBorder="1" applyProtection="1">
      <protection locked="0"/>
    </xf>
    <xf numFmtId="0" fontId="1" fillId="0" borderId="45" xfId="1446" applyBorder="1" applyProtection="1">
      <protection locked="0"/>
    </xf>
    <xf numFmtId="0" fontId="1" fillId="0" borderId="123" xfId="1446" applyBorder="1" applyProtection="1">
      <protection locked="0"/>
    </xf>
    <xf numFmtId="9" fontId="0" fillId="68" borderId="0" xfId="611" applyFont="1" applyFill="1" applyProtection="1">
      <protection locked="0"/>
    </xf>
    <xf numFmtId="9" fontId="1" fillId="68" borderId="0" xfId="1446" applyNumberFormat="1" applyFill="1" applyProtection="1">
      <protection locked="0"/>
    </xf>
    <xf numFmtId="9" fontId="1" fillId="0" borderId="0" xfId="1446" applyNumberFormat="1" applyProtection="1">
      <protection locked="0"/>
    </xf>
    <xf numFmtId="0" fontId="1" fillId="0" borderId="0" xfId="1446" applyFont="1" applyBorder="1" applyProtection="1">
      <protection locked="0"/>
    </xf>
    <xf numFmtId="0" fontId="1" fillId="0" borderId="93" xfId="1446" applyFont="1" applyBorder="1" applyProtection="1">
      <protection locked="0"/>
    </xf>
    <xf numFmtId="0" fontId="1" fillId="0" borderId="98" xfId="1446" applyFont="1" applyBorder="1" applyProtection="1">
      <protection locked="0"/>
    </xf>
    <xf numFmtId="10" fontId="127" fillId="0" borderId="100" xfId="611" applyNumberFormat="1" applyFont="1" applyBorder="1" applyProtection="1">
      <protection locked="0"/>
    </xf>
    <xf numFmtId="10" fontId="127" fillId="0" borderId="94" xfId="611" applyNumberFormat="1" applyFont="1" applyBorder="1" applyProtection="1">
      <protection locked="0"/>
    </xf>
    <xf numFmtId="10" fontId="81" fillId="0" borderId="0" xfId="1446" applyNumberFormat="1" applyFont="1" applyBorder="1" applyProtection="1">
      <protection locked="0"/>
    </xf>
    <xf numFmtId="10" fontId="81" fillId="0" borderId="99" xfId="1446" applyNumberFormat="1" applyFont="1" applyBorder="1" applyProtection="1">
      <protection locked="0"/>
    </xf>
    <xf numFmtId="10" fontId="81" fillId="0" borderId="41" xfId="1446" applyNumberFormat="1" applyFont="1" applyBorder="1" applyProtection="1">
      <protection locked="0"/>
    </xf>
    <xf numFmtId="165" fontId="127" fillId="33" borderId="0" xfId="597" applyNumberFormat="1" applyFont="1" applyFill="1" applyBorder="1" applyProtection="1">
      <protection locked="0"/>
    </xf>
    <xf numFmtId="165" fontId="127" fillId="0" borderId="41" xfId="597" applyNumberFormat="1" applyFont="1" applyBorder="1" applyProtection="1">
      <protection locked="0"/>
    </xf>
    <xf numFmtId="165" fontId="127" fillId="0" borderId="0" xfId="597" applyNumberFormat="1" applyFont="1" applyBorder="1" applyProtection="1">
      <protection locked="0"/>
    </xf>
    <xf numFmtId="165" fontId="127" fillId="0" borderId="98" xfId="597" applyNumberFormat="1" applyFont="1" applyBorder="1" applyProtection="1">
      <protection locked="0"/>
    </xf>
    <xf numFmtId="165" fontId="127" fillId="0" borderId="94" xfId="597" applyNumberFormat="1" applyFont="1" applyBorder="1" applyProtection="1">
      <protection locked="0"/>
    </xf>
    <xf numFmtId="0" fontId="1" fillId="33" borderId="45" xfId="1446" applyFill="1" applyBorder="1" applyProtection="1">
      <protection locked="0"/>
    </xf>
    <xf numFmtId="0" fontId="1" fillId="33" borderId="123" xfId="1446" applyFill="1" applyBorder="1" applyProtection="1">
      <protection locked="0"/>
    </xf>
    <xf numFmtId="0" fontId="81" fillId="0" borderId="46" xfId="1446" applyFont="1" applyBorder="1" applyProtection="1">
      <protection locked="0"/>
    </xf>
    <xf numFmtId="165" fontId="81" fillId="0" borderId="25" xfId="597" applyNumberFormat="1" applyFont="1" applyBorder="1" applyProtection="1">
      <protection locked="0"/>
    </xf>
    <xf numFmtId="165" fontId="81" fillId="0" borderId="101" xfId="597" applyNumberFormat="1" applyFont="1" applyBorder="1" applyProtection="1">
      <protection locked="0"/>
    </xf>
    <xf numFmtId="165" fontId="81" fillId="0" borderId="40" xfId="597" applyNumberFormat="1" applyFont="1" applyBorder="1" applyProtection="1">
      <protection locked="0"/>
    </xf>
    <xf numFmtId="0" fontId="1" fillId="0" borderId="46" xfId="1446" applyBorder="1" applyProtection="1">
      <protection locked="0"/>
    </xf>
    <xf numFmtId="0" fontId="1" fillId="0" borderId="124" xfId="1446" applyBorder="1" applyProtection="1">
      <protection locked="0"/>
    </xf>
    <xf numFmtId="0" fontId="81" fillId="0" borderId="0" xfId="1446" applyFont="1" applyBorder="1" applyProtection="1">
      <protection locked="0"/>
    </xf>
    <xf numFmtId="165" fontId="81" fillId="0" borderId="0" xfId="597" applyNumberFormat="1" applyFont="1" applyBorder="1" applyProtection="1">
      <protection locked="0"/>
    </xf>
    <xf numFmtId="0" fontId="81" fillId="62" borderId="45" xfId="1446" applyFont="1" applyFill="1" applyBorder="1" applyAlignment="1" applyProtection="1">
      <alignment horizontal="right"/>
      <protection locked="0"/>
    </xf>
    <xf numFmtId="0" fontId="81" fillId="62" borderId="0" xfId="1446" applyFont="1" applyFill="1" applyBorder="1" applyAlignment="1" applyProtection="1">
      <alignment horizontal="right"/>
      <protection locked="0"/>
    </xf>
    <xf numFmtId="0" fontId="81" fillId="62" borderId="41" xfId="1446" applyFont="1" applyFill="1" applyBorder="1" applyAlignment="1" applyProtection="1">
      <alignment horizontal="right"/>
      <protection locked="0"/>
    </xf>
    <xf numFmtId="10" fontId="127" fillId="61" borderId="0" xfId="611" applyNumberFormat="1" applyFont="1" applyFill="1" applyBorder="1" applyProtection="1">
      <protection locked="0"/>
    </xf>
    <xf numFmtId="10" fontId="127" fillId="61" borderId="99" xfId="611" applyNumberFormat="1" applyFont="1" applyFill="1" applyBorder="1" applyProtection="1">
      <protection locked="0"/>
    </xf>
    <xf numFmtId="0" fontId="81" fillId="0" borderId="104" xfId="1446" applyFont="1" applyBorder="1" applyProtection="1">
      <protection locked="0"/>
    </xf>
    <xf numFmtId="10" fontId="81" fillId="0" borderId="105" xfId="1446" applyNumberFormat="1" applyFont="1" applyBorder="1" applyProtection="1">
      <protection locked="0"/>
    </xf>
    <xf numFmtId="10" fontId="81" fillId="0" borderId="106" xfId="1446" applyNumberFormat="1" applyFont="1" applyBorder="1" applyProtection="1">
      <protection locked="0"/>
    </xf>
    <xf numFmtId="10" fontId="81" fillId="0" borderId="107" xfId="1446" applyNumberFormat="1" applyFont="1" applyBorder="1" applyProtection="1">
      <protection locked="0"/>
    </xf>
    <xf numFmtId="165" fontId="127" fillId="61" borderId="0" xfId="597" applyNumberFormat="1" applyFont="1" applyFill="1" applyBorder="1" applyProtection="1">
      <protection locked="0"/>
    </xf>
    <xf numFmtId="165" fontId="127" fillId="61" borderId="99" xfId="597" applyNumberFormat="1" applyFont="1" applyFill="1" applyBorder="1" applyProtection="1">
      <protection locked="0"/>
    </xf>
    <xf numFmtId="165" fontId="127" fillId="33" borderId="103" xfId="597" applyNumberFormat="1" applyFont="1" applyFill="1" applyBorder="1" applyProtection="1">
      <protection locked="0"/>
    </xf>
    <xf numFmtId="165" fontId="127" fillId="61" borderId="103" xfId="597" applyNumberFormat="1" applyFont="1" applyFill="1" applyBorder="1" applyProtection="1">
      <protection locked="0"/>
    </xf>
    <xf numFmtId="165" fontId="127" fillId="61" borderId="102" xfId="597" applyNumberFormat="1" applyFont="1" applyFill="1" applyBorder="1" applyProtection="1">
      <protection locked="0"/>
    </xf>
    <xf numFmtId="165" fontId="127" fillId="0" borderId="0" xfId="597" applyNumberFormat="1" applyFont="1" applyFill="1" applyBorder="1" applyProtection="1">
      <protection locked="0"/>
    </xf>
    <xf numFmtId="165" fontId="127" fillId="33" borderId="100" xfId="597" applyNumberFormat="1" applyFont="1" applyFill="1" applyBorder="1" applyProtection="1">
      <protection locked="0"/>
    </xf>
    <xf numFmtId="0" fontId="1" fillId="0" borderId="0" xfId="1446" applyFont="1" applyBorder="1" applyAlignment="1" applyProtection="1">
      <alignment vertical="top" wrapText="1"/>
      <protection locked="0"/>
    </xf>
    <xf numFmtId="0" fontId="1" fillId="0" borderId="0" xfId="1446" applyFont="1" applyAlignment="1" applyProtection="1">
      <alignment vertical="top" wrapText="1"/>
      <protection locked="0"/>
    </xf>
    <xf numFmtId="0" fontId="81" fillId="34" borderId="45" xfId="1446" applyFont="1" applyFill="1" applyBorder="1" applyAlignment="1" applyProtection="1">
      <alignment horizontal="center"/>
      <protection locked="0"/>
    </xf>
    <xf numFmtId="0" fontId="81" fillId="34" borderId="0" xfId="1446" applyFont="1" applyFill="1" applyBorder="1" applyAlignment="1" applyProtection="1">
      <alignment horizontal="center"/>
      <protection locked="0"/>
    </xf>
    <xf numFmtId="0" fontId="81" fillId="34" borderId="41" xfId="1446" applyFont="1" applyFill="1" applyBorder="1" applyAlignment="1" applyProtection="1">
      <alignment horizontal="center"/>
      <protection locked="0"/>
    </xf>
    <xf numFmtId="0" fontId="81" fillId="35" borderId="41" xfId="1446" applyFont="1" applyFill="1" applyBorder="1" applyAlignment="1" applyProtection="1">
      <alignment horizontal="center"/>
      <protection locked="0"/>
    </xf>
    <xf numFmtId="0" fontId="81" fillId="34" borderId="38" xfId="1446" applyFont="1" applyFill="1" applyBorder="1" applyAlignment="1" applyProtection="1">
      <alignment horizontal="center"/>
      <protection locked="0"/>
    </xf>
    <xf numFmtId="0" fontId="81" fillId="34" borderId="70" xfId="1446" applyFont="1" applyFill="1" applyBorder="1" applyAlignment="1" applyProtection="1">
      <alignment horizontal="center"/>
      <protection locked="0"/>
    </xf>
    <xf numFmtId="0" fontId="81" fillId="34" borderId="78" xfId="1446" applyFont="1" applyFill="1" applyBorder="1" applyAlignment="1" applyProtection="1">
      <alignment horizontal="center"/>
      <protection locked="0"/>
    </xf>
    <xf numFmtId="0" fontId="1" fillId="34" borderId="45" xfId="1446" applyFont="1" applyFill="1" applyBorder="1" applyAlignment="1" applyProtection="1">
      <alignment vertical="top"/>
      <protection locked="0"/>
    </xf>
    <xf numFmtId="0" fontId="1" fillId="34" borderId="0" xfId="1446" applyFont="1" applyFill="1" applyBorder="1" applyAlignment="1" applyProtection="1">
      <alignment vertical="top"/>
      <protection locked="0"/>
    </xf>
    <xf numFmtId="0" fontId="81" fillId="34" borderId="41" xfId="1446" applyFont="1" applyFill="1" applyBorder="1" applyAlignment="1" applyProtection="1">
      <alignment horizontal="center" wrapText="1"/>
      <protection locked="0"/>
    </xf>
    <xf numFmtId="0" fontId="81" fillId="34" borderId="70" xfId="1446" applyFont="1" applyFill="1" applyBorder="1" applyAlignment="1" applyProtection="1">
      <alignment horizontal="center" vertical="center"/>
      <protection locked="0"/>
    </xf>
    <xf numFmtId="0" fontId="81" fillId="34" borderId="78" xfId="1446" applyFont="1" applyFill="1" applyBorder="1" applyAlignment="1" applyProtection="1">
      <alignment horizontal="center" vertical="center" wrapText="1"/>
      <protection locked="0"/>
    </xf>
    <xf numFmtId="0" fontId="1" fillId="0" borderId="45" xfId="1446" applyFont="1" applyFill="1" applyBorder="1" applyAlignment="1" applyProtection="1">
      <alignment vertical="top"/>
      <protection locked="0"/>
    </xf>
    <xf numFmtId="0" fontId="1" fillId="0" borderId="0" xfId="1446" applyFont="1" applyFill="1" applyBorder="1" applyAlignment="1" applyProtection="1">
      <alignment vertical="top"/>
      <protection locked="0"/>
    </xf>
    <xf numFmtId="0" fontId="81" fillId="33" borderId="0" xfId="1446" applyFont="1" applyFill="1" applyBorder="1" applyAlignment="1" applyProtection="1">
      <alignment vertical="top"/>
      <protection locked="0"/>
    </xf>
    <xf numFmtId="0" fontId="81" fillId="0" borderId="0" xfId="1446" applyFont="1" applyFill="1" applyBorder="1" applyAlignment="1" applyProtection="1">
      <alignment vertical="top"/>
      <protection locked="0"/>
    </xf>
    <xf numFmtId="0" fontId="81" fillId="0" borderId="41" xfId="1446" applyFont="1" applyFill="1" applyBorder="1" applyAlignment="1" applyProtection="1">
      <alignment horizontal="center" vertical="top" wrapText="1"/>
      <protection locked="0"/>
    </xf>
    <xf numFmtId="0" fontId="81" fillId="33" borderId="125" xfId="1446" applyFont="1" applyFill="1" applyBorder="1" applyAlignment="1" applyProtection="1">
      <alignment vertical="top"/>
      <protection locked="0"/>
    </xf>
    <xf numFmtId="0" fontId="1" fillId="0" borderId="93" xfId="1446" applyFont="1" applyFill="1" applyBorder="1" applyAlignment="1" applyProtection="1">
      <alignment vertical="top"/>
      <protection locked="0"/>
    </xf>
    <xf numFmtId="0" fontId="1" fillId="0" borderId="98" xfId="1446" applyFont="1" applyFill="1" applyBorder="1" applyAlignment="1" applyProtection="1">
      <alignment vertical="top"/>
      <protection locked="0"/>
    </xf>
    <xf numFmtId="0" fontId="81" fillId="33" borderId="98" xfId="1446" applyFont="1" applyFill="1" applyBorder="1" applyAlignment="1" applyProtection="1">
      <alignment vertical="top"/>
      <protection locked="0"/>
    </xf>
    <xf numFmtId="0" fontId="1" fillId="0" borderId="25" xfId="1446" applyFont="1" applyFill="1" applyBorder="1" applyProtection="1">
      <protection locked="0"/>
    </xf>
    <xf numFmtId="0" fontId="1" fillId="0" borderId="25" xfId="1446" applyFont="1" applyBorder="1" applyProtection="1">
      <protection locked="0"/>
    </xf>
    <xf numFmtId="10" fontId="128" fillId="0" borderId="40" xfId="611" applyNumberFormat="1" applyFont="1" applyBorder="1" applyProtection="1">
      <protection locked="0"/>
    </xf>
    <xf numFmtId="0" fontId="81" fillId="0" borderId="0" xfId="1446" applyFont="1" applyBorder="1" applyAlignment="1" applyProtection="1">
      <alignment vertical="top" wrapText="1"/>
      <protection locked="0"/>
    </xf>
    <xf numFmtId="0" fontId="1" fillId="0" borderId="0" xfId="1446" applyFont="1" applyFill="1" applyBorder="1" applyProtection="1">
      <protection locked="0"/>
    </xf>
    <xf numFmtId="10" fontId="128" fillId="0" borderId="0" xfId="611" applyNumberFormat="1" applyFont="1" applyBorder="1" applyProtection="1">
      <protection locked="0"/>
    </xf>
    <xf numFmtId="0" fontId="1" fillId="0" borderId="0" xfId="1446" applyFont="1" applyBorder="1" applyAlignment="1" applyProtection="1">
      <alignment horizontal="left" vertical="top" wrapText="1"/>
      <protection locked="0"/>
    </xf>
    <xf numFmtId="0" fontId="81" fillId="0" borderId="0" xfId="1446" applyFont="1" applyFill="1" applyBorder="1" applyAlignment="1" applyProtection="1">
      <alignment vertical="top" wrapText="1"/>
      <protection locked="0"/>
    </xf>
    <xf numFmtId="0" fontId="1" fillId="0" borderId="0" xfId="1446" applyBorder="1" applyProtection="1">
      <protection locked="0"/>
    </xf>
    <xf numFmtId="0" fontId="81" fillId="0" borderId="47" xfId="1446" applyFont="1" applyBorder="1" applyAlignment="1" applyProtection="1">
      <alignment vertical="top" wrapText="1"/>
      <protection locked="0"/>
    </xf>
    <xf numFmtId="0" fontId="81" fillId="0" borderId="48" xfId="1446" applyFont="1" applyFill="1" applyBorder="1" applyAlignment="1" applyProtection="1">
      <alignment horizontal="center" vertical="center" wrapText="1"/>
      <protection locked="0"/>
    </xf>
    <xf numFmtId="0" fontId="130" fillId="0" borderId="48" xfId="796" applyNumberFormat="1" applyFont="1" applyBorder="1" applyAlignment="1" applyProtection="1">
      <alignment horizontal="center" vertical="center"/>
      <protection locked="0"/>
    </xf>
    <xf numFmtId="0" fontId="1" fillId="0" borderId="49" xfId="1446" applyBorder="1" applyProtection="1">
      <protection locked="0"/>
    </xf>
    <xf numFmtId="0" fontId="81" fillId="0" borderId="45" xfId="1446" applyFont="1" applyBorder="1" applyAlignment="1" applyProtection="1">
      <alignment horizontal="left" vertical="center" wrapText="1"/>
      <protection locked="0"/>
    </xf>
    <xf numFmtId="0" fontId="81" fillId="35" borderId="1" xfId="1446" applyFont="1" applyFill="1" applyBorder="1" applyAlignment="1" applyProtection="1">
      <alignment horizontal="center" vertical="center" wrapText="1"/>
      <protection locked="0"/>
    </xf>
    <xf numFmtId="10" fontId="128" fillId="0" borderId="41" xfId="611" applyNumberFormat="1" applyFont="1" applyBorder="1" applyAlignment="1" applyProtection="1">
      <alignment horizontal="center" vertical="center" wrapText="1"/>
      <protection locked="0"/>
    </xf>
    <xf numFmtId="0" fontId="131" fillId="0" borderId="46" xfId="1446" applyFont="1" applyBorder="1" applyAlignment="1" applyProtection="1">
      <alignment horizontal="left" vertical="top" wrapText="1"/>
      <protection locked="0"/>
    </xf>
    <xf numFmtId="0" fontId="132" fillId="0" borderId="25" xfId="1446" applyFont="1" applyBorder="1" applyAlignment="1" applyProtection="1">
      <alignment vertical="top" wrapText="1"/>
      <protection locked="0"/>
    </xf>
    <xf numFmtId="0" fontId="132" fillId="69" borderId="25" xfId="1446" applyFont="1" applyFill="1" applyBorder="1" applyAlignment="1" applyProtection="1">
      <alignment vertical="top" wrapText="1"/>
      <protection locked="0"/>
    </xf>
    <xf numFmtId="0" fontId="131" fillId="0" borderId="0" xfId="1446" applyFont="1" applyBorder="1" applyAlignment="1" applyProtection="1">
      <alignment horizontal="left" vertical="top" wrapText="1"/>
      <protection locked="0"/>
    </xf>
    <xf numFmtId="0" fontId="132" fillId="0" borderId="0" xfId="1446" applyFont="1" applyBorder="1" applyAlignment="1" applyProtection="1">
      <alignment vertical="top" wrapText="1"/>
      <protection locked="0"/>
    </xf>
    <xf numFmtId="0" fontId="129" fillId="0" borderId="0" xfId="1446" applyFont="1" applyBorder="1" applyAlignment="1" applyProtection="1">
      <alignment horizontal="center" vertical="top" wrapText="1"/>
      <protection locked="0"/>
    </xf>
    <xf numFmtId="0" fontId="1" fillId="0" borderId="47" xfId="1446" applyFont="1" applyBorder="1" applyProtection="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8" xfId="1446" applyFont="1" applyFill="1" applyBorder="1" applyAlignment="1" applyProtection="1">
      <alignment horizontal="center" vertical="center"/>
      <protection locked="0"/>
    </xf>
    <xf numFmtId="0" fontId="81" fillId="34" borderId="3" xfId="1446" applyFont="1" applyFill="1" applyBorder="1" applyAlignment="1" applyProtection="1">
      <alignment horizontal="center" vertical="center"/>
      <protection locked="0"/>
    </xf>
    <xf numFmtId="0" fontId="1" fillId="0" borderId="38" xfId="1446" applyFont="1" applyBorder="1" applyProtection="1">
      <protection locked="0"/>
    </xf>
    <xf numFmtId="0" fontId="81" fillId="34" borderId="45" xfId="1446" applyFont="1" applyFill="1" applyBorder="1" applyAlignment="1" applyProtection="1">
      <alignment vertical="top"/>
      <protection locked="0"/>
    </xf>
    <xf numFmtId="0" fontId="81" fillId="34" borderId="0" xfId="1446" applyFont="1" applyFill="1" applyBorder="1" applyAlignment="1" applyProtection="1">
      <alignment vertical="top"/>
      <protection locked="0"/>
    </xf>
    <xf numFmtId="0" fontId="81" fillId="34" borderId="74" xfId="1446" applyFont="1" applyFill="1" applyBorder="1" applyAlignment="1" applyProtection="1">
      <alignment vertical="top"/>
      <protection locked="0"/>
    </xf>
    <xf numFmtId="0" fontId="1" fillId="0" borderId="45" xfId="1446" applyFont="1" applyBorder="1" applyAlignment="1" applyProtection="1">
      <alignment wrapText="1"/>
      <protection locked="0"/>
    </xf>
    <xf numFmtId="165" fontId="1" fillId="0" borderId="1" xfId="1446" applyNumberFormat="1" applyFont="1" applyBorder="1" applyAlignment="1" applyProtection="1">
      <alignment horizontal="center" vertical="center"/>
      <protection locked="0"/>
    </xf>
    <xf numFmtId="165" fontId="1" fillId="0" borderId="50" xfId="1446" applyNumberFormat="1" applyFont="1" applyBorder="1" applyAlignment="1" applyProtection="1">
      <alignment horizontal="center" vertical="center"/>
      <protection locked="0"/>
    </xf>
    <xf numFmtId="165" fontId="1" fillId="0" borderId="126" xfId="1446" applyNumberFormat="1" applyFont="1" applyBorder="1" applyAlignment="1" applyProtection="1">
      <alignment horizontal="center" vertical="center"/>
      <protection locked="0"/>
    </xf>
    <xf numFmtId="0" fontId="1" fillId="69" borderId="38" xfId="1446" applyFont="1" applyFill="1" applyBorder="1" applyAlignment="1" applyProtection="1">
      <alignment wrapText="1"/>
      <protection locked="0"/>
    </xf>
    <xf numFmtId="165" fontId="128" fillId="33" borderId="1" xfId="796" applyFont="1" applyFill="1" applyBorder="1" applyAlignment="1" applyProtection="1">
      <alignment horizontal="center" vertical="center"/>
      <protection locked="0"/>
    </xf>
    <xf numFmtId="165" fontId="1" fillId="33" borderId="1" xfId="1446" applyNumberFormat="1" applyFont="1" applyFill="1" applyBorder="1" applyAlignment="1" applyProtection="1">
      <alignment horizontal="center" vertical="center"/>
      <protection locked="0"/>
    </xf>
    <xf numFmtId="0" fontId="1" fillId="62" borderId="15" xfId="1446" applyFont="1" applyFill="1" applyBorder="1" applyAlignment="1" applyProtection="1">
      <alignment wrapText="1"/>
      <protection locked="0"/>
    </xf>
    <xf numFmtId="165" fontId="1" fillId="62" borderId="1" xfId="1446" applyNumberFormat="1" applyFont="1" applyFill="1" applyBorder="1" applyAlignment="1" applyProtection="1">
      <alignment horizontal="center" vertical="center"/>
      <protection locked="0"/>
    </xf>
    <xf numFmtId="165" fontId="1" fillId="62" borderId="50" xfId="1446" applyNumberFormat="1" applyFont="1" applyFill="1" applyBorder="1" applyAlignment="1" applyProtection="1">
      <alignment horizontal="center" vertical="center"/>
      <protection locked="0"/>
    </xf>
    <xf numFmtId="165" fontId="1" fillId="62" borderId="126" xfId="1446" applyNumberFormat="1" applyFont="1" applyFill="1" applyBorder="1" applyAlignment="1" applyProtection="1">
      <alignment horizontal="center" vertical="center"/>
      <protection locked="0"/>
    </xf>
    <xf numFmtId="0" fontId="1" fillId="0" borderId="127" xfId="1446" applyFont="1" applyBorder="1" applyAlignment="1" applyProtection="1">
      <alignment wrapText="1"/>
      <protection locked="0"/>
    </xf>
    <xf numFmtId="0" fontId="1" fillId="62" borderId="93" xfId="1446" applyFont="1" applyFill="1" applyBorder="1" applyAlignment="1" applyProtection="1">
      <alignment wrapText="1"/>
      <protection locked="0"/>
    </xf>
    <xf numFmtId="165" fontId="128" fillId="0" borderId="1" xfId="597" applyNumberFormat="1" applyFont="1" applyBorder="1" applyAlignment="1" applyProtection="1">
      <alignment horizontal="center" vertical="center"/>
      <protection locked="0"/>
    </xf>
    <xf numFmtId="165" fontId="128" fillId="0" borderId="50" xfId="597" applyNumberFormat="1" applyFont="1" applyBorder="1" applyAlignment="1" applyProtection="1">
      <alignment horizontal="center" vertical="center"/>
      <protection locked="0"/>
    </xf>
    <xf numFmtId="165" fontId="128" fillId="69" borderId="126" xfId="597" applyNumberFormat="1" applyFont="1" applyFill="1" applyBorder="1" applyAlignment="1" applyProtection="1">
      <alignment horizontal="center" vertical="center"/>
      <protection locked="0"/>
    </xf>
    <xf numFmtId="165" fontId="128" fillId="62" borderId="1" xfId="597" applyNumberFormat="1" applyFont="1" applyFill="1" applyBorder="1" applyAlignment="1" applyProtection="1">
      <alignment horizontal="center" vertical="center"/>
      <protection locked="0"/>
    </xf>
    <xf numFmtId="165" fontId="128" fillId="62" borderId="50" xfId="597" applyNumberFormat="1" applyFont="1" applyFill="1" applyBorder="1" applyAlignment="1" applyProtection="1">
      <alignment horizontal="center" vertical="center"/>
      <protection locked="0"/>
    </xf>
    <xf numFmtId="165" fontId="128" fillId="62" borderId="126" xfId="597" applyNumberFormat="1" applyFont="1" applyFill="1" applyBorder="1" applyAlignment="1" applyProtection="1">
      <alignment horizontal="center" vertical="center"/>
      <protection locked="0"/>
    </xf>
    <xf numFmtId="10" fontId="128" fillId="33" borderId="1" xfId="611" applyNumberFormat="1" applyFont="1" applyFill="1" applyBorder="1" applyAlignment="1" applyProtection="1">
      <alignment horizontal="center" vertical="center"/>
      <protection locked="0"/>
    </xf>
    <xf numFmtId="165" fontId="79" fillId="0" borderId="1" xfId="597" applyNumberFormat="1" applyFont="1" applyBorder="1" applyAlignment="1" applyProtection="1">
      <alignment horizontal="center" vertical="center"/>
      <protection locked="0"/>
    </xf>
    <xf numFmtId="165" fontId="128" fillId="0" borderId="126" xfId="597" applyNumberFormat="1" applyFont="1" applyBorder="1" applyAlignment="1" applyProtection="1">
      <alignment horizontal="center" vertical="center"/>
      <protection locked="0"/>
    </xf>
    <xf numFmtId="0" fontId="1" fillId="69" borderId="46" xfId="1446" applyFont="1" applyFill="1" applyBorder="1" applyAlignment="1" applyProtection="1">
      <alignment wrapText="1"/>
      <protection locked="0"/>
    </xf>
    <xf numFmtId="165" fontId="128" fillId="69" borderId="128" xfId="597" applyNumberFormat="1" applyFont="1" applyFill="1" applyBorder="1" applyAlignment="1" applyProtection="1">
      <alignment horizontal="center" vertical="center"/>
      <protection locked="0"/>
    </xf>
    <xf numFmtId="0" fontId="1" fillId="0" borderId="0" xfId="1446" applyFont="1" applyBorder="1" applyAlignment="1" applyProtection="1">
      <alignment wrapText="1"/>
      <protection locked="0"/>
    </xf>
    <xf numFmtId="165" fontId="128" fillId="0" borderId="0" xfId="597" applyNumberFormat="1" applyFont="1" applyBorder="1" applyAlignment="1" applyProtection="1">
      <alignment horizontal="center" vertical="center"/>
      <protection locked="0"/>
    </xf>
    <xf numFmtId="0" fontId="81" fillId="0" borderId="0" xfId="1446" applyFont="1" applyProtection="1">
      <protection locked="0"/>
    </xf>
    <xf numFmtId="1" fontId="0" fillId="0" borderId="0" xfId="0" applyNumberFormat="1"/>
    <xf numFmtId="0" fontId="11" fillId="68" borderId="0" xfId="0" applyFont="1" applyFill="1" applyBorder="1" applyAlignment="1"/>
    <xf numFmtId="0" fontId="0" fillId="68" borderId="0" xfId="0" applyFill="1"/>
    <xf numFmtId="165" fontId="11" fillId="0" borderId="23" xfId="379" applyFont="1" applyFill="1" applyBorder="1" applyAlignment="1">
      <alignment horizontal="center"/>
    </xf>
    <xf numFmtId="37" fontId="11" fillId="0" borderId="23" xfId="379" applyNumberFormat="1" applyFont="1" applyFill="1" applyBorder="1" applyAlignment="1" applyProtection="1">
      <alignment horizontal="center" vertical="center"/>
      <protection locked="0"/>
    </xf>
    <xf numFmtId="37" fontId="11" fillId="0" borderId="23" xfId="379" applyNumberFormat="1" applyFont="1" applyFill="1" applyBorder="1" applyAlignment="1" applyProtection="1">
      <alignment horizontal="center"/>
      <protection locked="0"/>
    </xf>
    <xf numFmtId="17" fontId="11" fillId="0" borderId="23" xfId="0" applyNumberFormat="1" applyFont="1" applyFill="1" applyBorder="1" applyAlignment="1" applyProtection="1">
      <alignment horizontal="center"/>
      <protection locked="0"/>
    </xf>
    <xf numFmtId="17" fontId="11" fillId="0" borderId="23" xfId="0" applyNumberFormat="1" applyFont="1" applyFill="1" applyBorder="1" applyAlignment="1">
      <alignment horizontal="center"/>
    </xf>
    <xf numFmtId="1" fontId="11" fillId="0" borderId="1" xfId="0" applyNumberFormat="1" applyFont="1" applyFill="1" applyBorder="1" applyProtection="1">
      <protection locked="0"/>
    </xf>
    <xf numFmtId="1" fontId="11" fillId="0" borderId="23" xfId="379" applyNumberFormat="1" applyFont="1" applyFill="1" applyBorder="1" applyAlignment="1">
      <alignment horizontal="center"/>
    </xf>
    <xf numFmtId="1" fontId="11" fillId="0" borderId="23" xfId="0" applyNumberFormat="1" applyFont="1" applyFill="1" applyBorder="1" applyProtection="1">
      <protection locked="0"/>
    </xf>
    <xf numFmtId="1" fontId="11" fillId="0" borderId="23" xfId="379" applyNumberFormat="1" applyFont="1" applyFill="1" applyBorder="1" applyAlignment="1" applyProtection="1">
      <alignment horizontal="center"/>
      <protection locked="0"/>
    </xf>
    <xf numFmtId="17" fontId="11" fillId="0" borderId="1" xfId="0" applyNumberFormat="1" applyFont="1" applyFill="1" applyBorder="1" applyAlignment="1" applyProtection="1">
      <alignment horizontal="center"/>
      <protection locked="0"/>
    </xf>
    <xf numFmtId="2" fontId="11" fillId="0" borderId="0" xfId="0" applyNumberFormat="1" applyFont="1" applyBorder="1" applyAlignment="1" applyProtection="1">
      <alignment horizontal="center" vertical="center"/>
      <protection locked="0"/>
    </xf>
    <xf numFmtId="2" fontId="11" fillId="0" borderId="0" xfId="0" applyNumberFormat="1" applyFont="1" applyBorder="1" applyProtection="1">
      <protection locked="0"/>
    </xf>
    <xf numFmtId="1" fontId="11" fillId="65" borderId="23" xfId="0" applyNumberFormat="1" applyFont="1" applyFill="1" applyBorder="1" applyProtection="1">
      <protection locked="0"/>
    </xf>
    <xf numFmtId="169" fontId="11" fillId="65" borderId="1" xfId="379" applyNumberFormat="1" applyFont="1" applyFill="1" applyBorder="1" applyAlignment="1" applyProtection="1">
      <alignment horizontal="center"/>
      <protection locked="0"/>
    </xf>
    <xf numFmtId="165" fontId="11" fillId="65" borderId="1" xfId="379" applyFont="1" applyFill="1" applyBorder="1" applyAlignment="1" applyProtection="1">
      <alignment horizontal="center"/>
      <protection locked="0"/>
    </xf>
    <xf numFmtId="37" fontId="11" fillId="65" borderId="1" xfId="379" applyNumberFormat="1" applyFont="1" applyFill="1" applyBorder="1" applyAlignment="1" applyProtection="1">
      <alignment horizontal="center" vertical="center"/>
      <protection locked="0"/>
    </xf>
    <xf numFmtId="37" fontId="11" fillId="65" borderId="1" xfId="379" applyNumberFormat="1" applyFont="1" applyFill="1" applyBorder="1" applyAlignment="1" applyProtection="1">
      <alignment horizontal="center"/>
      <protection locked="0"/>
    </xf>
    <xf numFmtId="165" fontId="11" fillId="0" borderId="1" xfId="379" applyFont="1" applyFill="1" applyBorder="1" applyAlignment="1" applyProtection="1">
      <alignment horizontal="center"/>
      <protection locked="0"/>
    </xf>
    <xf numFmtId="37" fontId="11" fillId="0" borderId="1" xfId="379" applyNumberFormat="1" applyFont="1" applyFill="1" applyBorder="1" applyAlignment="1" applyProtection="1">
      <alignment horizontal="center" vertical="center"/>
      <protection locked="0"/>
    </xf>
    <xf numFmtId="37" fontId="11" fillId="0" borderId="1" xfId="379" applyNumberFormat="1" applyFont="1" applyFill="1" applyBorder="1" applyAlignment="1" applyProtection="1">
      <alignment horizontal="center"/>
      <protection locked="0"/>
    </xf>
    <xf numFmtId="37" fontId="11" fillId="0" borderId="23" xfId="379" applyNumberFormat="1" applyFont="1" applyFill="1" applyBorder="1" applyAlignment="1">
      <alignment horizontal="center" vertical="center"/>
    </xf>
    <xf numFmtId="37" fontId="11" fillId="0" borderId="23" xfId="379" applyNumberFormat="1" applyFont="1" applyFill="1" applyBorder="1" applyAlignment="1">
      <alignment horizontal="center"/>
    </xf>
    <xf numFmtId="37" fontId="11" fillId="65" borderId="23" xfId="379" applyNumberFormat="1" applyFont="1" applyFill="1" applyBorder="1" applyAlignment="1">
      <alignment horizontal="center" vertical="center"/>
    </xf>
    <xf numFmtId="37" fontId="11" fillId="65" borderId="23" xfId="379" applyNumberFormat="1" applyFont="1" applyFill="1" applyBorder="1" applyAlignment="1">
      <alignment horizontal="center"/>
    </xf>
    <xf numFmtId="1" fontId="11" fillId="65" borderId="23" xfId="379" applyNumberFormat="1" applyFont="1" applyFill="1" applyBorder="1" applyAlignment="1" applyProtection="1">
      <alignment horizontal="center"/>
      <protection locked="0"/>
    </xf>
    <xf numFmtId="0" fontId="135" fillId="0" borderId="0" xfId="0" applyFont="1" applyBorder="1" applyAlignment="1"/>
    <xf numFmtId="0" fontId="136" fillId="0" borderId="0" xfId="0" applyFont="1"/>
    <xf numFmtId="0" fontId="136" fillId="0" borderId="0" xfId="0" applyFont="1" applyProtection="1">
      <protection locked="0"/>
    </xf>
    <xf numFmtId="0" fontId="136" fillId="0" borderId="0" xfId="0" applyFont="1" applyAlignment="1" applyProtection="1">
      <alignment horizontal="center"/>
      <protection locked="0"/>
    </xf>
    <xf numFmtId="0" fontId="136" fillId="0" borderId="129" xfId="0" applyFont="1" applyBorder="1"/>
    <xf numFmtId="0" fontId="136" fillId="0" borderId="129" xfId="0" applyFont="1" applyBorder="1" applyAlignment="1">
      <alignment vertical="center"/>
    </xf>
    <xf numFmtId="0" fontId="136" fillId="0" borderId="129" xfId="0" applyFont="1" applyBorder="1" applyProtection="1">
      <protection locked="0"/>
    </xf>
    <xf numFmtId="0" fontId="136" fillId="0" borderId="129" xfId="0" applyFont="1" applyBorder="1" applyAlignment="1" applyProtection="1">
      <alignment horizontal="center"/>
      <protection locked="0"/>
    </xf>
    <xf numFmtId="3" fontId="11" fillId="33" borderId="21" xfId="379" applyNumberFormat="1" applyFont="1" applyFill="1" applyBorder="1" applyAlignment="1">
      <alignment horizontal="center"/>
    </xf>
    <xf numFmtId="49" fontId="11" fillId="33" borderId="15" xfId="0" applyNumberFormat="1" applyFont="1" applyFill="1" applyBorder="1" applyAlignment="1">
      <alignment horizontal="center"/>
    </xf>
    <xf numFmtId="17" fontId="11" fillId="33" borderId="15" xfId="0" applyNumberFormat="1" applyFont="1" applyFill="1" applyBorder="1" applyAlignment="1">
      <alignment horizontal="center"/>
    </xf>
    <xf numFmtId="1" fontId="11" fillId="33" borderId="2" xfId="379" applyNumberFormat="1" applyFont="1" applyFill="1" applyBorder="1" applyAlignment="1">
      <alignment horizontal="center"/>
    </xf>
    <xf numFmtId="1" fontId="44" fillId="33" borderId="51" xfId="0" applyNumberFormat="1" applyFont="1" applyFill="1" applyBorder="1" applyAlignment="1">
      <alignment horizontal="center"/>
    </xf>
    <xf numFmtId="1" fontId="11" fillId="33" borderId="2" xfId="0" applyNumberFormat="1" applyFont="1" applyFill="1" applyBorder="1" applyAlignment="1">
      <alignment horizontal="center"/>
    </xf>
    <xf numFmtId="1" fontId="11" fillId="33" borderId="51" xfId="0"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67"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9" xfId="379" applyNumberFormat="1" applyFont="1" applyFill="1" applyBorder="1" applyAlignment="1">
      <alignment horizontal="center"/>
    </xf>
    <xf numFmtId="1" fontId="11" fillId="33" borderId="67" xfId="0" applyNumberFormat="1" applyFont="1" applyFill="1" applyBorder="1" applyAlignment="1">
      <alignment horizontal="center"/>
    </xf>
    <xf numFmtId="3" fontId="121" fillId="33" borderId="21" xfId="0" applyNumberFormat="1" applyFont="1" applyFill="1" applyBorder="1" applyAlignment="1">
      <alignment horizontal="center"/>
    </xf>
    <xf numFmtId="3" fontId="121" fillId="33" borderId="8" xfId="0" applyNumberFormat="1" applyFont="1" applyFill="1" applyBorder="1" applyAlignment="1">
      <alignment horizontal="center"/>
    </xf>
    <xf numFmtId="3" fontId="121" fillId="33" borderId="2" xfId="379" applyNumberFormat="1" applyFont="1" applyFill="1" applyBorder="1" applyAlignment="1">
      <alignment horizontal="center"/>
    </xf>
    <xf numFmtId="165" fontId="11" fillId="0" borderId="23" xfId="379" applyFont="1" applyFill="1" applyBorder="1" applyAlignment="1"/>
    <xf numFmtId="38" fontId="11" fillId="0" borderId="23" xfId="379" applyNumberFormat="1" applyFont="1" applyFill="1" applyBorder="1" applyAlignment="1">
      <alignment horizontal="center"/>
    </xf>
    <xf numFmtId="0" fontId="136" fillId="0" borderId="0" xfId="0" applyFont="1" applyBorder="1" applyAlignment="1">
      <alignment vertical="center"/>
    </xf>
    <xf numFmtId="0" fontId="137" fillId="0" borderId="129" xfId="0" applyFont="1" applyFill="1" applyBorder="1" applyAlignment="1" applyProtection="1">
      <alignment horizontal="center"/>
      <protection locked="0"/>
    </xf>
    <xf numFmtId="0" fontId="137" fillId="0" borderId="129" xfId="0" applyFont="1" applyBorder="1" applyAlignment="1" applyProtection="1">
      <alignment horizontal="center"/>
      <protection locked="0"/>
    </xf>
    <xf numFmtId="0" fontId="137" fillId="0" borderId="129" xfId="0" applyFont="1" applyBorder="1" applyProtection="1">
      <protection locked="0"/>
    </xf>
    <xf numFmtId="39" fontId="136" fillId="0" borderId="129" xfId="0" applyNumberFormat="1" applyFont="1" applyBorder="1" applyAlignment="1">
      <alignment horizontal="center"/>
    </xf>
    <xf numFmtId="10" fontId="136" fillId="0" borderId="129" xfId="0" applyNumberFormat="1" applyFont="1" applyBorder="1" applyAlignment="1">
      <alignment horizontal="center"/>
    </xf>
    <xf numFmtId="176" fontId="136" fillId="0" borderId="129" xfId="0" applyNumberFormat="1" applyFont="1" applyBorder="1" applyAlignment="1">
      <alignment horizontal="center"/>
    </xf>
    <xf numFmtId="2" fontId="136" fillId="0" borderId="129" xfId="0" applyNumberFormat="1" applyFont="1" applyBorder="1" applyAlignment="1" applyProtection="1">
      <alignment horizontal="center"/>
      <protection locked="0"/>
    </xf>
    <xf numFmtId="49" fontId="136" fillId="0" borderId="1" xfId="0" applyNumberFormat="1" applyFont="1" applyBorder="1" applyAlignment="1" applyProtection="1">
      <alignment horizontal="center"/>
      <protection locked="0"/>
    </xf>
    <xf numFmtId="165" fontId="136" fillId="0" borderId="1" xfId="379" applyFont="1" applyBorder="1" applyAlignment="1" applyProtection="1">
      <alignment horizontal="center"/>
      <protection locked="0"/>
    </xf>
    <xf numFmtId="184" fontId="136" fillId="0" borderId="1" xfId="557" applyNumberFormat="1" applyFont="1" applyBorder="1" applyAlignment="1" applyProtection="1">
      <alignment horizontal="center"/>
      <protection locked="0"/>
    </xf>
    <xf numFmtId="0" fontId="137" fillId="70" borderId="1" xfId="0" applyFont="1" applyFill="1" applyBorder="1" applyAlignment="1" applyProtection="1">
      <alignment horizontal="center"/>
      <protection locked="0"/>
    </xf>
    <xf numFmtId="3" fontId="27" fillId="33" borderId="2" xfId="379" applyNumberFormat="1" applyFont="1" applyFill="1" applyBorder="1" applyAlignment="1">
      <alignment horizontal="center"/>
    </xf>
    <xf numFmtId="3" fontId="27" fillId="33" borderId="2" xfId="0" applyNumberFormat="1" applyFont="1" applyFill="1" applyBorder="1" applyAlignment="1">
      <alignment horizontal="center"/>
    </xf>
    <xf numFmtId="3" fontId="27" fillId="33" borderId="1" xfId="0" applyNumberFormat="1" applyFont="1" applyFill="1" applyBorder="1" applyAlignment="1">
      <alignment horizontal="center"/>
    </xf>
    <xf numFmtId="3" fontId="44" fillId="33" borderId="2" xfId="379" applyNumberFormat="1" applyFont="1" applyFill="1" applyBorder="1" applyAlignment="1">
      <alignment horizontal="center"/>
    </xf>
    <xf numFmtId="0" fontId="18" fillId="66" borderId="1" xfId="0" applyFont="1" applyFill="1" applyBorder="1" applyAlignment="1" applyProtection="1">
      <alignment horizontal="center"/>
      <protection locked="0"/>
    </xf>
    <xf numFmtId="2" fontId="11" fillId="0" borderId="1" xfId="379" applyNumberFormat="1" applyFont="1" applyFill="1" applyBorder="1" applyAlignment="1" applyProtection="1">
      <alignment horizontal="center"/>
      <protection locked="0"/>
    </xf>
    <xf numFmtId="165" fontId="11" fillId="71" borderId="23" xfId="379" applyFont="1" applyFill="1" applyBorder="1" applyAlignment="1">
      <alignment horizontal="center"/>
    </xf>
    <xf numFmtId="0" fontId="15" fillId="0" borderId="25" xfId="0" applyFont="1" applyBorder="1"/>
    <xf numFmtId="0" fontId="11" fillId="0" borderId="25" xfId="0" applyFont="1" applyBorder="1"/>
    <xf numFmtId="0" fontId="0" fillId="0" borderId="25" xfId="0" applyBorder="1"/>
    <xf numFmtId="2" fontId="11" fillId="0" borderId="1" xfId="379" applyNumberFormat="1" applyFont="1" applyBorder="1" applyAlignment="1" applyProtection="1">
      <alignment horizontal="center"/>
      <protection locked="0"/>
    </xf>
    <xf numFmtId="37" fontId="136" fillId="0" borderId="1" xfId="379" applyNumberFormat="1" applyFont="1" applyBorder="1" applyAlignment="1" applyProtection="1">
      <alignment horizontal="center"/>
      <protection locked="0"/>
    </xf>
    <xf numFmtId="37" fontId="0" fillId="0" borderId="0" xfId="0" applyNumberFormat="1"/>
    <xf numFmtId="0" fontId="0" fillId="70" borderId="0" xfId="0" applyFill="1"/>
    <xf numFmtId="37" fontId="0" fillId="70" borderId="0" xfId="0" applyNumberFormat="1" applyFill="1"/>
    <xf numFmtId="171" fontId="139" fillId="33" borderId="0" xfId="1447" applyNumberFormat="1" applyFill="1" applyBorder="1" applyAlignment="1">
      <alignment horizontal="left"/>
    </xf>
    <xf numFmtId="171" fontId="11" fillId="33" borderId="0" xfId="383" applyNumberFormat="1" applyFont="1" applyFill="1" applyBorder="1" applyAlignment="1">
      <alignment horizontal="left"/>
    </xf>
    <xf numFmtId="171"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63" fillId="0" borderId="0" xfId="0" applyFont="1" applyBorder="1" applyAlignment="1">
      <alignment horizontal="center" vertical="center" wrapText="1"/>
    </xf>
    <xf numFmtId="0" fontId="63" fillId="0" borderId="0" xfId="0" applyFont="1" applyAlignment="1">
      <alignment horizontal="center" vertical="center" wrapText="1"/>
    </xf>
    <xf numFmtId="49" fontId="18" fillId="0" borderId="14" xfId="0" applyNumberFormat="1" applyFont="1" applyFill="1" applyBorder="1" applyAlignment="1">
      <alignment horizontal="center" wrapText="1"/>
    </xf>
    <xf numFmtId="0" fontId="18" fillId="0" borderId="24" xfId="0" applyFont="1" applyFill="1" applyBorder="1" applyAlignment="1">
      <alignment horizontal="center" wrapText="1"/>
    </xf>
    <xf numFmtId="0" fontId="18" fillId="0" borderId="53" xfId="0" applyFont="1" applyFill="1" applyBorder="1" applyAlignment="1">
      <alignment horizontal="center" wrapText="1"/>
    </xf>
    <xf numFmtId="49" fontId="18" fillId="0" borderId="20" xfId="0" applyNumberFormat="1" applyFont="1" applyFill="1" applyBorder="1" applyAlignment="1">
      <alignment horizontal="center"/>
    </xf>
    <xf numFmtId="0" fontId="18" fillId="0" borderId="13" xfId="0" applyNumberFormat="1" applyFont="1" applyFill="1" applyBorder="1" applyAlignment="1">
      <alignment horizontal="center"/>
    </xf>
    <xf numFmtId="0" fontId="18" fillId="0" borderId="15" xfId="0" applyFont="1" applyFill="1" applyBorder="1" applyAlignment="1">
      <alignment horizontal="center"/>
    </xf>
    <xf numFmtId="0" fontId="18" fillId="0" borderId="52" xfId="0" applyFont="1" applyFill="1" applyBorder="1" applyAlignment="1">
      <alignment horizontal="center"/>
    </xf>
    <xf numFmtId="49" fontId="18" fillId="0" borderId="24" xfId="0" applyNumberFormat="1" applyFont="1" applyFill="1" applyBorder="1" applyAlignment="1">
      <alignment horizontal="center"/>
    </xf>
    <xf numFmtId="0" fontId="18" fillId="0" borderId="51" xfId="0" applyFont="1" applyFill="1" applyBorder="1" applyAlignment="1">
      <alignment horizontal="center"/>
    </xf>
    <xf numFmtId="0" fontId="18" fillId="0" borderId="19"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2" fontId="18" fillId="0" borderId="20" xfId="0" applyNumberFormat="1" applyFont="1" applyFill="1" applyBorder="1" applyAlignment="1">
      <alignment horizontal="center"/>
    </xf>
    <xf numFmtId="2" fontId="18" fillId="0" borderId="13" xfId="0" applyNumberFormat="1" applyFont="1" applyFill="1" applyBorder="1" applyAlignment="1">
      <alignment horizontal="center"/>
    </xf>
    <xf numFmtId="0" fontId="18" fillId="0" borderId="20" xfId="0" applyNumberFormat="1" applyFont="1" applyFill="1" applyBorder="1" applyAlignment="1">
      <alignment horizontal="center"/>
    </xf>
    <xf numFmtId="169" fontId="11" fillId="0" borderId="14" xfId="379" applyNumberFormat="1" applyFont="1" applyBorder="1" applyAlignment="1">
      <alignment horizontal="center"/>
    </xf>
    <xf numFmtId="169" fontId="11" fillId="0" borderId="53" xfId="379" applyNumberFormat="1" applyFont="1" applyBorder="1" applyAlignment="1">
      <alignment horizontal="center"/>
    </xf>
    <xf numFmtId="0" fontId="11" fillId="66" borderId="47" xfId="0" applyFont="1" applyFill="1" applyBorder="1" applyAlignment="1">
      <alignment horizontal="center" vertical="center" wrapText="1"/>
    </xf>
    <xf numFmtId="0" fontId="11" fillId="66" borderId="49" xfId="0" applyFont="1" applyFill="1" applyBorder="1" applyAlignment="1">
      <alignment horizontal="center" vertical="center" wrapText="1"/>
    </xf>
    <xf numFmtId="0" fontId="18" fillId="0" borderId="50" xfId="0" applyFont="1" applyBorder="1" applyAlignment="1">
      <alignment horizontal="center"/>
    </xf>
    <xf numFmtId="0" fontId="18" fillId="0" borderId="51" xfId="0" applyFont="1" applyBorder="1" applyAlignment="1">
      <alignment horizontal="center"/>
    </xf>
    <xf numFmtId="0" fontId="18" fillId="0" borderId="21" xfId="0" applyFont="1" applyBorder="1" applyAlignment="1">
      <alignment horizontal="center"/>
    </xf>
    <xf numFmtId="49" fontId="11" fillId="66" borderId="47" xfId="0" applyNumberFormat="1" applyFont="1" applyFill="1" applyBorder="1" applyAlignment="1">
      <alignment horizontal="center"/>
    </xf>
    <xf numFmtId="0" fontId="11" fillId="66" borderId="49" xfId="0" applyFont="1" applyFill="1" applyBorder="1" applyAlignment="1">
      <alignment horizontal="center"/>
    </xf>
    <xf numFmtId="0" fontId="11" fillId="66" borderId="49" xfId="0" applyNumberFormat="1" applyFont="1" applyFill="1" applyBorder="1" applyAlignment="1">
      <alignment horizontal="center"/>
    </xf>
    <xf numFmtId="49" fontId="11" fillId="66" borderId="47" xfId="0" applyNumberFormat="1" applyFont="1" applyFill="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Fill="1" applyBorder="1" applyAlignment="1" applyProtection="1">
      <alignment horizontal="center" vertical="center"/>
      <protection locked="0"/>
    </xf>
    <xf numFmtId="0" fontId="66" fillId="0" borderId="1" xfId="860" applyFont="1" applyBorder="1" applyAlignment="1">
      <alignment horizontal="center"/>
    </xf>
    <xf numFmtId="0" fontId="18" fillId="0" borderId="82"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37" fillId="66" borderId="129" xfId="0" applyFont="1" applyFill="1" applyBorder="1" applyAlignment="1">
      <alignment horizontal="center"/>
    </xf>
    <xf numFmtId="0" fontId="137" fillId="66" borderId="129" xfId="0" applyFont="1" applyFill="1" applyBorder="1" applyAlignment="1" applyProtection="1">
      <alignment horizontal="center"/>
      <protection locked="0"/>
    </xf>
    <xf numFmtId="0" fontId="137" fillId="66" borderId="130" xfId="0" applyFont="1" applyFill="1" applyBorder="1" applyAlignment="1" applyProtection="1">
      <alignment horizontal="center"/>
      <protection locked="0"/>
    </xf>
    <xf numFmtId="0" fontId="137" fillId="66" borderId="131" xfId="0" applyFont="1" applyFill="1" applyBorder="1" applyAlignment="1" applyProtection="1">
      <alignment horizontal="center"/>
      <protection locked="0"/>
    </xf>
    <xf numFmtId="0" fontId="137" fillId="66" borderId="132" xfId="0" applyFont="1" applyFill="1" applyBorder="1" applyAlignment="1" applyProtection="1">
      <alignment horizontal="center"/>
      <protection locked="0"/>
    </xf>
    <xf numFmtId="0" fontId="58" fillId="0" borderId="0" xfId="0" applyFont="1" applyBorder="1" applyAlignment="1">
      <alignment horizontal="center"/>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0" fontId="56" fillId="0" borderId="54" xfId="0" applyFont="1" applyBorder="1" applyAlignment="1">
      <alignment horizontal="center" vertical="center"/>
    </xf>
    <xf numFmtId="0" fontId="56" fillId="0" borderId="55" xfId="0" applyFont="1" applyBorder="1" applyAlignment="1">
      <alignment horizontal="center" vertical="center"/>
    </xf>
    <xf numFmtId="171" fontId="11" fillId="66" borderId="31" xfId="383" applyNumberFormat="1" applyFont="1" applyFill="1" applyBorder="1" applyAlignment="1">
      <alignment horizontal="center"/>
    </xf>
    <xf numFmtId="171" fontId="11" fillId="66" borderId="5" xfId="383" applyNumberFormat="1" applyFont="1" applyFill="1" applyBorder="1" applyAlignment="1">
      <alignment horizontal="center"/>
    </xf>
    <xf numFmtId="171" fontId="11" fillId="66" borderId="6" xfId="383" applyNumberFormat="1" applyFont="1" applyFill="1" applyBorder="1" applyAlignment="1">
      <alignment horizont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5" fillId="34" borderId="0" xfId="0" applyFont="1" applyFill="1" applyBorder="1" applyAlignment="1">
      <alignment horizontal="center" vertical="center"/>
    </xf>
    <xf numFmtId="0" fontId="11" fillId="34" borderId="48" xfId="0" applyFont="1" applyFill="1" applyBorder="1" applyAlignment="1">
      <alignment horizontal="left" vertical="center" wrapText="1"/>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171" fontId="11" fillId="0" borderId="31" xfId="383" applyNumberFormat="1" applyFont="1" applyFill="1" applyBorder="1" applyAlignment="1">
      <alignment horizontal="center"/>
    </xf>
    <xf numFmtId="171" fontId="11" fillId="0" borderId="5" xfId="383" applyNumberFormat="1" applyFont="1" applyFill="1" applyBorder="1" applyAlignment="1">
      <alignment horizontal="center"/>
    </xf>
    <xf numFmtId="171" fontId="11" fillId="0" borderId="6" xfId="383" applyNumberFormat="1" applyFont="1" applyFill="1" applyBorder="1" applyAlignment="1">
      <alignment horizontal="center"/>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11" fillId="34" borderId="48" xfId="0" applyFont="1" applyFill="1" applyBorder="1" applyAlignment="1">
      <alignment horizontal="center" vertical="center" wrapText="1"/>
    </xf>
    <xf numFmtId="0" fontId="11" fillId="68" borderId="48" xfId="0" applyFont="1" applyFill="1" applyBorder="1" applyAlignment="1">
      <alignment horizontal="center" vertical="center" wrapText="1"/>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26" fillId="0" borderId="0" xfId="696" applyFont="1" applyAlignment="1">
      <alignment horizontal="left"/>
    </xf>
    <xf numFmtId="0" fontId="50" fillId="0" borderId="0" xfId="767" applyFont="1" applyAlignment="1">
      <alignment horizontal="left" vertical="top" wrapText="1"/>
    </xf>
    <xf numFmtId="0" fontId="114" fillId="0" borderId="0" xfId="767" applyFont="1" applyBorder="1" applyAlignment="1">
      <alignment horizontal="left" vertical="top" wrapText="1"/>
    </xf>
    <xf numFmtId="0" fontId="50" fillId="0" borderId="0" xfId="767" applyFont="1" applyBorder="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Border="1" applyAlignment="1">
      <alignment horizontal="center" vertical="top"/>
    </xf>
    <xf numFmtId="0" fontId="51" fillId="34" borderId="41" xfId="767" applyFont="1" applyFill="1" applyBorder="1" applyAlignment="1">
      <alignment horizontal="center" vertical="top"/>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114" fillId="0" borderId="0" xfId="767" applyFont="1" applyBorder="1" applyAlignment="1">
      <alignment horizontal="left"/>
    </xf>
    <xf numFmtId="0" fontId="51" fillId="0" borderId="0" xfId="767" applyFont="1" applyBorder="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Border="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0" fontId="21" fillId="66" borderId="45" xfId="768" applyNumberFormat="1" applyFont="1" applyFill="1" applyBorder="1" applyAlignment="1">
      <alignment horizontal="center" vertical="top"/>
    </xf>
    <xf numFmtId="170" fontId="21" fillId="66" borderId="0" xfId="768" applyNumberFormat="1" applyFont="1" applyFill="1" applyBorder="1" applyAlignment="1">
      <alignment horizontal="center" vertical="top"/>
    </xf>
    <xf numFmtId="170" fontId="21" fillId="66" borderId="41" xfId="768" applyNumberFormat="1" applyFont="1" applyFill="1" applyBorder="1" applyAlignment="1">
      <alignment horizontal="center" vertical="top"/>
    </xf>
    <xf numFmtId="0" fontId="114" fillId="0" borderId="0" xfId="767" applyFont="1" applyAlignment="1">
      <alignment horizontal="left" vertical="top"/>
    </xf>
    <xf numFmtId="0" fontId="51" fillId="66" borderId="47" xfId="767" applyFont="1" applyFill="1" applyBorder="1" applyAlignment="1">
      <alignment horizontal="center" vertical="top"/>
    </xf>
    <xf numFmtId="0" fontId="51" fillId="66" borderId="48" xfId="767" applyFont="1" applyFill="1" applyBorder="1" applyAlignment="1">
      <alignment horizontal="center" vertical="top"/>
    </xf>
    <xf numFmtId="0" fontId="51" fillId="66" borderId="49" xfId="767" applyFont="1" applyFill="1" applyBorder="1" applyAlignment="1">
      <alignment horizontal="center" vertical="top"/>
    </xf>
    <xf numFmtId="170" fontId="21" fillId="66" borderId="45" xfId="768" applyNumberFormat="1" applyFont="1" applyFill="1" applyBorder="1" applyAlignment="1">
      <alignment horizontal="center"/>
    </xf>
    <xf numFmtId="170" fontId="21" fillId="66" borderId="0" xfId="768" applyNumberFormat="1" applyFont="1" applyFill="1" applyBorder="1" applyAlignment="1">
      <alignment horizontal="center"/>
    </xf>
    <xf numFmtId="170" fontId="21" fillId="66" borderId="41" xfId="768" applyNumberFormat="1" applyFont="1" applyFill="1" applyBorder="1" applyAlignment="1">
      <alignment horizontal="center"/>
    </xf>
    <xf numFmtId="0" fontId="51" fillId="66" borderId="47" xfId="767" applyFont="1" applyFill="1" applyBorder="1" applyAlignment="1">
      <alignment horizontal="center"/>
    </xf>
    <xf numFmtId="0" fontId="51" fillId="66" borderId="48" xfId="767" applyFont="1" applyFill="1" applyBorder="1" applyAlignment="1">
      <alignment horizontal="center"/>
    </xf>
    <xf numFmtId="0" fontId="51" fillId="66" borderId="49" xfId="767" applyFont="1" applyFill="1" applyBorder="1" applyAlignment="1">
      <alignment horizontal="center"/>
    </xf>
    <xf numFmtId="49" fontId="127" fillId="0" borderId="0" xfId="597" applyNumberFormat="1" applyFont="1" applyBorder="1" applyAlignment="1" applyProtection="1">
      <alignment horizontal="left" vertical="top" wrapText="1"/>
      <protection locked="0"/>
    </xf>
    <xf numFmtId="0" fontId="25" fillId="0" borderId="0" xfId="696" applyFont="1" applyAlignment="1" applyProtection="1">
      <alignment horizontal="center"/>
      <protection locked="0"/>
    </xf>
    <xf numFmtId="0" fontId="1" fillId="0" borderId="0" xfId="1446" applyFont="1" applyAlignment="1" applyProtection="1">
      <alignment horizontal="left" vertical="top" wrapText="1"/>
      <protection locked="0"/>
    </xf>
    <xf numFmtId="0" fontId="126" fillId="0" borderId="0" xfId="1446" applyFont="1" applyAlignment="1" applyProtection="1">
      <alignment horizontal="center" vertical="top"/>
      <protection locked="0"/>
    </xf>
    <xf numFmtId="0" fontId="1" fillId="0" borderId="0" xfId="1446" applyFont="1" applyAlignment="1" applyProtection="1">
      <alignment horizontal="left" vertical="top"/>
      <protection locked="0"/>
    </xf>
    <xf numFmtId="0" fontId="129" fillId="0" borderId="0" xfId="1446" applyFont="1" applyBorder="1" applyAlignment="1" applyProtection="1">
      <alignment horizontal="center"/>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9" xfId="1446" applyFont="1" applyFill="1" applyBorder="1" applyAlignment="1" applyProtection="1">
      <alignment horizontal="center"/>
      <protection locked="0"/>
    </xf>
    <xf numFmtId="0" fontId="81" fillId="34" borderId="47" xfId="1446" applyFont="1" applyFill="1" applyBorder="1" applyAlignment="1" applyProtection="1">
      <alignment horizontal="center" wrapText="1"/>
      <protection locked="0"/>
    </xf>
    <xf numFmtId="0" fontId="81" fillId="34" borderId="49" xfId="1446" applyFont="1" applyFill="1" applyBorder="1" applyAlignment="1" applyProtection="1">
      <alignment horizontal="center" wrapText="1"/>
      <protection locked="0"/>
    </xf>
    <xf numFmtId="0" fontId="81" fillId="34" borderId="45" xfId="1446" applyFont="1" applyFill="1" applyBorder="1" applyAlignment="1" applyProtection="1">
      <alignment horizontal="center" wrapText="1"/>
      <protection locked="0"/>
    </xf>
    <xf numFmtId="0" fontId="81" fillId="34" borderId="41" xfId="1446" applyFont="1" applyFill="1" applyBorder="1" applyAlignment="1" applyProtection="1">
      <alignment horizontal="center" wrapText="1"/>
      <protection locked="0"/>
    </xf>
    <xf numFmtId="170" fontId="127" fillId="33" borderId="45" xfId="597" applyNumberFormat="1" applyFont="1" applyFill="1" applyBorder="1" applyAlignment="1" applyProtection="1">
      <alignment horizontal="center"/>
      <protection locked="0"/>
    </xf>
    <xf numFmtId="170" fontId="127" fillId="33" borderId="0" xfId="597" applyNumberFormat="1" applyFont="1" applyFill="1" applyBorder="1" applyAlignment="1" applyProtection="1">
      <alignment horizontal="center"/>
      <protection locked="0"/>
    </xf>
    <xf numFmtId="170" fontId="127" fillId="33" borderId="41" xfId="597" applyNumberFormat="1" applyFont="1" applyFill="1" applyBorder="1" applyAlignment="1" applyProtection="1">
      <alignment horizontal="center"/>
      <protection locked="0"/>
    </xf>
    <xf numFmtId="0" fontId="81" fillId="34" borderId="15" xfId="1446" applyFont="1" applyFill="1" applyBorder="1" applyAlignment="1" applyProtection="1">
      <alignment horizontal="center" vertical="center"/>
      <protection locked="0"/>
    </xf>
    <xf numFmtId="0" fontId="81" fillId="34" borderId="51" xfId="1446" applyFont="1" applyFill="1" applyBorder="1" applyAlignment="1" applyProtection="1">
      <alignment horizontal="center" vertical="center"/>
      <protection locked="0"/>
    </xf>
    <xf numFmtId="0" fontId="81" fillId="34" borderId="52" xfId="1446" applyFont="1" applyFill="1" applyBorder="1" applyAlignment="1" applyProtection="1">
      <alignment horizontal="center" vertical="center"/>
      <protection locked="0"/>
    </xf>
    <xf numFmtId="0" fontId="1" fillId="0" borderId="0" xfId="1446" applyFont="1" applyBorder="1" applyAlignment="1" applyProtection="1">
      <alignment horizontal="left" vertical="top" wrapText="1"/>
      <protection locked="0"/>
    </xf>
    <xf numFmtId="0" fontId="81" fillId="62" borderId="47" xfId="1446" applyFont="1" applyFill="1" applyBorder="1" applyAlignment="1" applyProtection="1">
      <alignment horizontal="center" vertical="top"/>
      <protection locked="0"/>
    </xf>
    <xf numFmtId="0" fontId="81" fillId="62" borderId="48" xfId="1446" applyFont="1" applyFill="1" applyBorder="1" applyAlignment="1" applyProtection="1">
      <alignment horizontal="center" vertical="top"/>
      <protection locked="0"/>
    </xf>
    <xf numFmtId="0" fontId="81" fillId="62" borderId="49" xfId="1446" applyFont="1" applyFill="1" applyBorder="1" applyAlignment="1" applyProtection="1">
      <alignment horizontal="center" vertical="top"/>
      <protection locked="0"/>
    </xf>
    <xf numFmtId="170" fontId="127" fillId="33" borderId="45" xfId="597" applyNumberFormat="1" applyFont="1" applyFill="1" applyBorder="1" applyAlignment="1" applyProtection="1">
      <alignment horizontal="center" vertical="top"/>
      <protection locked="0"/>
    </xf>
    <xf numFmtId="170" fontId="127" fillId="33" borderId="0" xfId="597" applyNumberFormat="1" applyFont="1" applyFill="1" applyBorder="1" applyAlignment="1" applyProtection="1">
      <alignment horizontal="center" vertical="top"/>
      <protection locked="0"/>
    </xf>
    <xf numFmtId="170" fontId="127" fillId="33" borderId="41" xfId="597" applyNumberFormat="1" applyFont="1" applyFill="1" applyBorder="1" applyAlignment="1" applyProtection="1">
      <alignment horizontal="center" vertical="top"/>
      <protection locked="0"/>
    </xf>
    <xf numFmtId="0" fontId="81" fillId="34" borderId="45" xfId="1446" applyFont="1" applyFill="1" applyBorder="1" applyAlignment="1" applyProtection="1">
      <alignment horizontal="center" vertical="top"/>
      <protection locked="0"/>
    </xf>
    <xf numFmtId="0" fontId="81" fillId="34" borderId="0" xfId="1446" applyFont="1" applyFill="1" applyBorder="1" applyAlignment="1" applyProtection="1">
      <alignment horizontal="center" vertical="top"/>
      <protection locked="0"/>
    </xf>
    <xf numFmtId="0" fontId="81" fillId="34" borderId="41" xfId="1446" applyFont="1" applyFill="1" applyBorder="1" applyAlignment="1" applyProtection="1">
      <alignment horizontal="center" vertical="top"/>
      <protection locked="0"/>
    </xf>
    <xf numFmtId="0" fontId="81" fillId="34" borderId="45" xfId="1446" applyFont="1" applyFill="1" applyBorder="1" applyAlignment="1" applyProtection="1">
      <alignment horizontal="left" vertical="center"/>
      <protection locked="0"/>
    </xf>
    <xf numFmtId="0" fontId="81" fillId="34" borderId="0" xfId="1446" applyFont="1" applyFill="1" applyBorder="1" applyAlignment="1" applyProtection="1">
      <alignment horizontal="left" vertical="center"/>
      <protection locked="0"/>
    </xf>
    <xf numFmtId="0" fontId="1" fillId="34" borderId="38" xfId="1446" applyFont="1" applyFill="1" applyBorder="1" applyAlignment="1" applyProtection="1">
      <alignment vertical="top" wrapText="1"/>
      <protection locked="0"/>
    </xf>
    <xf numFmtId="0" fontId="1" fillId="34" borderId="70" xfId="1446" applyFont="1" applyFill="1" applyBorder="1" applyAlignment="1" applyProtection="1">
      <alignment vertical="top" wrapText="1"/>
      <protection locked="0"/>
    </xf>
    <xf numFmtId="0" fontId="81" fillId="0" borderId="46" xfId="1446" applyFont="1" applyBorder="1" applyAlignment="1" applyProtection="1">
      <alignment vertical="top" wrapText="1"/>
      <protection locked="0"/>
    </xf>
    <xf numFmtId="0" fontId="81" fillId="0" borderId="25" xfId="1446" applyFont="1" applyBorder="1" applyAlignment="1" applyProtection="1">
      <alignment vertical="top" wrapText="1"/>
      <protection locked="0"/>
    </xf>
    <xf numFmtId="0" fontId="81" fillId="0" borderId="0" xfId="1446" applyFont="1" applyBorder="1" applyAlignment="1" applyProtection="1">
      <alignment horizontal="center" vertical="top" wrapText="1"/>
      <protection locked="0"/>
    </xf>
    <xf numFmtId="0" fontId="129" fillId="0" borderId="0" xfId="1446" applyFont="1" applyBorder="1" applyAlignment="1" applyProtection="1">
      <alignment horizontal="center" vertical="top" wrapText="1"/>
      <protection locked="0"/>
    </xf>
    <xf numFmtId="0" fontId="127" fillId="0" borderId="0" xfId="1446" applyFont="1" applyAlignment="1" applyProtection="1">
      <alignment horizontal="left" vertical="top"/>
      <protection locked="0"/>
    </xf>
    <xf numFmtId="0" fontId="132" fillId="0" borderId="0" xfId="1446" applyFont="1" applyBorder="1" applyAlignment="1" applyProtection="1">
      <alignment horizontal="left" vertical="top" wrapText="1"/>
      <protection locked="0"/>
    </xf>
    <xf numFmtId="2" fontId="11" fillId="0" borderId="75" xfId="0" applyNumberFormat="1" applyFont="1" applyFill="1" applyBorder="1" applyAlignment="1">
      <alignment horizontal="center" wrapText="1"/>
    </xf>
    <xf numFmtId="2" fontId="11" fillId="0" borderId="20" xfId="0" applyNumberFormat="1" applyFont="1" applyFill="1" applyBorder="1" applyAlignment="1">
      <alignment horizontal="center" wrapText="1"/>
    </xf>
    <xf numFmtId="2" fontId="11" fillId="0" borderId="53" xfId="0" applyNumberFormat="1" applyFont="1" applyFill="1" applyBorder="1" applyAlignment="1">
      <alignment horizontal="center" wrapText="1"/>
    </xf>
    <xf numFmtId="2"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2" fontId="18" fillId="0" borderId="31" xfId="0" applyNumberFormat="1"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cellXfs>
  <cellStyles count="1448">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2" xfId="381" xr:uid="{00000000-0005-0000-0000-000018020000}"/>
    <cellStyle name="Currency 2 2" xfId="599" xr:uid="{00000000-0005-0000-0000-000019020000}"/>
    <cellStyle name="Currency 2 3" xfId="589" xr:uid="{00000000-0005-0000-0000-00001A020000}"/>
    <cellStyle name="Currency 2 4" xfId="789" xr:uid="{00000000-0005-0000-0000-00001B020000}"/>
    <cellStyle name="Currency 2 5" xfId="936" xr:uid="{00000000-0005-0000-0000-00001C020000}"/>
    <cellStyle name="Currency 3" xfId="382" xr:uid="{00000000-0005-0000-0000-00001D020000}"/>
    <cellStyle name="Currency 3 2" xfId="600" xr:uid="{00000000-0005-0000-0000-00001E020000}"/>
    <cellStyle name="Currency 3 3" xfId="590" xr:uid="{00000000-0005-0000-0000-00001F020000}"/>
    <cellStyle name="Currency 3 4" xfId="770" xr:uid="{00000000-0005-0000-0000-000020020000}"/>
    <cellStyle name="Currency 4" xfId="948" xr:uid="{00000000-0005-0000-0000-000021020000}"/>
    <cellStyle name="Currency 5" xfId="383" xr:uid="{00000000-0005-0000-0000-000022020000}"/>
    <cellStyle name="Currency0" xfId="755" xr:uid="{00000000-0005-0000-0000-000023020000}"/>
    <cellStyle name="Date" xfId="756" xr:uid="{00000000-0005-0000-0000-000024020000}"/>
    <cellStyle name="Explanatory Text 10" xfId="384" xr:uid="{00000000-0005-0000-0000-000025020000}"/>
    <cellStyle name="Explanatory Text 11" xfId="385" xr:uid="{00000000-0005-0000-0000-000026020000}"/>
    <cellStyle name="Explanatory Text 12" xfId="386" xr:uid="{00000000-0005-0000-0000-000027020000}"/>
    <cellStyle name="Explanatory Text 13" xfId="387" xr:uid="{00000000-0005-0000-0000-000028020000}"/>
    <cellStyle name="Explanatory Text 14" xfId="388" xr:uid="{00000000-0005-0000-0000-000029020000}"/>
    <cellStyle name="Explanatory Text 15" xfId="389" xr:uid="{00000000-0005-0000-0000-00002A020000}"/>
    <cellStyle name="Explanatory Text 16" xfId="782" xr:uid="{00000000-0005-0000-0000-00002B020000}"/>
    <cellStyle name="Explanatory Text 2" xfId="390" xr:uid="{00000000-0005-0000-0000-00002C020000}"/>
    <cellStyle name="Explanatory Text 2 2" xfId="713" xr:uid="{00000000-0005-0000-0000-00002D020000}"/>
    <cellStyle name="Explanatory Text 3" xfId="391" xr:uid="{00000000-0005-0000-0000-00002E020000}"/>
    <cellStyle name="Explanatory Text 4" xfId="392" xr:uid="{00000000-0005-0000-0000-00002F020000}"/>
    <cellStyle name="Explanatory Text 5" xfId="393" xr:uid="{00000000-0005-0000-0000-000030020000}"/>
    <cellStyle name="Explanatory Text 6" xfId="394" xr:uid="{00000000-0005-0000-0000-000031020000}"/>
    <cellStyle name="Explanatory Text 7" xfId="395" xr:uid="{00000000-0005-0000-0000-000032020000}"/>
    <cellStyle name="Explanatory Text 8" xfId="396" xr:uid="{00000000-0005-0000-0000-000033020000}"/>
    <cellStyle name="Explanatory Text 9" xfId="397" xr:uid="{00000000-0005-0000-0000-000034020000}"/>
    <cellStyle name="Fixed" xfId="757" xr:uid="{00000000-0005-0000-0000-000035020000}"/>
    <cellStyle name="Good 10" xfId="398" xr:uid="{00000000-0005-0000-0000-000036020000}"/>
    <cellStyle name="Good 11" xfId="399" xr:uid="{00000000-0005-0000-0000-000037020000}"/>
    <cellStyle name="Good 12" xfId="400" xr:uid="{00000000-0005-0000-0000-000038020000}"/>
    <cellStyle name="Good 13" xfId="401" xr:uid="{00000000-0005-0000-0000-000039020000}"/>
    <cellStyle name="Good 14" xfId="402" xr:uid="{00000000-0005-0000-0000-00003A020000}"/>
    <cellStyle name="Good 15" xfId="403" xr:uid="{00000000-0005-0000-0000-00003B020000}"/>
    <cellStyle name="Good 16" xfId="778" xr:uid="{00000000-0005-0000-0000-00003C020000}"/>
    <cellStyle name="Good 2" xfId="404" xr:uid="{00000000-0005-0000-0000-00003D020000}"/>
    <cellStyle name="Good 2 2" xfId="703" xr:uid="{00000000-0005-0000-0000-00003E020000}"/>
    <cellStyle name="Good 3" xfId="405" xr:uid="{00000000-0005-0000-0000-00003F020000}"/>
    <cellStyle name="Good 4" xfId="406" xr:uid="{00000000-0005-0000-0000-000040020000}"/>
    <cellStyle name="Good 5" xfId="407" xr:uid="{00000000-0005-0000-0000-000041020000}"/>
    <cellStyle name="Good 6" xfId="408" xr:uid="{00000000-0005-0000-0000-000042020000}"/>
    <cellStyle name="Good 7" xfId="409" xr:uid="{00000000-0005-0000-0000-000043020000}"/>
    <cellStyle name="Good 8" xfId="410" xr:uid="{00000000-0005-0000-0000-000044020000}"/>
    <cellStyle name="Good 9" xfId="411" xr:uid="{00000000-0005-0000-0000-000045020000}"/>
    <cellStyle name="Grey" xfId="758" xr:uid="{00000000-0005-0000-0000-000046020000}"/>
    <cellStyle name="Heading 1 10" xfId="412" xr:uid="{00000000-0005-0000-0000-000047020000}"/>
    <cellStyle name="Heading 1 11" xfId="413" xr:uid="{00000000-0005-0000-0000-000048020000}"/>
    <cellStyle name="Heading 1 12" xfId="414" xr:uid="{00000000-0005-0000-0000-000049020000}"/>
    <cellStyle name="Heading 1 13" xfId="415" xr:uid="{00000000-0005-0000-0000-00004A020000}"/>
    <cellStyle name="Heading 1 14" xfId="416" xr:uid="{00000000-0005-0000-0000-00004B020000}"/>
    <cellStyle name="Heading 1 15" xfId="417" xr:uid="{00000000-0005-0000-0000-00004C020000}"/>
    <cellStyle name="Heading 1 16" xfId="783" xr:uid="{00000000-0005-0000-0000-00004D020000}"/>
    <cellStyle name="Heading 1 2" xfId="418" xr:uid="{00000000-0005-0000-0000-00004E020000}"/>
    <cellStyle name="Heading 1 2 2" xfId="699" xr:uid="{00000000-0005-0000-0000-00004F020000}"/>
    <cellStyle name="Heading 1 3" xfId="419" xr:uid="{00000000-0005-0000-0000-000050020000}"/>
    <cellStyle name="Heading 1 4" xfId="420" xr:uid="{00000000-0005-0000-0000-000051020000}"/>
    <cellStyle name="Heading 1 5" xfId="421" xr:uid="{00000000-0005-0000-0000-000052020000}"/>
    <cellStyle name="Heading 1 6" xfId="422" xr:uid="{00000000-0005-0000-0000-000053020000}"/>
    <cellStyle name="Heading 1 7" xfId="423" xr:uid="{00000000-0005-0000-0000-000054020000}"/>
    <cellStyle name="Heading 1 8" xfId="424" xr:uid="{00000000-0005-0000-0000-000055020000}"/>
    <cellStyle name="Heading 1 9" xfId="425" xr:uid="{00000000-0005-0000-0000-000056020000}"/>
    <cellStyle name="Heading 2 10" xfId="426" xr:uid="{00000000-0005-0000-0000-000057020000}"/>
    <cellStyle name="Heading 2 11" xfId="427" xr:uid="{00000000-0005-0000-0000-000058020000}"/>
    <cellStyle name="Heading 2 12" xfId="428" xr:uid="{00000000-0005-0000-0000-000059020000}"/>
    <cellStyle name="Heading 2 13" xfId="429" xr:uid="{00000000-0005-0000-0000-00005A020000}"/>
    <cellStyle name="Heading 2 14" xfId="430" xr:uid="{00000000-0005-0000-0000-00005B020000}"/>
    <cellStyle name="Heading 2 15" xfId="431" xr:uid="{00000000-0005-0000-0000-00005C020000}"/>
    <cellStyle name="Heading 2 16" xfId="781" xr:uid="{00000000-0005-0000-0000-00005D020000}"/>
    <cellStyle name="Heading 2 2" xfId="432" xr:uid="{00000000-0005-0000-0000-00005E020000}"/>
    <cellStyle name="Heading 2 2 2" xfId="698" xr:uid="{00000000-0005-0000-0000-00005F020000}"/>
    <cellStyle name="Heading 2 3" xfId="433" xr:uid="{00000000-0005-0000-0000-000060020000}"/>
    <cellStyle name="Heading 2 4" xfId="434" xr:uid="{00000000-0005-0000-0000-000061020000}"/>
    <cellStyle name="Heading 2 5" xfId="435" xr:uid="{00000000-0005-0000-0000-000062020000}"/>
    <cellStyle name="Heading 2 6" xfId="436" xr:uid="{00000000-0005-0000-0000-000063020000}"/>
    <cellStyle name="Heading 2 7" xfId="437" xr:uid="{00000000-0005-0000-0000-000064020000}"/>
    <cellStyle name="Heading 2 8" xfId="438" xr:uid="{00000000-0005-0000-0000-000065020000}"/>
    <cellStyle name="Heading 2 9" xfId="439" xr:uid="{00000000-0005-0000-0000-000066020000}"/>
    <cellStyle name="Heading 3 10" xfId="440" xr:uid="{00000000-0005-0000-0000-000067020000}"/>
    <cellStyle name="Heading 3 11" xfId="441" xr:uid="{00000000-0005-0000-0000-000068020000}"/>
    <cellStyle name="Heading 3 12" xfId="442" xr:uid="{00000000-0005-0000-0000-000069020000}"/>
    <cellStyle name="Heading 3 13" xfId="443" xr:uid="{00000000-0005-0000-0000-00006A020000}"/>
    <cellStyle name="Heading 3 14" xfId="444" xr:uid="{00000000-0005-0000-0000-00006B020000}"/>
    <cellStyle name="Heading 3 15" xfId="445" xr:uid="{00000000-0005-0000-0000-00006C020000}"/>
    <cellStyle name="Heading 3 16" xfId="780" xr:uid="{00000000-0005-0000-0000-00006D020000}"/>
    <cellStyle name="Heading 3 2" xfId="446" xr:uid="{00000000-0005-0000-0000-00006E020000}"/>
    <cellStyle name="Heading 3 2 2" xfId="701" xr:uid="{00000000-0005-0000-0000-00006F020000}"/>
    <cellStyle name="Heading 3 3" xfId="447" xr:uid="{00000000-0005-0000-0000-000070020000}"/>
    <cellStyle name="Heading 3 4" xfId="448" xr:uid="{00000000-0005-0000-0000-000071020000}"/>
    <cellStyle name="Heading 3 5" xfId="449" xr:uid="{00000000-0005-0000-0000-000072020000}"/>
    <cellStyle name="Heading 3 6" xfId="450" xr:uid="{00000000-0005-0000-0000-000073020000}"/>
    <cellStyle name="Heading 3 7" xfId="451" xr:uid="{00000000-0005-0000-0000-000074020000}"/>
    <cellStyle name="Heading 3 8" xfId="452" xr:uid="{00000000-0005-0000-0000-000075020000}"/>
    <cellStyle name="Heading 3 9" xfId="453" xr:uid="{00000000-0005-0000-0000-000076020000}"/>
    <cellStyle name="Heading 4 10" xfId="454" xr:uid="{00000000-0005-0000-0000-000077020000}"/>
    <cellStyle name="Heading 4 11" xfId="455" xr:uid="{00000000-0005-0000-0000-000078020000}"/>
    <cellStyle name="Heading 4 12" xfId="456" xr:uid="{00000000-0005-0000-0000-000079020000}"/>
    <cellStyle name="Heading 4 13" xfId="457" xr:uid="{00000000-0005-0000-0000-00007A020000}"/>
    <cellStyle name="Heading 4 14" xfId="458" xr:uid="{00000000-0005-0000-0000-00007B020000}"/>
    <cellStyle name="Heading 4 15" xfId="459" xr:uid="{00000000-0005-0000-0000-00007C020000}"/>
    <cellStyle name="Heading 4 16" xfId="823" xr:uid="{00000000-0005-0000-0000-00007D020000}"/>
    <cellStyle name="Heading 4 2" xfId="460" xr:uid="{00000000-0005-0000-0000-00007E020000}"/>
    <cellStyle name="Heading 4 2 2" xfId="702" xr:uid="{00000000-0005-0000-0000-00007F020000}"/>
    <cellStyle name="Heading 4 3" xfId="461" xr:uid="{00000000-0005-0000-0000-000080020000}"/>
    <cellStyle name="Heading 4 4" xfId="462" xr:uid="{00000000-0005-0000-0000-000081020000}"/>
    <cellStyle name="Heading 4 5" xfId="463" xr:uid="{00000000-0005-0000-0000-000082020000}"/>
    <cellStyle name="Heading 4 6" xfId="464" xr:uid="{00000000-0005-0000-0000-000083020000}"/>
    <cellStyle name="Heading 4 7" xfId="465" xr:uid="{00000000-0005-0000-0000-000084020000}"/>
    <cellStyle name="Heading 4 8" xfId="466" xr:uid="{00000000-0005-0000-0000-000085020000}"/>
    <cellStyle name="Heading 4 9" xfId="467" xr:uid="{00000000-0005-0000-0000-000086020000}"/>
    <cellStyle name="Hyperlink" xfId="1447" builtinId="8"/>
    <cellStyle name="Hyperlink 2" xfId="784" xr:uid="{00000000-0005-0000-0000-000087020000}"/>
    <cellStyle name="Hyperlink 2 2" xfId="1003" xr:uid="{00000000-0005-0000-0000-000088020000}"/>
    <cellStyle name="Hyperlink 3" xfId="691" xr:uid="{00000000-0005-0000-0000-000089020000}"/>
    <cellStyle name="Input [yellow]" xfId="759" xr:uid="{00000000-0005-0000-0000-00008A020000}"/>
    <cellStyle name="Input 10" xfId="468" xr:uid="{00000000-0005-0000-0000-00008B020000}"/>
    <cellStyle name="Input 11" xfId="469" xr:uid="{00000000-0005-0000-0000-00008C020000}"/>
    <cellStyle name="Input 12" xfId="470" xr:uid="{00000000-0005-0000-0000-00008D020000}"/>
    <cellStyle name="Input 13" xfId="471" xr:uid="{00000000-0005-0000-0000-00008E020000}"/>
    <cellStyle name="Input 14" xfId="472" xr:uid="{00000000-0005-0000-0000-00008F020000}"/>
    <cellStyle name="Input 15" xfId="473" xr:uid="{00000000-0005-0000-0000-000090020000}"/>
    <cellStyle name="Input 16" xfId="776" xr:uid="{00000000-0005-0000-0000-000091020000}"/>
    <cellStyle name="Input 17" xfId="852" xr:uid="{00000000-0005-0000-0000-000092020000}"/>
    <cellStyle name="Input 18" xfId="851" xr:uid="{00000000-0005-0000-0000-000093020000}"/>
    <cellStyle name="Input 19" xfId="850" xr:uid="{00000000-0005-0000-0000-000094020000}"/>
    <cellStyle name="Input 2" xfId="474" xr:uid="{00000000-0005-0000-0000-000095020000}"/>
    <cellStyle name="Input 2 2" xfId="706" xr:uid="{00000000-0005-0000-0000-000096020000}"/>
    <cellStyle name="Input 20" xfId="858" xr:uid="{00000000-0005-0000-0000-000097020000}"/>
    <cellStyle name="Input 3" xfId="475" xr:uid="{00000000-0005-0000-0000-000098020000}"/>
    <cellStyle name="Input 4" xfId="476" xr:uid="{00000000-0005-0000-0000-000099020000}"/>
    <cellStyle name="Input 5" xfId="477" xr:uid="{00000000-0005-0000-0000-00009A020000}"/>
    <cellStyle name="Input 6" xfId="478" xr:uid="{00000000-0005-0000-0000-00009B020000}"/>
    <cellStyle name="Input 7" xfId="479" xr:uid="{00000000-0005-0000-0000-00009C020000}"/>
    <cellStyle name="Input 8" xfId="480" xr:uid="{00000000-0005-0000-0000-00009D020000}"/>
    <cellStyle name="Input 9" xfId="481" xr:uid="{00000000-0005-0000-0000-00009E020000}"/>
    <cellStyle name="Linked Cell 10" xfId="482" xr:uid="{00000000-0005-0000-0000-00009F020000}"/>
    <cellStyle name="Linked Cell 11" xfId="483" xr:uid="{00000000-0005-0000-0000-0000A0020000}"/>
    <cellStyle name="Linked Cell 12" xfId="484" xr:uid="{00000000-0005-0000-0000-0000A1020000}"/>
    <cellStyle name="Linked Cell 13" xfId="485" xr:uid="{00000000-0005-0000-0000-0000A2020000}"/>
    <cellStyle name="Linked Cell 14" xfId="486" xr:uid="{00000000-0005-0000-0000-0000A3020000}"/>
    <cellStyle name="Linked Cell 15" xfId="487" xr:uid="{00000000-0005-0000-0000-0000A4020000}"/>
    <cellStyle name="Linked Cell 16" xfId="817" xr:uid="{00000000-0005-0000-0000-0000A5020000}"/>
    <cellStyle name="Linked Cell 2" xfId="488" xr:uid="{00000000-0005-0000-0000-0000A6020000}"/>
    <cellStyle name="Linked Cell 2 2" xfId="709" xr:uid="{00000000-0005-0000-0000-0000A7020000}"/>
    <cellStyle name="Linked Cell 3" xfId="489" xr:uid="{00000000-0005-0000-0000-0000A8020000}"/>
    <cellStyle name="Linked Cell 4" xfId="490" xr:uid="{00000000-0005-0000-0000-0000A9020000}"/>
    <cellStyle name="Linked Cell 5" xfId="491" xr:uid="{00000000-0005-0000-0000-0000AA020000}"/>
    <cellStyle name="Linked Cell 6" xfId="492" xr:uid="{00000000-0005-0000-0000-0000AB020000}"/>
    <cellStyle name="Linked Cell 7" xfId="493" xr:uid="{00000000-0005-0000-0000-0000AC020000}"/>
    <cellStyle name="Linked Cell 8" xfId="494" xr:uid="{00000000-0005-0000-0000-0000AD020000}"/>
    <cellStyle name="Linked Cell 9" xfId="495" xr:uid="{00000000-0005-0000-0000-0000AE020000}"/>
    <cellStyle name="M" xfId="760" xr:uid="{00000000-0005-0000-0000-0000AF020000}"/>
    <cellStyle name="M.00" xfId="773" xr:uid="{00000000-0005-0000-0000-0000B0020000}"/>
    <cellStyle name="M_9. Rev2Cost_GDPIPI" xfId="761" xr:uid="{00000000-0005-0000-0000-0000B1020000}"/>
    <cellStyle name="M_lists" xfId="762" xr:uid="{00000000-0005-0000-0000-0000B2020000}"/>
    <cellStyle name="M_lists_4. Current Monthly Fixed Charge" xfId="763" xr:uid="{00000000-0005-0000-0000-0000B3020000}"/>
    <cellStyle name="M_Sheet4" xfId="764" xr:uid="{00000000-0005-0000-0000-0000B4020000}"/>
    <cellStyle name="Neutral 10" xfId="496" xr:uid="{00000000-0005-0000-0000-0000B5020000}"/>
    <cellStyle name="Neutral 11" xfId="497" xr:uid="{00000000-0005-0000-0000-0000B6020000}"/>
    <cellStyle name="Neutral 12" xfId="498" xr:uid="{00000000-0005-0000-0000-0000B7020000}"/>
    <cellStyle name="Neutral 13" xfId="499" xr:uid="{00000000-0005-0000-0000-0000B8020000}"/>
    <cellStyle name="Neutral 14" xfId="500" xr:uid="{00000000-0005-0000-0000-0000B9020000}"/>
    <cellStyle name="Neutral 15" xfId="501" xr:uid="{00000000-0005-0000-0000-0000BA020000}"/>
    <cellStyle name="Neutral 16" xfId="692" xr:uid="{00000000-0005-0000-0000-0000BB020000}"/>
    <cellStyle name="Neutral 2" xfId="502" xr:uid="{00000000-0005-0000-0000-0000BC020000}"/>
    <cellStyle name="Neutral 2 2" xfId="705" xr:uid="{00000000-0005-0000-0000-0000BD020000}"/>
    <cellStyle name="Neutral 3" xfId="503" xr:uid="{00000000-0005-0000-0000-0000BE020000}"/>
    <cellStyle name="Neutral 4" xfId="504" xr:uid="{00000000-0005-0000-0000-0000BF020000}"/>
    <cellStyle name="Neutral 5" xfId="505" xr:uid="{00000000-0005-0000-0000-0000C0020000}"/>
    <cellStyle name="Neutral 6" xfId="506" xr:uid="{00000000-0005-0000-0000-0000C1020000}"/>
    <cellStyle name="Neutral 7" xfId="507" xr:uid="{00000000-0005-0000-0000-0000C2020000}"/>
    <cellStyle name="Neutral 8" xfId="508" xr:uid="{00000000-0005-0000-0000-0000C3020000}"/>
    <cellStyle name="Neutral 9" xfId="509" xr:uid="{00000000-0005-0000-0000-0000C4020000}"/>
    <cellStyle name="Normal" xfId="0" builtinId="0"/>
    <cellStyle name="Normal - Style1" xfId="765" xr:uid="{00000000-0005-0000-0000-0000C6020000}"/>
    <cellStyle name="Normal 10" xfId="510" xr:uid="{00000000-0005-0000-0000-0000C7020000}"/>
    <cellStyle name="Normal 11" xfId="511" xr:uid="{00000000-0005-0000-0000-0000C8020000}"/>
    <cellStyle name="Normal 12" xfId="512" xr:uid="{00000000-0005-0000-0000-0000C9020000}"/>
    <cellStyle name="Normal 13" xfId="513" xr:uid="{00000000-0005-0000-0000-0000CA020000}"/>
    <cellStyle name="Normal 14" xfId="514" xr:uid="{00000000-0005-0000-0000-0000CB020000}"/>
    <cellStyle name="Normal 15" xfId="515" xr:uid="{00000000-0005-0000-0000-0000CC020000}"/>
    <cellStyle name="Normal 16" xfId="516" xr:uid="{00000000-0005-0000-0000-0000CD020000}"/>
    <cellStyle name="Normal 16 10" xfId="1183" xr:uid="{00000000-0005-0000-0000-0000CE020000}"/>
    <cellStyle name="Normal 16 11" xfId="939" xr:uid="{00000000-0005-0000-0000-0000CF020000}"/>
    <cellStyle name="Normal 16 2" xfId="602" xr:uid="{00000000-0005-0000-0000-0000D0020000}"/>
    <cellStyle name="Normal 16 2 2" xfId="619" xr:uid="{00000000-0005-0000-0000-0000D1020000}"/>
    <cellStyle name="Normal 16 2 2 2" xfId="656" xr:uid="{00000000-0005-0000-0000-0000D2020000}"/>
    <cellStyle name="Normal 16 2 2 2 2" xfId="835" xr:uid="{00000000-0005-0000-0000-0000D3020000}"/>
    <cellStyle name="Normal 16 2 2 2 2 2" xfId="1166" xr:uid="{00000000-0005-0000-0000-0000D4020000}"/>
    <cellStyle name="Normal 16 2 2 2 2 2 2" xfId="1399" xr:uid="{00000000-0005-0000-0000-0000D5020000}"/>
    <cellStyle name="Normal 16 2 2 2 2 3" xfId="1283" xr:uid="{00000000-0005-0000-0000-0000D6020000}"/>
    <cellStyle name="Normal 16 2 2 2 2 4" xfId="1047" xr:uid="{00000000-0005-0000-0000-0000D7020000}"/>
    <cellStyle name="Normal 16 2 2 2 3" xfId="905" xr:uid="{00000000-0005-0000-0000-0000D8020000}"/>
    <cellStyle name="Normal 16 2 2 2 3 2" xfId="1343" xr:uid="{00000000-0005-0000-0000-0000D9020000}"/>
    <cellStyle name="Normal 16 2 2 2 3 3" xfId="1110" xr:uid="{00000000-0005-0000-0000-0000DA020000}"/>
    <cellStyle name="Normal 16 2 2 2 4" xfId="1227" xr:uid="{00000000-0005-0000-0000-0000DB020000}"/>
    <cellStyle name="Normal 16 2 2 2 5" xfId="990" xr:uid="{00000000-0005-0000-0000-0000DC020000}"/>
    <cellStyle name="Normal 16 2 2 3" xfId="802" xr:uid="{00000000-0005-0000-0000-0000DD020000}"/>
    <cellStyle name="Normal 16 2 2 3 2" xfId="1136" xr:uid="{00000000-0005-0000-0000-0000DE020000}"/>
    <cellStyle name="Normal 16 2 2 3 2 2" xfId="1369" xr:uid="{00000000-0005-0000-0000-0000DF020000}"/>
    <cellStyle name="Normal 16 2 2 3 3" xfId="1253" xr:uid="{00000000-0005-0000-0000-0000E0020000}"/>
    <cellStyle name="Normal 16 2 2 3 4" xfId="1017" xr:uid="{00000000-0005-0000-0000-0000E1020000}"/>
    <cellStyle name="Normal 16 2 2 4" xfId="875" xr:uid="{00000000-0005-0000-0000-0000E2020000}"/>
    <cellStyle name="Normal 16 2 2 4 2" xfId="1317" xr:uid="{00000000-0005-0000-0000-0000E3020000}"/>
    <cellStyle name="Normal 16 2 2 4 3" xfId="1084" xr:uid="{00000000-0005-0000-0000-0000E4020000}"/>
    <cellStyle name="Normal 16 2 2 5" xfId="1201" xr:uid="{00000000-0005-0000-0000-0000E5020000}"/>
    <cellStyle name="Normal 16 2 2 6" xfId="964" xr:uid="{00000000-0005-0000-0000-0000E6020000}"/>
    <cellStyle name="Normal 16 2 3" xfId="627" xr:uid="{00000000-0005-0000-0000-0000E7020000}"/>
    <cellStyle name="Normal 16 2 3 2" xfId="664" xr:uid="{00000000-0005-0000-0000-0000E8020000}"/>
    <cellStyle name="Normal 16 2 3 2 2" xfId="843" xr:uid="{00000000-0005-0000-0000-0000E9020000}"/>
    <cellStyle name="Normal 16 2 3 2 2 2" xfId="1174" xr:uid="{00000000-0005-0000-0000-0000EA020000}"/>
    <cellStyle name="Normal 16 2 3 2 2 2 2" xfId="1407" xr:uid="{00000000-0005-0000-0000-0000EB020000}"/>
    <cellStyle name="Normal 16 2 3 2 2 3" xfId="1291" xr:uid="{00000000-0005-0000-0000-0000EC020000}"/>
    <cellStyle name="Normal 16 2 3 2 2 4" xfId="1055" xr:uid="{00000000-0005-0000-0000-0000ED020000}"/>
    <cellStyle name="Normal 16 2 3 2 3" xfId="913" xr:uid="{00000000-0005-0000-0000-0000EE020000}"/>
    <cellStyle name="Normal 16 2 3 2 3 2" xfId="1351" xr:uid="{00000000-0005-0000-0000-0000EF020000}"/>
    <cellStyle name="Normal 16 2 3 2 3 3" xfId="1118" xr:uid="{00000000-0005-0000-0000-0000F0020000}"/>
    <cellStyle name="Normal 16 2 3 2 4" xfId="1235" xr:uid="{00000000-0005-0000-0000-0000F1020000}"/>
    <cellStyle name="Normal 16 2 3 2 5" xfId="998" xr:uid="{00000000-0005-0000-0000-0000F2020000}"/>
    <cellStyle name="Normal 16 2 3 3" xfId="810" xr:uid="{00000000-0005-0000-0000-0000F3020000}"/>
    <cellStyle name="Normal 16 2 3 3 2" xfId="1144" xr:uid="{00000000-0005-0000-0000-0000F4020000}"/>
    <cellStyle name="Normal 16 2 3 3 2 2" xfId="1377" xr:uid="{00000000-0005-0000-0000-0000F5020000}"/>
    <cellStyle name="Normal 16 2 3 3 3" xfId="1261" xr:uid="{00000000-0005-0000-0000-0000F6020000}"/>
    <cellStyle name="Normal 16 2 3 3 4" xfId="1025" xr:uid="{00000000-0005-0000-0000-0000F7020000}"/>
    <cellStyle name="Normal 16 2 3 4" xfId="883" xr:uid="{00000000-0005-0000-0000-0000F8020000}"/>
    <cellStyle name="Normal 16 2 3 4 2" xfId="1325" xr:uid="{00000000-0005-0000-0000-0000F9020000}"/>
    <cellStyle name="Normal 16 2 3 4 3" xfId="1092" xr:uid="{00000000-0005-0000-0000-0000FA020000}"/>
    <cellStyle name="Normal 16 2 3 5" xfId="1209" xr:uid="{00000000-0005-0000-0000-0000FB020000}"/>
    <cellStyle name="Normal 16 2 3 6" xfId="972" xr:uid="{00000000-0005-0000-0000-0000FC020000}"/>
    <cellStyle name="Normal 16 2 4" xfId="648" xr:uid="{00000000-0005-0000-0000-0000FD020000}"/>
    <cellStyle name="Normal 16 2 4 2" xfId="827" xr:uid="{00000000-0005-0000-0000-0000FE020000}"/>
    <cellStyle name="Normal 16 2 4 2 2" xfId="1158" xr:uid="{00000000-0005-0000-0000-0000FF020000}"/>
    <cellStyle name="Normal 16 2 4 2 2 2" xfId="1391" xr:uid="{00000000-0005-0000-0000-000000030000}"/>
    <cellStyle name="Normal 16 2 4 2 3" xfId="1275" xr:uid="{00000000-0005-0000-0000-000001030000}"/>
    <cellStyle name="Normal 16 2 4 2 4" xfId="1039" xr:uid="{00000000-0005-0000-0000-000002030000}"/>
    <cellStyle name="Normal 16 2 4 3" xfId="897" xr:uid="{00000000-0005-0000-0000-000003030000}"/>
    <cellStyle name="Normal 16 2 4 3 2" xfId="1309" xr:uid="{00000000-0005-0000-0000-000004030000}"/>
    <cellStyle name="Normal 16 2 4 3 3" xfId="1076" xr:uid="{00000000-0005-0000-0000-000005030000}"/>
    <cellStyle name="Normal 16 2 4 4" xfId="1193" xr:uid="{00000000-0005-0000-0000-000006030000}"/>
    <cellStyle name="Normal 16 2 4 5" xfId="956" xr:uid="{00000000-0005-0000-0000-000007030000}"/>
    <cellStyle name="Normal 16 2 5" xfId="791" xr:uid="{00000000-0005-0000-0000-000008030000}"/>
    <cellStyle name="Normal 16 2 5 2" xfId="1102" xr:uid="{00000000-0005-0000-0000-000009030000}"/>
    <cellStyle name="Normal 16 2 5 2 2" xfId="1335" xr:uid="{00000000-0005-0000-0000-00000A030000}"/>
    <cellStyle name="Normal 16 2 5 3" xfId="1219" xr:uid="{00000000-0005-0000-0000-00000B030000}"/>
    <cellStyle name="Normal 16 2 5 4" xfId="982" xr:uid="{00000000-0005-0000-0000-00000C030000}"/>
    <cellStyle name="Normal 16 2 6" xfId="867" xr:uid="{00000000-0005-0000-0000-00000D030000}"/>
    <cellStyle name="Normal 16 2 6 2" xfId="1128" xr:uid="{00000000-0005-0000-0000-00000E030000}"/>
    <cellStyle name="Normal 16 2 6 2 2" xfId="1361" xr:uid="{00000000-0005-0000-0000-00000F030000}"/>
    <cellStyle name="Normal 16 2 6 3" xfId="1245" xr:uid="{00000000-0005-0000-0000-000010030000}"/>
    <cellStyle name="Normal 16 2 6 4" xfId="1009" xr:uid="{00000000-0005-0000-0000-000011030000}"/>
    <cellStyle name="Normal 16 2 7" xfId="1069" xr:uid="{00000000-0005-0000-0000-000012030000}"/>
    <cellStyle name="Normal 16 2 7 2" xfId="1302" xr:uid="{00000000-0005-0000-0000-000013030000}"/>
    <cellStyle name="Normal 16 2 8" xfId="1186" xr:uid="{00000000-0005-0000-0000-000014030000}"/>
    <cellStyle name="Normal 16 2 9" xfId="949" xr:uid="{00000000-0005-0000-0000-000015030000}"/>
    <cellStyle name="Normal 16 3" xfId="591" xr:uid="{00000000-0005-0000-0000-000016030000}"/>
    <cellStyle name="Normal 16 3 2" xfId="645" xr:uid="{00000000-0005-0000-0000-000017030000}"/>
    <cellStyle name="Normal 16 3 2 2" xfId="824" xr:uid="{00000000-0005-0000-0000-000018030000}"/>
    <cellStyle name="Normal 16 3 2 2 2" xfId="1155" xr:uid="{00000000-0005-0000-0000-000019030000}"/>
    <cellStyle name="Normal 16 3 2 2 2 2" xfId="1388" xr:uid="{00000000-0005-0000-0000-00001A030000}"/>
    <cellStyle name="Normal 16 3 2 2 3" xfId="1272" xr:uid="{00000000-0005-0000-0000-00001B030000}"/>
    <cellStyle name="Normal 16 3 2 2 4" xfId="1036" xr:uid="{00000000-0005-0000-0000-00001C030000}"/>
    <cellStyle name="Normal 16 3 2 3" xfId="894" xr:uid="{00000000-0005-0000-0000-00001D030000}"/>
    <cellStyle name="Normal 16 3 2 3 2" xfId="1332" xr:uid="{00000000-0005-0000-0000-00001E030000}"/>
    <cellStyle name="Normal 16 3 2 3 3" xfId="1099" xr:uid="{00000000-0005-0000-0000-00001F030000}"/>
    <cellStyle name="Normal 16 3 2 4" xfId="1216" xr:uid="{00000000-0005-0000-0000-000020030000}"/>
    <cellStyle name="Normal 16 3 2 5" xfId="979" xr:uid="{00000000-0005-0000-0000-000021030000}"/>
    <cellStyle name="Normal 16 3 3" xfId="785" xr:uid="{00000000-0005-0000-0000-000022030000}"/>
    <cellStyle name="Normal 16 3 3 2" xfId="1125" xr:uid="{00000000-0005-0000-0000-000023030000}"/>
    <cellStyle name="Normal 16 3 3 2 2" xfId="1358" xr:uid="{00000000-0005-0000-0000-000024030000}"/>
    <cellStyle name="Normal 16 3 3 3" xfId="1242" xr:uid="{00000000-0005-0000-0000-000025030000}"/>
    <cellStyle name="Normal 16 3 3 4" xfId="1006" xr:uid="{00000000-0005-0000-0000-000026030000}"/>
    <cellStyle name="Normal 16 3 4" xfId="864" xr:uid="{00000000-0005-0000-0000-000027030000}"/>
    <cellStyle name="Normal 16 3 4 2" xfId="1306" xr:uid="{00000000-0005-0000-0000-000028030000}"/>
    <cellStyle name="Normal 16 3 4 3" xfId="1073" xr:uid="{00000000-0005-0000-0000-000029030000}"/>
    <cellStyle name="Normal 16 3 5" xfId="1190" xr:uid="{00000000-0005-0000-0000-00002A030000}"/>
    <cellStyle name="Normal 16 3 6" xfId="953" xr:uid="{00000000-0005-0000-0000-00002B030000}"/>
    <cellStyle name="Normal 16 4" xfId="616" xr:uid="{00000000-0005-0000-0000-00002C030000}"/>
    <cellStyle name="Normal 16 4 2" xfId="653" xr:uid="{00000000-0005-0000-0000-00002D030000}"/>
    <cellStyle name="Normal 16 4 2 2" xfId="832" xr:uid="{00000000-0005-0000-0000-00002E030000}"/>
    <cellStyle name="Normal 16 4 2 2 2" xfId="1163" xr:uid="{00000000-0005-0000-0000-00002F030000}"/>
    <cellStyle name="Normal 16 4 2 2 2 2" xfId="1396" xr:uid="{00000000-0005-0000-0000-000030030000}"/>
    <cellStyle name="Normal 16 4 2 2 3" xfId="1280" xr:uid="{00000000-0005-0000-0000-000031030000}"/>
    <cellStyle name="Normal 16 4 2 2 4" xfId="1044" xr:uid="{00000000-0005-0000-0000-000032030000}"/>
    <cellStyle name="Normal 16 4 2 3" xfId="902" xr:uid="{00000000-0005-0000-0000-000033030000}"/>
    <cellStyle name="Normal 16 4 2 3 2" xfId="1340" xr:uid="{00000000-0005-0000-0000-000034030000}"/>
    <cellStyle name="Normal 16 4 2 3 3" xfId="1107" xr:uid="{00000000-0005-0000-0000-000035030000}"/>
    <cellStyle name="Normal 16 4 2 4" xfId="1224" xr:uid="{00000000-0005-0000-0000-000036030000}"/>
    <cellStyle name="Normal 16 4 2 5" xfId="987" xr:uid="{00000000-0005-0000-0000-000037030000}"/>
    <cellStyle name="Normal 16 4 3" xfId="799" xr:uid="{00000000-0005-0000-0000-000038030000}"/>
    <cellStyle name="Normal 16 4 3 2" xfId="1133" xr:uid="{00000000-0005-0000-0000-000039030000}"/>
    <cellStyle name="Normal 16 4 3 2 2" xfId="1366" xr:uid="{00000000-0005-0000-0000-00003A030000}"/>
    <cellStyle name="Normal 16 4 3 3" xfId="1250" xr:uid="{00000000-0005-0000-0000-00003B030000}"/>
    <cellStyle name="Normal 16 4 3 4" xfId="1014" xr:uid="{00000000-0005-0000-0000-00003C030000}"/>
    <cellStyle name="Normal 16 4 4" xfId="872" xr:uid="{00000000-0005-0000-0000-00003D030000}"/>
    <cellStyle name="Normal 16 4 4 2" xfId="1314" xr:uid="{00000000-0005-0000-0000-00003E030000}"/>
    <cellStyle name="Normal 16 4 4 3" xfId="1081" xr:uid="{00000000-0005-0000-0000-00003F030000}"/>
    <cellStyle name="Normal 16 4 5" xfId="1198" xr:uid="{00000000-0005-0000-0000-000040030000}"/>
    <cellStyle name="Normal 16 4 6" xfId="961" xr:uid="{00000000-0005-0000-0000-000041030000}"/>
    <cellStyle name="Normal 16 5" xfId="624" xr:uid="{00000000-0005-0000-0000-000042030000}"/>
    <cellStyle name="Normal 16 5 2" xfId="661" xr:uid="{00000000-0005-0000-0000-000043030000}"/>
    <cellStyle name="Normal 16 5 2 2" xfId="840" xr:uid="{00000000-0005-0000-0000-000044030000}"/>
    <cellStyle name="Normal 16 5 2 2 2" xfId="1171" xr:uid="{00000000-0005-0000-0000-000045030000}"/>
    <cellStyle name="Normal 16 5 2 2 2 2" xfId="1404" xr:uid="{00000000-0005-0000-0000-000046030000}"/>
    <cellStyle name="Normal 16 5 2 2 3" xfId="1288" xr:uid="{00000000-0005-0000-0000-000047030000}"/>
    <cellStyle name="Normal 16 5 2 2 4" xfId="1052" xr:uid="{00000000-0005-0000-0000-000048030000}"/>
    <cellStyle name="Normal 16 5 2 3" xfId="910" xr:uid="{00000000-0005-0000-0000-000049030000}"/>
    <cellStyle name="Normal 16 5 2 3 2" xfId="1348" xr:uid="{00000000-0005-0000-0000-00004A030000}"/>
    <cellStyle name="Normal 16 5 2 3 3" xfId="1115" xr:uid="{00000000-0005-0000-0000-00004B030000}"/>
    <cellStyle name="Normal 16 5 2 4" xfId="1232" xr:uid="{00000000-0005-0000-0000-00004C030000}"/>
    <cellStyle name="Normal 16 5 2 5" xfId="995" xr:uid="{00000000-0005-0000-0000-00004D030000}"/>
    <cellStyle name="Normal 16 5 3" xfId="807" xr:uid="{00000000-0005-0000-0000-00004E030000}"/>
    <cellStyle name="Normal 16 5 3 2" xfId="1141" xr:uid="{00000000-0005-0000-0000-00004F030000}"/>
    <cellStyle name="Normal 16 5 3 2 2" xfId="1374" xr:uid="{00000000-0005-0000-0000-000050030000}"/>
    <cellStyle name="Normal 16 5 3 3" xfId="1258" xr:uid="{00000000-0005-0000-0000-000051030000}"/>
    <cellStyle name="Normal 16 5 3 4" xfId="1022" xr:uid="{00000000-0005-0000-0000-000052030000}"/>
    <cellStyle name="Normal 16 5 4" xfId="880" xr:uid="{00000000-0005-0000-0000-000053030000}"/>
    <cellStyle name="Normal 16 5 4 2" xfId="1322" xr:uid="{00000000-0005-0000-0000-000054030000}"/>
    <cellStyle name="Normal 16 5 4 3" xfId="1089" xr:uid="{00000000-0005-0000-0000-000055030000}"/>
    <cellStyle name="Normal 16 5 5" xfId="1206" xr:uid="{00000000-0005-0000-0000-000056030000}"/>
    <cellStyle name="Normal 16 5 6" xfId="969" xr:uid="{00000000-0005-0000-0000-000057030000}"/>
    <cellStyle name="Normal 16 6" xfId="642" xr:uid="{00000000-0005-0000-0000-000058030000}"/>
    <cellStyle name="Normal 16 6 2" xfId="821" xr:uid="{00000000-0005-0000-0000-000059030000}"/>
    <cellStyle name="Normal 16 6 2 2" xfId="1153" xr:uid="{00000000-0005-0000-0000-00005A030000}"/>
    <cellStyle name="Normal 16 6 2 2 2" xfId="1386" xr:uid="{00000000-0005-0000-0000-00005B030000}"/>
    <cellStyle name="Normal 16 6 2 3" xfId="1270" xr:uid="{00000000-0005-0000-0000-00005C030000}"/>
    <cellStyle name="Normal 16 6 2 4" xfId="1034" xr:uid="{00000000-0005-0000-0000-00005D030000}"/>
    <cellStyle name="Normal 16 6 3" xfId="892" xr:uid="{00000000-0005-0000-0000-00005E030000}"/>
    <cellStyle name="Normal 16 6 3 2" xfId="1304" xr:uid="{00000000-0005-0000-0000-00005F030000}"/>
    <cellStyle name="Normal 16 6 3 3" xfId="1071" xr:uid="{00000000-0005-0000-0000-000060030000}"/>
    <cellStyle name="Normal 16 6 4" xfId="1188" xr:uid="{00000000-0005-0000-0000-000061030000}"/>
    <cellStyle name="Normal 16 6 5" xfId="951" xr:uid="{00000000-0005-0000-0000-000062030000}"/>
    <cellStyle name="Normal 16 7" xfId="771" xr:uid="{00000000-0005-0000-0000-000063030000}"/>
    <cellStyle name="Normal 16 7 2" xfId="1097" xr:uid="{00000000-0005-0000-0000-000064030000}"/>
    <cellStyle name="Normal 16 7 2 2" xfId="1330" xr:uid="{00000000-0005-0000-0000-000065030000}"/>
    <cellStyle name="Normal 16 7 3" xfId="1214" xr:uid="{00000000-0005-0000-0000-000066030000}"/>
    <cellStyle name="Normal 16 7 4" xfId="977" xr:uid="{00000000-0005-0000-0000-000067030000}"/>
    <cellStyle name="Normal 16 8" xfId="861" xr:uid="{00000000-0005-0000-0000-000068030000}"/>
    <cellStyle name="Normal 16 8 2" xfId="1123" xr:uid="{00000000-0005-0000-0000-000069030000}"/>
    <cellStyle name="Normal 16 8 2 2" xfId="1356" xr:uid="{00000000-0005-0000-0000-00006A030000}"/>
    <cellStyle name="Normal 16 8 3" xfId="1240" xr:uid="{00000000-0005-0000-0000-00006B030000}"/>
    <cellStyle name="Normal 16 8 4" xfId="1004" xr:uid="{00000000-0005-0000-0000-00006C030000}"/>
    <cellStyle name="Normal 16 9" xfId="1064" xr:uid="{00000000-0005-0000-0000-00006D030000}"/>
    <cellStyle name="Normal 16 9 2" xfId="1299" xr:uid="{00000000-0005-0000-0000-00006E030000}"/>
    <cellStyle name="Normal 17" xfId="517" xr:uid="{00000000-0005-0000-0000-00006F030000}"/>
    <cellStyle name="Normal 17 10" xfId="1184" xr:uid="{00000000-0005-0000-0000-000070030000}"/>
    <cellStyle name="Normal 17 11" xfId="940" xr:uid="{00000000-0005-0000-0000-000071030000}"/>
    <cellStyle name="Normal 17 2" xfId="603" xr:uid="{00000000-0005-0000-0000-000072030000}"/>
    <cellStyle name="Normal 17 2 2" xfId="620" xr:uid="{00000000-0005-0000-0000-000073030000}"/>
    <cellStyle name="Normal 17 2 2 2" xfId="657" xr:uid="{00000000-0005-0000-0000-000074030000}"/>
    <cellStyle name="Normal 17 2 2 2 2" xfId="836" xr:uid="{00000000-0005-0000-0000-000075030000}"/>
    <cellStyle name="Normal 17 2 2 2 2 2" xfId="1167" xr:uid="{00000000-0005-0000-0000-000076030000}"/>
    <cellStyle name="Normal 17 2 2 2 2 2 2" xfId="1400" xr:uid="{00000000-0005-0000-0000-000077030000}"/>
    <cellStyle name="Normal 17 2 2 2 2 3" xfId="1284" xr:uid="{00000000-0005-0000-0000-000078030000}"/>
    <cellStyle name="Normal 17 2 2 2 2 4" xfId="1048" xr:uid="{00000000-0005-0000-0000-000079030000}"/>
    <cellStyle name="Normal 17 2 2 2 3" xfId="906" xr:uid="{00000000-0005-0000-0000-00007A030000}"/>
    <cellStyle name="Normal 17 2 2 2 3 2" xfId="1344" xr:uid="{00000000-0005-0000-0000-00007B030000}"/>
    <cellStyle name="Normal 17 2 2 2 3 3" xfId="1111" xr:uid="{00000000-0005-0000-0000-00007C030000}"/>
    <cellStyle name="Normal 17 2 2 2 4" xfId="1228" xr:uid="{00000000-0005-0000-0000-00007D030000}"/>
    <cellStyle name="Normal 17 2 2 2 5" xfId="991" xr:uid="{00000000-0005-0000-0000-00007E030000}"/>
    <cellStyle name="Normal 17 2 2 3" xfId="803" xr:uid="{00000000-0005-0000-0000-00007F030000}"/>
    <cellStyle name="Normal 17 2 2 3 2" xfId="1137" xr:uid="{00000000-0005-0000-0000-000080030000}"/>
    <cellStyle name="Normal 17 2 2 3 2 2" xfId="1370" xr:uid="{00000000-0005-0000-0000-000081030000}"/>
    <cellStyle name="Normal 17 2 2 3 3" xfId="1254" xr:uid="{00000000-0005-0000-0000-000082030000}"/>
    <cellStyle name="Normal 17 2 2 3 4" xfId="1018" xr:uid="{00000000-0005-0000-0000-000083030000}"/>
    <cellStyle name="Normal 17 2 2 4" xfId="876" xr:uid="{00000000-0005-0000-0000-000084030000}"/>
    <cellStyle name="Normal 17 2 2 4 2" xfId="1318" xr:uid="{00000000-0005-0000-0000-000085030000}"/>
    <cellStyle name="Normal 17 2 2 4 3" xfId="1085" xr:uid="{00000000-0005-0000-0000-000086030000}"/>
    <cellStyle name="Normal 17 2 2 5" xfId="1202" xr:uid="{00000000-0005-0000-0000-000087030000}"/>
    <cellStyle name="Normal 17 2 2 6" xfId="965" xr:uid="{00000000-0005-0000-0000-000088030000}"/>
    <cellStyle name="Normal 17 2 3" xfId="628" xr:uid="{00000000-0005-0000-0000-000089030000}"/>
    <cellStyle name="Normal 17 2 3 2" xfId="665" xr:uid="{00000000-0005-0000-0000-00008A030000}"/>
    <cellStyle name="Normal 17 2 3 2 2" xfId="844" xr:uid="{00000000-0005-0000-0000-00008B030000}"/>
    <cellStyle name="Normal 17 2 3 2 2 2" xfId="1175" xr:uid="{00000000-0005-0000-0000-00008C030000}"/>
    <cellStyle name="Normal 17 2 3 2 2 2 2" xfId="1408" xr:uid="{00000000-0005-0000-0000-00008D030000}"/>
    <cellStyle name="Normal 17 2 3 2 2 3" xfId="1292" xr:uid="{00000000-0005-0000-0000-00008E030000}"/>
    <cellStyle name="Normal 17 2 3 2 2 4" xfId="1056" xr:uid="{00000000-0005-0000-0000-00008F030000}"/>
    <cellStyle name="Normal 17 2 3 2 3" xfId="914" xr:uid="{00000000-0005-0000-0000-000090030000}"/>
    <cellStyle name="Normal 17 2 3 2 3 2" xfId="1352" xr:uid="{00000000-0005-0000-0000-000091030000}"/>
    <cellStyle name="Normal 17 2 3 2 3 3" xfId="1119" xr:uid="{00000000-0005-0000-0000-000092030000}"/>
    <cellStyle name="Normal 17 2 3 2 4" xfId="1236" xr:uid="{00000000-0005-0000-0000-000093030000}"/>
    <cellStyle name="Normal 17 2 3 2 5" xfId="999" xr:uid="{00000000-0005-0000-0000-000094030000}"/>
    <cellStyle name="Normal 17 2 3 3" xfId="811" xr:uid="{00000000-0005-0000-0000-000095030000}"/>
    <cellStyle name="Normal 17 2 3 3 2" xfId="1145" xr:uid="{00000000-0005-0000-0000-000096030000}"/>
    <cellStyle name="Normal 17 2 3 3 2 2" xfId="1378" xr:uid="{00000000-0005-0000-0000-000097030000}"/>
    <cellStyle name="Normal 17 2 3 3 3" xfId="1262" xr:uid="{00000000-0005-0000-0000-000098030000}"/>
    <cellStyle name="Normal 17 2 3 3 4" xfId="1026" xr:uid="{00000000-0005-0000-0000-000099030000}"/>
    <cellStyle name="Normal 17 2 3 4" xfId="884" xr:uid="{00000000-0005-0000-0000-00009A030000}"/>
    <cellStyle name="Normal 17 2 3 4 2" xfId="1326" xr:uid="{00000000-0005-0000-0000-00009B030000}"/>
    <cellStyle name="Normal 17 2 3 4 3" xfId="1093" xr:uid="{00000000-0005-0000-0000-00009C030000}"/>
    <cellStyle name="Normal 17 2 3 5" xfId="1210" xr:uid="{00000000-0005-0000-0000-00009D030000}"/>
    <cellStyle name="Normal 17 2 3 6" xfId="973" xr:uid="{00000000-0005-0000-0000-00009E030000}"/>
    <cellStyle name="Normal 17 2 4" xfId="649" xr:uid="{00000000-0005-0000-0000-00009F030000}"/>
    <cellStyle name="Normal 17 2 4 2" xfId="828" xr:uid="{00000000-0005-0000-0000-0000A0030000}"/>
    <cellStyle name="Normal 17 2 4 2 2" xfId="1159" xr:uid="{00000000-0005-0000-0000-0000A1030000}"/>
    <cellStyle name="Normal 17 2 4 2 2 2" xfId="1392" xr:uid="{00000000-0005-0000-0000-0000A2030000}"/>
    <cellStyle name="Normal 17 2 4 2 3" xfId="1276" xr:uid="{00000000-0005-0000-0000-0000A3030000}"/>
    <cellStyle name="Normal 17 2 4 2 4" xfId="1040" xr:uid="{00000000-0005-0000-0000-0000A4030000}"/>
    <cellStyle name="Normal 17 2 4 3" xfId="898" xr:uid="{00000000-0005-0000-0000-0000A5030000}"/>
    <cellStyle name="Normal 17 2 4 3 2" xfId="1310" xr:uid="{00000000-0005-0000-0000-0000A6030000}"/>
    <cellStyle name="Normal 17 2 4 3 3" xfId="1077" xr:uid="{00000000-0005-0000-0000-0000A7030000}"/>
    <cellStyle name="Normal 17 2 4 4" xfId="1194" xr:uid="{00000000-0005-0000-0000-0000A8030000}"/>
    <cellStyle name="Normal 17 2 4 5" xfId="957" xr:uid="{00000000-0005-0000-0000-0000A9030000}"/>
    <cellStyle name="Normal 17 2 5" xfId="792" xr:uid="{00000000-0005-0000-0000-0000AA030000}"/>
    <cellStyle name="Normal 17 2 5 2" xfId="1103" xr:uid="{00000000-0005-0000-0000-0000AB030000}"/>
    <cellStyle name="Normal 17 2 5 2 2" xfId="1336" xr:uid="{00000000-0005-0000-0000-0000AC030000}"/>
    <cellStyle name="Normal 17 2 5 3" xfId="1220" xr:uid="{00000000-0005-0000-0000-0000AD030000}"/>
    <cellStyle name="Normal 17 2 5 4" xfId="983" xr:uid="{00000000-0005-0000-0000-0000AE030000}"/>
    <cellStyle name="Normal 17 2 6" xfId="868" xr:uid="{00000000-0005-0000-0000-0000AF030000}"/>
    <cellStyle name="Normal 17 2 6 2" xfId="1129" xr:uid="{00000000-0005-0000-0000-0000B0030000}"/>
    <cellStyle name="Normal 17 2 6 2 2" xfId="1362" xr:uid="{00000000-0005-0000-0000-0000B1030000}"/>
    <cellStyle name="Normal 17 2 6 3" xfId="1246" xr:uid="{00000000-0005-0000-0000-0000B2030000}"/>
    <cellStyle name="Normal 17 2 6 4" xfId="1010" xr:uid="{00000000-0005-0000-0000-0000B3030000}"/>
    <cellStyle name="Normal 17 2 7" xfId="1070" xr:uid="{00000000-0005-0000-0000-0000B4030000}"/>
    <cellStyle name="Normal 17 2 7 2" xfId="1303" xr:uid="{00000000-0005-0000-0000-0000B5030000}"/>
    <cellStyle name="Normal 17 2 8" xfId="1187" xr:uid="{00000000-0005-0000-0000-0000B6030000}"/>
    <cellStyle name="Normal 17 2 9" xfId="950" xr:uid="{00000000-0005-0000-0000-0000B7030000}"/>
    <cellStyle name="Normal 17 3" xfId="592" xr:uid="{00000000-0005-0000-0000-0000B8030000}"/>
    <cellStyle name="Normal 17 3 2" xfId="646" xr:uid="{00000000-0005-0000-0000-0000B9030000}"/>
    <cellStyle name="Normal 17 3 2 2" xfId="825" xr:uid="{00000000-0005-0000-0000-0000BA030000}"/>
    <cellStyle name="Normal 17 3 2 2 2" xfId="1156" xr:uid="{00000000-0005-0000-0000-0000BB030000}"/>
    <cellStyle name="Normal 17 3 2 2 2 2" xfId="1389" xr:uid="{00000000-0005-0000-0000-0000BC030000}"/>
    <cellStyle name="Normal 17 3 2 2 3" xfId="1273" xr:uid="{00000000-0005-0000-0000-0000BD030000}"/>
    <cellStyle name="Normal 17 3 2 2 4" xfId="1037" xr:uid="{00000000-0005-0000-0000-0000BE030000}"/>
    <cellStyle name="Normal 17 3 2 3" xfId="895" xr:uid="{00000000-0005-0000-0000-0000BF030000}"/>
    <cellStyle name="Normal 17 3 2 3 2" xfId="1333" xr:uid="{00000000-0005-0000-0000-0000C0030000}"/>
    <cellStyle name="Normal 17 3 2 3 3" xfId="1100" xr:uid="{00000000-0005-0000-0000-0000C1030000}"/>
    <cellStyle name="Normal 17 3 2 4" xfId="1217" xr:uid="{00000000-0005-0000-0000-0000C2030000}"/>
    <cellStyle name="Normal 17 3 2 5" xfId="980" xr:uid="{00000000-0005-0000-0000-0000C3030000}"/>
    <cellStyle name="Normal 17 3 3" xfId="786" xr:uid="{00000000-0005-0000-0000-0000C4030000}"/>
    <cellStyle name="Normal 17 3 3 2" xfId="1126" xr:uid="{00000000-0005-0000-0000-0000C5030000}"/>
    <cellStyle name="Normal 17 3 3 2 2" xfId="1359" xr:uid="{00000000-0005-0000-0000-0000C6030000}"/>
    <cellStyle name="Normal 17 3 3 3" xfId="1243" xr:uid="{00000000-0005-0000-0000-0000C7030000}"/>
    <cellStyle name="Normal 17 3 3 4" xfId="1007" xr:uid="{00000000-0005-0000-0000-0000C8030000}"/>
    <cellStyle name="Normal 17 3 4" xfId="865" xr:uid="{00000000-0005-0000-0000-0000C9030000}"/>
    <cellStyle name="Normal 17 3 4 2" xfId="1307" xr:uid="{00000000-0005-0000-0000-0000CA030000}"/>
    <cellStyle name="Normal 17 3 4 3" xfId="1074" xr:uid="{00000000-0005-0000-0000-0000CB030000}"/>
    <cellStyle name="Normal 17 3 5" xfId="1191" xr:uid="{00000000-0005-0000-0000-0000CC030000}"/>
    <cellStyle name="Normal 17 3 6" xfId="954" xr:uid="{00000000-0005-0000-0000-0000CD030000}"/>
    <cellStyle name="Normal 17 4" xfId="617" xr:uid="{00000000-0005-0000-0000-0000CE030000}"/>
    <cellStyle name="Normal 17 4 2" xfId="654" xr:uid="{00000000-0005-0000-0000-0000CF030000}"/>
    <cellStyle name="Normal 17 4 2 2" xfId="833" xr:uid="{00000000-0005-0000-0000-0000D0030000}"/>
    <cellStyle name="Normal 17 4 2 2 2" xfId="1164" xr:uid="{00000000-0005-0000-0000-0000D1030000}"/>
    <cellStyle name="Normal 17 4 2 2 2 2" xfId="1397" xr:uid="{00000000-0005-0000-0000-0000D2030000}"/>
    <cellStyle name="Normal 17 4 2 2 3" xfId="1281" xr:uid="{00000000-0005-0000-0000-0000D3030000}"/>
    <cellStyle name="Normal 17 4 2 2 4" xfId="1045" xr:uid="{00000000-0005-0000-0000-0000D4030000}"/>
    <cellStyle name="Normal 17 4 2 3" xfId="903" xr:uid="{00000000-0005-0000-0000-0000D5030000}"/>
    <cellStyle name="Normal 17 4 2 3 2" xfId="1341" xr:uid="{00000000-0005-0000-0000-0000D6030000}"/>
    <cellStyle name="Normal 17 4 2 3 3" xfId="1108" xr:uid="{00000000-0005-0000-0000-0000D7030000}"/>
    <cellStyle name="Normal 17 4 2 4" xfId="1225" xr:uid="{00000000-0005-0000-0000-0000D8030000}"/>
    <cellStyle name="Normal 17 4 2 5" xfId="988" xr:uid="{00000000-0005-0000-0000-0000D9030000}"/>
    <cellStyle name="Normal 17 4 3" xfId="800" xr:uid="{00000000-0005-0000-0000-0000DA030000}"/>
    <cellStyle name="Normal 17 4 3 2" xfId="1134" xr:uid="{00000000-0005-0000-0000-0000DB030000}"/>
    <cellStyle name="Normal 17 4 3 2 2" xfId="1367" xr:uid="{00000000-0005-0000-0000-0000DC030000}"/>
    <cellStyle name="Normal 17 4 3 3" xfId="1251" xr:uid="{00000000-0005-0000-0000-0000DD030000}"/>
    <cellStyle name="Normal 17 4 3 4" xfId="1015" xr:uid="{00000000-0005-0000-0000-0000DE030000}"/>
    <cellStyle name="Normal 17 4 4" xfId="873" xr:uid="{00000000-0005-0000-0000-0000DF030000}"/>
    <cellStyle name="Normal 17 4 4 2" xfId="1315" xr:uid="{00000000-0005-0000-0000-0000E0030000}"/>
    <cellStyle name="Normal 17 4 4 3" xfId="1082" xr:uid="{00000000-0005-0000-0000-0000E1030000}"/>
    <cellStyle name="Normal 17 4 5" xfId="1199" xr:uid="{00000000-0005-0000-0000-0000E2030000}"/>
    <cellStyle name="Normal 17 4 6" xfId="962" xr:uid="{00000000-0005-0000-0000-0000E3030000}"/>
    <cellStyle name="Normal 17 5" xfId="625" xr:uid="{00000000-0005-0000-0000-0000E4030000}"/>
    <cellStyle name="Normal 17 5 2" xfId="662" xr:uid="{00000000-0005-0000-0000-0000E5030000}"/>
    <cellStyle name="Normal 17 5 2 2" xfId="841" xr:uid="{00000000-0005-0000-0000-0000E6030000}"/>
    <cellStyle name="Normal 17 5 2 2 2" xfId="1172" xr:uid="{00000000-0005-0000-0000-0000E7030000}"/>
    <cellStyle name="Normal 17 5 2 2 2 2" xfId="1405" xr:uid="{00000000-0005-0000-0000-0000E8030000}"/>
    <cellStyle name="Normal 17 5 2 2 3" xfId="1289" xr:uid="{00000000-0005-0000-0000-0000E9030000}"/>
    <cellStyle name="Normal 17 5 2 2 4" xfId="1053" xr:uid="{00000000-0005-0000-0000-0000EA030000}"/>
    <cellStyle name="Normal 17 5 2 3" xfId="911" xr:uid="{00000000-0005-0000-0000-0000EB030000}"/>
    <cellStyle name="Normal 17 5 2 3 2" xfId="1349" xr:uid="{00000000-0005-0000-0000-0000EC030000}"/>
    <cellStyle name="Normal 17 5 2 3 3" xfId="1116" xr:uid="{00000000-0005-0000-0000-0000ED030000}"/>
    <cellStyle name="Normal 17 5 2 4" xfId="1233" xr:uid="{00000000-0005-0000-0000-0000EE030000}"/>
    <cellStyle name="Normal 17 5 2 5" xfId="996" xr:uid="{00000000-0005-0000-0000-0000EF030000}"/>
    <cellStyle name="Normal 17 5 3" xfId="808" xr:uid="{00000000-0005-0000-0000-0000F0030000}"/>
    <cellStyle name="Normal 17 5 3 2" xfId="1142" xr:uid="{00000000-0005-0000-0000-0000F1030000}"/>
    <cellStyle name="Normal 17 5 3 2 2" xfId="1375" xr:uid="{00000000-0005-0000-0000-0000F2030000}"/>
    <cellStyle name="Normal 17 5 3 3" xfId="1259" xr:uid="{00000000-0005-0000-0000-0000F3030000}"/>
    <cellStyle name="Normal 17 5 3 4" xfId="1023" xr:uid="{00000000-0005-0000-0000-0000F4030000}"/>
    <cellStyle name="Normal 17 5 4" xfId="881" xr:uid="{00000000-0005-0000-0000-0000F5030000}"/>
    <cellStyle name="Normal 17 5 4 2" xfId="1323" xr:uid="{00000000-0005-0000-0000-0000F6030000}"/>
    <cellStyle name="Normal 17 5 4 3" xfId="1090" xr:uid="{00000000-0005-0000-0000-0000F7030000}"/>
    <cellStyle name="Normal 17 5 5" xfId="1207" xr:uid="{00000000-0005-0000-0000-0000F8030000}"/>
    <cellStyle name="Normal 17 5 6" xfId="970" xr:uid="{00000000-0005-0000-0000-0000F9030000}"/>
    <cellStyle name="Normal 17 6" xfId="643" xr:uid="{00000000-0005-0000-0000-0000FA030000}"/>
    <cellStyle name="Normal 17 6 2" xfId="822" xr:uid="{00000000-0005-0000-0000-0000FB030000}"/>
    <cellStyle name="Normal 17 6 2 2" xfId="1154" xr:uid="{00000000-0005-0000-0000-0000FC030000}"/>
    <cellStyle name="Normal 17 6 2 2 2" xfId="1387" xr:uid="{00000000-0005-0000-0000-0000FD030000}"/>
    <cellStyle name="Normal 17 6 2 3" xfId="1271" xr:uid="{00000000-0005-0000-0000-0000FE030000}"/>
    <cellStyle name="Normal 17 6 2 4" xfId="1035" xr:uid="{00000000-0005-0000-0000-0000FF030000}"/>
    <cellStyle name="Normal 17 6 3" xfId="893" xr:uid="{00000000-0005-0000-0000-000000040000}"/>
    <cellStyle name="Normal 17 6 3 2" xfId="1305" xr:uid="{00000000-0005-0000-0000-000001040000}"/>
    <cellStyle name="Normal 17 6 3 3" xfId="1072" xr:uid="{00000000-0005-0000-0000-000002040000}"/>
    <cellStyle name="Normal 17 6 4" xfId="1189" xr:uid="{00000000-0005-0000-0000-000003040000}"/>
    <cellStyle name="Normal 17 6 5" xfId="952" xr:uid="{00000000-0005-0000-0000-000004040000}"/>
    <cellStyle name="Normal 17 7" xfId="772" xr:uid="{00000000-0005-0000-0000-000005040000}"/>
    <cellStyle name="Normal 17 7 2" xfId="1098" xr:uid="{00000000-0005-0000-0000-000006040000}"/>
    <cellStyle name="Normal 17 7 2 2" xfId="1331" xr:uid="{00000000-0005-0000-0000-000007040000}"/>
    <cellStyle name="Normal 17 7 3" xfId="1215" xr:uid="{00000000-0005-0000-0000-000008040000}"/>
    <cellStyle name="Normal 17 7 4" xfId="978" xr:uid="{00000000-0005-0000-0000-000009040000}"/>
    <cellStyle name="Normal 17 8" xfId="862" xr:uid="{00000000-0005-0000-0000-00000A040000}"/>
    <cellStyle name="Normal 17 8 2" xfId="1124" xr:uid="{00000000-0005-0000-0000-00000B040000}"/>
    <cellStyle name="Normal 17 8 2 2" xfId="1357" xr:uid="{00000000-0005-0000-0000-00000C040000}"/>
    <cellStyle name="Normal 17 8 3" xfId="1241" xr:uid="{00000000-0005-0000-0000-00000D040000}"/>
    <cellStyle name="Normal 17 8 4" xfId="1005" xr:uid="{00000000-0005-0000-0000-00000E040000}"/>
    <cellStyle name="Normal 17 9" xfId="1065" xr:uid="{00000000-0005-0000-0000-00000F040000}"/>
    <cellStyle name="Normal 17 9 2" xfId="1300" xr:uid="{00000000-0005-0000-0000-000010040000}"/>
    <cellStyle name="Normal 18" xfId="518" xr:uid="{00000000-0005-0000-0000-000011040000}"/>
    <cellStyle name="Normal 19" xfId="519" xr:uid="{00000000-0005-0000-0000-000012040000}"/>
    <cellStyle name="Normal 19 2" xfId="604" xr:uid="{00000000-0005-0000-0000-000013040000}"/>
    <cellStyle name="Normal 19 3" xfId="593" xr:uid="{00000000-0005-0000-0000-000014040000}"/>
    <cellStyle name="Normal 2" xfId="520" xr:uid="{00000000-0005-0000-0000-000015040000}"/>
    <cellStyle name="Normal 2 2" xfId="605" xr:uid="{00000000-0005-0000-0000-000016040000}"/>
    <cellStyle name="Normal 2 2 2" xfId="621" xr:uid="{00000000-0005-0000-0000-000017040000}"/>
    <cellStyle name="Normal 2 2 2 2" xfId="658" xr:uid="{00000000-0005-0000-0000-000018040000}"/>
    <cellStyle name="Normal 2 2 2 2 2" xfId="837" xr:uid="{00000000-0005-0000-0000-000019040000}"/>
    <cellStyle name="Normal 2 2 2 2 2 2" xfId="1168" xr:uid="{00000000-0005-0000-0000-00001A040000}"/>
    <cellStyle name="Normal 2 2 2 2 2 2 2" xfId="1401" xr:uid="{00000000-0005-0000-0000-00001B040000}"/>
    <cellStyle name="Normal 2 2 2 2 2 3" xfId="1285" xr:uid="{00000000-0005-0000-0000-00001C040000}"/>
    <cellStyle name="Normal 2 2 2 2 2 4" xfId="1049" xr:uid="{00000000-0005-0000-0000-00001D040000}"/>
    <cellStyle name="Normal 2 2 2 2 3" xfId="907" xr:uid="{00000000-0005-0000-0000-00001E040000}"/>
    <cellStyle name="Normal 2 2 2 2 3 2" xfId="1345" xr:uid="{00000000-0005-0000-0000-00001F040000}"/>
    <cellStyle name="Normal 2 2 2 2 3 3" xfId="1112" xr:uid="{00000000-0005-0000-0000-000020040000}"/>
    <cellStyle name="Normal 2 2 2 2 4" xfId="1229" xr:uid="{00000000-0005-0000-0000-000021040000}"/>
    <cellStyle name="Normal 2 2 2 2 5" xfId="992" xr:uid="{00000000-0005-0000-0000-000022040000}"/>
    <cellStyle name="Normal 2 2 2 3" xfId="804" xr:uid="{00000000-0005-0000-0000-000023040000}"/>
    <cellStyle name="Normal 2 2 2 3 2" xfId="1138" xr:uid="{00000000-0005-0000-0000-000024040000}"/>
    <cellStyle name="Normal 2 2 2 3 2 2" xfId="1371" xr:uid="{00000000-0005-0000-0000-000025040000}"/>
    <cellStyle name="Normal 2 2 2 3 3" xfId="1255" xr:uid="{00000000-0005-0000-0000-000026040000}"/>
    <cellStyle name="Normal 2 2 2 3 4" xfId="1019" xr:uid="{00000000-0005-0000-0000-000027040000}"/>
    <cellStyle name="Normal 2 2 2 4" xfId="877" xr:uid="{00000000-0005-0000-0000-000028040000}"/>
    <cellStyle name="Normal 2 2 2 4 2" xfId="1319" xr:uid="{00000000-0005-0000-0000-000029040000}"/>
    <cellStyle name="Normal 2 2 2 4 3" xfId="1086" xr:uid="{00000000-0005-0000-0000-00002A040000}"/>
    <cellStyle name="Normal 2 2 2 5" xfId="1203" xr:uid="{00000000-0005-0000-0000-00002B040000}"/>
    <cellStyle name="Normal 2 2 2 6" xfId="966" xr:uid="{00000000-0005-0000-0000-00002C040000}"/>
    <cellStyle name="Normal 2 2 3" xfId="629" xr:uid="{00000000-0005-0000-0000-00002D040000}"/>
    <cellStyle name="Normal 2 2 3 2" xfId="666" xr:uid="{00000000-0005-0000-0000-00002E040000}"/>
    <cellStyle name="Normal 2 2 3 2 2" xfId="845" xr:uid="{00000000-0005-0000-0000-00002F040000}"/>
    <cellStyle name="Normal 2 2 3 2 2 2" xfId="1176" xr:uid="{00000000-0005-0000-0000-000030040000}"/>
    <cellStyle name="Normal 2 2 3 2 2 2 2" xfId="1409" xr:uid="{00000000-0005-0000-0000-000031040000}"/>
    <cellStyle name="Normal 2 2 3 2 2 3" xfId="1293" xr:uid="{00000000-0005-0000-0000-000032040000}"/>
    <cellStyle name="Normal 2 2 3 2 2 4" xfId="1057" xr:uid="{00000000-0005-0000-0000-000033040000}"/>
    <cellStyle name="Normal 2 2 3 2 3" xfId="915" xr:uid="{00000000-0005-0000-0000-000034040000}"/>
    <cellStyle name="Normal 2 2 3 2 3 2" xfId="1353" xr:uid="{00000000-0005-0000-0000-000035040000}"/>
    <cellStyle name="Normal 2 2 3 2 3 3" xfId="1120" xr:uid="{00000000-0005-0000-0000-000036040000}"/>
    <cellStyle name="Normal 2 2 3 2 4" xfId="1237" xr:uid="{00000000-0005-0000-0000-000037040000}"/>
    <cellStyle name="Normal 2 2 3 2 5" xfId="1000" xr:uid="{00000000-0005-0000-0000-000038040000}"/>
    <cellStyle name="Normal 2 2 3 3" xfId="812" xr:uid="{00000000-0005-0000-0000-000039040000}"/>
    <cellStyle name="Normal 2 2 3 3 2" xfId="1146" xr:uid="{00000000-0005-0000-0000-00003A040000}"/>
    <cellStyle name="Normal 2 2 3 3 2 2" xfId="1379" xr:uid="{00000000-0005-0000-0000-00003B040000}"/>
    <cellStyle name="Normal 2 2 3 3 3" xfId="1263" xr:uid="{00000000-0005-0000-0000-00003C040000}"/>
    <cellStyle name="Normal 2 2 3 3 4" xfId="1027" xr:uid="{00000000-0005-0000-0000-00003D040000}"/>
    <cellStyle name="Normal 2 2 3 4" xfId="885" xr:uid="{00000000-0005-0000-0000-00003E040000}"/>
    <cellStyle name="Normal 2 2 3 4 2" xfId="1327" xr:uid="{00000000-0005-0000-0000-00003F040000}"/>
    <cellStyle name="Normal 2 2 3 4 3" xfId="1094" xr:uid="{00000000-0005-0000-0000-000040040000}"/>
    <cellStyle name="Normal 2 2 3 5" xfId="1211" xr:uid="{00000000-0005-0000-0000-000041040000}"/>
    <cellStyle name="Normal 2 2 3 6" xfId="974" xr:uid="{00000000-0005-0000-0000-000042040000}"/>
    <cellStyle name="Normal 2 2 4" xfId="650" xr:uid="{00000000-0005-0000-0000-000043040000}"/>
    <cellStyle name="Normal 2 2 4 2" xfId="829" xr:uid="{00000000-0005-0000-0000-000044040000}"/>
    <cellStyle name="Normal 2 2 4 2 2" xfId="1160" xr:uid="{00000000-0005-0000-0000-000045040000}"/>
    <cellStyle name="Normal 2 2 4 2 2 2" xfId="1393" xr:uid="{00000000-0005-0000-0000-000046040000}"/>
    <cellStyle name="Normal 2 2 4 2 3" xfId="1277" xr:uid="{00000000-0005-0000-0000-000047040000}"/>
    <cellStyle name="Normal 2 2 4 2 4" xfId="1041" xr:uid="{00000000-0005-0000-0000-000048040000}"/>
    <cellStyle name="Normal 2 2 4 3" xfId="899" xr:uid="{00000000-0005-0000-0000-000049040000}"/>
    <cellStyle name="Normal 2 2 4 3 2" xfId="1311" xr:uid="{00000000-0005-0000-0000-00004A040000}"/>
    <cellStyle name="Normal 2 2 4 3 3" xfId="1078" xr:uid="{00000000-0005-0000-0000-00004B040000}"/>
    <cellStyle name="Normal 2 2 4 4" xfId="1195" xr:uid="{00000000-0005-0000-0000-00004C040000}"/>
    <cellStyle name="Normal 2 2 4 5" xfId="958" xr:uid="{00000000-0005-0000-0000-00004D040000}"/>
    <cellStyle name="Normal 2 2 5" xfId="793" xr:uid="{00000000-0005-0000-0000-00004E040000}"/>
    <cellStyle name="Normal 2 2 5 2" xfId="1104" xr:uid="{00000000-0005-0000-0000-00004F040000}"/>
    <cellStyle name="Normal 2 2 5 2 2" xfId="1337" xr:uid="{00000000-0005-0000-0000-000050040000}"/>
    <cellStyle name="Normal 2 2 5 3" xfId="1221" xr:uid="{00000000-0005-0000-0000-000051040000}"/>
    <cellStyle name="Normal 2 2 5 4" xfId="984" xr:uid="{00000000-0005-0000-0000-000052040000}"/>
    <cellStyle name="Normal 2 2 6" xfId="869" xr:uid="{00000000-0005-0000-0000-000053040000}"/>
    <cellStyle name="Normal 2 2 6 2" xfId="1130" xr:uid="{00000000-0005-0000-0000-000054040000}"/>
    <cellStyle name="Normal 2 2 6 2 2" xfId="1363" xr:uid="{00000000-0005-0000-0000-000055040000}"/>
    <cellStyle name="Normal 2 2 6 3" xfId="1247" xr:uid="{00000000-0005-0000-0000-000056040000}"/>
    <cellStyle name="Normal 2 2 6 4" xfId="1011" xr:uid="{00000000-0005-0000-0000-000057040000}"/>
    <cellStyle name="Normal 2 2 7" xfId="1068" xr:uid="{00000000-0005-0000-0000-000058040000}"/>
    <cellStyle name="Normal 2 2 7 2" xfId="1301" xr:uid="{00000000-0005-0000-0000-000059040000}"/>
    <cellStyle name="Normal 2 2 8" xfId="1185" xr:uid="{00000000-0005-0000-0000-00005A040000}"/>
    <cellStyle name="Normal 2 2 9" xfId="947" xr:uid="{00000000-0005-0000-0000-00005B040000}"/>
    <cellStyle name="Normal 2 3" xfId="636" xr:uid="{00000000-0005-0000-0000-00005C040000}"/>
    <cellStyle name="Normal 2 4" xfId="696" xr:uid="{00000000-0005-0000-0000-00005D040000}"/>
    <cellStyle name="Normal 20" xfId="521" xr:uid="{00000000-0005-0000-0000-00005E040000}"/>
    <cellStyle name="Normal 21" xfId="606" xr:uid="{00000000-0005-0000-0000-00005F040000}"/>
    <cellStyle name="Normal 22" xfId="632" xr:uid="{00000000-0005-0000-0000-000060040000}"/>
    <cellStyle name="Normal 22 2" xfId="640" xr:uid="{00000000-0005-0000-0000-000061040000}"/>
    <cellStyle name="Normal 22 3" xfId="815" xr:uid="{00000000-0005-0000-0000-000062040000}"/>
    <cellStyle name="Normal 22 3 2" xfId="1382" xr:uid="{00000000-0005-0000-0000-000063040000}"/>
    <cellStyle name="Normal 22 3 3" xfId="1149" xr:uid="{00000000-0005-0000-0000-000064040000}"/>
    <cellStyle name="Normal 22 4" xfId="888" xr:uid="{00000000-0005-0000-0000-000065040000}"/>
    <cellStyle name="Normal 22 4 2" xfId="1266" xr:uid="{00000000-0005-0000-0000-000066040000}"/>
    <cellStyle name="Normal 22 5" xfId="1030" xr:uid="{00000000-0005-0000-0000-000067040000}"/>
    <cellStyle name="Normal 23" xfId="637" xr:uid="{00000000-0005-0000-0000-000068040000}"/>
    <cellStyle name="Normal 23 2" xfId="818" xr:uid="{00000000-0005-0000-0000-000069040000}"/>
    <cellStyle name="Normal 23 2 2" xfId="1383" xr:uid="{00000000-0005-0000-0000-00006A040000}"/>
    <cellStyle name="Normal 23 2 3" xfId="1150" xr:uid="{00000000-0005-0000-0000-00006B040000}"/>
    <cellStyle name="Normal 23 3" xfId="889" xr:uid="{00000000-0005-0000-0000-00006C040000}"/>
    <cellStyle name="Normal 23 3 2" xfId="1267" xr:uid="{00000000-0005-0000-0000-00006D040000}"/>
    <cellStyle name="Normal 23 4" xfId="1031" xr:uid="{00000000-0005-0000-0000-00006E040000}"/>
    <cellStyle name="Normal 24" xfId="848" xr:uid="{00000000-0005-0000-0000-00006F040000}"/>
    <cellStyle name="Normal 24 2" xfId="1062" xr:uid="{00000000-0005-0000-0000-000070040000}"/>
    <cellStyle name="Normal 25" xfId="859" xr:uid="{00000000-0005-0000-0000-000071040000}"/>
    <cellStyle name="Normal 25 2" xfId="1298" xr:uid="{00000000-0005-0000-0000-000072040000}"/>
    <cellStyle name="Normal 25 3" xfId="1061" xr:uid="{00000000-0005-0000-0000-000073040000}"/>
    <cellStyle name="Normal 26" xfId="849" xr:uid="{00000000-0005-0000-0000-000074040000}"/>
    <cellStyle name="Normal 26 2" xfId="1180" xr:uid="{00000000-0005-0000-0000-000075040000}"/>
    <cellStyle name="Normal 27" xfId="855" xr:uid="{00000000-0005-0000-0000-000076040000}"/>
    <cellStyle name="Normal 28" xfId="860" xr:uid="{00000000-0005-0000-0000-000077040000}"/>
    <cellStyle name="Normal 29" xfId="930" xr:uid="{00000000-0005-0000-0000-000078040000}"/>
    <cellStyle name="Normal 3" xfId="522" xr:uid="{00000000-0005-0000-0000-000079040000}"/>
    <cellStyle name="Normal 3 2" xfId="607" xr:uid="{00000000-0005-0000-0000-00007A040000}"/>
    <cellStyle name="Normal 3 3" xfId="608" xr:uid="{00000000-0005-0000-0000-00007B040000}"/>
    <cellStyle name="Normal 3 3 2" xfId="601" xr:uid="{00000000-0005-0000-0000-00007C040000}"/>
    <cellStyle name="Normal 3 4" xfId="633" xr:uid="{00000000-0005-0000-0000-00007D040000}"/>
    <cellStyle name="Normal 3 4 2" xfId="816" xr:uid="{00000000-0005-0000-0000-00007E040000}"/>
    <cellStyle name="Normal 3 5" xfId="700" xr:uid="{00000000-0005-0000-0000-00007F040000}"/>
    <cellStyle name="Normal 3 6" xfId="923" xr:uid="{00000000-0005-0000-0000-000080040000}"/>
    <cellStyle name="Normal 30" xfId="926" xr:uid="{00000000-0005-0000-0000-000081040000}"/>
    <cellStyle name="Normal 31" xfId="1413" xr:uid="{00000000-0005-0000-0000-000082040000}"/>
    <cellStyle name="Normal 32" xfId="924" xr:uid="{00000000-0005-0000-0000-000083040000}"/>
    <cellStyle name="Normal 33" xfId="928" xr:uid="{00000000-0005-0000-0000-000084040000}"/>
    <cellStyle name="Normal 34" xfId="938" xr:uid="{00000000-0005-0000-0000-000085040000}"/>
    <cellStyle name="Normal 35" xfId="1422" xr:uid="{00000000-0005-0000-0000-000086040000}"/>
    <cellStyle name="Normal 36" xfId="1424" xr:uid="{00000000-0005-0000-0000-000087040000}"/>
    <cellStyle name="Normal 37" xfId="1426" xr:uid="{00000000-0005-0000-0000-000088040000}"/>
    <cellStyle name="Normal 38" xfId="1428" xr:uid="{00000000-0005-0000-0000-000089040000}"/>
    <cellStyle name="Normal 39" xfId="1430" xr:uid="{00000000-0005-0000-0000-00008A040000}"/>
    <cellStyle name="Normal 4" xfId="523" xr:uid="{00000000-0005-0000-0000-00008B040000}"/>
    <cellStyle name="Normal 4 2" xfId="609" xr:uid="{00000000-0005-0000-0000-00008C040000}"/>
    <cellStyle name="Normal 4 3" xfId="739" xr:uid="{00000000-0005-0000-0000-00008D040000}"/>
    <cellStyle name="Normal 40" xfId="1432" xr:uid="{00000000-0005-0000-0000-00008E040000}"/>
    <cellStyle name="Normal 41" xfId="1434" xr:uid="{00000000-0005-0000-0000-00008F040000}"/>
    <cellStyle name="Normal 42" xfId="1436" xr:uid="{00000000-0005-0000-0000-000090040000}"/>
    <cellStyle name="Normal 43" xfId="1438" xr:uid="{00000000-0005-0000-0000-000091040000}"/>
    <cellStyle name="Normal 44" xfId="1440" xr:uid="{00000000-0005-0000-0000-000092040000}"/>
    <cellStyle name="Normal 45" xfId="1442" xr:uid="{00000000-0005-0000-0000-000093040000}"/>
    <cellStyle name="Normal 46" xfId="1444" xr:uid="{00000000-0005-0000-0000-000094040000}"/>
    <cellStyle name="Normal 5" xfId="524" xr:uid="{00000000-0005-0000-0000-000095040000}"/>
    <cellStyle name="Normal 5 2" xfId="767" xr:uid="{00000000-0005-0000-0000-000096040000}"/>
    <cellStyle name="Normal 5 2 2" xfId="1446" xr:uid="{00000000-0005-0000-0000-000097040000}"/>
    <cellStyle name="Normal 5 3" xfId="741" xr:uid="{00000000-0005-0000-0000-000098040000}"/>
    <cellStyle name="Normal 6" xfId="525" xr:uid="{00000000-0005-0000-0000-000099040000}"/>
    <cellStyle name="Normal 6 2" xfId="744" xr:uid="{00000000-0005-0000-0000-00009A040000}"/>
    <cellStyle name="Normal 7" xfId="526" xr:uid="{00000000-0005-0000-0000-00009B040000}"/>
    <cellStyle name="Normal 8" xfId="527" xr:uid="{00000000-0005-0000-0000-00009C040000}"/>
    <cellStyle name="Normal 9" xfId="528" xr:uid="{00000000-0005-0000-0000-00009D040000}"/>
    <cellStyle name="Note 10" xfId="529" xr:uid="{00000000-0005-0000-0000-00009E040000}"/>
    <cellStyle name="Note 11" xfId="530" xr:uid="{00000000-0005-0000-0000-00009F040000}"/>
    <cellStyle name="Note 12" xfId="531" xr:uid="{00000000-0005-0000-0000-0000A0040000}"/>
    <cellStyle name="Note 13" xfId="532" xr:uid="{00000000-0005-0000-0000-0000A1040000}"/>
    <cellStyle name="Note 14" xfId="533" xr:uid="{00000000-0005-0000-0000-0000A2040000}"/>
    <cellStyle name="Note 15" xfId="534" xr:uid="{00000000-0005-0000-0000-0000A3040000}"/>
    <cellStyle name="Note 16" xfId="777" xr:uid="{00000000-0005-0000-0000-0000A4040000}"/>
    <cellStyle name="Note 2" xfId="535" xr:uid="{00000000-0005-0000-0000-0000A5040000}"/>
    <cellStyle name="Note 2 2" xfId="712" xr:uid="{00000000-0005-0000-0000-0000A6040000}"/>
    <cellStyle name="Note 3" xfId="536" xr:uid="{00000000-0005-0000-0000-0000A7040000}"/>
    <cellStyle name="Note 4" xfId="537" xr:uid="{00000000-0005-0000-0000-0000A8040000}"/>
    <cellStyle name="Note 5" xfId="538" xr:uid="{00000000-0005-0000-0000-0000A9040000}"/>
    <cellStyle name="Note 6" xfId="539" xr:uid="{00000000-0005-0000-0000-0000AA040000}"/>
    <cellStyle name="Note 7" xfId="540" xr:uid="{00000000-0005-0000-0000-0000AB040000}"/>
    <cellStyle name="Note 8" xfId="541" xr:uid="{00000000-0005-0000-0000-0000AC040000}"/>
    <cellStyle name="Note 9" xfId="542" xr:uid="{00000000-0005-0000-0000-0000AD040000}"/>
    <cellStyle name="Output 10" xfId="543" xr:uid="{00000000-0005-0000-0000-0000AE040000}"/>
    <cellStyle name="Output 11" xfId="544" xr:uid="{00000000-0005-0000-0000-0000AF040000}"/>
    <cellStyle name="Output 12" xfId="545" xr:uid="{00000000-0005-0000-0000-0000B0040000}"/>
    <cellStyle name="Output 13" xfId="546" xr:uid="{00000000-0005-0000-0000-0000B1040000}"/>
    <cellStyle name="Output 14" xfId="547" xr:uid="{00000000-0005-0000-0000-0000B2040000}"/>
    <cellStyle name="Output 15" xfId="548" xr:uid="{00000000-0005-0000-0000-0000B3040000}"/>
    <cellStyle name="Output 16" xfId="774" xr:uid="{00000000-0005-0000-0000-0000B4040000}"/>
    <cellStyle name="Output 2" xfId="549" xr:uid="{00000000-0005-0000-0000-0000B5040000}"/>
    <cellStyle name="Output 2 2" xfId="707" xr:uid="{00000000-0005-0000-0000-0000B6040000}"/>
    <cellStyle name="Output 3" xfId="550" xr:uid="{00000000-0005-0000-0000-0000B7040000}"/>
    <cellStyle name="Output 4" xfId="551" xr:uid="{00000000-0005-0000-0000-0000B8040000}"/>
    <cellStyle name="Output 5" xfId="552" xr:uid="{00000000-0005-0000-0000-0000B9040000}"/>
    <cellStyle name="Output 6" xfId="553" xr:uid="{00000000-0005-0000-0000-0000BA040000}"/>
    <cellStyle name="Output 7" xfId="554" xr:uid="{00000000-0005-0000-0000-0000BB040000}"/>
    <cellStyle name="Output 8" xfId="555" xr:uid="{00000000-0005-0000-0000-0000BC040000}"/>
    <cellStyle name="Output 9" xfId="556" xr:uid="{00000000-0005-0000-0000-0000BD040000}"/>
    <cellStyle name="Percent" xfId="557" builtinId="5"/>
    <cellStyle name="Percent [2]" xfId="766" xr:uid="{00000000-0005-0000-0000-0000BF040000}"/>
    <cellStyle name="Percent 10" xfId="856" xr:uid="{00000000-0005-0000-0000-0000C0040000}"/>
    <cellStyle name="Percent 11" xfId="863" xr:uid="{00000000-0005-0000-0000-0000C1040000}"/>
    <cellStyle name="Percent 12" xfId="941" xr:uid="{00000000-0005-0000-0000-0000C2040000}"/>
    <cellStyle name="Percent 13" xfId="925" xr:uid="{00000000-0005-0000-0000-0000C3040000}"/>
    <cellStyle name="Percent 14" xfId="929" xr:uid="{00000000-0005-0000-0000-0000C4040000}"/>
    <cellStyle name="Percent 15" xfId="918" xr:uid="{00000000-0005-0000-0000-0000C5040000}"/>
    <cellStyle name="Percent 16" xfId="1414" xr:uid="{00000000-0005-0000-0000-0000C6040000}"/>
    <cellStyle name="Percent 17" xfId="934" xr:uid="{00000000-0005-0000-0000-0000C7040000}"/>
    <cellStyle name="Percent 18" xfId="943" xr:uid="{00000000-0005-0000-0000-0000C8040000}"/>
    <cellStyle name="Percent 19" xfId="920" xr:uid="{00000000-0005-0000-0000-0000C9040000}"/>
    <cellStyle name="Percent 2" xfId="558" xr:uid="{00000000-0005-0000-0000-0000CA040000}"/>
    <cellStyle name="Percent 2 2" xfId="610" xr:uid="{00000000-0005-0000-0000-0000CB040000}"/>
    <cellStyle name="Percent 2 2 2" xfId="622" xr:uid="{00000000-0005-0000-0000-0000CC040000}"/>
    <cellStyle name="Percent 2 2 2 2" xfId="659" xr:uid="{00000000-0005-0000-0000-0000CD040000}"/>
    <cellStyle name="Percent 2 2 2 2 2" xfId="838" xr:uid="{00000000-0005-0000-0000-0000CE040000}"/>
    <cellStyle name="Percent 2 2 2 2 2 2" xfId="1169" xr:uid="{00000000-0005-0000-0000-0000CF040000}"/>
    <cellStyle name="Percent 2 2 2 2 2 2 2" xfId="1402" xr:uid="{00000000-0005-0000-0000-0000D0040000}"/>
    <cellStyle name="Percent 2 2 2 2 2 3" xfId="1286" xr:uid="{00000000-0005-0000-0000-0000D1040000}"/>
    <cellStyle name="Percent 2 2 2 2 2 4" xfId="1050" xr:uid="{00000000-0005-0000-0000-0000D2040000}"/>
    <cellStyle name="Percent 2 2 2 2 3" xfId="908" xr:uid="{00000000-0005-0000-0000-0000D3040000}"/>
    <cellStyle name="Percent 2 2 2 2 3 2" xfId="1346" xr:uid="{00000000-0005-0000-0000-0000D4040000}"/>
    <cellStyle name="Percent 2 2 2 2 3 3" xfId="1113" xr:uid="{00000000-0005-0000-0000-0000D5040000}"/>
    <cellStyle name="Percent 2 2 2 2 4" xfId="1230" xr:uid="{00000000-0005-0000-0000-0000D6040000}"/>
    <cellStyle name="Percent 2 2 2 2 5" xfId="993" xr:uid="{00000000-0005-0000-0000-0000D7040000}"/>
    <cellStyle name="Percent 2 2 2 3" xfId="805" xr:uid="{00000000-0005-0000-0000-0000D8040000}"/>
    <cellStyle name="Percent 2 2 2 3 2" xfId="1139" xr:uid="{00000000-0005-0000-0000-0000D9040000}"/>
    <cellStyle name="Percent 2 2 2 3 2 2" xfId="1372" xr:uid="{00000000-0005-0000-0000-0000DA040000}"/>
    <cellStyle name="Percent 2 2 2 3 3" xfId="1256" xr:uid="{00000000-0005-0000-0000-0000DB040000}"/>
    <cellStyle name="Percent 2 2 2 3 4" xfId="1020" xr:uid="{00000000-0005-0000-0000-0000DC040000}"/>
    <cellStyle name="Percent 2 2 2 4" xfId="878" xr:uid="{00000000-0005-0000-0000-0000DD040000}"/>
    <cellStyle name="Percent 2 2 2 4 2" xfId="1320" xr:uid="{00000000-0005-0000-0000-0000DE040000}"/>
    <cellStyle name="Percent 2 2 2 4 3" xfId="1087" xr:uid="{00000000-0005-0000-0000-0000DF040000}"/>
    <cellStyle name="Percent 2 2 2 5" xfId="1204" xr:uid="{00000000-0005-0000-0000-0000E0040000}"/>
    <cellStyle name="Percent 2 2 2 6" xfId="967" xr:uid="{00000000-0005-0000-0000-0000E1040000}"/>
    <cellStyle name="Percent 2 2 3" xfId="630" xr:uid="{00000000-0005-0000-0000-0000E2040000}"/>
    <cellStyle name="Percent 2 2 3 2" xfId="667" xr:uid="{00000000-0005-0000-0000-0000E3040000}"/>
    <cellStyle name="Percent 2 2 3 2 2" xfId="846" xr:uid="{00000000-0005-0000-0000-0000E4040000}"/>
    <cellStyle name="Percent 2 2 3 2 2 2" xfId="1177" xr:uid="{00000000-0005-0000-0000-0000E5040000}"/>
    <cellStyle name="Percent 2 2 3 2 2 2 2" xfId="1410" xr:uid="{00000000-0005-0000-0000-0000E6040000}"/>
    <cellStyle name="Percent 2 2 3 2 2 3" xfId="1294" xr:uid="{00000000-0005-0000-0000-0000E7040000}"/>
    <cellStyle name="Percent 2 2 3 2 2 4" xfId="1058" xr:uid="{00000000-0005-0000-0000-0000E8040000}"/>
    <cellStyle name="Percent 2 2 3 2 3" xfId="916" xr:uid="{00000000-0005-0000-0000-0000E9040000}"/>
    <cellStyle name="Percent 2 2 3 2 3 2" xfId="1354" xr:uid="{00000000-0005-0000-0000-0000EA040000}"/>
    <cellStyle name="Percent 2 2 3 2 3 3" xfId="1121" xr:uid="{00000000-0005-0000-0000-0000EB040000}"/>
    <cellStyle name="Percent 2 2 3 2 4" xfId="1238" xr:uid="{00000000-0005-0000-0000-0000EC040000}"/>
    <cellStyle name="Percent 2 2 3 2 5" xfId="1001" xr:uid="{00000000-0005-0000-0000-0000ED040000}"/>
    <cellStyle name="Percent 2 2 3 3" xfId="813" xr:uid="{00000000-0005-0000-0000-0000EE040000}"/>
    <cellStyle name="Percent 2 2 3 3 2" xfId="1147" xr:uid="{00000000-0005-0000-0000-0000EF040000}"/>
    <cellStyle name="Percent 2 2 3 3 2 2" xfId="1380" xr:uid="{00000000-0005-0000-0000-0000F0040000}"/>
    <cellStyle name="Percent 2 2 3 3 3" xfId="1264" xr:uid="{00000000-0005-0000-0000-0000F1040000}"/>
    <cellStyle name="Percent 2 2 3 3 4" xfId="1028" xr:uid="{00000000-0005-0000-0000-0000F2040000}"/>
    <cellStyle name="Percent 2 2 3 4" xfId="886" xr:uid="{00000000-0005-0000-0000-0000F3040000}"/>
    <cellStyle name="Percent 2 2 3 4 2" xfId="1328" xr:uid="{00000000-0005-0000-0000-0000F4040000}"/>
    <cellStyle name="Percent 2 2 3 4 3" xfId="1095" xr:uid="{00000000-0005-0000-0000-0000F5040000}"/>
    <cellStyle name="Percent 2 2 3 5" xfId="1212" xr:uid="{00000000-0005-0000-0000-0000F6040000}"/>
    <cellStyle name="Percent 2 2 3 6" xfId="975" xr:uid="{00000000-0005-0000-0000-0000F7040000}"/>
    <cellStyle name="Percent 2 2 4" xfId="651" xr:uid="{00000000-0005-0000-0000-0000F8040000}"/>
    <cellStyle name="Percent 2 2 4 2" xfId="830" xr:uid="{00000000-0005-0000-0000-0000F9040000}"/>
    <cellStyle name="Percent 2 2 4 2 2" xfId="1161" xr:uid="{00000000-0005-0000-0000-0000FA040000}"/>
    <cellStyle name="Percent 2 2 4 2 2 2" xfId="1394" xr:uid="{00000000-0005-0000-0000-0000FB040000}"/>
    <cellStyle name="Percent 2 2 4 2 3" xfId="1278" xr:uid="{00000000-0005-0000-0000-0000FC040000}"/>
    <cellStyle name="Percent 2 2 4 2 4" xfId="1042" xr:uid="{00000000-0005-0000-0000-0000FD040000}"/>
    <cellStyle name="Percent 2 2 4 3" xfId="900" xr:uid="{00000000-0005-0000-0000-0000FE040000}"/>
    <cellStyle name="Percent 2 2 4 3 2" xfId="1338" xr:uid="{00000000-0005-0000-0000-0000FF040000}"/>
    <cellStyle name="Percent 2 2 4 3 3" xfId="1105" xr:uid="{00000000-0005-0000-0000-000000050000}"/>
    <cellStyle name="Percent 2 2 4 4" xfId="1222" xr:uid="{00000000-0005-0000-0000-000001050000}"/>
    <cellStyle name="Percent 2 2 4 5" xfId="985" xr:uid="{00000000-0005-0000-0000-000002050000}"/>
    <cellStyle name="Percent 2 2 5" xfId="797" xr:uid="{00000000-0005-0000-0000-000003050000}"/>
    <cellStyle name="Percent 2 2 5 2" xfId="1131" xr:uid="{00000000-0005-0000-0000-000004050000}"/>
    <cellStyle name="Percent 2 2 5 2 2" xfId="1364" xr:uid="{00000000-0005-0000-0000-000005050000}"/>
    <cellStyle name="Percent 2 2 5 3" xfId="1248" xr:uid="{00000000-0005-0000-0000-000006050000}"/>
    <cellStyle name="Percent 2 2 5 4" xfId="1012" xr:uid="{00000000-0005-0000-0000-000007050000}"/>
    <cellStyle name="Percent 2 2 6" xfId="870" xr:uid="{00000000-0005-0000-0000-000008050000}"/>
    <cellStyle name="Percent 2 2 6 2" xfId="1312" xr:uid="{00000000-0005-0000-0000-000009050000}"/>
    <cellStyle name="Percent 2 2 6 3" xfId="1079" xr:uid="{00000000-0005-0000-0000-00000A050000}"/>
    <cellStyle name="Percent 2 2 7" xfId="1196" xr:uid="{00000000-0005-0000-0000-00000B050000}"/>
    <cellStyle name="Percent 2 2 8" xfId="959" xr:uid="{00000000-0005-0000-0000-00000C050000}"/>
    <cellStyle name="Percent 2 3" xfId="615" xr:uid="{00000000-0005-0000-0000-00000D050000}"/>
    <cellStyle name="Percent 2 3 2" xfId="623" xr:uid="{00000000-0005-0000-0000-00000E050000}"/>
    <cellStyle name="Percent 2 3 2 2" xfId="660" xr:uid="{00000000-0005-0000-0000-00000F050000}"/>
    <cellStyle name="Percent 2 3 2 2 2" xfId="839" xr:uid="{00000000-0005-0000-0000-000010050000}"/>
    <cellStyle name="Percent 2 3 2 2 2 2" xfId="1170" xr:uid="{00000000-0005-0000-0000-000011050000}"/>
    <cellStyle name="Percent 2 3 2 2 2 2 2" xfId="1403" xr:uid="{00000000-0005-0000-0000-000012050000}"/>
    <cellStyle name="Percent 2 3 2 2 2 3" xfId="1287" xr:uid="{00000000-0005-0000-0000-000013050000}"/>
    <cellStyle name="Percent 2 3 2 2 2 4" xfId="1051" xr:uid="{00000000-0005-0000-0000-000014050000}"/>
    <cellStyle name="Percent 2 3 2 2 3" xfId="909" xr:uid="{00000000-0005-0000-0000-000015050000}"/>
    <cellStyle name="Percent 2 3 2 2 3 2" xfId="1347" xr:uid="{00000000-0005-0000-0000-000016050000}"/>
    <cellStyle name="Percent 2 3 2 2 3 3" xfId="1114" xr:uid="{00000000-0005-0000-0000-000017050000}"/>
    <cellStyle name="Percent 2 3 2 2 4" xfId="1231" xr:uid="{00000000-0005-0000-0000-000018050000}"/>
    <cellStyle name="Percent 2 3 2 2 5" xfId="994" xr:uid="{00000000-0005-0000-0000-000019050000}"/>
    <cellStyle name="Percent 2 3 2 3" xfId="806" xr:uid="{00000000-0005-0000-0000-00001A050000}"/>
    <cellStyle name="Percent 2 3 2 3 2" xfId="1140" xr:uid="{00000000-0005-0000-0000-00001B050000}"/>
    <cellStyle name="Percent 2 3 2 3 2 2" xfId="1373" xr:uid="{00000000-0005-0000-0000-00001C050000}"/>
    <cellStyle name="Percent 2 3 2 3 3" xfId="1257" xr:uid="{00000000-0005-0000-0000-00001D050000}"/>
    <cellStyle name="Percent 2 3 2 3 4" xfId="1021" xr:uid="{00000000-0005-0000-0000-00001E050000}"/>
    <cellStyle name="Percent 2 3 2 4" xfId="879" xr:uid="{00000000-0005-0000-0000-00001F050000}"/>
    <cellStyle name="Percent 2 3 2 4 2" xfId="1321" xr:uid="{00000000-0005-0000-0000-000020050000}"/>
    <cellStyle name="Percent 2 3 2 4 3" xfId="1088" xr:uid="{00000000-0005-0000-0000-000021050000}"/>
    <cellStyle name="Percent 2 3 2 5" xfId="1205" xr:uid="{00000000-0005-0000-0000-000022050000}"/>
    <cellStyle name="Percent 2 3 2 6" xfId="968" xr:uid="{00000000-0005-0000-0000-000023050000}"/>
    <cellStyle name="Percent 2 3 3" xfId="631" xr:uid="{00000000-0005-0000-0000-000024050000}"/>
    <cellStyle name="Percent 2 3 3 2" xfId="668" xr:uid="{00000000-0005-0000-0000-000025050000}"/>
    <cellStyle name="Percent 2 3 3 2 2" xfId="847" xr:uid="{00000000-0005-0000-0000-000026050000}"/>
    <cellStyle name="Percent 2 3 3 2 2 2" xfId="1178" xr:uid="{00000000-0005-0000-0000-000027050000}"/>
    <cellStyle name="Percent 2 3 3 2 2 2 2" xfId="1411" xr:uid="{00000000-0005-0000-0000-000028050000}"/>
    <cellStyle name="Percent 2 3 3 2 2 3" xfId="1295" xr:uid="{00000000-0005-0000-0000-000029050000}"/>
    <cellStyle name="Percent 2 3 3 2 2 4" xfId="1059" xr:uid="{00000000-0005-0000-0000-00002A050000}"/>
    <cellStyle name="Percent 2 3 3 2 3" xfId="917" xr:uid="{00000000-0005-0000-0000-00002B050000}"/>
    <cellStyle name="Percent 2 3 3 2 3 2" xfId="1355" xr:uid="{00000000-0005-0000-0000-00002C050000}"/>
    <cellStyle name="Percent 2 3 3 2 3 3" xfId="1122" xr:uid="{00000000-0005-0000-0000-00002D050000}"/>
    <cellStyle name="Percent 2 3 3 2 4" xfId="1239" xr:uid="{00000000-0005-0000-0000-00002E050000}"/>
    <cellStyle name="Percent 2 3 3 2 5" xfId="1002" xr:uid="{00000000-0005-0000-0000-00002F050000}"/>
    <cellStyle name="Percent 2 3 3 3" xfId="814" xr:uid="{00000000-0005-0000-0000-000030050000}"/>
    <cellStyle name="Percent 2 3 3 3 2" xfId="1148" xr:uid="{00000000-0005-0000-0000-000031050000}"/>
    <cellStyle name="Percent 2 3 3 3 2 2" xfId="1381" xr:uid="{00000000-0005-0000-0000-000032050000}"/>
    <cellStyle name="Percent 2 3 3 3 3" xfId="1265" xr:uid="{00000000-0005-0000-0000-000033050000}"/>
    <cellStyle name="Percent 2 3 3 3 4" xfId="1029" xr:uid="{00000000-0005-0000-0000-000034050000}"/>
    <cellStyle name="Percent 2 3 3 4" xfId="887" xr:uid="{00000000-0005-0000-0000-000035050000}"/>
    <cellStyle name="Percent 2 3 3 4 2" xfId="1329" xr:uid="{00000000-0005-0000-0000-000036050000}"/>
    <cellStyle name="Percent 2 3 3 4 3" xfId="1096" xr:uid="{00000000-0005-0000-0000-000037050000}"/>
    <cellStyle name="Percent 2 3 3 5" xfId="1213" xr:uid="{00000000-0005-0000-0000-000038050000}"/>
    <cellStyle name="Percent 2 3 3 6" xfId="976" xr:uid="{00000000-0005-0000-0000-000039050000}"/>
    <cellStyle name="Percent 2 3 4" xfId="652" xr:uid="{00000000-0005-0000-0000-00003A050000}"/>
    <cellStyle name="Percent 2 3 4 2" xfId="831" xr:uid="{00000000-0005-0000-0000-00003B050000}"/>
    <cellStyle name="Percent 2 3 4 2 2" xfId="1162" xr:uid="{00000000-0005-0000-0000-00003C050000}"/>
    <cellStyle name="Percent 2 3 4 2 2 2" xfId="1395" xr:uid="{00000000-0005-0000-0000-00003D050000}"/>
    <cellStyle name="Percent 2 3 4 2 3" xfId="1279" xr:uid="{00000000-0005-0000-0000-00003E050000}"/>
    <cellStyle name="Percent 2 3 4 2 4" xfId="1043" xr:uid="{00000000-0005-0000-0000-00003F050000}"/>
    <cellStyle name="Percent 2 3 4 3" xfId="901" xr:uid="{00000000-0005-0000-0000-000040050000}"/>
    <cellStyle name="Percent 2 3 4 3 2" xfId="1339" xr:uid="{00000000-0005-0000-0000-000041050000}"/>
    <cellStyle name="Percent 2 3 4 3 3" xfId="1106" xr:uid="{00000000-0005-0000-0000-000042050000}"/>
    <cellStyle name="Percent 2 3 4 4" xfId="1223" xr:uid="{00000000-0005-0000-0000-000043050000}"/>
    <cellStyle name="Percent 2 3 4 5" xfId="986" xr:uid="{00000000-0005-0000-0000-000044050000}"/>
    <cellStyle name="Percent 2 3 5" xfId="798" xr:uid="{00000000-0005-0000-0000-000045050000}"/>
    <cellStyle name="Percent 2 3 5 2" xfId="1132" xr:uid="{00000000-0005-0000-0000-000046050000}"/>
    <cellStyle name="Percent 2 3 5 2 2" xfId="1365" xr:uid="{00000000-0005-0000-0000-000047050000}"/>
    <cellStyle name="Percent 2 3 5 3" xfId="1249" xr:uid="{00000000-0005-0000-0000-000048050000}"/>
    <cellStyle name="Percent 2 3 5 4" xfId="1013" xr:uid="{00000000-0005-0000-0000-000049050000}"/>
    <cellStyle name="Percent 2 3 6" xfId="871" xr:uid="{00000000-0005-0000-0000-00004A050000}"/>
    <cellStyle name="Percent 2 3 6 2" xfId="1313" xr:uid="{00000000-0005-0000-0000-00004B050000}"/>
    <cellStyle name="Percent 2 3 6 3" xfId="1080" xr:uid="{00000000-0005-0000-0000-00004C050000}"/>
    <cellStyle name="Percent 2 3 7" xfId="1197" xr:uid="{00000000-0005-0000-0000-00004D050000}"/>
    <cellStyle name="Percent 2 3 8" xfId="960" xr:uid="{00000000-0005-0000-0000-00004E050000}"/>
    <cellStyle name="Percent 2 4" xfId="1415" xr:uid="{00000000-0005-0000-0000-00004F050000}"/>
    <cellStyle name="Percent 20" xfId="919" xr:uid="{00000000-0005-0000-0000-000050050000}"/>
    <cellStyle name="Percent 21" xfId="921" xr:uid="{00000000-0005-0000-0000-000051050000}"/>
    <cellStyle name="Percent 22" xfId="932" xr:uid="{00000000-0005-0000-0000-000052050000}"/>
    <cellStyle name="Percent 23" xfId="1416" xr:uid="{00000000-0005-0000-0000-000053050000}"/>
    <cellStyle name="Percent 24" xfId="935" xr:uid="{00000000-0005-0000-0000-000054050000}"/>
    <cellStyle name="Percent 25" xfId="1418" xr:uid="{00000000-0005-0000-0000-000055050000}"/>
    <cellStyle name="Percent 26" xfId="945" xr:uid="{00000000-0005-0000-0000-000056050000}"/>
    <cellStyle name="Percent 27" xfId="922" xr:uid="{00000000-0005-0000-0000-000057050000}"/>
    <cellStyle name="Percent 28" xfId="931" xr:uid="{00000000-0005-0000-0000-000058050000}"/>
    <cellStyle name="Percent 29" xfId="1420" xr:uid="{00000000-0005-0000-0000-000059050000}"/>
    <cellStyle name="Percent 3" xfId="559" xr:uid="{00000000-0005-0000-0000-00005A050000}"/>
    <cellStyle name="Percent 3 2" xfId="611" xr:uid="{00000000-0005-0000-0000-00005B050000}"/>
    <cellStyle name="Percent 3 2 2" xfId="769" xr:uid="{00000000-0005-0000-0000-00005C050000}"/>
    <cellStyle name="Percent 3 3" xfId="635" xr:uid="{00000000-0005-0000-0000-00005D050000}"/>
    <cellStyle name="Percent 3 4" xfId="743" xr:uid="{00000000-0005-0000-0000-00005E050000}"/>
    <cellStyle name="Percent 30" xfId="942" xr:uid="{00000000-0005-0000-0000-00005F050000}"/>
    <cellStyle name="Percent 31" xfId="944" xr:uid="{00000000-0005-0000-0000-000060050000}"/>
    <cellStyle name="Percent 32" xfId="933" xr:uid="{00000000-0005-0000-0000-000061050000}"/>
    <cellStyle name="Percent 33" xfId="1419" xr:uid="{00000000-0005-0000-0000-000062050000}"/>
    <cellStyle name="Percent 34" xfId="927" xr:uid="{00000000-0005-0000-0000-000063050000}"/>
    <cellStyle name="Percent 35" xfId="1417" xr:uid="{00000000-0005-0000-0000-000064050000}"/>
    <cellStyle name="Percent 36" xfId="1421" xr:uid="{00000000-0005-0000-0000-000065050000}"/>
    <cellStyle name="Percent 37" xfId="1423" xr:uid="{00000000-0005-0000-0000-000066050000}"/>
    <cellStyle name="Percent 38" xfId="1425" xr:uid="{00000000-0005-0000-0000-000067050000}"/>
    <cellStyle name="Percent 39" xfId="1427" xr:uid="{00000000-0005-0000-0000-000068050000}"/>
    <cellStyle name="Percent 4" xfId="612" xr:uid="{00000000-0005-0000-0000-000069050000}"/>
    <cellStyle name="Percent 4 2" xfId="788" xr:uid="{00000000-0005-0000-0000-00006A050000}"/>
    <cellStyle name="Percent 40" xfId="1429" xr:uid="{00000000-0005-0000-0000-00006B050000}"/>
    <cellStyle name="Percent 41" xfId="1431" xr:uid="{00000000-0005-0000-0000-00006C050000}"/>
    <cellStyle name="Percent 42" xfId="1433" xr:uid="{00000000-0005-0000-0000-00006D050000}"/>
    <cellStyle name="Percent 43" xfId="1435" xr:uid="{00000000-0005-0000-0000-00006E050000}"/>
    <cellStyle name="Percent 44" xfId="1437" xr:uid="{00000000-0005-0000-0000-00006F050000}"/>
    <cellStyle name="Percent 45" xfId="1439" xr:uid="{00000000-0005-0000-0000-000070050000}"/>
    <cellStyle name="Percent 46" xfId="1441" xr:uid="{00000000-0005-0000-0000-000071050000}"/>
    <cellStyle name="Percent 47" xfId="1443" xr:uid="{00000000-0005-0000-0000-000072050000}"/>
    <cellStyle name="Percent 48" xfId="1445" xr:uid="{00000000-0005-0000-0000-000073050000}"/>
    <cellStyle name="Percent 5" xfId="644" xr:uid="{00000000-0005-0000-0000-000074050000}"/>
    <cellStyle name="Percent 6" xfId="639" xr:uid="{00000000-0005-0000-0000-000075050000}"/>
    <cellStyle name="Percent 6 2" xfId="820" xr:uid="{00000000-0005-0000-0000-000076050000}"/>
    <cellStyle name="Percent 6 2 2" xfId="1385" xr:uid="{00000000-0005-0000-0000-000077050000}"/>
    <cellStyle name="Percent 6 2 3" xfId="1152" xr:uid="{00000000-0005-0000-0000-000078050000}"/>
    <cellStyle name="Percent 6 3" xfId="891" xr:uid="{00000000-0005-0000-0000-000079050000}"/>
    <cellStyle name="Percent 6 3 2" xfId="1269" xr:uid="{00000000-0005-0000-0000-00007A050000}"/>
    <cellStyle name="Percent 6 4" xfId="1033" xr:uid="{00000000-0005-0000-0000-00007B050000}"/>
    <cellStyle name="Percent 7" xfId="853" xr:uid="{00000000-0005-0000-0000-00007C050000}"/>
    <cellStyle name="Percent 7 2" xfId="1066" xr:uid="{00000000-0005-0000-0000-00007D050000}"/>
    <cellStyle name="Percent 8" xfId="854" xr:uid="{00000000-0005-0000-0000-00007E050000}"/>
    <cellStyle name="Percent 8 2" xfId="1182" xr:uid="{00000000-0005-0000-0000-00007F050000}"/>
    <cellStyle name="Percent 9" xfId="857" xr:uid="{00000000-0005-0000-0000-000080050000}"/>
    <cellStyle name="Style 23" xfId="613" xr:uid="{00000000-0005-0000-0000-000081050000}"/>
    <cellStyle name="Style 23 2" xfId="614" xr:uid="{00000000-0005-0000-0000-000082050000}"/>
    <cellStyle name="Title" xfId="560" builtinId="15" customBuiltin="1"/>
    <cellStyle name="Title 2" xfId="697" xr:uid="{00000000-0005-0000-0000-000084050000}"/>
    <cellStyle name="Title 2 2" xfId="946" xr:uid="{00000000-0005-0000-0000-000085050000}"/>
    <cellStyle name="Title 3" xfId="693" xr:uid="{00000000-0005-0000-0000-000086050000}"/>
    <cellStyle name="Total 10" xfId="561" xr:uid="{00000000-0005-0000-0000-000087050000}"/>
    <cellStyle name="Total 11" xfId="562" xr:uid="{00000000-0005-0000-0000-000088050000}"/>
    <cellStyle name="Total 12" xfId="563" xr:uid="{00000000-0005-0000-0000-000089050000}"/>
    <cellStyle name="Total 13" xfId="564" xr:uid="{00000000-0005-0000-0000-00008A050000}"/>
    <cellStyle name="Total 14" xfId="565" xr:uid="{00000000-0005-0000-0000-00008B050000}"/>
    <cellStyle name="Total 15" xfId="566" xr:uid="{00000000-0005-0000-0000-00008C050000}"/>
    <cellStyle name="Total 16" xfId="694" xr:uid="{00000000-0005-0000-0000-00008D050000}"/>
    <cellStyle name="Total 2" xfId="567" xr:uid="{00000000-0005-0000-0000-00008E050000}"/>
    <cellStyle name="Total 2 2" xfId="714" xr:uid="{00000000-0005-0000-0000-00008F050000}"/>
    <cellStyle name="Total 3" xfId="568" xr:uid="{00000000-0005-0000-0000-000090050000}"/>
    <cellStyle name="Total 4" xfId="569" xr:uid="{00000000-0005-0000-0000-000091050000}"/>
    <cellStyle name="Total 5" xfId="570" xr:uid="{00000000-0005-0000-0000-000092050000}"/>
    <cellStyle name="Total 6" xfId="571" xr:uid="{00000000-0005-0000-0000-000093050000}"/>
    <cellStyle name="Total 7" xfId="572" xr:uid="{00000000-0005-0000-0000-000094050000}"/>
    <cellStyle name="Total 8" xfId="573" xr:uid="{00000000-0005-0000-0000-000095050000}"/>
    <cellStyle name="Total 9" xfId="574" xr:uid="{00000000-0005-0000-0000-000096050000}"/>
    <cellStyle name="Warning Text 10" xfId="575" xr:uid="{00000000-0005-0000-0000-000097050000}"/>
    <cellStyle name="Warning Text 11" xfId="576" xr:uid="{00000000-0005-0000-0000-000098050000}"/>
    <cellStyle name="Warning Text 12" xfId="577" xr:uid="{00000000-0005-0000-0000-000099050000}"/>
    <cellStyle name="Warning Text 13" xfId="578" xr:uid="{00000000-0005-0000-0000-00009A050000}"/>
    <cellStyle name="Warning Text 14" xfId="579" xr:uid="{00000000-0005-0000-0000-00009B050000}"/>
    <cellStyle name="Warning Text 15" xfId="580" xr:uid="{00000000-0005-0000-0000-00009C050000}"/>
    <cellStyle name="Warning Text 16" xfId="695" xr:uid="{00000000-0005-0000-0000-00009D050000}"/>
    <cellStyle name="Warning Text 2" xfId="581" xr:uid="{00000000-0005-0000-0000-00009E050000}"/>
    <cellStyle name="Warning Text 2 2" xfId="711" xr:uid="{00000000-0005-0000-0000-00009F050000}"/>
    <cellStyle name="Warning Text 3" xfId="582" xr:uid="{00000000-0005-0000-0000-0000A0050000}"/>
    <cellStyle name="Warning Text 4" xfId="583" xr:uid="{00000000-0005-0000-0000-0000A1050000}"/>
    <cellStyle name="Warning Text 5" xfId="584" xr:uid="{00000000-0005-0000-0000-0000A2050000}"/>
    <cellStyle name="Warning Text 6" xfId="585" xr:uid="{00000000-0005-0000-0000-0000A3050000}"/>
    <cellStyle name="Warning Text 7" xfId="586" xr:uid="{00000000-0005-0000-0000-0000A4050000}"/>
    <cellStyle name="Warning Text 8" xfId="587" xr:uid="{00000000-0005-0000-0000-0000A5050000}"/>
    <cellStyle name="Warning Text 9" xfId="588" xr:uid="{00000000-0005-0000-0000-0000A6050000}"/>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Analysis'!$U$58</c:f>
              <c:strCache>
                <c:ptCount val="1"/>
                <c:pt idx="0">
                  <c:v>kWh Purchased</c:v>
                </c:pt>
              </c:strCache>
            </c:strRef>
          </c:tx>
          <c:invertIfNegative val="0"/>
          <c:cat>
            <c:numRef>
              <c:f>'6. WS Regression Analysis'!$T$59:$T$68</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'6. WS Regression Analysis'!$U$59:$U$68</c:f>
              <c:numCache>
                <c:formatCode>_-* #,##0.00_-;\-* #,##0.00_-;_-* "-"??_-;_-@_-</c:formatCode>
                <c:ptCount val="10"/>
                <c:pt idx="0">
                  <c:v>262348777</c:v>
                </c:pt>
                <c:pt idx="1">
                  <c:v>264021825</c:v>
                </c:pt>
                <c:pt idx="2">
                  <c:v>257528109</c:v>
                </c:pt>
                <c:pt idx="3">
                  <c:v>250323660.07999995</c:v>
                </c:pt>
                <c:pt idx="4">
                  <c:v>248042590.17000005</c:v>
                </c:pt>
                <c:pt idx="5">
                  <c:v>245731772.13</c:v>
                </c:pt>
                <c:pt idx="6">
                  <c:v>240806896.24000001</c:v>
                </c:pt>
                <c:pt idx="7">
                  <c:v>254570985.03999996</c:v>
                </c:pt>
                <c:pt idx="8">
                  <c:v>245663815.89999998</c:v>
                </c:pt>
                <c:pt idx="9">
                  <c:v>247239798.66666663</c:v>
                </c:pt>
              </c:numCache>
            </c:numRef>
          </c:val>
          <c:extLst>
            <c:ext xmlns:c16="http://schemas.microsoft.com/office/drawing/2014/chart" uri="{C3380CC4-5D6E-409C-BE32-E72D297353CC}">
              <c16:uniqueId val="{00000000-786A-4217-83C1-815CCDD0F759}"/>
            </c:ext>
          </c:extLst>
        </c:ser>
        <c:ser>
          <c:idx val="0"/>
          <c:order val="1"/>
          <c:tx>
            <c:strRef>
              <c:f>'6. WS Regression Analysis'!$V$58</c:f>
              <c:strCache>
                <c:ptCount val="1"/>
                <c:pt idx="0">
                  <c:v>Adjusted</c:v>
                </c:pt>
              </c:strCache>
            </c:strRef>
          </c:tx>
          <c:invertIfNegative val="0"/>
          <c:cat>
            <c:numRef>
              <c:f>'6. WS Regression Analysis'!$T$59:$T$68</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'6. WS Regression Analysis'!$V$59:$V$68</c:f>
              <c:numCache>
                <c:formatCode>_-* #,##0.00_-;\-* #,##0.00_-;_-* "-"??_-;_-@_-</c:formatCode>
                <c:ptCount val="10"/>
                <c:pt idx="0">
                  <c:v>254409161.08035713</c:v>
                </c:pt>
                <c:pt idx="1">
                  <c:v>254793336.5537082</c:v>
                </c:pt>
                <c:pt idx="2">
                  <c:v>253261076.70423049</c:v>
                </c:pt>
                <c:pt idx="3">
                  <c:v>252761267.78320035</c:v>
                </c:pt>
                <c:pt idx="4">
                  <c:v>253070139.99597791</c:v>
                </c:pt>
                <c:pt idx="5">
                  <c:v>252375485.51351339</c:v>
                </c:pt>
                <c:pt idx="6">
                  <c:v>251482150.84897441</c:v>
                </c:pt>
                <c:pt idx="7">
                  <c:v>259096002.29926127</c:v>
                </c:pt>
                <c:pt idx="8">
                  <c:v>254184211.63141453</c:v>
                </c:pt>
                <c:pt idx="9">
                  <c:v>256707769.52352279</c:v>
                </c:pt>
              </c:numCache>
            </c:numRef>
          </c:val>
          <c:extLst>
            <c:ext xmlns:c16="http://schemas.microsoft.com/office/drawing/2014/chart" uri="{C3380CC4-5D6E-409C-BE32-E72D297353CC}">
              <c16:uniqueId val="{00000001-786A-4217-83C1-815CCDD0F759}"/>
            </c:ext>
          </c:extLst>
        </c:ser>
        <c:dLbls>
          <c:showLegendKey val="0"/>
          <c:showVal val="0"/>
          <c:showCatName val="0"/>
          <c:showSerName val="0"/>
          <c:showPercent val="0"/>
          <c:showBubbleSize val="0"/>
        </c:dLbls>
        <c:gapWidth val="150"/>
        <c:axId val="343182608"/>
        <c:axId val="407625496"/>
      </c:barChart>
      <c:dateAx>
        <c:axId val="343182608"/>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07625496"/>
        <c:crosses val="autoZero"/>
        <c:auto val="0"/>
        <c:lblOffset val="100"/>
        <c:baseTimeUnit val="days"/>
      </c:dateAx>
      <c:valAx>
        <c:axId val="407625496"/>
        <c:scaling>
          <c:orientation val="minMax"/>
          <c:min val="0"/>
        </c:scaling>
        <c:delete val="0"/>
        <c:axPos val="l"/>
        <c:majorGridlines/>
        <c:numFmt formatCode="#,##0" sourceLinked="0"/>
        <c:majorTickMark val="out"/>
        <c:minorTickMark val="none"/>
        <c:tickLblPos val="nextTo"/>
        <c:crossAx val="343182608"/>
        <c:crossesAt val="1"/>
        <c:crossBetween val="between"/>
        <c:dispUnits>
          <c:builtInUnit val="millions"/>
        </c:dispUnits>
      </c:valAx>
      <c:spPr>
        <a:noFill/>
        <a:ln w="25400">
          <a:noFill/>
        </a:ln>
      </c:spPr>
    </c:plotArea>
    <c:legend>
      <c:legendPos val="r"/>
      <c:overlay val="0"/>
    </c:legend>
    <c:plotVisOnly val="1"/>
    <c:dispBlanksAs val="gap"/>
    <c:showDLblsOverMax val="0"/>
  </c:chart>
  <c:txPr>
    <a:bodyPr/>
    <a:lstStyle/>
    <a:p>
      <a:pPr>
        <a:defRPr>
          <a:latin typeface="Effra-Regula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 Actual</c:v>
          </c:tx>
          <c:spPr>
            <a:ln w="22225" cap="rnd" cmpd="sng" algn="ctr">
              <a:solidFill>
                <a:schemeClr val="accent1"/>
              </a:solidFill>
              <a:round/>
            </a:ln>
            <a:effectLst/>
          </c:spPr>
          <c:marker>
            <c:symbol val="none"/>
          </c:marker>
          <c:cat>
            <c:strRef>
              <c:f>Chart!$AC$6:$AC$17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Chart!$AE$6:$AE$17</c:f>
              <c:numCache>
                <c:formatCode>#,##0_);\(#,##0\)</c:formatCode>
                <c:ptCount val="12"/>
                <c:pt idx="0">
                  <c:v>22935455.440000001</c:v>
                </c:pt>
                <c:pt idx="1">
                  <c:v>21525121.289999999</c:v>
                </c:pt>
                <c:pt idx="2">
                  <c:v>20920093.370000001</c:v>
                </c:pt>
                <c:pt idx="3">
                  <c:v>17626509.289999999</c:v>
                </c:pt>
                <c:pt idx="4">
                  <c:v>17777103.640000001</c:v>
                </c:pt>
                <c:pt idx="5">
                  <c:v>19922675.420000002</c:v>
                </c:pt>
                <c:pt idx="6">
                  <c:v>23203898.829999998</c:v>
                </c:pt>
                <c:pt idx="7">
                  <c:v>21371250.969999999</c:v>
                </c:pt>
                <c:pt idx="8">
                  <c:v>17144080.98</c:v>
                </c:pt>
                <c:pt idx="9">
                  <c:v>19599087.969999999</c:v>
                </c:pt>
                <c:pt idx="10">
                  <c:v>20038200</c:v>
                </c:pt>
                <c:pt idx="11">
                  <c:v>21720442.859999999</c:v>
                </c:pt>
              </c:numCache>
            </c:numRef>
          </c:val>
          <c:smooth val="0"/>
          <c:extLst>
            <c:ext xmlns:c16="http://schemas.microsoft.com/office/drawing/2014/chart" uri="{C3380CC4-5D6E-409C-BE32-E72D297353CC}">
              <c16:uniqueId val="{00000000-5DF2-4E36-9B77-F0FDFEBC0E5C}"/>
            </c:ext>
          </c:extLst>
        </c:ser>
        <c:ser>
          <c:idx val="1"/>
          <c:order val="1"/>
          <c:tx>
            <c:v>2020 Updated</c:v>
          </c:tx>
          <c:spPr>
            <a:ln w="22225" cap="rnd" cmpd="sng" algn="ctr">
              <a:solidFill>
                <a:schemeClr val="accent2"/>
              </a:solidFill>
              <a:round/>
            </a:ln>
            <a:effectLst/>
          </c:spPr>
          <c:marker>
            <c:symbol val="none"/>
          </c:marker>
          <c:val>
            <c:numRef>
              <c:f>Chart!$AD$6:$AD$17</c:f>
              <c:numCache>
                <c:formatCode>#,##0_);\(#,##0\)</c:formatCode>
                <c:ptCount val="12"/>
                <c:pt idx="0">
                  <c:v>22935455.440000001</c:v>
                </c:pt>
                <c:pt idx="1">
                  <c:v>21525121.289999999</c:v>
                </c:pt>
                <c:pt idx="2">
                  <c:v>20920093.370000001</c:v>
                </c:pt>
                <c:pt idx="3">
                  <c:v>19977351.605555557</c:v>
                </c:pt>
                <c:pt idx="4">
                  <c:v>19324809.881111111</c:v>
                </c:pt>
                <c:pt idx="5">
                  <c:v>19480005.469999999</c:v>
                </c:pt>
                <c:pt idx="6">
                  <c:v>23203898.829999998</c:v>
                </c:pt>
                <c:pt idx="7">
                  <c:v>21371250.969999999</c:v>
                </c:pt>
                <c:pt idx="8">
                  <c:v>17144080.98</c:v>
                </c:pt>
                <c:pt idx="9">
                  <c:v>19599087.969999999</c:v>
                </c:pt>
                <c:pt idx="10">
                  <c:v>20038200</c:v>
                </c:pt>
                <c:pt idx="11">
                  <c:v>21720442.859999999</c:v>
                </c:pt>
              </c:numCache>
            </c:numRef>
          </c:val>
          <c:smooth val="0"/>
          <c:extLst>
            <c:ext xmlns:c16="http://schemas.microsoft.com/office/drawing/2014/chart" uri="{C3380CC4-5D6E-409C-BE32-E72D297353CC}">
              <c16:uniqueId val="{00000002-5DF2-4E36-9B77-F0FDFEBC0E5C}"/>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757079056"/>
        <c:axId val="757071184"/>
      </c:lineChart>
      <c:catAx>
        <c:axId val="7570790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757071184"/>
        <c:crosses val="autoZero"/>
        <c:auto val="1"/>
        <c:lblAlgn val="ctr"/>
        <c:lblOffset val="100"/>
        <c:noMultiLvlLbl val="0"/>
      </c:catAx>
      <c:valAx>
        <c:axId val="757071184"/>
        <c:scaling>
          <c:orientation val="minMax"/>
          <c:min val="15000000"/>
        </c:scaling>
        <c:delete val="0"/>
        <c:axPos val="l"/>
        <c:title>
          <c:tx>
            <c:rich>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en-CA"/>
                  <a:t>wholsale</a:t>
                </a:r>
                <a:r>
                  <a:rPr lang="en-CA" baseline="0"/>
                  <a:t> purchaes - kwh</a:t>
                </a:r>
                <a:endParaRPr lang="en-CA"/>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757079056"/>
        <c:crosses val="autoZero"/>
        <c:crossBetween val="between"/>
        <c:maj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a:extLst>
            <a:ext uri="{FF2B5EF4-FFF2-40B4-BE49-F238E27FC236}">
              <a16:creationId xmlns:a16="http://schemas.microsoft.com/office/drawing/2014/main" id="{00000000-0008-0000-0900-000004000000}"/>
            </a:ext>
          </a:extLst>
        </xdr:cNvPr>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a:extLst>
            <a:ext uri="{FF2B5EF4-FFF2-40B4-BE49-F238E27FC236}">
              <a16:creationId xmlns:a16="http://schemas.microsoft.com/office/drawing/2014/main" id="{00000000-0008-0000-0900-000005000000}"/>
            </a:ext>
          </a:extLst>
        </xdr:cNvPr>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a:extLst>
            <a:ext uri="{FF2B5EF4-FFF2-40B4-BE49-F238E27FC236}">
              <a16:creationId xmlns:a16="http://schemas.microsoft.com/office/drawing/2014/main" id="{00000000-0008-0000-0200-000010000000}"/>
            </a:ext>
          </a:extLst>
        </xdr:cNvPr>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a:extLst>
            <a:ext uri="{FF2B5EF4-FFF2-40B4-BE49-F238E27FC236}">
              <a16:creationId xmlns:a16="http://schemas.microsoft.com/office/drawing/2014/main" id="{00000000-0008-0000-0200-000012000000}"/>
            </a:ext>
          </a:extLst>
        </xdr:cNvPr>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a:extLst>
            <a:ext uri="{FF2B5EF4-FFF2-40B4-BE49-F238E27FC236}">
              <a16:creationId xmlns:a16="http://schemas.microsoft.com/office/drawing/2014/main" id="{00000000-0008-0000-0300-00000A000000}"/>
            </a:ext>
          </a:extLst>
        </xdr:cNvPr>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a:extLst>
            <a:ext uri="{FF2B5EF4-FFF2-40B4-BE49-F238E27FC236}">
              <a16:creationId xmlns:a16="http://schemas.microsoft.com/office/drawing/2014/main" id="{00000000-0008-0000-0500-000003000000}"/>
            </a:ext>
          </a:extLst>
        </xdr:cNvPr>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428625</xdr:colOff>
      <xdr:row>17</xdr:row>
      <xdr:rowOff>104775</xdr:rowOff>
    </xdr:from>
    <xdr:to>
      <xdr:col>16</xdr:col>
      <xdr:colOff>676275</xdr:colOff>
      <xdr:row>17</xdr:row>
      <xdr:rowOff>333375</xdr:rowOff>
    </xdr:to>
    <xdr:sp macro="" textlink="">
      <xdr:nvSpPr>
        <xdr:cNvPr id="2" name="5-Point Star 1">
          <a:extLst>
            <a:ext uri="{FF2B5EF4-FFF2-40B4-BE49-F238E27FC236}">
              <a16:creationId xmlns:a16="http://schemas.microsoft.com/office/drawing/2014/main"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95250</xdr:colOff>
      <xdr:row>18</xdr:row>
      <xdr:rowOff>178734</xdr:rowOff>
    </xdr:from>
    <xdr:to>
      <xdr:col>8</xdr:col>
      <xdr:colOff>910477</xdr:colOff>
      <xdr:row>18</xdr:row>
      <xdr:rowOff>205403</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23</xdr:col>
      <xdr:colOff>885825</xdr:colOff>
      <xdr:row>57</xdr:row>
      <xdr:rowOff>85725</xdr:rowOff>
    </xdr:from>
    <xdr:to>
      <xdr:col>35</xdr:col>
      <xdr:colOff>169069</xdr:colOff>
      <xdr:row>81</xdr:row>
      <xdr:rowOff>49213</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280986</xdr:colOff>
      <xdr:row>1</xdr:row>
      <xdr:rowOff>38099</xdr:rowOff>
    </xdr:from>
    <xdr:to>
      <xdr:col>22</xdr:col>
      <xdr:colOff>390525</xdr:colOff>
      <xdr:row>31</xdr:row>
      <xdr:rowOff>9524</xdr:rowOff>
    </xdr:to>
    <xdr:graphicFrame macro="">
      <xdr:nvGraphicFramePr>
        <xdr:cNvPr id="3" name="Chart 2">
          <a:extLst>
            <a:ext uri="{FF2B5EF4-FFF2-40B4-BE49-F238E27FC236}">
              <a16:creationId xmlns:a16="http://schemas.microsoft.com/office/drawing/2014/main" id="{62F45E31-65AE-4E77-9B20-26A8C595D6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a:extLst>
            <a:ext uri="{FF2B5EF4-FFF2-40B4-BE49-F238E27FC236}">
              <a16:creationId xmlns:a16="http://schemas.microsoft.com/office/drawing/2014/main" id="{00000000-0008-0000-0700-000005000000}"/>
            </a:ext>
          </a:extLst>
        </xdr:cNvPr>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a:extLst>
            <a:ext uri="{FF2B5EF4-FFF2-40B4-BE49-F238E27FC236}">
              <a16:creationId xmlns:a16="http://schemas.microsoft.com/office/drawing/2014/main"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a:extLst>
            <a:ext uri="{FF2B5EF4-FFF2-40B4-BE49-F238E27FC236}">
              <a16:creationId xmlns:a16="http://schemas.microsoft.com/office/drawing/2014/main" id="{00000000-0008-0000-0700-000008000000}"/>
            </a:ext>
          </a:extLst>
        </xdr:cNvPr>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a:extLst>
            <a:ext uri="{FF2B5EF4-FFF2-40B4-BE49-F238E27FC236}">
              <a16:creationId xmlns:a16="http://schemas.microsoft.com/office/drawing/2014/main" id="{00000000-0008-0000-0700-00000C000000}"/>
            </a:ext>
          </a:extLst>
        </xdr:cNvPr>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a:extLst>
            <a:ext uri="{FF2B5EF4-FFF2-40B4-BE49-F238E27FC236}">
              <a16:creationId xmlns:a16="http://schemas.microsoft.com/office/drawing/2014/main" id="{00000000-0008-0000-0700-00000D000000}"/>
            </a:ext>
          </a:extLst>
        </xdr:cNvPr>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a:extLst>
            <a:ext uri="{FF2B5EF4-FFF2-40B4-BE49-F238E27FC236}">
              <a16:creationId xmlns:a16="http://schemas.microsoft.com/office/drawing/2014/main"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a:extLst>
            <a:ext uri="{FF2B5EF4-FFF2-40B4-BE49-F238E27FC236}">
              <a16:creationId xmlns:a16="http://schemas.microsoft.com/office/drawing/2014/main" id="{00000000-0008-0000-0700-000010000000}"/>
            </a:ext>
          </a:extLst>
        </xdr:cNvPr>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a:extLst>
            <a:ext uri="{FF2B5EF4-FFF2-40B4-BE49-F238E27FC236}">
              <a16:creationId xmlns:a16="http://schemas.microsoft.com/office/drawing/2014/main" id="{00000000-0008-0000-0700-000011000000}"/>
            </a:ext>
          </a:extLst>
        </xdr:cNvPr>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a:extLst>
            <a:ext uri="{FF2B5EF4-FFF2-40B4-BE49-F238E27FC236}">
              <a16:creationId xmlns:a16="http://schemas.microsoft.com/office/drawing/2014/main" id="{00000000-0008-0000-0700-000012000000}"/>
            </a:ext>
          </a:extLst>
        </xdr:cNvPr>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a:extLst>
            <a:ext uri="{FF2B5EF4-FFF2-40B4-BE49-F238E27FC236}">
              <a16:creationId xmlns:a16="http://schemas.microsoft.com/office/drawing/2014/main" id="{00000000-0008-0000-0700-000013000000}"/>
            </a:ext>
          </a:extLst>
        </xdr:cNvPr>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a:extLst>
            <a:ext uri="{FF2B5EF4-FFF2-40B4-BE49-F238E27FC236}">
              <a16:creationId xmlns:a16="http://schemas.microsoft.com/office/drawing/2014/main" id="{00000000-0008-0000-0700-000017000000}"/>
            </a:ext>
          </a:extLst>
        </xdr:cNvPr>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a:extLst>
            <a:ext uri="{FF2B5EF4-FFF2-40B4-BE49-F238E27FC236}">
              <a16:creationId xmlns:a16="http://schemas.microsoft.com/office/drawing/2014/main" id="{00000000-0008-0000-0700-000018000000}"/>
            </a:ext>
          </a:extLst>
        </xdr:cNvPr>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a:extLst>
            <a:ext uri="{FF2B5EF4-FFF2-40B4-BE49-F238E27FC236}">
              <a16:creationId xmlns:a16="http://schemas.microsoft.com/office/drawing/2014/main" id="{00000000-0008-0000-0700-000019000000}"/>
            </a:ext>
          </a:extLst>
        </xdr:cNvPr>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a:extLst>
            <a:ext uri="{FF2B5EF4-FFF2-40B4-BE49-F238E27FC236}">
              <a16:creationId xmlns:a16="http://schemas.microsoft.com/office/drawing/2014/main" id="{00000000-0008-0000-0700-00001A000000}"/>
            </a:ext>
          </a:extLst>
        </xdr:cNvPr>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a:extLst>
            <a:ext uri="{FF2B5EF4-FFF2-40B4-BE49-F238E27FC236}">
              <a16:creationId xmlns:a16="http://schemas.microsoft.com/office/drawing/2014/main" id="{00000000-0008-0000-0800-00000C000000}"/>
            </a:ext>
          </a:extLst>
        </xdr:cNvPr>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giddings\AppData\Local\Microsoft\Windows\Temporary%20Internet%20Files\Content.Outlook\JFIBUCJW\LakefrontUtilities_APPL_2017COS_Load%20Forecast_Wholesale_201607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Lakefront\2017%20Cost%20of%20Service\IRs\LakefrontUtilities_APPL_2017COS_Filing_Requirements_Chapter2_Appendices_%2020160728%20updated%202-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CDM Allocation V2"/>
      <sheetName val="10.1 CDM Allocation"/>
      <sheetName val="11. Final Load Forecast"/>
      <sheetName val="13. Analysis_Weather adj LF"/>
      <sheetName val="12. Analysis_ Avg Per Cust"/>
      <sheetName val="A - CDM Adjustment"/>
      <sheetName val="A - CDM Adjustment V2"/>
      <sheetName val="Regression 1"/>
      <sheetName val="Regression 2"/>
    </sheetNames>
    <sheetDataSet>
      <sheetData sheetId="0"/>
      <sheetData sheetId="1"/>
      <sheetData sheetId="2"/>
      <sheetData sheetId="3"/>
      <sheetData sheetId="4">
        <row r="16">
          <cell r="B16" t="str">
            <v>HDD</v>
          </cell>
        </row>
        <row r="39">
          <cell r="B39" t="str">
            <v>CDD</v>
          </cell>
        </row>
        <row r="62">
          <cell r="B62" t="str">
            <v>Number of Days in Month</v>
          </cell>
        </row>
        <row r="90">
          <cell r="B90" t="str">
            <v xml:space="preserve">Spring and Fall </v>
          </cell>
        </row>
        <row r="104">
          <cell r="B104" t="str">
            <v>Peak Number of Hours</v>
          </cell>
        </row>
        <row r="120">
          <cell r="B120" t="str">
            <v>HDD</v>
          </cell>
        </row>
        <row r="121">
          <cell r="B121" t="str">
            <v>CDD</v>
          </cell>
        </row>
        <row r="122">
          <cell r="B122" t="str">
            <v>Number of Days in Month</v>
          </cell>
        </row>
        <row r="123">
          <cell r="B123" t="str">
            <v>GDP</v>
          </cell>
        </row>
        <row r="124">
          <cell r="B124" t="str">
            <v xml:space="preserve">Spring and Fall </v>
          </cell>
        </row>
        <row r="125">
          <cell r="B125" t="str">
            <v>Peak Number of Hours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EB-2016-0089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ddings@lusi.on.c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AB34"/>
  <sheetViews>
    <sheetView showGridLines="0" tabSelected="1" topLeftCell="A4" workbookViewId="0">
      <selection activeCell="F31" sqref="F31"/>
    </sheetView>
  </sheetViews>
  <sheetFormatPr defaultRowHeight="12.75"/>
  <cols>
    <col min="1" max="1" width="13.6640625" style="1" customWidth="1"/>
    <col min="2" max="16384" width="9.33203125" style="1"/>
  </cols>
  <sheetData>
    <row r="1" spans="1:28" s="514" customFormat="1">
      <c r="A1" s="694" t="s">
        <v>257</v>
      </c>
      <c r="B1" s="694"/>
    </row>
    <row r="2" spans="1:28" s="514" customFormat="1"/>
    <row r="3" spans="1:28" s="514" customFormat="1"/>
    <row r="4" spans="1:28" s="514" customFormat="1"/>
    <row r="5" spans="1:28" s="514" customFormat="1"/>
    <row r="6" spans="1:28" s="514" customFormat="1"/>
    <row r="7" spans="1:28" s="514" customFormat="1"/>
    <row r="8" spans="1:28" s="514" customFormat="1"/>
    <row r="9" spans="1:28" s="514" customFormat="1"/>
    <row r="10" spans="1:28" customFormat="1" ht="12.75" customHeight="1">
      <c r="B10" s="1065"/>
      <c r="C10" s="1065"/>
      <c r="D10" s="1065"/>
      <c r="E10" s="1065"/>
      <c r="F10" s="1065"/>
      <c r="G10" s="1065"/>
      <c r="H10" s="1065"/>
      <c r="I10" s="1065"/>
      <c r="J10" s="128"/>
      <c r="K10" s="128"/>
      <c r="L10" s="128"/>
      <c r="M10" s="128"/>
    </row>
    <row r="11" spans="1:28" customFormat="1" ht="23.25">
      <c r="B11" s="1066" t="s">
        <v>100</v>
      </c>
      <c r="C11" s="1066"/>
      <c r="D11" s="1066"/>
      <c r="E11" s="1066"/>
      <c r="F11" s="1066"/>
      <c r="G11" s="1066"/>
      <c r="H11" s="1066"/>
      <c r="I11" s="1066"/>
      <c r="J11" s="128"/>
      <c r="K11" s="128"/>
      <c r="L11" s="128"/>
      <c r="M11" s="128"/>
    </row>
    <row r="12" spans="1:28">
      <c r="M12"/>
    </row>
    <row r="13" spans="1:28" ht="15">
      <c r="B13" s="146" t="s">
        <v>86</v>
      </c>
      <c r="F13" s="135" t="s">
        <v>398</v>
      </c>
      <c r="G13" s="135"/>
      <c r="H13" s="135"/>
      <c r="I13" s="135"/>
      <c r="J13" s="135"/>
      <c r="K13" s="131"/>
      <c r="L13" s="131"/>
      <c r="AB13" s="125"/>
    </row>
    <row r="14" spans="1:28">
      <c r="B14" s="147"/>
      <c r="F14" s="129"/>
      <c r="G14" s="130"/>
      <c r="H14" s="129"/>
      <c r="I14" s="129"/>
      <c r="J14" s="129"/>
      <c r="K14" s="132"/>
      <c r="L14" s="132"/>
      <c r="AB14" s="125"/>
    </row>
    <row r="15" spans="1:28" ht="15">
      <c r="B15" s="146" t="s">
        <v>87</v>
      </c>
      <c r="F15" s="1063" t="s">
        <v>399</v>
      </c>
      <c r="G15" s="1063"/>
      <c r="H15" s="1063"/>
      <c r="I15" s="1063"/>
      <c r="J15" s="1063"/>
      <c r="K15" s="132"/>
      <c r="L15" s="132"/>
      <c r="AB15" s="125"/>
    </row>
    <row r="16" spans="1:28">
      <c r="B16" s="148"/>
      <c r="F16" s="126"/>
      <c r="G16" s="126"/>
      <c r="H16" s="126"/>
      <c r="I16" s="126"/>
      <c r="J16" s="126"/>
      <c r="K16" s="126"/>
      <c r="L16" s="126"/>
      <c r="AB16" s="125"/>
    </row>
    <row r="17" spans="2:28" ht="15">
      <c r="B17" s="146" t="s">
        <v>88</v>
      </c>
      <c r="F17" s="1063" t="s">
        <v>400</v>
      </c>
      <c r="G17" s="1063"/>
      <c r="H17" s="1063"/>
      <c r="I17" s="1063"/>
      <c r="J17" s="1063"/>
      <c r="K17" s="126"/>
      <c r="L17" s="126"/>
      <c r="AB17" s="125"/>
    </row>
    <row r="18" spans="2:28">
      <c r="B18" s="148"/>
      <c r="F18" s="126"/>
      <c r="G18" s="126"/>
      <c r="H18" s="126"/>
      <c r="I18" s="126"/>
      <c r="J18" s="126"/>
      <c r="K18" s="126"/>
      <c r="L18" s="126"/>
      <c r="AB18" s="125"/>
    </row>
    <row r="19" spans="2:28" ht="15">
      <c r="B19" s="146" t="s">
        <v>89</v>
      </c>
      <c r="F19" s="1063" t="s">
        <v>401</v>
      </c>
      <c r="G19" s="1063"/>
      <c r="H19" s="1063"/>
      <c r="I19" s="1063"/>
      <c r="J19" s="1063"/>
      <c r="K19" s="1064"/>
      <c r="L19" s="1064"/>
      <c r="AB19" s="125"/>
    </row>
    <row r="20" spans="2:28">
      <c r="B20" s="147"/>
      <c r="F20" s="133"/>
      <c r="G20" s="134"/>
      <c r="H20" s="133"/>
      <c r="I20" s="133"/>
      <c r="J20" s="133"/>
      <c r="K20" s="126"/>
      <c r="L20" s="126"/>
      <c r="AB20" s="125"/>
    </row>
    <row r="21" spans="2:28" ht="15">
      <c r="B21" s="146" t="s">
        <v>90</v>
      </c>
      <c r="F21" s="1063" t="s">
        <v>402</v>
      </c>
      <c r="G21" s="1063"/>
      <c r="H21" s="1063"/>
      <c r="I21" s="1063"/>
      <c r="J21" s="1063"/>
      <c r="K21" s="126"/>
      <c r="L21" s="126"/>
      <c r="AB21" s="125"/>
    </row>
    <row r="22" spans="2:28">
      <c r="B22" s="147"/>
      <c r="F22" s="133"/>
      <c r="G22" s="134"/>
      <c r="H22" s="133"/>
      <c r="I22" s="133"/>
      <c r="J22" s="133"/>
      <c r="K22" s="126"/>
      <c r="L22" s="126"/>
      <c r="AB22" s="125"/>
    </row>
    <row r="23" spans="2:28" ht="15">
      <c r="B23" s="146" t="s">
        <v>91</v>
      </c>
      <c r="F23" s="1062" t="s">
        <v>403</v>
      </c>
      <c r="G23" s="1063"/>
      <c r="H23" s="1063"/>
      <c r="I23" s="1063"/>
      <c r="J23" s="1063"/>
      <c r="K23" s="126"/>
      <c r="L23" s="126"/>
      <c r="AB23" s="125"/>
    </row>
    <row r="24" spans="2:28">
      <c r="B24" s="147"/>
      <c r="F24" s="133"/>
      <c r="G24" s="134"/>
      <c r="H24" s="133"/>
      <c r="I24" s="133"/>
      <c r="J24" s="133"/>
      <c r="K24" s="126"/>
      <c r="L24" s="126"/>
      <c r="AB24" s="125"/>
    </row>
    <row r="25" spans="2:28" ht="15">
      <c r="B25" s="146" t="s">
        <v>92</v>
      </c>
      <c r="F25" s="150" t="s">
        <v>388</v>
      </c>
      <c r="G25" s="151"/>
      <c r="H25" s="151"/>
      <c r="I25" s="133"/>
      <c r="J25" s="133"/>
      <c r="K25" s="126"/>
      <c r="L25" s="126"/>
      <c r="AB25" s="125"/>
    </row>
    <row r="26" spans="2:28">
      <c r="B26" s="47"/>
      <c r="F26" s="44"/>
      <c r="G26" s="152"/>
      <c r="H26" s="152"/>
      <c r="AB26" s="125"/>
    </row>
    <row r="27" spans="2:28" ht="15">
      <c r="B27" s="146" t="s">
        <v>93</v>
      </c>
      <c r="F27" s="150" t="s">
        <v>389</v>
      </c>
      <c r="G27" s="151"/>
      <c r="H27" s="151"/>
      <c r="AB27" s="125"/>
    </row>
    <row r="28" spans="2:28">
      <c r="B28" s="149"/>
      <c r="F28" s="44"/>
      <c r="G28" s="152"/>
      <c r="H28" s="152"/>
      <c r="AB28" s="125"/>
    </row>
    <row r="29" spans="2:28" ht="15">
      <c r="B29" s="146" t="s">
        <v>94</v>
      </c>
      <c r="F29" s="150" t="s">
        <v>261</v>
      </c>
      <c r="G29" s="151"/>
      <c r="H29" s="151"/>
      <c r="AB29" s="125"/>
    </row>
    <row r="30" spans="2:28">
      <c r="AB30" s="125"/>
    </row>
    <row r="32" spans="2:28">
      <c r="B32" s="167" t="s">
        <v>260</v>
      </c>
      <c r="D32" s="48"/>
    </row>
    <row r="33" spans="2:4">
      <c r="B33" s="1" t="s">
        <v>258</v>
      </c>
      <c r="D33" s="695"/>
    </row>
    <row r="34" spans="2:4">
      <c r="B34" s="1" t="s">
        <v>259</v>
      </c>
      <c r="D34" s="699"/>
    </row>
  </sheetData>
  <mergeCells count="8">
    <mergeCell ref="F23:J23"/>
    <mergeCell ref="K19:L19"/>
    <mergeCell ref="F21:J21"/>
    <mergeCell ref="B10:I10"/>
    <mergeCell ref="B11:I11"/>
    <mergeCell ref="F15:J15"/>
    <mergeCell ref="F17:J17"/>
    <mergeCell ref="F19:J19"/>
  </mergeCells>
  <hyperlinks>
    <hyperlink ref="F23" r:id="rId1" xr:uid="{FE7E33CF-1362-4909-B5F0-1EE99AF59812}"/>
  </hyperlinks>
  <pageMargins left="0.7" right="0.7" top="0.75" bottom="0.75" header="0.3" footer="0.3"/>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68"/>
  <sheetViews>
    <sheetView showGridLines="0" topLeftCell="A8" workbookViewId="0">
      <selection activeCell="R25" sqref="R25"/>
    </sheetView>
  </sheetViews>
  <sheetFormatPr defaultColWidth="11.1640625" defaultRowHeight="12.75"/>
  <cols>
    <col min="1" max="1" width="13.6640625" style="1" customWidth="1"/>
    <col min="2" max="6" width="15.1640625" style="44" customWidth="1"/>
    <col min="7" max="7" width="17" style="44" customWidth="1"/>
    <col min="8" max="8" width="16.6640625" style="44" customWidth="1"/>
    <col min="9" max="9" width="17.83203125" style="44" customWidth="1"/>
    <col min="10" max="10" width="16.1640625" style="44" customWidth="1"/>
    <col min="11" max="12" width="4.33203125" style="44" customWidth="1"/>
    <col min="13" max="15" width="15.1640625" style="136" customWidth="1"/>
    <col min="16" max="16" width="15.1640625" style="44" customWidth="1"/>
    <col min="17" max="21" width="15.1640625" style="1" customWidth="1"/>
    <col min="22" max="22" width="4.33203125" style="1" customWidth="1"/>
    <col min="23" max="29" width="15.1640625" style="1" customWidth="1"/>
    <col min="30" max="30" width="13.83203125" style="50" customWidth="1"/>
    <col min="31"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30" s="514" customFormat="1">
      <c r="A1" s="694" t="s">
        <v>257</v>
      </c>
      <c r="B1" s="44"/>
      <c r="C1" s="44"/>
      <c r="D1" s="44"/>
      <c r="E1" s="44"/>
      <c r="F1" s="44"/>
      <c r="G1" s="44"/>
      <c r="H1" s="44"/>
      <c r="I1" s="44"/>
      <c r="J1" s="44"/>
      <c r="K1" s="44"/>
      <c r="L1" s="44"/>
      <c r="M1" s="136"/>
      <c r="N1" s="136"/>
      <c r="O1" s="136"/>
      <c r="P1" s="44"/>
      <c r="AD1" s="50"/>
    </row>
    <row r="2" spans="1:30" s="514" customFormat="1">
      <c r="B2" s="44"/>
      <c r="C2" s="44"/>
      <c r="D2" s="44"/>
      <c r="E2" s="44"/>
      <c r="F2" s="44"/>
      <c r="G2" s="44"/>
      <c r="H2" s="44"/>
      <c r="I2" s="44"/>
      <c r="J2" s="44"/>
      <c r="K2" s="44"/>
      <c r="L2" s="44"/>
      <c r="M2" s="136"/>
      <c r="N2" s="136"/>
      <c r="O2" s="136"/>
      <c r="P2" s="44"/>
      <c r="AD2" s="50"/>
    </row>
    <row r="3" spans="1:30" s="514" customFormat="1">
      <c r="B3" s="44"/>
      <c r="C3" s="44"/>
      <c r="D3" s="44"/>
      <c r="E3" s="44"/>
      <c r="F3" s="44"/>
      <c r="G3" s="44"/>
      <c r="H3" s="44"/>
      <c r="I3" s="44"/>
      <c r="J3" s="44"/>
      <c r="K3" s="44"/>
      <c r="L3" s="44"/>
      <c r="M3" s="136"/>
      <c r="N3" s="136"/>
      <c r="O3" s="136"/>
      <c r="P3" s="44"/>
      <c r="AD3" s="50"/>
    </row>
    <row r="4" spans="1:30" s="514" customFormat="1">
      <c r="B4" s="44"/>
      <c r="C4" s="44"/>
      <c r="D4" s="44"/>
      <c r="E4" s="44"/>
      <c r="F4" s="44"/>
      <c r="G4" s="44"/>
      <c r="H4" s="44"/>
      <c r="I4" s="44"/>
      <c r="J4" s="44"/>
      <c r="K4" s="44"/>
      <c r="L4" s="44"/>
      <c r="M4" s="136"/>
      <c r="N4" s="136"/>
      <c r="O4" s="136"/>
      <c r="P4" s="44"/>
      <c r="AD4" s="50"/>
    </row>
    <row r="5" spans="1:30" s="514" customFormat="1">
      <c r="B5" s="44"/>
      <c r="C5" s="44"/>
      <c r="D5" s="44"/>
      <c r="E5" s="44"/>
      <c r="F5" s="44"/>
      <c r="G5" s="44"/>
      <c r="H5" s="44"/>
      <c r="I5" s="44"/>
      <c r="J5" s="44"/>
      <c r="K5" s="44"/>
      <c r="L5" s="44"/>
      <c r="M5" s="136"/>
      <c r="N5" s="136"/>
      <c r="O5" s="136"/>
      <c r="P5" s="44"/>
      <c r="AD5" s="50"/>
    </row>
    <row r="6" spans="1:30" s="514" customFormat="1">
      <c r="B6" s="44"/>
      <c r="C6" s="44"/>
      <c r="D6" s="44"/>
      <c r="E6" s="44"/>
      <c r="F6" s="44"/>
      <c r="G6" s="44"/>
      <c r="H6" s="44"/>
      <c r="I6" s="44"/>
      <c r="J6" s="44"/>
      <c r="K6" s="44"/>
      <c r="L6" s="44"/>
      <c r="M6" s="136"/>
      <c r="N6" s="136"/>
      <c r="O6" s="136"/>
      <c r="P6" s="44"/>
      <c r="AD6" s="50"/>
    </row>
    <row r="7" spans="1:30" s="514" customFormat="1">
      <c r="B7" s="44"/>
      <c r="C7" s="44"/>
      <c r="D7" s="44"/>
      <c r="E7" s="44"/>
      <c r="F7" s="44"/>
      <c r="G7" s="44"/>
      <c r="H7" s="44"/>
      <c r="I7" s="44"/>
      <c r="J7" s="44"/>
      <c r="K7" s="44"/>
      <c r="L7" s="44"/>
      <c r="M7" s="136"/>
      <c r="N7" s="136"/>
      <c r="O7" s="136"/>
      <c r="P7" s="44"/>
      <c r="AD7" s="50"/>
    </row>
    <row r="8" spans="1:30" s="514" customFormat="1">
      <c r="B8" s="44"/>
      <c r="C8" s="44"/>
      <c r="D8" s="44"/>
      <c r="E8" s="44"/>
      <c r="F8" s="44"/>
      <c r="G8" s="44"/>
      <c r="H8" s="44"/>
      <c r="I8" s="44"/>
      <c r="J8" s="44"/>
      <c r="K8" s="44"/>
      <c r="L8" s="44"/>
      <c r="M8" s="136"/>
      <c r="N8" s="136"/>
      <c r="O8" s="136"/>
      <c r="P8" s="44"/>
      <c r="AD8" s="50"/>
    </row>
    <row r="9" spans="1:30" s="514" customFormat="1">
      <c r="B9" s="44"/>
      <c r="C9" s="44"/>
      <c r="D9" s="44"/>
      <c r="E9" s="44"/>
      <c r="F9" s="44"/>
      <c r="G9" s="44"/>
      <c r="H9" s="44"/>
      <c r="I9" s="44"/>
      <c r="J9" s="44"/>
      <c r="K9" s="44"/>
      <c r="L9" s="44"/>
      <c r="M9" s="136"/>
      <c r="N9" s="136"/>
      <c r="O9" s="136"/>
      <c r="P9" s="44"/>
      <c r="AD9" s="50"/>
    </row>
    <row r="11" spans="1:30" ht="23.25">
      <c r="B11" s="124" t="s">
        <v>98</v>
      </c>
      <c r="C11" s="124"/>
      <c r="D11" s="124"/>
      <c r="Z11" s="50"/>
      <c r="AD11" s="1"/>
    </row>
    <row r="12" spans="1:30" ht="15" customHeight="1">
      <c r="B12" s="49" t="s">
        <v>63</v>
      </c>
      <c r="C12" s="124"/>
      <c r="D12" s="124"/>
    </row>
    <row r="13" spans="1:30" ht="15" customHeight="1">
      <c r="B13" s="91" t="s">
        <v>249</v>
      </c>
      <c r="C13" s="124"/>
      <c r="D13" s="124"/>
    </row>
    <row r="14" spans="1:30" ht="15" customHeight="1">
      <c r="B14" s="91" t="s">
        <v>250</v>
      </c>
      <c r="C14" s="124"/>
      <c r="D14" s="124"/>
    </row>
    <row r="15" spans="1:30" ht="15" customHeight="1">
      <c r="B15" s="91" t="s">
        <v>251</v>
      </c>
      <c r="C15" s="124"/>
      <c r="D15" s="124"/>
    </row>
    <row r="16" spans="1:30" ht="14.25">
      <c r="B16" s="91" t="s">
        <v>252</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3"/>
      <c r="AD16" s="23"/>
    </row>
    <row r="17" spans="2:51" s="514" customFormat="1" ht="15" thickBot="1">
      <c r="B17" s="91"/>
      <c r="C17" s="515"/>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23"/>
      <c r="AD17" s="23"/>
    </row>
    <row r="18" spans="2:51" ht="12.75" customHeight="1" thickBot="1">
      <c r="B18" s="1117" t="s">
        <v>263</v>
      </c>
      <c r="C18" s="1118"/>
      <c r="D18" s="1118"/>
      <c r="E18" s="1118"/>
      <c r="F18" s="1118"/>
      <c r="G18" s="1118"/>
      <c r="H18" s="1118"/>
      <c r="I18" s="1118"/>
      <c r="J18" s="1119"/>
      <c r="K18" s="175"/>
      <c r="L18" s="175"/>
      <c r="M18" s="1117" t="s">
        <v>102</v>
      </c>
      <c r="N18" s="1118"/>
      <c r="O18" s="1118"/>
      <c r="P18" s="1118"/>
      <c r="Q18" s="1118"/>
      <c r="R18" s="1118"/>
      <c r="S18" s="1118"/>
      <c r="T18" s="1118"/>
      <c r="U18" s="1119"/>
      <c r="V18" s="175"/>
      <c r="W18" s="1117" t="s">
        <v>85</v>
      </c>
      <c r="X18" s="1118"/>
      <c r="Y18" s="1118"/>
      <c r="Z18" s="1118"/>
      <c r="AA18" s="1118"/>
      <c r="AB18" s="1118"/>
      <c r="AC18" s="1118"/>
      <c r="AD18" s="1118"/>
      <c r="AE18" s="1119"/>
      <c r="AG18" s="1117" t="s">
        <v>262</v>
      </c>
      <c r="AH18" s="1118"/>
      <c r="AI18" s="1118"/>
      <c r="AJ18" s="1118"/>
      <c r="AK18" s="1118"/>
      <c r="AL18" s="1118"/>
      <c r="AM18" s="1118"/>
      <c r="AN18" s="1118"/>
      <c r="AO18" s="1119"/>
      <c r="AQ18" s="1117" t="s">
        <v>103</v>
      </c>
      <c r="AR18" s="1118"/>
      <c r="AS18" s="1118"/>
      <c r="AT18" s="1118"/>
      <c r="AU18" s="1118"/>
      <c r="AV18" s="1118"/>
      <c r="AW18" s="1118"/>
      <c r="AX18" s="1118"/>
      <c r="AY18" s="1119"/>
    </row>
    <row r="19" spans="2:51" ht="46.5" customHeight="1">
      <c r="B19" s="387" t="s">
        <v>33</v>
      </c>
      <c r="C19" s="473" t="s">
        <v>36</v>
      </c>
      <c r="D19" s="473" t="s">
        <v>231</v>
      </c>
      <c r="E19" s="385" t="s">
        <v>36</v>
      </c>
      <c r="F19" s="385" t="s">
        <v>37</v>
      </c>
      <c r="G19" s="385" t="s">
        <v>180</v>
      </c>
      <c r="H19" s="385" t="s">
        <v>178</v>
      </c>
      <c r="I19" s="385" t="s">
        <v>179</v>
      </c>
      <c r="J19" s="386" t="s">
        <v>41</v>
      </c>
      <c r="K19" s="176"/>
      <c r="L19" s="176"/>
      <c r="M19" s="387" t="s">
        <v>33</v>
      </c>
      <c r="N19" s="473" t="s">
        <v>36</v>
      </c>
      <c r="O19" s="473" t="s">
        <v>231</v>
      </c>
      <c r="P19" s="385" t="s">
        <v>36</v>
      </c>
      <c r="Q19" s="385" t="s">
        <v>37</v>
      </c>
      <c r="R19" s="385" t="s">
        <v>180</v>
      </c>
      <c r="S19" s="385" t="s">
        <v>178</v>
      </c>
      <c r="T19" s="385" t="s">
        <v>179</v>
      </c>
      <c r="U19" s="386" t="s">
        <v>41</v>
      </c>
      <c r="V19" s="50"/>
      <c r="W19" s="363" t="s">
        <v>33</v>
      </c>
      <c r="X19" s="473" t="s">
        <v>36</v>
      </c>
      <c r="Y19" s="473" t="s">
        <v>231</v>
      </c>
      <c r="Z19" s="358" t="s">
        <v>36</v>
      </c>
      <c r="AA19" s="358" t="s">
        <v>37</v>
      </c>
      <c r="AB19" s="358" t="s">
        <v>180</v>
      </c>
      <c r="AC19" s="358" t="s">
        <v>178</v>
      </c>
      <c r="AD19" s="358" t="s">
        <v>179</v>
      </c>
      <c r="AE19" s="319" t="s">
        <v>41</v>
      </c>
      <c r="AG19" s="387" t="s">
        <v>33</v>
      </c>
      <c r="AH19" s="473" t="s">
        <v>36</v>
      </c>
      <c r="AI19" s="473" t="s">
        <v>231</v>
      </c>
      <c r="AJ19" s="358" t="s">
        <v>36</v>
      </c>
      <c r="AK19" s="385" t="s">
        <v>37</v>
      </c>
      <c r="AL19" s="385" t="s">
        <v>180</v>
      </c>
      <c r="AM19" s="385" t="s">
        <v>178</v>
      </c>
      <c r="AN19" s="385" t="s">
        <v>179</v>
      </c>
      <c r="AO19" s="386" t="s">
        <v>41</v>
      </c>
      <c r="AQ19" s="387" t="s">
        <v>33</v>
      </c>
      <c r="AR19" s="473" t="s">
        <v>36</v>
      </c>
      <c r="AS19" s="473" t="s">
        <v>231</v>
      </c>
      <c r="AT19" s="358" t="s">
        <v>36</v>
      </c>
      <c r="AU19" s="385" t="s">
        <v>37</v>
      </c>
      <c r="AV19" s="385" t="s">
        <v>180</v>
      </c>
      <c r="AW19" s="385" t="s">
        <v>178</v>
      </c>
      <c r="AX19" s="385" t="s">
        <v>179</v>
      </c>
      <c r="AY19" s="386" t="s">
        <v>41</v>
      </c>
    </row>
    <row r="20" spans="2:51">
      <c r="B20" s="83" t="s">
        <v>30</v>
      </c>
      <c r="C20" s="474"/>
      <c r="D20" s="474"/>
      <c r="E20" s="84"/>
      <c r="F20" s="84"/>
      <c r="G20" s="313"/>
      <c r="H20" s="313"/>
      <c r="I20" s="212"/>
      <c r="J20" s="360"/>
      <c r="K20" s="137"/>
      <c r="L20" s="137"/>
      <c r="M20" s="83" t="s">
        <v>30</v>
      </c>
      <c r="N20" s="474"/>
      <c r="O20" s="474"/>
      <c r="P20" s="84"/>
      <c r="Q20" s="84"/>
      <c r="R20" s="84"/>
      <c r="S20" s="84"/>
      <c r="T20" s="84"/>
      <c r="U20" s="85"/>
      <c r="V20" s="50"/>
      <c r="W20" s="83" t="s">
        <v>30</v>
      </c>
      <c r="X20" s="474"/>
      <c r="Y20" s="474"/>
      <c r="Z20" s="84"/>
      <c r="AA20" s="84"/>
      <c r="AB20" s="84"/>
      <c r="AC20" s="84"/>
      <c r="AD20" s="84"/>
      <c r="AE20" s="229"/>
      <c r="AG20" s="83" t="s">
        <v>30</v>
      </c>
      <c r="AH20" s="474"/>
      <c r="AI20" s="474"/>
      <c r="AJ20" s="84"/>
      <c r="AK20" s="84"/>
      <c r="AL20" s="84"/>
      <c r="AM20" s="84"/>
      <c r="AN20" s="84"/>
      <c r="AO20" s="229"/>
      <c r="AQ20" s="83" t="s">
        <v>30</v>
      </c>
      <c r="AR20" s="474"/>
      <c r="AS20" s="474"/>
      <c r="AT20" s="84"/>
      <c r="AU20" s="84"/>
      <c r="AV20" s="84"/>
      <c r="AW20" s="84"/>
      <c r="AX20" s="84"/>
      <c r="AY20" s="229"/>
    </row>
    <row r="21" spans="2:51" ht="12.75" customHeight="1">
      <c r="B21" s="182">
        <f>'4. Customer Growth'!B17</f>
        <v>2011</v>
      </c>
      <c r="C21" s="56">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120834914</v>
      </c>
      <c r="D21" s="428"/>
      <c r="E21" s="56">
        <f>+D21+C21</f>
        <v>120834914</v>
      </c>
      <c r="F21" s="56">
        <f>+IF($B$18='2. Customer Classes'!$B$18,+SUM('3. Consumption by Rate Class'!$M$25:$M$36),+IF($B$18='2. Customer Classes'!$B$19,+SUM('3. Consumption by Rate Class'!$P$25:$P$36),IF($B$18='2. Customer Classes'!$B$20,+SUM('3. Consumption by Rate Class'!$S$25:$S$36),0)))</f>
        <v>300129.30000000005</v>
      </c>
      <c r="G21" s="56">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131.5</v>
      </c>
      <c r="H21" s="359">
        <f>IF(F21&gt;0,+E21/G21,0)</f>
        <v>918896.68441064644</v>
      </c>
      <c r="I21" s="362">
        <f>IF(F21&gt;0,+F21/G21,0)</f>
        <v>2282.3520912547533</v>
      </c>
      <c r="J21" s="325">
        <f>IF(F21&gt;0,+F21/E21,0)</f>
        <v>2.483796198174975E-3</v>
      </c>
      <c r="K21" s="173"/>
      <c r="L21" s="173"/>
      <c r="M21" s="182">
        <f t="shared" ref="M21:M32" si="0">B21</f>
        <v>2011</v>
      </c>
      <c r="N21" s="56">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1222967</v>
      </c>
      <c r="O21" s="428"/>
      <c r="P21" s="56">
        <f>+N21+O21</f>
        <v>1222967</v>
      </c>
      <c r="Q21" s="212">
        <f>+IF($M$18='2. Customer Classes'!$B$18,+SUM('3. Consumption by Rate Class'!$M$25:$M$36),+IF($M$18='2. Customer Classes'!$B$19,+SUM('3. Consumption by Rate Class'!$P$25:$P$36),IF($M$18='2. Customer Classes'!$B$20,+SUM('3. Consumption by Rate Class'!$S$25:$S$36),0)))</f>
        <v>3321</v>
      </c>
      <c r="R21" s="212">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2759</v>
      </c>
      <c r="S21" s="359">
        <f>IF(Q21&gt;0,+P21/R21,0)</f>
        <v>443.26458861906485</v>
      </c>
      <c r="T21" s="362">
        <f>IF(Q21&gt;0,+Q21/R21,0)</f>
        <v>1.2036969916636462</v>
      </c>
      <c r="U21" s="325">
        <f>IF(Q21&gt;0,+Q21/P21,0)</f>
        <v>2.7155270747289176E-3</v>
      </c>
      <c r="V21" s="50"/>
      <c r="W21" s="182">
        <f t="shared" ref="W21:W32" si="1">B21</f>
        <v>2011</v>
      </c>
      <c r="X21" s="56">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43758</v>
      </c>
      <c r="Y21" s="428"/>
      <c r="Z21" s="56">
        <f>+X21+Y21</f>
        <v>43758</v>
      </c>
      <c r="AA21" s="212">
        <f>+IF($W$18='2. Customer Classes'!$B$18,+SUM('3. Consumption by Rate Class'!$M$25:$M$36),+IF($W$18='2. Customer Classes'!$B$19,+SUM('3. Consumption by Rate Class'!$P$25:$P$36),IF($W$18='2. Customer Classes'!$B$20,+SUM('3. Consumption by Rate Class'!$S$25:$S$36),0)))</f>
        <v>132</v>
      </c>
      <c r="AB21" s="212">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53</v>
      </c>
      <c r="AC21" s="359">
        <f>IF(AA21&gt;0,+Z21/AB21,0)</f>
        <v>825.62264150943395</v>
      </c>
      <c r="AD21" s="362">
        <f>IF(AA21&gt;0,+AA21/AB21,0)</f>
        <v>2.4905660377358489</v>
      </c>
      <c r="AE21" s="325">
        <f>IF(AA21&gt;0,+AA21/Z21,0)</f>
        <v>3.0165912518853697E-3</v>
      </c>
      <c r="AG21" s="340">
        <f>+B21</f>
        <v>2011</v>
      </c>
      <c r="AH21" s="56">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15051682</v>
      </c>
      <c r="AI21" s="428"/>
      <c r="AJ21" s="56">
        <f>+AH21+AI21</f>
        <v>15051682</v>
      </c>
      <c r="AK21" s="212">
        <f>+IF($AG$18='2. Customer Classes'!$B$18,+SUM('3. Consumption by Rate Class'!$M$25:$M$36),+IF($AG$18='2. Customer Classes'!$B$19,+SUM('3. Consumption by Rate Class'!$P$25:$P$36),IF($AG$18='2. Customer Classes'!$B$20,+SUM('3. Consumption by Rate Class'!$S$25:$S$36),IF($AG$18='2. Customer Classes'!$B$21,+SUM('3. Consumption by Rate Class'!$V$25:$V$36),0))))</f>
        <v>42335.9</v>
      </c>
      <c r="AL21" s="212">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v>
      </c>
      <c r="AM21" s="359">
        <f>IF(AK21&gt;0,+AJ21/AL21,0)</f>
        <v>15051682</v>
      </c>
      <c r="AN21" s="362">
        <f>IF(AK21&gt;0,+AK21/AL21,0)</f>
        <v>42335.9</v>
      </c>
      <c r="AO21" s="325">
        <f>IF(AK21&gt;0,+AK21/AJ21,0)</f>
        <v>2.8127022614482557E-3</v>
      </c>
      <c r="AQ21" s="340">
        <f>+B21</f>
        <v>2011</v>
      </c>
      <c r="AR21" s="56">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659574</v>
      </c>
      <c r="AS21" s="428"/>
      <c r="AT21" s="56">
        <f>+AR21+AS21</f>
        <v>659574</v>
      </c>
      <c r="AU21" s="212">
        <f>+IF($AQ$18='2. Customer Classes'!$B$18,+SUM('3. Consumption by Rate Class'!$M$25:$M$36),+IF($AQ$18='2. Customer Classes'!$B$19,+SUM('3. Consumption by Rate Class'!$P$25:$P$36),IF($AQ$18='2. Customer Classes'!$B$20,+SUM('3. Consumption by Rate Class'!$S$25:$S$36),0)))</f>
        <v>0</v>
      </c>
      <c r="AV21" s="212">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96</v>
      </c>
      <c r="AW21" s="359">
        <f>IF(AV21&gt;0,+AT21/AV21,0)</f>
        <v>6870.5625</v>
      </c>
      <c r="AX21" s="362">
        <f>IF(AU21&gt;0,+AU21/AV21,0)</f>
        <v>0</v>
      </c>
      <c r="AY21" s="325">
        <f>IF(AU21&gt;0,+AU21/AT21,0)</f>
        <v>0</v>
      </c>
    </row>
    <row r="22" spans="2:51" ht="12.75" customHeight="1">
      <c r="B22" s="182">
        <f>'4. Customer Growth'!B18</f>
        <v>2012</v>
      </c>
      <c r="C22" s="56">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128532327</v>
      </c>
      <c r="D22" s="428"/>
      <c r="E22" s="56">
        <f t="shared" ref="E22:E32" si="2">+D22+C22</f>
        <v>128532327</v>
      </c>
      <c r="F22" s="56">
        <f>+IF($B$18='2. Customer Classes'!$B$18,+SUM('3. Consumption by Rate Class'!$M$37:$M$48),+IF($B$18='2. Customer Classes'!$B$19,+SUM('3. Consumption by Rate Class'!$P$37:$P$48),IF($B$18='2. Customer Classes'!$B$20,+SUM('3. Consumption by Rate Class'!$S$37:$S$48),0)))</f>
        <v>322335</v>
      </c>
      <c r="G22" s="56">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137</v>
      </c>
      <c r="H22" s="359">
        <f t="shared" ref="H22:H31" si="3">IF(F22&gt;0,+E22/G22,0)</f>
        <v>938192.16788321163</v>
      </c>
      <c r="I22" s="362">
        <f t="shared" ref="I22:I32" si="4">IF(F22&gt;0,+F22/G22,0)</f>
        <v>2352.8102189781021</v>
      </c>
      <c r="J22" s="325">
        <f t="shared" ref="J22:J30" si="5">IF(F22&gt;0,+F22/E22,0)</f>
        <v>2.507812684352941E-3</v>
      </c>
      <c r="K22" s="173"/>
      <c r="L22" s="173"/>
      <c r="M22" s="182">
        <f t="shared" si="0"/>
        <v>2012</v>
      </c>
      <c r="N22" s="56">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1222128</v>
      </c>
      <c r="O22" s="428"/>
      <c r="P22" s="56">
        <f t="shared" ref="P22:P32" si="6">+N22+O22</f>
        <v>1222128</v>
      </c>
      <c r="Q22" s="212">
        <f>+IF($M$18='2. Customer Classes'!$B$18,+SUM('3. Consumption by Rate Class'!$M$37:$M$48),+IF($M$18='2. Customer Classes'!$B$19,+SUM('3. Consumption by Rate Class'!$P$37:$P$48),IF($M$18='2. Customer Classes'!$B$20,+SUM('3. Consumption by Rate Class'!$S$37:$S$48),0)))</f>
        <v>3340</v>
      </c>
      <c r="R22" s="212">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2802</v>
      </c>
      <c r="S22" s="359">
        <f t="shared" ref="S22:S32" si="7">IF(Q22&gt;0,+P22/R22,0)</f>
        <v>436.16274089935763</v>
      </c>
      <c r="T22" s="362">
        <f t="shared" ref="T22:T32" si="8">IF(Q22&gt;0,+Q22/R22,0)</f>
        <v>1.192005710206995</v>
      </c>
      <c r="U22" s="325">
        <f t="shared" ref="U22:U32" si="9">IF(Q22&gt;0,+Q22/P22,0)</f>
        <v>2.7329379573988975E-3</v>
      </c>
      <c r="V22" s="50"/>
      <c r="W22" s="182">
        <f t="shared" si="1"/>
        <v>2012</v>
      </c>
      <c r="X22" s="56">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41938</v>
      </c>
      <c r="Y22" s="428"/>
      <c r="Z22" s="56">
        <f t="shared" ref="Z22:Z32" si="10">+X22+Y22</f>
        <v>41938</v>
      </c>
      <c r="AA22" s="212">
        <f>+IF($W$18='2. Customer Classes'!$B$18,+SUM('3. Consumption by Rate Class'!$M$37:$M$48),+IF($W$18='2. Customer Classes'!$B$19,+SUM('3. Consumption by Rate Class'!$P$37:$P$48),IF($W$18='2. Customer Classes'!$B$20,+SUM('3. Consumption by Rate Class'!$S$37:$S$48),0)))</f>
        <v>132</v>
      </c>
      <c r="AB22" s="212">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54</v>
      </c>
      <c r="AC22" s="359">
        <f t="shared" ref="AC22:AC32" si="11">IF(AA22&gt;0,+Z22/AB22,0)</f>
        <v>776.62962962962968</v>
      </c>
      <c r="AD22" s="362">
        <f t="shared" ref="AD22:AD32" si="12">IF(AA22&gt;0,+AA22/AB22,0)</f>
        <v>2.4444444444444446</v>
      </c>
      <c r="AE22" s="325">
        <f t="shared" ref="AE22:AE32" si="13">IF(AA22&gt;0,+AA22/Z22,0)</f>
        <v>3.1475034574848584E-3</v>
      </c>
      <c r="AG22" s="340">
        <f t="shared" ref="AG22:AG32" si="14">+B22</f>
        <v>2012</v>
      </c>
      <c r="AH22" s="56">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15193348</v>
      </c>
      <c r="AI22" s="428"/>
      <c r="AJ22" s="56">
        <f t="shared" ref="AJ22:AJ32" si="15">+AH22+AI22</f>
        <v>15193348</v>
      </c>
      <c r="AK22" s="212">
        <f>+IF($AG$18='2. Customer Classes'!$B$18,+SUM('3. Consumption by Rate Class'!$M$37:$M$48),+IF($AG$18='2. Customer Classes'!$B$19,+SUM('3. Consumption by Rate Class'!$P$37:$P$48),IF($AG$18='2. Customer Classes'!$B$20,+SUM('3. Consumption by Rate Class'!$S$37:$S$48),IF($AG$18='2. Customer Classes'!$B$21,+SUM('3. Consumption by Rate Class'!$V$37:$V$48),0))))</f>
        <v>39662.6</v>
      </c>
      <c r="AL22" s="212">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1</v>
      </c>
      <c r="AM22" s="359">
        <f>IF(AK22&gt;0,+AJ22/AL22,0)</f>
        <v>15193348</v>
      </c>
      <c r="AN22" s="362">
        <f t="shared" ref="AN22:AN32" si="16">IF(AK22&gt;0,+AK22/AL22,0)</f>
        <v>39662.6</v>
      </c>
      <c r="AO22" s="325">
        <f t="shared" ref="AO22:AO32" si="17">IF(AK22&gt;0,+AK22/AJ22,0)</f>
        <v>2.6105240266990526E-3</v>
      </c>
      <c r="AQ22" s="340">
        <f t="shared" ref="AQ22:AQ32" si="18">+B22</f>
        <v>2012</v>
      </c>
      <c r="AR22" s="56">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627467</v>
      </c>
      <c r="AS22" s="428"/>
      <c r="AT22" s="56">
        <f t="shared" ref="AT22:AT32" si="19">+AR22+AS22</f>
        <v>627467</v>
      </c>
      <c r="AU22" s="212">
        <f>+IF($AQ$18='2. Customer Classes'!$B$18,+SUM('3. Consumption by Rate Class'!$M$37:$M$48),+IF($AQ$18='2. Customer Classes'!$B$19,+SUM('3. Consumption by Rate Class'!$P$37:$P$48),IF($AQ$18='2. Customer Classes'!$B$20,+SUM('3. Consumption by Rate Class'!$S$37:$S$48),0)))</f>
        <v>0</v>
      </c>
      <c r="AV22" s="212">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94.5</v>
      </c>
      <c r="AW22" s="359">
        <f t="shared" ref="AW22:AW32" si="20">IF(AV22&gt;0,+AT22/AV22,0)</f>
        <v>6639.862433862434</v>
      </c>
      <c r="AX22" s="362">
        <f t="shared" ref="AX22:AX32" si="21">IF(AU22&gt;0,+AU22/AV22,0)</f>
        <v>0</v>
      </c>
      <c r="AY22" s="325">
        <f t="shared" ref="AY22:AY30" si="22">IF(AU22&gt;0,+AU22/AT22,0)</f>
        <v>0</v>
      </c>
    </row>
    <row r="23" spans="2:51" ht="12.75" customHeight="1">
      <c r="B23" s="182">
        <f>'4. Customer Growth'!B19</f>
        <v>2013</v>
      </c>
      <c r="C23" s="56">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125354819</v>
      </c>
      <c r="D23" s="428"/>
      <c r="E23" s="56">
        <f t="shared" si="2"/>
        <v>125354819</v>
      </c>
      <c r="F23" s="56">
        <f>+IF($B$18='2. Customer Classes'!$B$18,+SUM('3. Consumption by Rate Class'!$M$49:$M$60),+IF($B$18='2. Customer Classes'!$B$19,+SUM('3. Consumption by Rate Class'!$P$49:$P$60),IF($B$18='2. Customer Classes'!$B$20,+SUM('3. Consumption by Rate Class'!$S$49:$S$60),0)))</f>
        <v>323427</v>
      </c>
      <c r="G23" s="56">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141.5</v>
      </c>
      <c r="H23" s="359">
        <f t="shared" si="3"/>
        <v>885899.78091872786</v>
      </c>
      <c r="I23" s="362">
        <f t="shared" si="4"/>
        <v>2285.7031802120141</v>
      </c>
      <c r="J23" s="325">
        <f t="shared" si="5"/>
        <v>2.5800922739156922E-3</v>
      </c>
      <c r="K23" s="173"/>
      <c r="L23" s="173"/>
      <c r="M23" s="182">
        <f t="shared" si="0"/>
        <v>2013</v>
      </c>
      <c r="N23" s="56">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1249953</v>
      </c>
      <c r="O23" s="428"/>
      <c r="P23" s="56">
        <f t="shared" si="6"/>
        <v>1249953</v>
      </c>
      <c r="Q23" s="212">
        <f>+IF($M$18='2. Customer Classes'!$B$18,+SUM('3. Consumption by Rate Class'!$M$49:$M$60),+IF($M$18='2. Customer Classes'!$B$19,+SUM('3. Consumption by Rate Class'!$P$49:$P$60),IF($M$18='2. Customer Classes'!$B$20,+SUM('3. Consumption by Rate Class'!$S$49:$S$60),0)))</f>
        <v>3386</v>
      </c>
      <c r="R23" s="212">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2862</v>
      </c>
      <c r="S23" s="359">
        <f t="shared" si="7"/>
        <v>436.74109014675054</v>
      </c>
      <c r="T23" s="362">
        <f t="shared" si="8"/>
        <v>1.183088749126485</v>
      </c>
      <c r="U23" s="325">
        <f t="shared" si="9"/>
        <v>2.7089018547097371E-3</v>
      </c>
      <c r="V23" s="50"/>
      <c r="W23" s="182">
        <f t="shared" si="1"/>
        <v>2013</v>
      </c>
      <c r="X23" s="56">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44355</v>
      </c>
      <c r="Y23" s="428"/>
      <c r="Z23" s="56">
        <f t="shared" si="10"/>
        <v>44355</v>
      </c>
      <c r="AA23" s="212">
        <f>+IF($W$18='2. Customer Classes'!$B$18,+SUM('3. Consumption by Rate Class'!$M$49:$M$60),+IF($W$18='2. Customer Classes'!$B$19,+SUM('3. Consumption by Rate Class'!$P$49:$P$60),IF($W$18='2. Customer Classes'!$B$20,+SUM('3. Consumption by Rate Class'!$S$49:$S$60),0)))</f>
        <v>132</v>
      </c>
      <c r="AB23" s="212">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54</v>
      </c>
      <c r="AC23" s="359">
        <f t="shared" si="11"/>
        <v>821.38888888888891</v>
      </c>
      <c r="AD23" s="362">
        <f t="shared" si="12"/>
        <v>2.4444444444444446</v>
      </c>
      <c r="AE23" s="325">
        <f t="shared" si="13"/>
        <v>2.9759891782211701E-3</v>
      </c>
      <c r="AG23" s="340">
        <f t="shared" si="14"/>
        <v>2013</v>
      </c>
      <c r="AH23" s="56">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13952451</v>
      </c>
      <c r="AI23" s="428"/>
      <c r="AJ23" s="56">
        <f t="shared" si="15"/>
        <v>13952451</v>
      </c>
      <c r="AK23" s="212">
        <f>+IF($AG$18='2. Customer Classes'!$B$18,+SUM('3. Consumption by Rate Class'!$M$49:$M$60),+IF($AG$18='2. Customer Classes'!$B$19,+SUM('3. Consumption by Rate Class'!$P$49:$P$60),IF($AG$18='2. Customer Classes'!$B$20,+SUM('3. Consumption by Rate Class'!$S$49:$S$60),IF($AG$18='2. Customer Classes'!$B$21,+SUM('3. Consumption by Rate Class'!$V$49:$V$60),0))))</f>
        <v>37942.600000000006</v>
      </c>
      <c r="AL23" s="212">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1</v>
      </c>
      <c r="AM23" s="359">
        <f t="shared" ref="AM23:AM32" si="23">IF(AK23&gt;0,+AJ23/AL23,0)</f>
        <v>13952451</v>
      </c>
      <c r="AN23" s="362">
        <f t="shared" si="16"/>
        <v>37942.600000000006</v>
      </c>
      <c r="AO23" s="325">
        <f t="shared" si="17"/>
        <v>2.7194218420835167E-3</v>
      </c>
      <c r="AQ23" s="340">
        <f t="shared" si="18"/>
        <v>2013</v>
      </c>
      <c r="AR23" s="56">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668402</v>
      </c>
      <c r="AS23" s="428"/>
      <c r="AT23" s="56">
        <f t="shared" si="19"/>
        <v>668402</v>
      </c>
      <c r="AU23" s="212">
        <f>+IF($AQ$18='2. Customer Classes'!$B$18,+SUM('3. Consumption by Rate Class'!$M$49:$M$60),+IF($AQ$18='2. Customer Classes'!$B$19,+SUM('3. Consumption by Rate Class'!$P$49:$P$60),IF($AQ$18='2. Customer Classes'!$B$20,+SUM('3. Consumption by Rate Class'!$S$49:$S$60),0)))</f>
        <v>0</v>
      </c>
      <c r="AV23" s="212">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93.5</v>
      </c>
      <c r="AW23" s="359">
        <f t="shared" si="20"/>
        <v>7148.6844919786099</v>
      </c>
      <c r="AX23" s="362">
        <f t="shared" si="21"/>
        <v>0</v>
      </c>
      <c r="AY23" s="325">
        <f t="shared" si="22"/>
        <v>0</v>
      </c>
    </row>
    <row r="24" spans="2:51" ht="12.75" customHeight="1">
      <c r="B24" s="182">
        <f>'4. Customer Growth'!B20</f>
        <v>2014</v>
      </c>
      <c r="C24" s="56">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119336146</v>
      </c>
      <c r="D24" s="428"/>
      <c r="E24" s="56">
        <f t="shared" si="2"/>
        <v>119336146</v>
      </c>
      <c r="F24" s="56">
        <f>+IF($B$18='2. Customer Classes'!$B$18,+SUM('3. Consumption by Rate Class'!$M$61:$M$72),+IF($B$18='2. Customer Classes'!$B$19,+SUM('3. Consumption by Rate Class'!$P$61:$P$72),IF($B$18='2. Customer Classes'!$B$20,+SUM('3. Consumption by Rate Class'!$S$61:$S$72),0)))</f>
        <v>314352.19999999995</v>
      </c>
      <c r="G24" s="56">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138</v>
      </c>
      <c r="H24" s="359">
        <f t="shared" si="3"/>
        <v>864754.68115942029</v>
      </c>
      <c r="I24" s="362">
        <f t="shared" si="4"/>
        <v>2277.9144927536227</v>
      </c>
      <c r="J24" s="325">
        <f t="shared" si="5"/>
        <v>2.634174225804141E-3</v>
      </c>
      <c r="K24" s="173"/>
      <c r="L24" s="173"/>
      <c r="M24" s="182">
        <f t="shared" si="0"/>
        <v>2014</v>
      </c>
      <c r="N24" s="56">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1258253</v>
      </c>
      <c r="O24" s="428"/>
      <c r="P24" s="56">
        <f t="shared" si="6"/>
        <v>1258253</v>
      </c>
      <c r="Q24" s="212">
        <f>+IF($M$18='2. Customer Classes'!$B$18,+SUM('3. Consumption by Rate Class'!$M$61:$M$72),+IF($M$18='2. Customer Classes'!$B$19,+SUM('3. Consumption by Rate Class'!$P$61:$P$72),IF($M$18='2. Customer Classes'!$B$20,+SUM('3. Consumption by Rate Class'!$S$61:$S$72),0)))</f>
        <v>3408.5999999999995</v>
      </c>
      <c r="R24" s="212">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2634</v>
      </c>
      <c r="S24" s="359">
        <f t="shared" si="7"/>
        <v>477.69665907365226</v>
      </c>
      <c r="T24" s="362">
        <f t="shared" si="8"/>
        <v>1.2940774487471525</v>
      </c>
      <c r="U24" s="325">
        <f t="shared" si="9"/>
        <v>2.7089941371091501E-3</v>
      </c>
      <c r="V24" s="50"/>
      <c r="W24" s="182">
        <f t="shared" si="1"/>
        <v>2014</v>
      </c>
      <c r="X24" s="56">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42943</v>
      </c>
      <c r="Y24" s="428"/>
      <c r="Z24" s="56">
        <f t="shared" si="10"/>
        <v>42943</v>
      </c>
      <c r="AA24" s="518">
        <f>+IF($W$18='2. Customer Classes'!$B$18,+SUM('3. Consumption by Rate Class'!$M$61:$M$72),+IF($W$18='2. Customer Classes'!$B$19,+SUM('3. Consumption by Rate Class'!$P$61:$P$72),IF($W$18='2. Customer Classes'!$B$20,+SUM('3. Consumption by Rate Class'!$S$61:$S$72),0)))</f>
        <v>132</v>
      </c>
      <c r="AB24" s="212">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54</v>
      </c>
      <c r="AC24" s="359">
        <f t="shared" si="11"/>
        <v>795.24074074074076</v>
      </c>
      <c r="AD24" s="362">
        <f t="shared" si="12"/>
        <v>2.4444444444444446</v>
      </c>
      <c r="AE24" s="325">
        <f t="shared" si="13"/>
        <v>3.073842069720327E-3</v>
      </c>
      <c r="AG24" s="340">
        <f t="shared" si="14"/>
        <v>2014</v>
      </c>
      <c r="AH24" s="56">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12584229</v>
      </c>
      <c r="AI24" s="428"/>
      <c r="AJ24" s="56">
        <f t="shared" si="15"/>
        <v>12584229</v>
      </c>
      <c r="AK24" s="212">
        <f>+IF($AG$18='2. Customer Classes'!$B$18,+SUM('3. Consumption by Rate Class'!$M$61:$M$72),+IF($AG$18='2. Customer Classes'!$B$19,+SUM('3. Consumption by Rate Class'!$P$61:$P$72),IF($AG$18='2. Customer Classes'!$B$20,+SUM('3. Consumption by Rate Class'!$S$61:$S$72),IF($AG$18='2. Customer Classes'!$B$21,+SUM('3. Consumption by Rate Class'!$V$61:$V$72),0))))</f>
        <v>36603.599999999999</v>
      </c>
      <c r="AL24" s="212">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1</v>
      </c>
      <c r="AM24" s="359">
        <f t="shared" si="23"/>
        <v>12584229</v>
      </c>
      <c r="AN24" s="362">
        <f t="shared" si="16"/>
        <v>36603.599999999999</v>
      </c>
      <c r="AO24" s="325">
        <f t="shared" si="17"/>
        <v>2.9086883272705861E-3</v>
      </c>
      <c r="AQ24" s="340">
        <f t="shared" si="18"/>
        <v>2014</v>
      </c>
      <c r="AR24" s="56">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555548</v>
      </c>
      <c r="AS24" s="428"/>
      <c r="AT24" s="56">
        <f t="shared" si="19"/>
        <v>555548</v>
      </c>
      <c r="AU24" s="212">
        <f>+IF($AQ$18='2. Customer Classes'!$B$18,+SUM('3. Consumption by Rate Class'!$M$61:$M$72),+IF($AQ$18='2. Customer Classes'!$B$19,+SUM('3. Consumption by Rate Class'!$P$61:$P$72),IF($AQ$18='2. Customer Classes'!$B$20,+SUM('3. Consumption by Rate Class'!$S$61:$S$72),0)))</f>
        <v>0</v>
      </c>
      <c r="AV24" s="212">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93</v>
      </c>
      <c r="AW24" s="359">
        <f t="shared" si="20"/>
        <v>5973.6344086021509</v>
      </c>
      <c r="AX24" s="362">
        <f t="shared" si="21"/>
        <v>0</v>
      </c>
      <c r="AY24" s="325">
        <f t="shared" si="22"/>
        <v>0</v>
      </c>
    </row>
    <row r="25" spans="2:51" ht="12.75" customHeight="1">
      <c r="B25" s="182">
        <f>'4. Customer Growth'!B21</f>
        <v>2015</v>
      </c>
      <c r="C25" s="56">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115685946</v>
      </c>
      <c r="D25" s="428"/>
      <c r="E25" s="56">
        <f t="shared" si="2"/>
        <v>115685946</v>
      </c>
      <c r="F25" s="56">
        <f>+IF($B$18='2. Customer Classes'!$B$18,+SUM('3. Consumption by Rate Class'!$M$73:$M$84),+IF($B$18='2. Customer Classes'!$B$19,+SUM('3. Consumption by Rate Class'!$P$73:$P$84),IF($B$18='2. Customer Classes'!$B$20,+SUM('3. Consumption by Rate Class'!$S$73:$S$84),0)))</f>
        <v>306814.40000000002</v>
      </c>
      <c r="G25" s="56">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134</v>
      </c>
      <c r="H25" s="359">
        <f t="shared" si="3"/>
        <v>863327.95522388059</v>
      </c>
      <c r="I25" s="362">
        <f t="shared" si="4"/>
        <v>2289.6597014925374</v>
      </c>
      <c r="J25" s="325">
        <f t="shared" si="5"/>
        <v>2.6521320057321398E-3</v>
      </c>
      <c r="K25" s="173"/>
      <c r="L25" s="173"/>
      <c r="M25" s="182">
        <f t="shared" si="0"/>
        <v>2015</v>
      </c>
      <c r="N25" s="56">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1439933</v>
      </c>
      <c r="O25" s="428"/>
      <c r="P25" s="56">
        <f t="shared" si="6"/>
        <v>1439933</v>
      </c>
      <c r="Q25" s="212">
        <f>+IF($M$18='2. Customer Classes'!$B$18,+SUM('3. Consumption by Rate Class'!$M$73:$M$84),+IF($M$18='2. Customer Classes'!$B$19,+SUM('3. Consumption by Rate Class'!$P$73:$P$84),IF($M$18='2. Customer Classes'!$B$20,+SUM('3. Consumption by Rate Class'!$S$73:$S$84),0)))</f>
        <v>3416</v>
      </c>
      <c r="R25" s="212">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2694</v>
      </c>
      <c r="S25" s="359">
        <f t="shared" si="7"/>
        <v>534.49628804751296</v>
      </c>
      <c r="T25" s="362">
        <f t="shared" si="8"/>
        <v>1.2680029695619897</v>
      </c>
      <c r="U25" s="325">
        <f t="shared" si="9"/>
        <v>2.3723326015863237E-3</v>
      </c>
      <c r="V25" s="50"/>
      <c r="W25" s="182">
        <f t="shared" si="1"/>
        <v>2015</v>
      </c>
      <c r="X25" s="56">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43818</v>
      </c>
      <c r="Y25" s="428"/>
      <c r="Z25" s="56">
        <f t="shared" si="10"/>
        <v>43818</v>
      </c>
      <c r="AA25" s="212">
        <f>+IF($W$18='2. Customer Classes'!$B$18,+SUM('3. Consumption by Rate Class'!$M$73:$M$84),+IF($W$18='2. Customer Classes'!$B$19,+SUM('3. Consumption by Rate Class'!$P$73:$P$84),IF($W$18='2. Customer Classes'!$B$20,+SUM('3. Consumption by Rate Class'!$S$73:$S$84),0)))</f>
        <v>132</v>
      </c>
      <c r="AB25" s="212">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54</v>
      </c>
      <c r="AC25" s="359">
        <f t="shared" si="11"/>
        <v>811.44444444444446</v>
      </c>
      <c r="AD25" s="362">
        <f t="shared" si="12"/>
        <v>2.4444444444444446</v>
      </c>
      <c r="AE25" s="325">
        <f t="shared" si="13"/>
        <v>3.0124606326167327E-3</v>
      </c>
      <c r="AG25" s="340">
        <f t="shared" si="14"/>
        <v>2015</v>
      </c>
      <c r="AH25" s="56">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14943860</v>
      </c>
      <c r="AI25" s="428"/>
      <c r="AJ25" s="56">
        <f t="shared" si="15"/>
        <v>14943860</v>
      </c>
      <c r="AK25" s="212">
        <f>+IF($AG$18='2. Customer Classes'!$B$18,+SUM('3. Consumption by Rate Class'!$M$73:$M$84),+IF($AG$18='2. Customer Classes'!$B$19,+SUM('3. Consumption by Rate Class'!$P$73:$P$84),IF($AG$18='2. Customer Classes'!$B$20,+SUM('3. Consumption by Rate Class'!$S$73:$S$84),IF($AG$18='2. Customer Classes'!$B$21,+SUM('3. Consumption by Rate Class'!$V$73:$V$84),0))))</f>
        <v>33867.5</v>
      </c>
      <c r="AL25" s="212">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1</v>
      </c>
      <c r="AM25" s="359">
        <f t="shared" si="23"/>
        <v>14943860</v>
      </c>
      <c r="AN25" s="362">
        <f t="shared" si="16"/>
        <v>33867.5</v>
      </c>
      <c r="AO25" s="325">
        <f t="shared" si="17"/>
        <v>2.2663153964236817E-3</v>
      </c>
      <c r="AQ25" s="340">
        <f t="shared" si="18"/>
        <v>2015</v>
      </c>
      <c r="AR25" s="56">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602228</v>
      </c>
      <c r="AS25" s="428"/>
      <c r="AT25" s="56">
        <f t="shared" si="19"/>
        <v>602228</v>
      </c>
      <c r="AU25" s="212">
        <f>+IF($AQ$18='2. Customer Classes'!$B$18,+SUM('3. Consumption by Rate Class'!$M$73:$M$84),+IF($AQ$18='2. Customer Classes'!$B$19,+SUM('3. Consumption by Rate Class'!$P$73:$P$84),IF($AQ$18='2. Customer Classes'!$B$20,+SUM('3. Consumption by Rate Class'!$S$73:$S$84),0)))</f>
        <v>0</v>
      </c>
      <c r="AV25" s="212">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90</v>
      </c>
      <c r="AW25" s="359">
        <f t="shared" si="20"/>
        <v>6691.4222222222224</v>
      </c>
      <c r="AX25" s="362">
        <f t="shared" si="21"/>
        <v>0</v>
      </c>
      <c r="AY25" s="325">
        <f t="shared" si="22"/>
        <v>0</v>
      </c>
    </row>
    <row r="26" spans="2:51" ht="12.75" customHeight="1">
      <c r="B26" s="182">
        <f>'4. Customer Growth'!B22</f>
        <v>2016</v>
      </c>
      <c r="C26" s="56">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104065809</v>
      </c>
      <c r="D26" s="428"/>
      <c r="E26" s="56">
        <f t="shared" si="2"/>
        <v>104065809</v>
      </c>
      <c r="F26" s="56">
        <f>+IF($B$18='2. Customer Classes'!$B$18,+SUM('3. Consumption by Rate Class'!$M$85:$M$96),+IF($B$18='2. Customer Classes'!$B$19,+SUM('3. Consumption by Rate Class'!$P$85:$P$96),IF($B$18='2. Customer Classes'!$B$20,+SUM('3. Consumption by Rate Class'!$S$85:$S$96),0)))</f>
        <v>305435</v>
      </c>
      <c r="G26" s="56">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134</v>
      </c>
      <c r="H26" s="359">
        <f t="shared" si="3"/>
        <v>776610.51492537314</v>
      </c>
      <c r="I26" s="362">
        <f t="shared" si="4"/>
        <v>2279.3656716417909</v>
      </c>
      <c r="J26" s="325">
        <f t="shared" si="5"/>
        <v>2.9350177828339373E-3</v>
      </c>
      <c r="K26" s="173"/>
      <c r="L26" s="173"/>
      <c r="M26" s="182">
        <f t="shared" si="0"/>
        <v>2016</v>
      </c>
      <c r="N26" s="56">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1080612</v>
      </c>
      <c r="O26" s="428"/>
      <c r="P26" s="56">
        <f t="shared" si="6"/>
        <v>1080612</v>
      </c>
      <c r="Q26" s="212">
        <f>+IF($M$18='2. Customer Classes'!$B$18,+SUM('3. Consumption by Rate Class'!$M$85:$M$96),+IF($M$18='2. Customer Classes'!$B$19,+SUM('3. Consumption by Rate Class'!$P$85:$P$96),IF($M$18='2. Customer Classes'!$B$20,+SUM('3. Consumption by Rate Class'!$S$85:$S$96),0)))</f>
        <v>2916</v>
      </c>
      <c r="R26" s="212">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2491</v>
      </c>
      <c r="S26" s="359">
        <f t="shared" si="7"/>
        <v>433.8065034122842</v>
      </c>
      <c r="T26" s="362">
        <f t="shared" si="8"/>
        <v>1.1706142111601767</v>
      </c>
      <c r="U26" s="325">
        <f t="shared" si="9"/>
        <v>2.6984708665089784E-3</v>
      </c>
      <c r="V26" s="50"/>
      <c r="W26" s="182">
        <f t="shared" si="1"/>
        <v>2016</v>
      </c>
      <c r="X26" s="56">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45385.920000000013</v>
      </c>
      <c r="Y26" s="428"/>
      <c r="Z26" s="56">
        <f t="shared" si="10"/>
        <v>45385.920000000013</v>
      </c>
      <c r="AA26" s="212">
        <f>+IF($W$18='2. Customer Classes'!$B$18,+SUM('3. Consumption by Rate Class'!$M$85:$M$96),+IF($W$18='2. Customer Classes'!$B$19,+SUM('3. Consumption by Rate Class'!$P$85:$P$96),IF($W$18='2. Customer Classes'!$B$20,+SUM('3. Consumption by Rate Class'!$S$85:$S$96),0)))</f>
        <v>132</v>
      </c>
      <c r="AB26" s="212">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48</v>
      </c>
      <c r="AC26" s="359">
        <f t="shared" si="11"/>
        <v>945.5400000000003</v>
      </c>
      <c r="AD26" s="362">
        <f t="shared" si="12"/>
        <v>2.75</v>
      </c>
      <c r="AE26" s="325">
        <f t="shared" si="13"/>
        <v>2.9083909723544208E-3</v>
      </c>
      <c r="AG26" s="340">
        <f t="shared" si="14"/>
        <v>2016</v>
      </c>
      <c r="AH26" s="56">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15890466</v>
      </c>
      <c r="AI26" s="428"/>
      <c r="AJ26" s="56">
        <f t="shared" si="15"/>
        <v>15890466</v>
      </c>
      <c r="AK26" s="212">
        <f>+IF($AG$18='2. Customer Classes'!$B$18,+SUM('3. Consumption by Rate Class'!$M$85:$M$96),+IF($AG$18='2. Customer Classes'!$B$19,+SUM('3. Consumption by Rate Class'!$P$85:$P$96),IF($AG$18='2. Customer Classes'!$B$20,+SUM('3. Consumption by Rate Class'!$S$85:$S$96),IF($AG$18='2. Customer Classes'!$B$21,+SUM('3. Consumption by Rate Class'!$V$85:$V$96),0))))</f>
        <v>37224</v>
      </c>
      <c r="AL26" s="212">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1</v>
      </c>
      <c r="AM26" s="359">
        <f t="shared" si="23"/>
        <v>15890466</v>
      </c>
      <c r="AN26" s="362">
        <f t="shared" si="16"/>
        <v>37224</v>
      </c>
      <c r="AO26" s="325">
        <f t="shared" si="17"/>
        <v>2.3425367135236942E-3</v>
      </c>
      <c r="AQ26" s="340">
        <f t="shared" si="18"/>
        <v>2016</v>
      </c>
      <c r="AR26" s="56">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613092</v>
      </c>
      <c r="AS26" s="428"/>
      <c r="AT26" s="56">
        <f t="shared" si="19"/>
        <v>613092</v>
      </c>
      <c r="AU26" s="212">
        <f>+IF($AQ$18='2. Customer Classes'!$B$18,+SUM('3. Consumption by Rate Class'!$M$85:$M$96),+IF($AQ$18='2. Customer Classes'!$B$19,+SUM('3. Consumption by Rate Class'!$P$85:$P$96),IF($AQ$18='2. Customer Classes'!$B$20,+SUM('3. Consumption by Rate Class'!$S$85:$S$96),0)))</f>
        <v>0</v>
      </c>
      <c r="AV26" s="212">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85</v>
      </c>
      <c r="AW26" s="359">
        <f t="shared" si="20"/>
        <v>7212.8470588235296</v>
      </c>
      <c r="AX26" s="362">
        <f t="shared" si="21"/>
        <v>0</v>
      </c>
      <c r="AY26" s="325">
        <f t="shared" si="22"/>
        <v>0</v>
      </c>
    </row>
    <row r="27" spans="2:51" ht="12.75" customHeight="1">
      <c r="B27" s="182">
        <f>'4. Customer Growth'!B23</f>
        <v>2017</v>
      </c>
      <c r="C27" s="56">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101900559</v>
      </c>
      <c r="D27" s="428"/>
      <c r="E27" s="56">
        <f t="shared" si="2"/>
        <v>101900559</v>
      </c>
      <c r="F27" s="56">
        <f>+IF($B$18='2. Customer Classes'!$B$18,+SUM('3. Consumption by Rate Class'!$M$97:$M$108),+IF($B$18='2. Customer Classes'!$B$19,+SUM('3. Consumption by Rate Class'!$P$97:$P$108),IF($B$18='2. Customer Classes'!$B$20,+SUM('3. Consumption by Rate Class'!$S$97:$S$108),0)))</f>
        <v>292263</v>
      </c>
      <c r="G27" s="56">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130.5</v>
      </c>
      <c r="H27" s="359">
        <f t="shared" si="3"/>
        <v>780847.19540229882</v>
      </c>
      <c r="I27" s="362">
        <f t="shared" si="4"/>
        <v>2239.5632183908046</v>
      </c>
      <c r="J27" s="325">
        <f t="shared" si="5"/>
        <v>2.868119693043097E-3</v>
      </c>
      <c r="K27" s="173"/>
      <c r="L27" s="173"/>
      <c r="M27" s="182">
        <f t="shared" si="0"/>
        <v>2017</v>
      </c>
      <c r="N27" s="56">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1077264</v>
      </c>
      <c r="O27" s="428"/>
      <c r="P27" s="56">
        <f t="shared" si="6"/>
        <v>1077264</v>
      </c>
      <c r="Q27" s="212">
        <f>+IF($M$18='2. Customer Classes'!$B$18,+SUM('3. Consumption by Rate Class'!$M$97:$M$108),+IF($M$18='2. Customer Classes'!$B$19,+SUM('3. Consumption by Rate Class'!$P$97:$P$108),IF($M$18='2. Customer Classes'!$B$20,+SUM('3. Consumption by Rate Class'!$S$97:$S$108),0)))</f>
        <v>2916</v>
      </c>
      <c r="R27" s="212">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2593</v>
      </c>
      <c r="S27" s="359">
        <f t="shared" si="7"/>
        <v>415.45082915541843</v>
      </c>
      <c r="T27" s="362">
        <f t="shared" si="8"/>
        <v>1.1245661396066333</v>
      </c>
      <c r="U27" s="325">
        <f t="shared" si="9"/>
        <v>2.7068573720090898E-3</v>
      </c>
      <c r="V27" s="50"/>
      <c r="W27" s="182">
        <f t="shared" si="1"/>
        <v>2017</v>
      </c>
      <c r="X27" s="56">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45385.920000000013</v>
      </c>
      <c r="Y27" s="428"/>
      <c r="Z27" s="56">
        <f t="shared" si="10"/>
        <v>45385.920000000013</v>
      </c>
      <c r="AA27" s="212">
        <f>+IF($W$18='2. Customer Classes'!$B$18,+SUM('3. Consumption by Rate Class'!$M$97:$M$108),+IF($W$18='2. Customer Classes'!$B$19,+SUM('3. Consumption by Rate Class'!$P$97:$P$108),IF($W$18='2. Customer Classes'!$B$20,+SUM('3. Consumption by Rate Class'!$S$97:$S$108),0)))</f>
        <v>132</v>
      </c>
      <c r="AB27" s="212">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48</v>
      </c>
      <c r="AC27" s="359">
        <f t="shared" si="11"/>
        <v>945.5400000000003</v>
      </c>
      <c r="AD27" s="362">
        <f t="shared" si="12"/>
        <v>2.75</v>
      </c>
      <c r="AE27" s="325">
        <f t="shared" si="13"/>
        <v>2.9083909723544208E-3</v>
      </c>
      <c r="AG27" s="340">
        <f t="shared" si="14"/>
        <v>2017</v>
      </c>
      <c r="AH27" s="56">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18956591</v>
      </c>
      <c r="AI27" s="428"/>
      <c r="AJ27" s="56">
        <f t="shared" si="15"/>
        <v>18956591</v>
      </c>
      <c r="AK27" s="212">
        <f>+IF($AG$18='2. Customer Classes'!$B$18,+SUM('3. Consumption by Rate Class'!$M$97:$M$108),+IF($AG$18='2. Customer Classes'!$B$19,+SUM('3. Consumption by Rate Class'!$P$97:$P$108),IF($AG$18='2. Customer Classes'!$B$20,+SUM('3. Consumption by Rate Class'!$S$97:$S$108),IF($AG$18='2. Customer Classes'!$B$21,+SUM('3. Consumption by Rate Class'!$V$97:$V$108),0))))</f>
        <v>39385</v>
      </c>
      <c r="AL27" s="212">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1</v>
      </c>
      <c r="AM27" s="359">
        <f t="shared" si="23"/>
        <v>18956591</v>
      </c>
      <c r="AN27" s="362">
        <f t="shared" si="16"/>
        <v>39385</v>
      </c>
      <c r="AO27" s="325">
        <f t="shared" si="17"/>
        <v>2.0776414915529909E-3</v>
      </c>
      <c r="AQ27" s="340">
        <f t="shared" si="18"/>
        <v>2017</v>
      </c>
      <c r="AR27" s="56">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615642</v>
      </c>
      <c r="AS27" s="428"/>
      <c r="AT27" s="56">
        <f t="shared" si="19"/>
        <v>615642</v>
      </c>
      <c r="AU27" s="212">
        <f>+IF($AQ$18='2. Customer Classes'!$B$18,+SUM('3. Consumption by Rate Class'!$M$97:$M$108),+IF($AQ$18='2. Customer Classes'!$B$19,+SUM('3. Consumption by Rate Class'!$P$97:$P$108),IF($AQ$18='2. Customer Classes'!$B$20,+SUM('3. Consumption by Rate Class'!$S$97:$S$108),0)))</f>
        <v>0</v>
      </c>
      <c r="AV27" s="212">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84</v>
      </c>
      <c r="AW27" s="359">
        <f t="shared" si="20"/>
        <v>7329.0714285714284</v>
      </c>
      <c r="AX27" s="362">
        <f t="shared" si="21"/>
        <v>0</v>
      </c>
      <c r="AY27" s="325">
        <f t="shared" si="22"/>
        <v>0</v>
      </c>
    </row>
    <row r="28" spans="2:51" ht="12.75" customHeight="1">
      <c r="B28" s="182">
        <f>'4. Customer Growth'!B24</f>
        <v>2018</v>
      </c>
      <c r="C28" s="56">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111495775.55</v>
      </c>
      <c r="D28" s="428"/>
      <c r="E28" s="56">
        <f t="shared" si="2"/>
        <v>111495775.55</v>
      </c>
      <c r="F28" s="56">
        <f>+IF($B$18='2. Customer Classes'!$B$18,+SUM('3. Consumption by Rate Class'!$M$109:$M$120),+IF($B$18='2. Customer Classes'!$B$19,+SUM('3. Consumption by Rate Class'!$P$109:$P$120),IF($B$18='2. Customer Classes'!$B$20,+SUM('3. Consumption by Rate Class'!$S$109:$S$120),0)))</f>
        <v>297531.40000000002</v>
      </c>
      <c r="G28" s="56">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120.5</v>
      </c>
      <c r="H28" s="359">
        <f t="shared" si="3"/>
        <v>925276.14564315346</v>
      </c>
      <c r="I28" s="362">
        <f t="shared" si="4"/>
        <v>2469.1402489626557</v>
      </c>
      <c r="J28" s="325">
        <f t="shared" si="5"/>
        <v>2.6685441536443938E-3</v>
      </c>
      <c r="K28" s="173"/>
      <c r="L28" s="173"/>
      <c r="M28" s="182">
        <f t="shared" si="0"/>
        <v>2018</v>
      </c>
      <c r="N28" s="56">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1087264</v>
      </c>
      <c r="O28" s="428"/>
      <c r="P28" s="56">
        <f t="shared" si="6"/>
        <v>1087264</v>
      </c>
      <c r="Q28" s="212">
        <f>+IF($M$18='2. Customer Classes'!$B$18,+SUM('3. Consumption by Rate Class'!$M$109:$M$120),+IF($M$18='2. Customer Classes'!$B$19,+SUM('3. Consumption by Rate Class'!$P$109:$P$120),IF($M$18='2. Customer Classes'!$B$20,+SUM('3. Consumption by Rate Class'!$S$109:$S$120),0)))</f>
        <v>2916</v>
      </c>
      <c r="R28" s="212">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2837.5</v>
      </c>
      <c r="S28" s="359">
        <f t="shared" si="7"/>
        <v>383.1767400881057</v>
      </c>
      <c r="T28" s="362">
        <f t="shared" si="8"/>
        <v>1.0276651982378855</v>
      </c>
      <c r="U28" s="325">
        <f t="shared" si="9"/>
        <v>2.6819613267798806E-3</v>
      </c>
      <c r="V28" s="50"/>
      <c r="W28" s="182">
        <f t="shared" si="1"/>
        <v>2018</v>
      </c>
      <c r="X28" s="56">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44705.52</v>
      </c>
      <c r="Y28" s="428"/>
      <c r="Z28" s="56">
        <f t="shared" si="10"/>
        <v>44705.52</v>
      </c>
      <c r="AA28" s="212">
        <f>+IF($W$18='2. Customer Classes'!$B$18,+SUM('3. Consumption by Rate Class'!$M$109:$M$120),+IF($W$18='2. Customer Classes'!$B$19,+SUM('3. Consumption by Rate Class'!$P$109:$P$120),IF($W$18='2. Customer Classes'!$B$20,+SUM('3. Consumption by Rate Class'!$S$109:$S$120),0)))</f>
        <v>132</v>
      </c>
      <c r="AB28" s="212">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47.5</v>
      </c>
      <c r="AC28" s="359">
        <f t="shared" si="11"/>
        <v>941.16884210526314</v>
      </c>
      <c r="AD28" s="362">
        <f t="shared" si="12"/>
        <v>2.7789473684210528</v>
      </c>
      <c r="AE28" s="325">
        <f t="shared" si="13"/>
        <v>2.9526555109972998E-3</v>
      </c>
      <c r="AG28" s="340">
        <f t="shared" si="14"/>
        <v>2018</v>
      </c>
      <c r="AH28" s="56">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20169223</v>
      </c>
      <c r="AI28" s="428"/>
      <c r="AJ28" s="56">
        <f t="shared" si="15"/>
        <v>20169223</v>
      </c>
      <c r="AK28" s="518">
        <f>+IF($AG$18='2. Customer Classes'!$B$18,+SUM('3. Consumption by Rate Class'!$M$109:$M$120),+IF($AG$18='2. Customer Classes'!$B$19,+SUM('3. Consumption by Rate Class'!$P$109:$P$120),IF($AG$18='2. Customer Classes'!$B$20,+SUM('3. Consumption by Rate Class'!$S$109:$S$120),IF($AG$18='2. Customer Classes'!$B$21,+SUM('3. Consumption by Rate Class'!$V$109:$V$120),0))))</f>
        <v>42960.800000000003</v>
      </c>
      <c r="AL28" s="212">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1</v>
      </c>
      <c r="AM28" s="359">
        <f t="shared" si="23"/>
        <v>20169223</v>
      </c>
      <c r="AN28" s="362">
        <f t="shared" si="16"/>
        <v>42960.800000000003</v>
      </c>
      <c r="AO28" s="325">
        <f t="shared" si="17"/>
        <v>2.1300176015704719E-3</v>
      </c>
      <c r="AQ28" s="340">
        <f t="shared" si="18"/>
        <v>2018</v>
      </c>
      <c r="AR28" s="56">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614016</v>
      </c>
      <c r="AS28" s="428"/>
      <c r="AT28" s="56">
        <f t="shared" si="19"/>
        <v>614016</v>
      </c>
      <c r="AU28" s="212">
        <f>+IF($AQ$18='2. Customer Classes'!$B$18,+SUM('3. Consumption by Rate Class'!$M$109:$M$120),+IF($AQ$18='2. Customer Classes'!$B$19,+SUM('3. Consumption by Rate Class'!$P$109:$P$120),IF($AQ$18='2. Customer Classes'!$B$20,+SUM('3. Consumption by Rate Class'!$S$109:$S$120),0)))</f>
        <v>0</v>
      </c>
      <c r="AV28" s="212">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84</v>
      </c>
      <c r="AW28" s="359">
        <f t="shared" si="20"/>
        <v>7309.7142857142853</v>
      </c>
      <c r="AX28" s="362">
        <f t="shared" si="21"/>
        <v>0</v>
      </c>
      <c r="AY28" s="325">
        <f t="shared" si="22"/>
        <v>0</v>
      </c>
    </row>
    <row r="29" spans="2:51" ht="12.75" customHeight="1">
      <c r="B29" s="182">
        <f>'4. Customer Growth'!B25</f>
        <v>2019</v>
      </c>
      <c r="C29" s="56">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115404710</v>
      </c>
      <c r="D29" s="428"/>
      <c r="E29" s="56">
        <f t="shared" si="2"/>
        <v>115404710</v>
      </c>
      <c r="F29" s="56">
        <f>+IF($B$18='2. Customer Classes'!$B$18,+SUM('3. Consumption by Rate Class'!$M$121:$M$132),+IF($B$18='2. Customer Classes'!$B$19,+SUM('3. Consumption by Rate Class'!$P$121:$P$132),IF($B$18='2. Customer Classes'!$B$20,+SUM('3. Consumption by Rate Class'!$S$121:$S$132),0)))</f>
        <v>278379.43000000005</v>
      </c>
      <c r="G29" s="56">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114</v>
      </c>
      <c r="H29" s="359">
        <f t="shared" si="3"/>
        <v>1012322.0175438597</v>
      </c>
      <c r="I29" s="362">
        <f t="shared" si="4"/>
        <v>2441.924824561404</v>
      </c>
      <c r="J29" s="325">
        <f t="shared" si="5"/>
        <v>2.412201633711484E-3</v>
      </c>
      <c r="K29" s="173"/>
      <c r="L29" s="173"/>
      <c r="M29" s="182">
        <f t="shared" si="0"/>
        <v>2019</v>
      </c>
      <c r="N29" s="56">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1077264</v>
      </c>
      <c r="O29" s="428"/>
      <c r="P29" s="56">
        <f t="shared" si="6"/>
        <v>1077264</v>
      </c>
      <c r="Q29" s="212">
        <f>+IF($M$18='2. Customer Classes'!$B$18,+SUM('3. Consumption by Rate Class'!$M$121:$M$132),+IF($M$18='2. Customer Classes'!$B$19,+SUM('3. Consumption by Rate Class'!$P$121:$P$132),IF($M$18='2. Customer Classes'!$B$20,+SUM('3. Consumption by Rate Class'!$S$121:$S$132),0)))</f>
        <v>2916</v>
      </c>
      <c r="R29" s="212">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3082</v>
      </c>
      <c r="S29" s="359">
        <f t="shared" si="7"/>
        <v>349.53406878650225</v>
      </c>
      <c r="T29" s="362">
        <f t="shared" si="8"/>
        <v>0.94613887086307591</v>
      </c>
      <c r="U29" s="325">
        <f t="shared" si="9"/>
        <v>2.7068573720090898E-3</v>
      </c>
      <c r="V29" s="50"/>
      <c r="W29" s="182">
        <f t="shared" si="1"/>
        <v>2019</v>
      </c>
      <c r="X29" s="56">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44341.919999999998</v>
      </c>
      <c r="Y29" s="428"/>
      <c r="Z29" s="56">
        <f t="shared" si="10"/>
        <v>44341.919999999998</v>
      </c>
      <c r="AA29" s="212">
        <f>+IF($W$18='2. Customer Classes'!$B$18,+SUM('3. Consumption by Rate Class'!$M$121:$M$132),+IF($W$18='2. Customer Classes'!$B$19,+SUM('3. Consumption by Rate Class'!$P$121:$P$132),IF($W$18='2. Customer Classes'!$B$20,+SUM('3. Consumption by Rate Class'!$S$121:$S$132),0)))</f>
        <v>132</v>
      </c>
      <c r="AB29" s="212">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46.5</v>
      </c>
      <c r="AC29" s="359">
        <f t="shared" si="11"/>
        <v>953.58967741935476</v>
      </c>
      <c r="AD29" s="362">
        <f t="shared" si="12"/>
        <v>2.838709677419355</v>
      </c>
      <c r="AE29" s="325">
        <f t="shared" si="13"/>
        <v>2.9768670368806763E-3</v>
      </c>
      <c r="AG29" s="340">
        <f t="shared" si="14"/>
        <v>2019</v>
      </c>
      <c r="AH29" s="56">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17917827</v>
      </c>
      <c r="AI29" s="428"/>
      <c r="AJ29" s="56">
        <f t="shared" si="15"/>
        <v>17917827</v>
      </c>
      <c r="AK29" s="212">
        <f>+IF($AG$18='2. Customer Classes'!$B$18,+SUM('3. Consumption by Rate Class'!$M$121:$M$132),+IF($AG$18='2. Customer Classes'!$B$19,+SUM('3. Consumption by Rate Class'!$P$121:$P$132),IF($AG$18='2. Customer Classes'!$B$20,+SUM('3. Consumption by Rate Class'!$S$121:$S$132),IF($AG$18='2. Customer Classes'!$B$21,+SUM('3. Consumption by Rate Class'!$V$121:$V$132),0))))</f>
        <v>38239.699999999997</v>
      </c>
      <c r="AL29" s="212">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1</v>
      </c>
      <c r="AM29" s="359">
        <f t="shared" si="23"/>
        <v>17917827</v>
      </c>
      <c r="AN29" s="362">
        <f t="shared" si="16"/>
        <v>38239.699999999997</v>
      </c>
      <c r="AO29" s="325">
        <f t="shared" si="17"/>
        <v>2.1341706223639728E-3</v>
      </c>
      <c r="AQ29" s="340">
        <f t="shared" si="18"/>
        <v>2019</v>
      </c>
      <c r="AR29" s="56">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613910</v>
      </c>
      <c r="AS29" s="428"/>
      <c r="AT29" s="56">
        <f t="shared" si="19"/>
        <v>613910</v>
      </c>
      <c r="AU29" s="212">
        <f>+IF($AQ$18='2. Customer Classes'!$B$18,+SUM('3. Consumption by Rate Class'!$M$121:$M$132),+IF($AQ$18='2. Customer Classes'!$B$19,+SUM('3. Consumption by Rate Class'!$P$121:$P$132),IF($AQ$18='2. Customer Classes'!$B$20,+SUM('3. Consumption by Rate Class'!$S$121:$S$132),0)))</f>
        <v>0</v>
      </c>
      <c r="AV29" s="212">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83.5</v>
      </c>
      <c r="AW29" s="359">
        <f t="shared" si="20"/>
        <v>7352.2155688622752</v>
      </c>
      <c r="AX29" s="362">
        <f t="shared" si="21"/>
        <v>0</v>
      </c>
      <c r="AY29" s="325">
        <f t="shared" si="22"/>
        <v>0</v>
      </c>
    </row>
    <row r="30" spans="2:51" ht="12.75" customHeight="1">
      <c r="B30" s="182">
        <f>'4. Customer Growth'!B26</f>
        <v>2020</v>
      </c>
      <c r="C30" s="56">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106071560</v>
      </c>
      <c r="D30" s="428"/>
      <c r="E30" s="56">
        <f t="shared" si="2"/>
        <v>106071560</v>
      </c>
      <c r="F30" s="56">
        <f>+IF($B$18='2. Customer Classes'!$B$18,+SUM('3. Consumption by Rate Class'!$M$133:$M$144),+IF($B$18='2. Customer Classes'!$B$19,+SUM('3. Consumption by Rate Class'!$P$133:$P$144),IF($B$18='2. Customer Classes'!$B$20,+SUM('3. Consumption by Rate Class'!$S$133:$S$144),0)))</f>
        <v>278617.41000000003</v>
      </c>
      <c r="G30" s="56">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109.5</v>
      </c>
      <c r="H30" s="359">
        <f t="shared" si="3"/>
        <v>968690.04566210043</v>
      </c>
      <c r="I30" s="362">
        <f t="shared" si="4"/>
        <v>2544.4512328767128</v>
      </c>
      <c r="J30" s="325">
        <f t="shared" si="5"/>
        <v>2.6266928665893102E-3</v>
      </c>
      <c r="K30" s="173"/>
      <c r="L30" s="173"/>
      <c r="M30" s="182">
        <f t="shared" si="0"/>
        <v>2020</v>
      </c>
      <c r="N30" s="56">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1080612</v>
      </c>
      <c r="O30" s="428"/>
      <c r="P30" s="56">
        <f t="shared" si="6"/>
        <v>1080612</v>
      </c>
      <c r="Q30" s="212">
        <f>+IF($M$18='2. Customer Classes'!$B$18,+SUM('3. Consumption by Rate Class'!$M$133:$M$144),+IF($M$18='2. Customer Classes'!$B$19,+SUM('3. Consumption by Rate Class'!$P$133:$P$144),IF($M$18='2. Customer Classes'!$B$20,+SUM('3. Consumption by Rate Class'!$S$133:$S$144),0)))</f>
        <v>2916</v>
      </c>
      <c r="R30" s="212">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3082</v>
      </c>
      <c r="S30" s="359">
        <f t="shared" si="7"/>
        <v>350.6203763789747</v>
      </c>
      <c r="T30" s="362">
        <f t="shared" si="8"/>
        <v>0.94613887086307591</v>
      </c>
      <c r="U30" s="325">
        <f t="shared" si="9"/>
        <v>2.6984708665089784E-3</v>
      </c>
      <c r="V30" s="50"/>
      <c r="W30" s="182">
        <f t="shared" si="1"/>
        <v>2020</v>
      </c>
      <c r="X30" s="56">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44222.400000000009</v>
      </c>
      <c r="Y30" s="428"/>
      <c r="Z30" s="56">
        <f t="shared" si="10"/>
        <v>44222.400000000009</v>
      </c>
      <c r="AA30" s="212">
        <f>+IF($W$18='2. Customer Classes'!$B$18,+SUM('3. Consumption by Rate Class'!$M$133:$M$144),+IF($W$18='2. Customer Classes'!$B$19,+SUM('3. Consumption by Rate Class'!$P$133:$P$144),IF($W$18='2. Customer Classes'!$B$20,+SUM('3. Consumption by Rate Class'!$S$133:$S$144),0)))</f>
        <v>132</v>
      </c>
      <c r="AB30" s="212">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50</v>
      </c>
      <c r="AC30" s="359">
        <f t="shared" si="11"/>
        <v>884.44800000000021</v>
      </c>
      <c r="AD30" s="362">
        <f t="shared" si="12"/>
        <v>2.64</v>
      </c>
      <c r="AE30" s="325">
        <f t="shared" si="13"/>
        <v>2.9849126234668399E-3</v>
      </c>
      <c r="AG30" s="340">
        <f t="shared" si="14"/>
        <v>2020</v>
      </c>
      <c r="AH30" s="56">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19292259</v>
      </c>
      <c r="AI30" s="428"/>
      <c r="AJ30" s="56">
        <f t="shared" si="15"/>
        <v>19292259</v>
      </c>
      <c r="AK30" s="212">
        <f>+IF($AG$18='2. Customer Classes'!$B$18,+SUM('3. Consumption by Rate Class'!$M$133:$M$144),+IF($AG$18='2. Customer Classes'!$B$19,+SUM('3. Consumption by Rate Class'!$P$133:$P$144),IF($AG$18='2. Customer Classes'!$B$20,+SUM('3. Consumption by Rate Class'!$S$133:$S$144),IF($AG$18='2. Customer Classes'!$B$21,+SUM('3. Consumption by Rate Class'!$V$133:$V$144),0))))</f>
        <v>41552.9</v>
      </c>
      <c r="AL30" s="212">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1</v>
      </c>
      <c r="AM30" s="359">
        <f t="shared" si="23"/>
        <v>19292259</v>
      </c>
      <c r="AN30" s="362">
        <f t="shared" si="16"/>
        <v>41552.9</v>
      </c>
      <c r="AO30" s="325">
        <f t="shared" si="17"/>
        <v>2.1538638891381253E-3</v>
      </c>
      <c r="AQ30" s="340">
        <f t="shared" si="18"/>
        <v>2020</v>
      </c>
      <c r="AR30" s="56">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611429</v>
      </c>
      <c r="AS30" s="428"/>
      <c r="AT30" s="56">
        <f t="shared" si="19"/>
        <v>611429</v>
      </c>
      <c r="AU30" s="212">
        <f>+IF($AQ$18='2. Customer Classes'!$B$18,+SUM('3. Consumption by Rate Class'!$M$133:$M$144),+IF($AQ$18='2. Customer Classes'!$B$19,+SUM('3. Consumption by Rate Class'!$P$133:$P$144),IF($AQ$18='2. Customer Classes'!$B$20,+SUM('3. Consumption by Rate Class'!$S$133:$S$144),0)))</f>
        <v>0</v>
      </c>
      <c r="AV30" s="212">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82.5</v>
      </c>
      <c r="AW30" s="359">
        <f t="shared" si="20"/>
        <v>7411.2606060606058</v>
      </c>
      <c r="AX30" s="362">
        <f t="shared" si="21"/>
        <v>0</v>
      </c>
      <c r="AY30" s="325">
        <f t="shared" si="22"/>
        <v>0</v>
      </c>
    </row>
    <row r="31" spans="2:51" ht="12.75" customHeight="1">
      <c r="B31" s="182" t="str">
        <f>'4. Customer Growth'!B30</f>
        <v>2021</v>
      </c>
      <c r="C31" s="290">
        <f>+C30/'6. WS Regression Analysis'!$R$139*'6. WS Regression Analysis'!$R$151</f>
        <v>105041160.18264371</v>
      </c>
      <c r="D31" s="428"/>
      <c r="E31" s="56">
        <f t="shared" si="2"/>
        <v>105041160.18264371</v>
      </c>
      <c r="F31" s="269">
        <f>+E31*J34</f>
        <v>276978.66050828708</v>
      </c>
      <c r="G31" s="212">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107.295002251903</v>
      </c>
      <c r="H31" s="359">
        <f t="shared" si="3"/>
        <v>978993.96969145117</v>
      </c>
      <c r="I31" s="362">
        <f t="shared" si="4"/>
        <v>2581.4684253233663</v>
      </c>
      <c r="J31" s="325">
        <f>IF(F31&gt;0,+F31/E31,0)</f>
        <v>2.6368583517802115E-3</v>
      </c>
      <c r="K31" s="66"/>
      <c r="L31" s="66"/>
      <c r="M31" s="182" t="str">
        <f t="shared" si="0"/>
        <v>2021</v>
      </c>
      <c r="N31" s="290">
        <f>+N30/'6. WS Regression Analysis'!$R$139*'6. WS Regression Analysis'!$R$151</f>
        <v>1070114.7243171213</v>
      </c>
      <c r="O31" s="428"/>
      <c r="P31" s="482">
        <f t="shared" si="6"/>
        <v>1070114.7243171213</v>
      </c>
      <c r="Q31" s="269">
        <f>P31*$U$34</f>
        <v>2860.5569960852968</v>
      </c>
      <c r="R31" s="212">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3120.1463166459635</v>
      </c>
      <c r="S31" s="359">
        <f t="shared" si="7"/>
        <v>342.96940454621154</v>
      </c>
      <c r="T31" s="362">
        <f t="shared" si="8"/>
        <v>0.9168021963663181</v>
      </c>
      <c r="U31" s="325">
        <f t="shared" si="9"/>
        <v>2.6731311429349044E-3</v>
      </c>
      <c r="V31" s="50"/>
      <c r="W31" s="182" t="str">
        <f t="shared" si="1"/>
        <v>2021</v>
      </c>
      <c r="X31" s="290">
        <f>+X30/'6. WS Regression Analysis'!$R$139*'6. WS Regression Analysis'!$R$151</f>
        <v>43792.814983214579</v>
      </c>
      <c r="Y31" s="428"/>
      <c r="Z31" s="56">
        <f t="shared" si="10"/>
        <v>43792.814983214579</v>
      </c>
      <c r="AA31" s="269">
        <f>Z31*$AE$34</f>
        <v>131.19277964365381</v>
      </c>
      <c r="AB31" s="212">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49.677329507382098</v>
      </c>
      <c r="AC31" s="359">
        <f t="shared" si="11"/>
        <v>881.54527261186468</v>
      </c>
      <c r="AD31" s="362">
        <f t="shared" si="12"/>
        <v>2.640898392578821</v>
      </c>
      <c r="AE31" s="325">
        <f t="shared" si="13"/>
        <v>2.9957603705982115E-3</v>
      </c>
      <c r="AG31" s="340" t="str">
        <f t="shared" si="14"/>
        <v>2021</v>
      </c>
      <c r="AH31" s="290">
        <f>+AH30/'6. WS Regression Analysis'!$R$139*'6. WS Regression Analysis'!$R$151</f>
        <v>19104850.234163143</v>
      </c>
      <c r="AI31" s="428"/>
      <c r="AJ31" s="482">
        <f t="shared" si="15"/>
        <v>19104850.234163143</v>
      </c>
      <c r="AK31" s="290">
        <f>AJ31*$AO$34</f>
        <v>46149.451117157194</v>
      </c>
      <c r="AL31" s="212">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1</v>
      </c>
      <c r="AM31" s="359">
        <f t="shared" si="23"/>
        <v>19104850.234163143</v>
      </c>
      <c r="AN31" s="362">
        <f t="shared" si="16"/>
        <v>46149.451117157194</v>
      </c>
      <c r="AO31" s="325">
        <f>IF(AK31&gt;0,+AK31/AJ31,0)</f>
        <v>2.415588217207435E-3</v>
      </c>
      <c r="AQ31" s="340" t="str">
        <f t="shared" si="18"/>
        <v>2021</v>
      </c>
      <c r="AR31" s="290">
        <f>+AR30/'6. WS Regression Analysis'!$R$139*'6. WS Regression Analysis'!$R$151</f>
        <v>605489.45946786925</v>
      </c>
      <c r="AS31" s="428"/>
      <c r="AT31" s="482">
        <f t="shared" si="19"/>
        <v>605489.45946786925</v>
      </c>
      <c r="AU31" s="290">
        <f>AT31*$AY$34</f>
        <v>0</v>
      </c>
      <c r="AV31" s="212">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81.122423571488355</v>
      </c>
      <c r="AW31" s="359">
        <f t="shared" si="20"/>
        <v>7463.897561372627</v>
      </c>
      <c r="AX31" s="362">
        <f t="shared" si="21"/>
        <v>0</v>
      </c>
      <c r="AY31" s="71"/>
    </row>
    <row r="32" spans="2:51">
      <c r="B32" s="182" t="str">
        <f>'4. Customer Growth'!B31</f>
        <v>2022</v>
      </c>
      <c r="C32" s="290">
        <f>+C30/'6. WS Regression Analysis'!$R$139*'6. WS Regression Analysis'!$R$163</f>
        <v>105033098.62086332</v>
      </c>
      <c r="D32" s="428"/>
      <c r="E32" s="56">
        <f t="shared" si="2"/>
        <v>105033098.62086332</v>
      </c>
      <c r="F32" s="269">
        <f>+E32*J34</f>
        <v>276957.40331177803</v>
      </c>
      <c r="G32" s="212">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105.1344064679075</v>
      </c>
      <c r="H32" s="359">
        <f>IF(F32&gt;0,+E32/G32,0)</f>
        <v>999036.396832895</v>
      </c>
      <c r="I32" s="362">
        <f t="shared" si="4"/>
        <v>2634.3174667212288</v>
      </c>
      <c r="J32" s="325">
        <f>IF(F32&gt;0,+F32/E32,0)</f>
        <v>2.6368583517802115E-3</v>
      </c>
      <c r="K32" s="66"/>
      <c r="L32" s="66"/>
      <c r="M32" s="182" t="str">
        <f t="shared" si="0"/>
        <v>2022</v>
      </c>
      <c r="N32" s="290">
        <f>+N30/'6. WS Regression Analysis'!$R$139*'6. WS Regression Analysis'!$R$163</f>
        <v>1070032.5965498043</v>
      </c>
      <c r="O32" s="428"/>
      <c r="P32" s="482">
        <f t="shared" si="6"/>
        <v>1070032.5965498043</v>
      </c>
      <c r="Q32" s="269">
        <f>P32*$U$34</f>
        <v>2860.3374577927821</v>
      </c>
      <c r="R32" s="212">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3158.7647752366561</v>
      </c>
      <c r="S32" s="359">
        <f t="shared" si="7"/>
        <v>338.75032574074373</v>
      </c>
      <c r="T32" s="362">
        <f t="shared" si="8"/>
        <v>0.90552404541692544</v>
      </c>
      <c r="U32" s="325">
        <f t="shared" si="9"/>
        <v>2.6731311429349044E-3</v>
      </c>
      <c r="V32" s="50"/>
      <c r="W32" s="182" t="str">
        <f t="shared" si="1"/>
        <v>2022</v>
      </c>
      <c r="X32" s="290">
        <f>+X30/'6. WS Regression Analysis'!$R$139*'6. WS Regression Analysis'!$R$163</f>
        <v>43789.454029442641</v>
      </c>
      <c r="Y32" s="428"/>
      <c r="Z32" s="56">
        <f t="shared" si="10"/>
        <v>43789.454029442641</v>
      </c>
      <c r="AA32" s="269">
        <f>Z32*$AE$34</f>
        <v>131.1827110315364</v>
      </c>
      <c r="AB32" s="212">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49.356741339700321</v>
      </c>
      <c r="AC32" s="359">
        <f t="shared" si="11"/>
        <v>887.20310216712778</v>
      </c>
      <c r="AD32" s="362">
        <f t="shared" si="12"/>
        <v>2.6578478941440769</v>
      </c>
      <c r="AE32" s="325">
        <f t="shared" si="13"/>
        <v>2.9957603705982106E-3</v>
      </c>
      <c r="AG32" s="340" t="str">
        <f t="shared" si="14"/>
        <v>2022</v>
      </c>
      <c r="AH32" s="290">
        <f>+AH30/'6. WS Regression Analysis'!$R$139*'6. WS Regression Analysis'!$R$163</f>
        <v>19103384.00006786</v>
      </c>
      <c r="AI32" s="428"/>
      <c r="AJ32" s="482">
        <f t="shared" si="15"/>
        <v>19103384.00006786</v>
      </c>
      <c r="AK32" s="290">
        <f>AJ32*$AO$34+2900</f>
        <v>49045.909299352956</v>
      </c>
      <c r="AL32" s="212">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1</v>
      </c>
      <c r="AM32" s="359">
        <f t="shared" si="23"/>
        <v>19103384.00006786</v>
      </c>
      <c r="AN32" s="362">
        <f t="shared" si="16"/>
        <v>49045.909299352956</v>
      </c>
      <c r="AO32" s="325">
        <f t="shared" si="17"/>
        <v>2.5673937821267022E-3</v>
      </c>
      <c r="AQ32" s="340" t="str">
        <f t="shared" si="18"/>
        <v>2022</v>
      </c>
      <c r="AR32" s="290">
        <f>+AR30/'6. WS Regression Analysis'!$R$139*'6. WS Regression Analysis'!$R$163</f>
        <v>605442.99015358917</v>
      </c>
      <c r="AS32" s="428"/>
      <c r="AT32" s="482">
        <f t="shared" si="19"/>
        <v>605442.99015358917</v>
      </c>
      <c r="AU32" s="290">
        <f>AT32*$AY$34</f>
        <v>0</v>
      </c>
      <c r="AV32" s="212">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79.767849771054173</v>
      </c>
      <c r="AW32" s="359">
        <f t="shared" si="20"/>
        <v>7590.0628121643294</v>
      </c>
      <c r="AX32" s="362">
        <f t="shared" si="21"/>
        <v>0</v>
      </c>
      <c r="AY32" s="71"/>
    </row>
    <row r="33" spans="2:51">
      <c r="B33" s="60"/>
      <c r="C33" s="475"/>
      <c r="D33" s="475"/>
      <c r="E33" s="212"/>
      <c r="F33" s="269"/>
      <c r="G33" s="267"/>
      <c r="H33" s="267"/>
      <c r="I33" s="269"/>
      <c r="J33" s="360"/>
      <c r="K33" s="66"/>
      <c r="L33" s="66"/>
      <c r="M33" s="60"/>
      <c r="N33" s="475"/>
      <c r="O33" s="475"/>
      <c r="P33" s="212"/>
      <c r="Q33" s="269"/>
      <c r="R33" s="269"/>
      <c r="S33" s="269"/>
      <c r="T33" s="269"/>
      <c r="U33" s="72"/>
      <c r="V33" s="50"/>
      <c r="W33" s="60"/>
      <c r="X33" s="475"/>
      <c r="Y33" s="475"/>
      <c r="Z33" s="269"/>
      <c r="AA33" s="269"/>
      <c r="AB33" s="269"/>
      <c r="AC33" s="269"/>
      <c r="AD33" s="269"/>
      <c r="AE33" s="229"/>
      <c r="AG33" s="60"/>
      <c r="AH33" s="475"/>
      <c r="AI33" s="475"/>
      <c r="AJ33" s="269"/>
      <c r="AK33" s="269"/>
      <c r="AL33" s="269"/>
      <c r="AM33" s="269"/>
      <c r="AN33" s="269"/>
      <c r="AO33" s="229"/>
      <c r="AQ33" s="60"/>
      <c r="AR33" s="475"/>
      <c r="AS33" s="475"/>
      <c r="AT33" s="290"/>
      <c r="AU33" s="290"/>
      <c r="AV33" s="290"/>
      <c r="AW33" s="290"/>
      <c r="AX33" s="290"/>
      <c r="AY33" s="229"/>
    </row>
    <row r="34" spans="2:51" ht="16.5" customHeight="1">
      <c r="B34" s="222" t="s">
        <v>159</v>
      </c>
      <c r="C34" s="476"/>
      <c r="D34" s="476"/>
      <c r="E34" s="697">
        <v>10</v>
      </c>
      <c r="F34" s="181"/>
      <c r="G34" s="314"/>
      <c r="H34" s="320">
        <f>IF($E$34=1,+AVERAGE(H30:H30),+IF($E$34=2,+AVERAGE(H29:H30),+IF($E$34=3,+AVERAGE(H28:H30),+IF($E$34=4,+AVERAGE(H27:H30),+IF($E$34=5,+AVERAGE(H26:H30),+IF($E$34=6,+AVERAGE(H25:H30),+IF($E$34=7,+AVERAGE(H24:H30),+IF($E$34=8,+AVERAGE(H23:H30),+IF($E$34=9,+AVERAGE(H22:H30),+IF($E$34=10,+AVERAGE(H21:H30),0))))))))))</f>
        <v>893481.71887726709</v>
      </c>
      <c r="I34" s="366">
        <f>IF($E$34=1,+AVERAGE(I30:I30),+IF($E$34=2,+AVERAGE(I29:I30),+IF($E$34=3,+AVERAGE(I28:I30),+IF($E$34=4,+AVERAGE(I27:I30),+IF($E$34=5,+AVERAGE(I26:I30),+IF($E$34=6,+AVERAGE(I25:I30),+IF($E$34=7,+AVERAGE(I24:I30),+IF($E$34=8,+AVERAGE(I23:I30),+IF($E$34=9,+AVERAGE(I22:I30),+IF($E$34=10,+AVERAGE(I21:I30),0))))))))))</f>
        <v>2346.2884881124401</v>
      </c>
      <c r="J34" s="297">
        <f>IF($E$34=1,+AVERAGE(J30:J30),+IF($E$34=2,+AVERAGE(J29:J30),+IF($E$34=3,+AVERAGE(J28:J30),+IF($E$34=4,+AVERAGE(J27:J30),+IF($E$34=5,+AVERAGE(J26:J30),+IF($E$34=6,+AVERAGE(J25:J30),+IF($E$34=7,+AVERAGE(J24:J30),+IF($E$34=8,+AVERAGE(J23:J30),+IF($E$34=9,+AVERAGE(J22:J30),+IF($E$34=10,+AVERAGE(J21:J30),0))))))))))</f>
        <v>2.6368583517802115E-3</v>
      </c>
      <c r="K34" s="174"/>
      <c r="L34" s="174"/>
      <c r="M34" s="222" t="s">
        <v>159</v>
      </c>
      <c r="N34" s="481"/>
      <c r="O34" s="481"/>
      <c r="P34" s="711">
        <v>10</v>
      </c>
      <c r="Q34" s="181"/>
      <c r="R34" s="181"/>
      <c r="S34" s="320">
        <f>IF($P$34=1,+AVERAGE(S30:S30),+IF($P$34=2,+AVERAGE(S29:S30),+IF($P$34=3,+AVERAGE(S28:S30),+IF($P$34=4,+AVERAGE(S27:S30),+IF($P$34=5,+AVERAGE(S26:S30),+IF($P$34=6,+AVERAGE(S25:S30),+IF($P$34=7,+AVERAGE(S24:S30),+IF($P$34=8,+AVERAGE(S23:S30),+IF($P$34=9,+AVERAGE(S22:S30),+IF($P$34=10,+AVERAGE(S21:S30),0))))))))))</f>
        <v>426.09498846076241</v>
      </c>
      <c r="T34" s="365">
        <f>IF($P$34=1,+AVERAGE(T30:T30),+IF($P$34=2,+AVERAGE(T29:T30),+IF($P$34=3,+AVERAGE(T28:T30),+IF($P$34=4,+AVERAGE(T27:T30),+IF($P$34=5,+AVERAGE(T26:T30),+IF($P$34=6,+AVERAGE(T25:T30),+IF($P$34=7,+AVERAGE(T24:T30),+IF($P$34=8,+AVERAGE(T23:T30),+IF($P$34=9,+AVERAGE(T22:T30),+IF($P$34=10,+AVERAGE(T21:T30),0))))))))))</f>
        <v>1.1355995160037113</v>
      </c>
      <c r="U34" s="183">
        <f>IF($P$34=1,+AVERAGE(U30:U30),+IF($P$34=2,+AVERAGE(U29:U30),+IF($P$34=3,+AVERAGE(U28:U30),+IF($P$34=4,+AVERAGE(U27:U30),+IF($P$34=5,+AVERAGE(U26:U30),+IF($P$34=6,+AVERAGE(U25:U30),+IF($P$34=7,+AVERAGE(U24:U30),+IF($P$34=8,+AVERAGE(U23:U30),+IF($P$34=9,+AVERAGE(U22:U30),+IF($P$34=10,+AVERAGE(U21:U30),0))))))))))</f>
        <v>2.6731311429349044E-3</v>
      </c>
      <c r="V34" s="50"/>
      <c r="W34" s="222" t="s">
        <v>159</v>
      </c>
      <c r="X34" s="481"/>
      <c r="Y34" s="481"/>
      <c r="Z34" s="711">
        <v>10</v>
      </c>
      <c r="AA34" s="181"/>
      <c r="AB34" s="181"/>
      <c r="AC34" s="320">
        <f>IF($Z$34=1,+AVERAGE(AC30:AC30),+IF($Z$34=2,+AVERAGE(AC29:AC30),+IF($Z$34=3,+AVERAGE(AC28:AC30),+IF($Z$34=4,+AVERAGE(AC27:AC30),+IF($Z$34=5,+AVERAGE(AC26:AC30),+IF($Z$34=6,+AVERAGE(AC25:AC30),+IF($Z$34=7,+AVERAGE(AC24:AC30),+IF($Z$34=8,+AVERAGE(AC23:AC30),+IF($Z$34=9,+AVERAGE(AC22:AC30),+IF($Z$34=10,+AVERAGE(AC21:AC30),0))))))))))</f>
        <v>870.06128647377557</v>
      </c>
      <c r="AD34" s="365">
        <f>IF($Z$34=1,+AVERAGE(AD30:AD30),+IF($Z$34=2,+AVERAGE(AD29:AD30),+IF($Z$34=3,+AVERAGE(AD28:AD30),+IF($Z$34=4,+AVERAGE(AD27:AD30),+IF($Z$34=5,+AVERAGE(AD26:AD30),+IF($Z$34=6,+AVERAGE(AD25:AD30),+IF($Z$34=7,+AVERAGE(AD24:AD30),+IF($Z$34=8,+AVERAGE(AD23:AD30),+IF($Z$34=9,+AVERAGE(AD22:AD30),+IF($Z$34=10,+AVERAGE(AD21:AD30),0))))))))))</f>
        <v>2.6026000861354039</v>
      </c>
      <c r="AE34" s="183">
        <f>IF($Z$34=1,+AVERAGE(AE30:AE30),+IF($Z$34=2,+AVERAGE(AE29:AE30),+IF($Z$34=3,+AVERAGE(AE28:AE30),+IF($Z$34=4,+AVERAGE(AE27:AE30),+IF($Z$34=5,+AVERAGE(AE26:AE30),+IF($Z$34=6,+AVERAGE(AE25:AE30),+IF($Z$34=7,+AVERAGE(AE24:AE30),+IF($Z$34=8,+AVERAGE(AE23:AE30),+IF($Z$34=9,+AVERAGE(AE22:AE30),+IF($Z$34=10,+AVERAGE(AE21:AE30),0))))))))))</f>
        <v>2.9957603705982111E-3</v>
      </c>
      <c r="AG34" s="222" t="s">
        <v>159</v>
      </c>
      <c r="AH34" s="481"/>
      <c r="AI34" s="481"/>
      <c r="AJ34" s="711">
        <v>10</v>
      </c>
      <c r="AK34" s="181"/>
      <c r="AL34" s="181"/>
      <c r="AM34" s="320">
        <f>IF($AJ$34=1,+AVERAGE(AM30:AM30),+IF($AJ$34=2,+AVERAGE(AM29:AM30),+IF($AJ$34=3,+AVERAGE(AM28:AM30),+IF($AJ$34=4,+AVERAGE(AM27:AM30),+IF($AJ$34=5,+AVERAGE(AM26:AM30),+IF($AJ$34=6,+AVERAGE(AM25:AM30),+IF($AJ$34=7,+AVERAGE(AM24:AM30),+IF($AJ$34=8,+AVERAGE(AM23:AM30),+IF($AJ$34=9,+AVERAGE(AM22:AM30),+IF($AJ$34=10,+AVERAGE(AM21:AM30),0))))))))))</f>
        <v>16395193.6</v>
      </c>
      <c r="AN34" s="365">
        <f>IF($AJ$34=1,+AVERAGE(AN30:AN30),+IF($AJ$34=2,+AVERAGE(AN29:AN30),+IF($AJ$34=3,+AVERAGE(AN28:AN30),+IF($AJ$34=4,+AVERAGE(AN27:AN30),+IF($AJ$34=5,+AVERAGE(AN26:AN30),+IF($AJ$34=6,+AVERAGE(AN25:AN30),+IF($AJ$34=7,+AVERAGE(AN24:AN30),+IF($AJ$34=8,+AVERAGE(AN23:AN30),+IF($AJ$34=9,+AVERAGE(AN22:AN30),+IF($AJ$34=10,+AVERAGE(AN21:AN30),0))))))))))</f>
        <v>38977.460000000006</v>
      </c>
      <c r="AO34" s="183">
        <f>IF($AJ$34=1,+AVERAGE(AO30:AO30),+IF($AJ$34=2,+AVERAGE(AO29:AO30),+IF($AJ$34=3,+AVERAGE(AO28:AO30),+IF($AJ$34=4,+AVERAGE(AO27:AO30),+IF($AJ$34=5,+AVERAGE(AO26:AO30),+IF($AJ$34=6,+AVERAGE(AO25:AO30),+IF($AJ$34=7,+AVERAGE(AO24:AO30),+IF($AJ$34=8,+AVERAGE(AO23:AO30),+IF($AJ$34=9,+AVERAGE(AO22:AO30),+IF($AJ$34=10,+AVERAGE(AO21:AO30),0))))))))))</f>
        <v>2.415588217207435E-3</v>
      </c>
      <c r="AQ34" s="222" t="s">
        <v>159</v>
      </c>
      <c r="AR34" s="481"/>
      <c r="AS34" s="481"/>
      <c r="AT34" s="711">
        <v>4</v>
      </c>
      <c r="AU34" s="181"/>
      <c r="AV34" s="181"/>
      <c r="AW34" s="320">
        <f>IF($AT$34=1,+AVERAGE(AW30:AW30),+IF($AT$34=2,+AVERAGE(AW29:AW30),+IF($AT$34=3,+AVERAGE(AW28:AW30),+IF($AT$34=4,+AVERAGE(AW27:AW30),+IF($AT$34=5,+AVERAGE(AW26:AW30),+IF($AT$34=6,+AVERAGE(AW25:AW30),+IF($AT$34=7,+AVERAGE(AW24:AW30),+IF($AT$34=8,+AVERAGE(AW23:AW30),+IF($AT$34=9,+AVERAGE(AW22:AW30),+IF($AT$34=10,+AVERAGE(AW21:AW30),0))))))))))</f>
        <v>7350.5654723021489</v>
      </c>
      <c r="AX34" s="365">
        <f>IF($AT$34=1,+AVERAGE(AX30:AX30),+IF($AT$34=2,+AVERAGE(AX29:AX30),+IF($AT$34=3,+AVERAGE(AX28:AX30),+IF($AT$34=4,+AVERAGE(AX27:AX30),+IF($AT$34=5,+AVERAGE(AX26:AX30),+IF($AT$34=6,+AVERAGE(AX25:AX30),+IF($AT$34=7,+AVERAGE(AX24:AX30),+IF($AT$34=8,+AVERAGE(AX23:AX30),+IF($AT$34=9,+AVERAGE(AX22:AX30),+IF($AT$34=10,+AVERAGE(AX21:AX30),0))))))))))</f>
        <v>0</v>
      </c>
      <c r="AY34" s="183">
        <f>IF($AT$34=1,+AVERAGE(AY30:AY30),+IF($AT$34=2,+AVERAGE(AY29:AY30),+IF($AT$34=3,+AVERAGE(AY28:AY30),+IF($AT$34=4,+AVERAGE(AY27:AY30),+IF($AT$34=5,+AVERAGE(AY26:AY30),+IF($AT$34=6,+AVERAGE(AY25:AY30),+IF($AT$34=7,+AVERAGE(AY24:AY30),+IF($AT$34=8,+AVERAGE(AY23:AY30),+IF($AT$34=9,+AVERAGE(AY22:AY30),+IF($AT$34=10,+AVERAGE(AY21:AY30),0))))))))))</f>
        <v>0</v>
      </c>
    </row>
    <row r="35" spans="2:51" ht="13.5" thickBot="1">
      <c r="B35" s="184"/>
      <c r="C35" s="477"/>
      <c r="D35" s="477"/>
      <c r="E35" s="185"/>
      <c r="F35" s="185"/>
      <c r="G35" s="315"/>
      <c r="H35" s="315"/>
      <c r="I35" s="185"/>
      <c r="J35" s="364"/>
      <c r="M35" s="184"/>
      <c r="N35" s="477"/>
      <c r="O35" s="477"/>
      <c r="P35" s="185"/>
      <c r="Q35" s="82"/>
      <c r="R35" s="82"/>
      <c r="S35" s="82"/>
      <c r="T35" s="82"/>
      <c r="U35" s="186"/>
      <c r="W35" s="81"/>
      <c r="X35" s="453"/>
      <c r="Y35" s="453"/>
      <c r="Z35" s="82"/>
      <c r="AA35" s="82"/>
      <c r="AB35" s="82"/>
      <c r="AC35" s="82"/>
      <c r="AD35" s="82"/>
      <c r="AE35" s="186"/>
      <c r="AG35" s="81"/>
      <c r="AH35" s="453"/>
      <c r="AI35" s="453"/>
      <c r="AJ35" s="82"/>
      <c r="AK35" s="82"/>
      <c r="AL35" s="82"/>
      <c r="AM35" s="82"/>
      <c r="AN35" s="82"/>
      <c r="AO35" s="186"/>
      <c r="AQ35" s="81"/>
      <c r="AR35" s="453"/>
      <c r="AS35" s="453"/>
      <c r="AT35" s="82"/>
      <c r="AU35" s="82"/>
      <c r="AV35" s="82"/>
      <c r="AW35" s="82"/>
      <c r="AX35" s="82"/>
      <c r="AY35" s="186"/>
    </row>
    <row r="36" spans="2:51" ht="12.75" customHeight="1">
      <c r="B36" s="1136" t="s">
        <v>153</v>
      </c>
      <c r="C36" s="1136"/>
      <c r="D36" s="1136"/>
      <c r="E36" s="1136"/>
      <c r="F36" s="1136"/>
      <c r="G36" s="1136"/>
      <c r="H36" s="1136"/>
      <c r="I36" s="1136"/>
      <c r="J36" s="1136"/>
      <c r="M36" s="1136" t="s">
        <v>153</v>
      </c>
      <c r="N36" s="1136"/>
      <c r="O36" s="1136"/>
      <c r="P36" s="1136"/>
      <c r="Q36" s="1136"/>
      <c r="R36" s="1136"/>
      <c r="S36" s="1136"/>
      <c r="T36" s="1136"/>
      <c r="U36" s="1136"/>
      <c r="W36" s="1124" t="s">
        <v>153</v>
      </c>
      <c r="X36" s="1124"/>
      <c r="Y36" s="1124"/>
      <c r="Z36" s="1124"/>
      <c r="AA36" s="1124"/>
      <c r="AB36" s="1124"/>
      <c r="AC36" s="1124"/>
      <c r="AD36" s="1124"/>
      <c r="AE36" s="1124"/>
      <c r="AG36" s="1137" t="s">
        <v>387</v>
      </c>
      <c r="AH36" s="1137"/>
      <c r="AI36" s="1137"/>
      <c r="AJ36" s="1137"/>
      <c r="AK36" s="1137"/>
      <c r="AL36" s="1137"/>
      <c r="AM36" s="1137"/>
      <c r="AN36" s="1137"/>
      <c r="AO36" s="1137"/>
      <c r="AQ36" s="1136" t="s">
        <v>153</v>
      </c>
      <c r="AR36" s="1136"/>
      <c r="AS36" s="1136"/>
      <c r="AT36" s="1136"/>
      <c r="AU36" s="1136"/>
      <c r="AV36" s="1136"/>
      <c r="AW36" s="1136"/>
      <c r="AX36" s="1136"/>
      <c r="AY36" s="1136"/>
    </row>
    <row r="37" spans="2:51">
      <c r="B37" s="139"/>
      <c r="C37" s="139"/>
      <c r="D37" s="139"/>
      <c r="E37" s="139"/>
      <c r="F37" s="139"/>
      <c r="G37" s="140"/>
      <c r="H37" s="141"/>
      <c r="I37" s="142"/>
      <c r="J37" s="144"/>
      <c r="M37" s="139"/>
      <c r="N37" s="139"/>
      <c r="O37" s="139"/>
      <c r="P37" s="139"/>
      <c r="Q37" s="139"/>
      <c r="R37" s="140"/>
      <c r="S37" s="141"/>
      <c r="T37" s="142"/>
      <c r="U37" s="144"/>
      <c r="W37" s="139"/>
      <c r="X37" s="139"/>
      <c r="Y37" s="139"/>
      <c r="Z37" s="139"/>
      <c r="AA37" s="139"/>
      <c r="AB37" s="140"/>
      <c r="AC37" s="141"/>
      <c r="AD37" s="142"/>
      <c r="AE37" s="144"/>
      <c r="AG37" s="139"/>
      <c r="AH37" s="139"/>
      <c r="AI37" s="139"/>
      <c r="AJ37" s="139"/>
      <c r="AK37" s="139"/>
      <c r="AL37" s="140"/>
      <c r="AM37" s="141"/>
      <c r="AN37" s="142"/>
      <c r="AO37" s="144"/>
      <c r="AQ37" s="139"/>
      <c r="AR37" s="139"/>
      <c r="AS37" s="139"/>
      <c r="AT37" s="139"/>
      <c r="AU37" s="139"/>
      <c r="AV37" s="140"/>
      <c r="AW37" s="141"/>
      <c r="AX37" s="142"/>
      <c r="AY37" s="144"/>
    </row>
    <row r="38" spans="2:51">
      <c r="B38" s="139"/>
      <c r="C38" s="139"/>
      <c r="D38" s="139"/>
      <c r="E38" s="139"/>
      <c r="F38" s="139"/>
      <c r="G38" s="140"/>
      <c r="H38" s="141"/>
      <c r="I38" s="142"/>
      <c r="J38" s="144"/>
      <c r="M38" s="139"/>
      <c r="N38" s="139"/>
      <c r="O38" s="139"/>
      <c r="P38" s="139"/>
      <c r="Q38" s="139"/>
      <c r="R38" s="140"/>
      <c r="S38" s="141"/>
      <c r="T38" s="142"/>
      <c r="U38" s="144"/>
      <c r="W38" s="139"/>
      <c r="X38" s="139"/>
      <c r="Y38" s="139"/>
      <c r="Z38" s="139"/>
      <c r="AA38" s="139"/>
      <c r="AB38" s="140"/>
      <c r="AC38" s="141"/>
      <c r="AD38" s="142"/>
      <c r="AE38" s="144"/>
      <c r="AG38" s="139"/>
      <c r="AH38" s="139"/>
      <c r="AI38" s="139"/>
      <c r="AJ38" s="139"/>
      <c r="AK38" s="139"/>
      <c r="AL38" s="140"/>
      <c r="AM38" s="141"/>
      <c r="AN38" s="142"/>
      <c r="AO38" s="144"/>
      <c r="AQ38" s="139"/>
      <c r="AR38" s="139"/>
      <c r="AS38" s="139"/>
      <c r="AT38" s="139"/>
      <c r="AU38" s="139"/>
      <c r="AV38" s="140"/>
      <c r="AW38" s="141"/>
      <c r="AX38" s="142"/>
      <c r="AY38" s="144"/>
    </row>
    <row r="39" spans="2:51">
      <c r="B39" s="139"/>
      <c r="C39" s="139"/>
      <c r="D39" s="139"/>
      <c r="E39" s="139"/>
      <c r="F39" s="139"/>
      <c r="G39" s="140"/>
      <c r="H39" s="141"/>
      <c r="I39" s="142"/>
      <c r="J39" s="144"/>
      <c r="M39" s="139"/>
      <c r="N39" s="139"/>
      <c r="O39" s="139"/>
      <c r="P39" s="139"/>
      <c r="Q39" s="139"/>
      <c r="R39" s="140"/>
      <c r="S39" s="141"/>
      <c r="T39" s="142"/>
      <c r="U39" s="144"/>
      <c r="W39" s="139"/>
      <c r="X39" s="139"/>
      <c r="Y39" s="139"/>
      <c r="Z39" s="139"/>
      <c r="AA39" s="139"/>
      <c r="AB39" s="140"/>
      <c r="AC39" s="141"/>
      <c r="AD39" s="142"/>
      <c r="AE39" s="144"/>
      <c r="AG39" s="139"/>
      <c r="AH39" s="139"/>
      <c r="AI39" s="139"/>
      <c r="AJ39" s="139"/>
      <c r="AK39" s="139"/>
      <c r="AL39" s="140"/>
      <c r="AM39" s="141"/>
      <c r="AN39" s="142"/>
      <c r="AO39" s="144"/>
      <c r="AQ39" s="139"/>
      <c r="AR39" s="139"/>
      <c r="AS39" s="139"/>
      <c r="AT39" s="139"/>
      <c r="AU39" s="139"/>
      <c r="AV39" s="140"/>
      <c r="AW39" s="141"/>
      <c r="AX39" s="142"/>
      <c r="AY39" s="144"/>
    </row>
    <row r="40" spans="2:51">
      <c r="B40" s="139"/>
      <c r="C40" s="139"/>
      <c r="D40" s="139"/>
      <c r="E40" s="139"/>
      <c r="F40" s="139"/>
      <c r="G40" s="140"/>
      <c r="H40" s="141"/>
      <c r="I40" s="142"/>
      <c r="J40" s="144"/>
      <c r="M40" s="139"/>
      <c r="N40" s="139"/>
      <c r="O40" s="139"/>
      <c r="P40" s="139"/>
      <c r="Q40" s="139"/>
      <c r="R40" s="140"/>
      <c r="S40" s="141"/>
      <c r="T40" s="142"/>
      <c r="U40" s="144"/>
      <c r="W40" s="139"/>
      <c r="X40" s="139"/>
      <c r="Y40" s="139"/>
      <c r="Z40" s="139"/>
      <c r="AA40" s="139"/>
      <c r="AB40" s="140"/>
      <c r="AC40" s="141"/>
      <c r="AD40" s="142"/>
      <c r="AE40" s="144"/>
      <c r="AG40" s="139"/>
      <c r="AH40" s="139"/>
      <c r="AI40" s="139"/>
      <c r="AJ40" s="139"/>
      <c r="AK40" s="139"/>
      <c r="AL40" s="140"/>
      <c r="AM40" s="141"/>
      <c r="AN40" s="142"/>
      <c r="AO40" s="144"/>
      <c r="AQ40" s="139"/>
      <c r="AR40" s="139"/>
      <c r="AS40" s="139"/>
      <c r="AT40" s="139"/>
      <c r="AU40" s="139"/>
      <c r="AV40" s="140"/>
      <c r="AW40" s="141"/>
      <c r="AX40" s="142"/>
      <c r="AY40" s="144"/>
    </row>
    <row r="41" spans="2:51" ht="15">
      <c r="B41" s="1123" t="s">
        <v>173</v>
      </c>
      <c r="C41" s="1123"/>
      <c r="D41" s="1123"/>
      <c r="E41" s="1123"/>
      <c r="F41" s="1123"/>
      <c r="G41" s="1123"/>
      <c r="H41" s="1123"/>
      <c r="I41" s="1123"/>
      <c r="J41" s="1123"/>
      <c r="M41" s="1123" t="s">
        <v>173</v>
      </c>
      <c r="N41" s="1123"/>
      <c r="O41" s="1123"/>
      <c r="P41" s="1123"/>
      <c r="Q41" s="1123"/>
      <c r="R41" s="1123"/>
      <c r="S41" s="1123"/>
      <c r="T41" s="1123"/>
      <c r="U41" s="1123"/>
      <c r="W41" s="1123" t="s">
        <v>173</v>
      </c>
      <c r="X41" s="1123"/>
      <c r="Y41" s="1123"/>
      <c r="Z41" s="1123"/>
      <c r="AA41" s="1123"/>
      <c r="AB41" s="1123"/>
      <c r="AC41" s="1123"/>
      <c r="AD41" s="1123"/>
      <c r="AE41" s="1123"/>
      <c r="AG41" s="1123" t="s">
        <v>173</v>
      </c>
      <c r="AH41" s="1123"/>
      <c r="AI41" s="1123"/>
      <c r="AJ41" s="1123"/>
      <c r="AK41" s="1123"/>
      <c r="AL41" s="1123"/>
      <c r="AM41" s="1123"/>
      <c r="AN41" s="1123"/>
      <c r="AO41" s="1123"/>
      <c r="AQ41" s="1123" t="s">
        <v>173</v>
      </c>
      <c r="AR41" s="1123"/>
      <c r="AS41" s="1123"/>
      <c r="AT41" s="1123"/>
      <c r="AU41" s="1123"/>
      <c r="AV41" s="1123"/>
      <c r="AW41" s="1123"/>
      <c r="AX41" s="1123"/>
      <c r="AY41" s="1123"/>
    </row>
    <row r="42" spans="2:51">
      <c r="J42" s="302"/>
    </row>
    <row r="43" spans="2:51">
      <c r="J43" s="302"/>
    </row>
    <row r="44" spans="2:51">
      <c r="J44" s="302"/>
    </row>
    <row r="45" spans="2:51">
      <c r="J45" s="302"/>
    </row>
    <row r="46" spans="2:51" ht="13.5" thickBot="1">
      <c r="J46" s="302"/>
    </row>
    <row r="47" spans="2:51" ht="13.5" thickBot="1">
      <c r="B47" s="1128" t="str">
        <f>+B18</f>
        <v>General Service &gt; 50 kW - 2999 kW</v>
      </c>
      <c r="C47" s="1129"/>
      <c r="D47" s="1129"/>
      <c r="E47" s="1129"/>
      <c r="F47" s="1129"/>
      <c r="G47" s="1129"/>
      <c r="H47" s="1129"/>
      <c r="I47" s="1129"/>
      <c r="J47" s="1130"/>
      <c r="M47" s="1128" t="str">
        <f>+M18</f>
        <v>Streetlighting</v>
      </c>
      <c r="N47" s="1129"/>
      <c r="O47" s="1129"/>
      <c r="P47" s="1129"/>
      <c r="Q47" s="1129"/>
      <c r="R47" s="1129"/>
      <c r="S47" s="1129"/>
      <c r="T47" s="1129"/>
      <c r="U47" s="1130"/>
      <c r="W47" s="1128" t="str">
        <f>+W18</f>
        <v>Sentinel Lighting</v>
      </c>
      <c r="X47" s="1129"/>
      <c r="Y47" s="1129"/>
      <c r="Z47" s="1129"/>
      <c r="AA47" s="1129"/>
      <c r="AB47" s="1129"/>
      <c r="AC47" s="1129"/>
      <c r="AD47" s="1129"/>
      <c r="AE47" s="1130"/>
      <c r="AG47" s="1128" t="str">
        <f>+AG18</f>
        <v>General Service 3000-4999 kW</v>
      </c>
      <c r="AH47" s="1129"/>
      <c r="AI47" s="1129"/>
      <c r="AJ47" s="1129"/>
      <c r="AK47" s="1129"/>
      <c r="AL47" s="1129"/>
      <c r="AM47" s="1129"/>
      <c r="AN47" s="1129"/>
      <c r="AO47" s="1130"/>
      <c r="AQ47" s="1128" t="str">
        <f>+AQ18</f>
        <v>Unmetered Scattered Load</v>
      </c>
      <c r="AR47" s="1129"/>
      <c r="AS47" s="1129"/>
      <c r="AT47" s="1129"/>
      <c r="AU47" s="1129"/>
      <c r="AV47" s="1129"/>
      <c r="AW47" s="1129"/>
      <c r="AX47" s="1129"/>
      <c r="AY47" s="1130"/>
    </row>
    <row r="48" spans="2:51" ht="29.25" customHeight="1" thickBot="1">
      <c r="B48" s="330" t="s">
        <v>33</v>
      </c>
      <c r="C48" s="478"/>
      <c r="D48" s="478"/>
      <c r="E48" s="331" t="s">
        <v>40</v>
      </c>
      <c r="F48" s="331" t="s">
        <v>181</v>
      </c>
      <c r="G48" s="331" t="s">
        <v>182</v>
      </c>
      <c r="H48" s="337" t="s">
        <v>185</v>
      </c>
      <c r="I48" s="331" t="s">
        <v>183</v>
      </c>
      <c r="J48" s="332" t="s">
        <v>184</v>
      </c>
      <c r="K48" s="300"/>
      <c r="L48" s="300"/>
      <c r="M48" s="330" t="s">
        <v>33</v>
      </c>
      <c r="N48" s="478"/>
      <c r="O48" s="478"/>
      <c r="P48" s="331" t="s">
        <v>40</v>
      </c>
      <c r="Q48" s="331" t="s">
        <v>181</v>
      </c>
      <c r="R48" s="331" t="s">
        <v>182</v>
      </c>
      <c r="S48" s="337" t="s">
        <v>185</v>
      </c>
      <c r="T48" s="331" t="s">
        <v>183</v>
      </c>
      <c r="U48" s="332" t="s">
        <v>184</v>
      </c>
      <c r="W48" s="330" t="s">
        <v>33</v>
      </c>
      <c r="X48" s="478"/>
      <c r="Y48" s="478"/>
      <c r="Z48" s="331" t="s">
        <v>40</v>
      </c>
      <c r="AA48" s="331" t="s">
        <v>181</v>
      </c>
      <c r="AB48" s="331" t="s">
        <v>182</v>
      </c>
      <c r="AC48" s="337" t="s">
        <v>185</v>
      </c>
      <c r="AD48" s="331" t="s">
        <v>183</v>
      </c>
      <c r="AE48" s="332" t="s">
        <v>184</v>
      </c>
      <c r="AG48" s="330" t="s">
        <v>33</v>
      </c>
      <c r="AH48" s="478"/>
      <c r="AI48" s="478"/>
      <c r="AJ48" s="331" t="s">
        <v>40</v>
      </c>
      <c r="AK48" s="331" t="s">
        <v>181</v>
      </c>
      <c r="AL48" s="331" t="s">
        <v>182</v>
      </c>
      <c r="AM48" s="337" t="s">
        <v>185</v>
      </c>
      <c r="AN48" s="331" t="s">
        <v>183</v>
      </c>
      <c r="AO48" s="332" t="s">
        <v>184</v>
      </c>
      <c r="AQ48" s="330" t="s">
        <v>33</v>
      </c>
      <c r="AR48" s="478"/>
      <c r="AS48" s="478"/>
      <c r="AT48" s="331" t="s">
        <v>40</v>
      </c>
      <c r="AU48" s="331" t="s">
        <v>181</v>
      </c>
      <c r="AV48" s="331" t="s">
        <v>182</v>
      </c>
      <c r="AW48" s="337" t="s">
        <v>185</v>
      </c>
      <c r="AX48" s="331" t="s">
        <v>183</v>
      </c>
      <c r="AY48" s="332" t="s">
        <v>184</v>
      </c>
    </row>
    <row r="49" spans="2:51" ht="12.75" customHeight="1">
      <c r="B49" s="5" t="str">
        <f>+B31</f>
        <v>2021</v>
      </c>
      <c r="C49" s="479"/>
      <c r="D49" s="479"/>
      <c r="E49" s="326">
        <f>+G31-G30</f>
        <v>-2.204997748097</v>
      </c>
      <c r="F49" s="327">
        <f>+H34</f>
        <v>893481.71887726709</v>
      </c>
      <c r="G49" s="333">
        <f>+I34</f>
        <v>2346.2884881124401</v>
      </c>
      <c r="H49" s="1134" t="s">
        <v>176</v>
      </c>
      <c r="I49" s="335">
        <f>IF(H49="Yes",+F49*E49+$E$31,$E$31)</f>
        <v>105041160.18264371</v>
      </c>
      <c r="J49" s="328">
        <f>IF(H49="Yes",+G49*E49+$F$31,$F$31)</f>
        <v>276978.66050828708</v>
      </c>
      <c r="M49" s="5" t="str">
        <f>+M31</f>
        <v>2021</v>
      </c>
      <c r="N49" s="479"/>
      <c r="O49" s="479"/>
      <c r="P49" s="326">
        <f>+R31-R30</f>
        <v>38.146316645963452</v>
      </c>
      <c r="Q49" s="327">
        <f>+S34</f>
        <v>426.09498846076241</v>
      </c>
      <c r="R49" s="333">
        <f>+T34</f>
        <v>1.1355995160037113</v>
      </c>
      <c r="S49" s="1134" t="s">
        <v>176</v>
      </c>
      <c r="T49" s="335">
        <f>IF(S49="Yes",+Q49*P49+$P$31,$P$31)</f>
        <v>1070114.7243171213</v>
      </c>
      <c r="U49" s="328">
        <f>IF(S49="Yes",+R49*P49+$Q$31,$Q$31)</f>
        <v>2860.5569960852968</v>
      </c>
      <c r="W49" s="5" t="str">
        <f>+W31</f>
        <v>2021</v>
      </c>
      <c r="X49" s="479"/>
      <c r="Y49" s="479"/>
      <c r="Z49" s="326">
        <f>+AB31-AB30</f>
        <v>-0.32267049261790248</v>
      </c>
      <c r="AA49" s="327">
        <f>+AC34</f>
        <v>870.06128647377557</v>
      </c>
      <c r="AB49" s="333">
        <f>+AD34</f>
        <v>2.6026000861354039</v>
      </c>
      <c r="AC49" s="1134" t="s">
        <v>176</v>
      </c>
      <c r="AD49" s="335">
        <f>IF(AC49="Yes",+AA49*Z49+$Z$31,$Z$31)</f>
        <v>43792.814983214579</v>
      </c>
      <c r="AE49" s="328">
        <f>IF(AC49="Yes",+AB49*Z49+$AA$31,$AA$31)</f>
        <v>131.19277964365381</v>
      </c>
      <c r="AG49" s="5" t="str">
        <f>+AG31</f>
        <v>2021</v>
      </c>
      <c r="AH49" s="479"/>
      <c r="AI49" s="479"/>
      <c r="AJ49" s="326">
        <f>+AL31-AL30</f>
        <v>0</v>
      </c>
      <c r="AK49" s="327">
        <f>+AM34</f>
        <v>16395193.6</v>
      </c>
      <c r="AL49" s="333">
        <f>+AN34</f>
        <v>38977.460000000006</v>
      </c>
      <c r="AM49" s="1134" t="s">
        <v>176</v>
      </c>
      <c r="AN49" s="335">
        <f>IF(AM49="Yes",+AK49*AJ49+$AJ$31,$AJ$31)</f>
        <v>19104850.234163143</v>
      </c>
      <c r="AO49" s="328">
        <f>IF(AM49="Yes",+AL49*AJ49+$AK$31,$AK$31)</f>
        <v>46149.451117157194</v>
      </c>
      <c r="AQ49" s="5" t="str">
        <f>+AQ31</f>
        <v>2021</v>
      </c>
      <c r="AR49" s="479"/>
      <c r="AS49" s="479"/>
      <c r="AT49" s="326">
        <f>+AV31-AV30</f>
        <v>-1.3775764285116452</v>
      </c>
      <c r="AU49" s="327">
        <f>+AW34</f>
        <v>7350.5654723021489</v>
      </c>
      <c r="AV49" s="333">
        <f>+AX34</f>
        <v>0</v>
      </c>
      <c r="AW49" s="1134" t="s">
        <v>176</v>
      </c>
      <c r="AX49" s="335">
        <f>IF(AW49="Yes",+AU49*AT49+$AT$31,$AT$31)</f>
        <v>605489.45946786925</v>
      </c>
      <c r="AY49" s="328">
        <f>IF(AW49="Yes",+AV49*AT49+$AU$31,$AU$31)</f>
        <v>0</v>
      </c>
    </row>
    <row r="50" spans="2:51" ht="13.5" customHeight="1" thickBot="1">
      <c r="B50" s="16" t="str">
        <f>+B32</f>
        <v>2022</v>
      </c>
      <c r="C50" s="480"/>
      <c r="D50" s="480"/>
      <c r="E50" s="322">
        <f>+G32-G30</f>
        <v>-4.3655935320925039</v>
      </c>
      <c r="F50" s="361">
        <f>+H34</f>
        <v>893481.71887726709</v>
      </c>
      <c r="G50" s="334">
        <f>+I34</f>
        <v>2346.2884881124401</v>
      </c>
      <c r="H50" s="1135"/>
      <c r="I50" s="336">
        <f>IF(H49="Yes",+F50*E50+$E$32,$E$32)</f>
        <v>105033098.62086332</v>
      </c>
      <c r="J50" s="329">
        <f>IF(H49="Yes",+G50*E50+$F$32,$F$32)</f>
        <v>276957.40331177803</v>
      </c>
      <c r="M50" s="16" t="str">
        <f>+M32</f>
        <v>2022</v>
      </c>
      <c r="N50" s="480"/>
      <c r="O50" s="480"/>
      <c r="P50" s="322">
        <f>+R32-R30</f>
        <v>76.764775236656078</v>
      </c>
      <c r="Q50" s="361">
        <f>+S34</f>
        <v>426.09498846076241</v>
      </c>
      <c r="R50" s="334">
        <f>+T34</f>
        <v>1.1355995160037113</v>
      </c>
      <c r="S50" s="1135"/>
      <c r="T50" s="336">
        <f>IF(S49="Yes",+Q50*P50+$P$32,$P$32)</f>
        <v>1070032.5965498043</v>
      </c>
      <c r="U50" s="329">
        <f>IF(S49="Yes",+R50*P50+$Q$32,$Q$32)</f>
        <v>2860.3374577927821</v>
      </c>
      <c r="W50" s="16" t="str">
        <f>+W32</f>
        <v>2022</v>
      </c>
      <c r="X50" s="480"/>
      <c r="Y50" s="480"/>
      <c r="Z50" s="322">
        <f>+AB32-AB30</f>
        <v>-0.64325866029967926</v>
      </c>
      <c r="AA50" s="361">
        <f>+AC34</f>
        <v>870.06128647377557</v>
      </c>
      <c r="AB50" s="334">
        <f>+AD34</f>
        <v>2.6026000861354039</v>
      </c>
      <c r="AC50" s="1135"/>
      <c r="AD50" s="336">
        <f>IF(AC49="Yes",+AA50*Z50+$Z$32,$Z$32)</f>
        <v>43789.454029442641</v>
      </c>
      <c r="AE50" s="329">
        <f>IF(AC49="Yes",+AB50*Z50+$AA$32,$AA$32)</f>
        <v>131.1827110315364</v>
      </c>
      <c r="AG50" s="16" t="str">
        <f>+AG32</f>
        <v>2022</v>
      </c>
      <c r="AH50" s="480"/>
      <c r="AI50" s="480"/>
      <c r="AJ50" s="322">
        <f>+AL32-AL30</f>
        <v>0</v>
      </c>
      <c r="AK50" s="361">
        <f>+AM34</f>
        <v>16395193.6</v>
      </c>
      <c r="AL50" s="334">
        <f>+AN34</f>
        <v>38977.460000000006</v>
      </c>
      <c r="AM50" s="1135"/>
      <c r="AN50" s="336">
        <f>IF(AM49="Yes",+AK50*AJ50+$AJ$32,$AJ$32)</f>
        <v>19103384.00006786</v>
      </c>
      <c r="AO50" s="329">
        <f>IF(AM49="Yes",+AL50*AJ50+$AK$32,$AK$32)</f>
        <v>49045.909299352956</v>
      </c>
      <c r="AQ50" s="16" t="str">
        <f>+AQ32</f>
        <v>2022</v>
      </c>
      <c r="AR50" s="480"/>
      <c r="AS50" s="480"/>
      <c r="AT50" s="322">
        <f>+AV32-AV30</f>
        <v>-2.7321502289458266</v>
      </c>
      <c r="AU50" s="361">
        <f>+AW34</f>
        <v>7350.5654723021489</v>
      </c>
      <c r="AV50" s="334">
        <f>+AX34</f>
        <v>0</v>
      </c>
      <c r="AW50" s="1135"/>
      <c r="AX50" s="336">
        <f>IF(AW49="Yes",+AU50*AT50+$AT$32,$AT$32)</f>
        <v>605442.99015358917</v>
      </c>
      <c r="AY50" s="329">
        <f>IF(AW49="Yes",+AV50*AT50+$AU$32,$AU$32)</f>
        <v>0</v>
      </c>
    </row>
    <row r="51" spans="2:51">
      <c r="J51" s="302"/>
    </row>
    <row r="52" spans="2:51">
      <c r="B52" s="339" t="s">
        <v>187</v>
      </c>
      <c r="C52" s="339"/>
      <c r="D52" s="339"/>
    </row>
    <row r="54" spans="2:51">
      <c r="H54" s="338"/>
    </row>
    <row r="57" spans="2:51" ht="26.25" hidden="1" thickBot="1">
      <c r="B57" s="1131" t="s">
        <v>160</v>
      </c>
      <c r="C57" s="1132"/>
      <c r="D57" s="1132"/>
      <c r="E57" s="1133"/>
      <c r="H57" s="303" t="s">
        <v>148</v>
      </c>
      <c r="I57" s="304" t="s">
        <v>145</v>
      </c>
    </row>
    <row r="58" spans="2:51" hidden="1">
      <c r="B58" s="298">
        <v>1</v>
      </c>
      <c r="C58" s="307"/>
      <c r="D58" s="307"/>
      <c r="E58" s="307"/>
      <c r="F58" s="312">
        <f>+B21</f>
        <v>2011</v>
      </c>
      <c r="G58" s="316"/>
      <c r="H58" s="309">
        <f>SUM('6. WS Regression Analysis'!I20:J31)</f>
        <v>262352631.90000001</v>
      </c>
      <c r="I58" s="305">
        <f>SUM('6. WS Regression Analysis'!Q20:Q31)</f>
        <v>254409161.08035713</v>
      </c>
    </row>
    <row r="59" spans="2:51" hidden="1">
      <c r="B59" s="298">
        <v>2</v>
      </c>
      <c r="C59" s="307"/>
      <c r="D59" s="307"/>
      <c r="E59" s="307"/>
      <c r="F59" s="312">
        <f t="shared" ref="F59:F67" si="24">+B22</f>
        <v>2012</v>
      </c>
      <c r="G59" s="317"/>
      <c r="H59" s="310">
        <f>SUM('6. WS Regression Analysis'!I32:I43)</f>
        <v>264021825</v>
      </c>
      <c r="I59" s="306">
        <f>SUM('6. WS Regression Analysis'!Q32:Q43)</f>
        <v>254793336.5537082</v>
      </c>
    </row>
    <row r="60" spans="2:51" hidden="1">
      <c r="B60" s="298">
        <v>3</v>
      </c>
      <c r="C60" s="307"/>
      <c r="D60" s="307"/>
      <c r="E60" s="307"/>
      <c r="F60" s="312">
        <f t="shared" si="24"/>
        <v>2013</v>
      </c>
      <c r="G60" s="317"/>
      <c r="H60" s="310">
        <f>SUM('6. WS Regression Analysis'!I44:I55)</f>
        <v>257528109</v>
      </c>
      <c r="I60" s="306">
        <f>SUM('6. WS Regression Analysis'!Q44:Q55)</f>
        <v>253261076.70423049</v>
      </c>
    </row>
    <row r="61" spans="2:51" hidden="1">
      <c r="B61" s="298">
        <v>4</v>
      </c>
      <c r="C61" s="307"/>
      <c r="D61" s="307"/>
      <c r="E61" s="307"/>
      <c r="F61" s="312">
        <f t="shared" si="24"/>
        <v>2014</v>
      </c>
      <c r="G61" s="317"/>
      <c r="H61" s="310">
        <f>SUM('6. WS Regression Analysis'!I56:I67)</f>
        <v>250323660.07999995</v>
      </c>
      <c r="I61" s="306">
        <f>SUM('6. WS Regression Analysis'!Q56:Q67)</f>
        <v>252761267.78320035</v>
      </c>
    </row>
    <row r="62" spans="2:51" hidden="1">
      <c r="B62" s="298">
        <v>5</v>
      </c>
      <c r="C62" s="307"/>
      <c r="D62" s="307"/>
      <c r="E62" s="307"/>
      <c r="F62" s="312">
        <f t="shared" si="24"/>
        <v>2015</v>
      </c>
      <c r="G62" s="317"/>
      <c r="H62" s="310">
        <f>SUM('6. WS Regression Analysis'!I68:I79)</f>
        <v>248042590.17000005</v>
      </c>
      <c r="I62" s="306">
        <f>SUM('6. WS Regression Analysis'!Q68:Q79)</f>
        <v>253070139.99597791</v>
      </c>
    </row>
    <row r="63" spans="2:51" hidden="1">
      <c r="B63" s="298">
        <v>6</v>
      </c>
      <c r="C63" s="307"/>
      <c r="D63" s="307"/>
      <c r="E63" s="307"/>
      <c r="F63" s="312">
        <f t="shared" si="24"/>
        <v>2016</v>
      </c>
      <c r="G63" s="317"/>
      <c r="H63" s="310">
        <f>SUM('6. WS Regression Analysis'!I80:I91)</f>
        <v>245731772.13</v>
      </c>
      <c r="I63" s="306">
        <f>SUM('6. WS Regression Analysis'!Q80:Q91)</f>
        <v>252375485.51351339</v>
      </c>
    </row>
    <row r="64" spans="2:51" hidden="1">
      <c r="B64" s="298">
        <v>7</v>
      </c>
      <c r="C64" s="307"/>
      <c r="D64" s="307"/>
      <c r="E64" s="307"/>
      <c r="F64" s="312">
        <f t="shared" si="24"/>
        <v>2017</v>
      </c>
      <c r="G64" s="317"/>
      <c r="H64" s="310">
        <f>SUM('6. WS Regression Analysis'!I92:I103)</f>
        <v>240806896.24000001</v>
      </c>
      <c r="I64" s="306">
        <f>SUM('6. WS Regression Analysis'!Q92:Q103)</f>
        <v>251482150.84897441</v>
      </c>
    </row>
    <row r="65" spans="2:10" hidden="1">
      <c r="B65" s="298">
        <v>8</v>
      </c>
      <c r="C65" s="307"/>
      <c r="D65" s="307"/>
      <c r="E65" s="307"/>
      <c r="F65" s="312">
        <f t="shared" si="24"/>
        <v>2018</v>
      </c>
      <c r="G65" s="317"/>
      <c r="H65" s="310">
        <f>SUM('6. WS Regression Analysis'!I104:I115)</f>
        <v>254570985.03999996</v>
      </c>
      <c r="I65" s="324">
        <f>SUM('6. WS Regression Analysis'!Q104:Q115)</f>
        <v>259096002.29926127</v>
      </c>
      <c r="J65" s="296" t="s">
        <v>186</v>
      </c>
    </row>
    <row r="66" spans="2:10" hidden="1">
      <c r="B66" s="298">
        <v>9</v>
      </c>
      <c r="C66" s="307"/>
      <c r="D66" s="307"/>
      <c r="E66" s="307"/>
      <c r="F66" s="312">
        <f t="shared" si="24"/>
        <v>2019</v>
      </c>
      <c r="G66" s="317"/>
      <c r="H66" s="310">
        <f>SUM('6. WS Regression Analysis'!I116:I127)</f>
        <v>245663815.89999998</v>
      </c>
      <c r="I66" s="324">
        <f>SUM('6. WS Regression Analysis'!Q116:Q117)</f>
        <v>46018773.384319194</v>
      </c>
      <c r="J66" s="296" t="s">
        <v>175</v>
      </c>
    </row>
    <row r="67" spans="2:10" ht="13.5" hidden="1" thickBot="1">
      <c r="B67" s="299">
        <v>10</v>
      </c>
      <c r="C67" s="308"/>
      <c r="D67" s="308"/>
      <c r="E67" s="308"/>
      <c r="F67" s="312">
        <f t="shared" si="24"/>
        <v>2020</v>
      </c>
      <c r="G67" s="318"/>
      <c r="H67" s="311">
        <f>SUM('6. WS Regression Analysis'!I128:I139)</f>
        <v>247239798.66666663</v>
      </c>
      <c r="I67" s="323">
        <f>SUM('6. WS Regression Analysis'!Q128:Q139)</f>
        <v>256707769.52352279</v>
      </c>
      <c r="J67" s="296" t="s">
        <v>176</v>
      </c>
    </row>
    <row r="68" spans="2:10" hidden="1"/>
  </sheetData>
  <mergeCells count="26">
    <mergeCell ref="AQ18:AY18"/>
    <mergeCell ref="AQ36:AY36"/>
    <mergeCell ref="AQ41:AY41"/>
    <mergeCell ref="AQ47:AY47"/>
    <mergeCell ref="AW49:AW50"/>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G41:AO41"/>
    <mergeCell ref="B47:J47"/>
    <mergeCell ref="M47:U47"/>
    <mergeCell ref="W47:AE47"/>
    <mergeCell ref="AG47:AO47"/>
  </mergeCells>
  <dataValidations count="2">
    <dataValidation type="list" allowBlank="1" showInputMessage="1" showErrorMessage="1" sqref="E34 Z34 P34 AJ34 AT34" xr:uid="{00000000-0002-0000-0800-000000000000}">
      <formula1>$B$58:$B$67</formula1>
    </dataValidation>
    <dataValidation type="list" allowBlank="1" showInputMessage="1" showErrorMessage="1" sqref="H49 AW49 S49 AC49 AM49" xr:uid="{00000000-0002-0000-0800-000001000000}">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'2. Customer Classes'!$B$14:$B$21</xm:f>
          </x14:formula1>
          <xm:sqref>B18:J18 M18:U18 W18:AE18 AG18:AO18 AQ18:AY18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3"/>
  <sheetViews>
    <sheetView showGridLines="0" topLeftCell="C13" zoomScaleNormal="100" workbookViewId="0">
      <selection activeCell="O16" sqref="O16"/>
    </sheetView>
  </sheetViews>
  <sheetFormatPr defaultColWidth="10.5" defaultRowHeight="12.75"/>
  <cols>
    <col min="1" max="1" width="13.6640625" style="735" customWidth="1"/>
    <col min="2" max="3" width="50.1640625" style="1" customWidth="1"/>
    <col min="4" max="4" width="11.83203125" style="1" bestFit="1" customWidth="1"/>
    <col min="5" max="5" width="17.6640625" style="1" customWidth="1"/>
    <col min="6" max="6" width="21.1640625" style="1" customWidth="1"/>
    <col min="7" max="10" width="14.5" style="1" customWidth="1"/>
    <col min="11" max="16" width="16.33203125" style="1" bestFit="1" customWidth="1"/>
    <col min="17" max="18" width="10.5" style="1"/>
    <col min="19" max="20" width="1.83203125" style="1" bestFit="1" customWidth="1"/>
    <col min="21" max="16384" width="10.5" style="1"/>
  </cols>
  <sheetData>
    <row r="1" spans="1:16" s="514" customFormat="1">
      <c r="A1" s="694" t="s">
        <v>257</v>
      </c>
    </row>
    <row r="2" spans="1:16" s="514" customFormat="1">
      <c r="A2" s="735"/>
    </row>
    <row r="3" spans="1:16" s="514" customFormat="1">
      <c r="A3" s="735"/>
    </row>
    <row r="4" spans="1:16" s="514" customFormat="1">
      <c r="A4" s="735"/>
    </row>
    <row r="5" spans="1:16" s="514" customFormat="1">
      <c r="A5" s="735"/>
    </row>
    <row r="6" spans="1:16" s="514" customFormat="1">
      <c r="A6" s="735"/>
    </row>
    <row r="7" spans="1:16" s="514" customFormat="1">
      <c r="A7" s="735"/>
    </row>
    <row r="8" spans="1:16" s="514" customFormat="1">
      <c r="A8" s="735"/>
    </row>
    <row r="9" spans="1:16" s="514" customFormat="1">
      <c r="A9" s="735"/>
    </row>
    <row r="11" spans="1:16" ht="23.25">
      <c r="B11" s="124" t="s">
        <v>101</v>
      </c>
      <c r="C11" s="124"/>
    </row>
    <row r="12" spans="1:16" ht="13.5" customHeight="1">
      <c r="B12" s="49" t="s">
        <v>63</v>
      </c>
      <c r="C12" s="124"/>
    </row>
    <row r="13" spans="1:16" ht="13.5" customHeight="1">
      <c r="B13" s="91" t="s">
        <v>253</v>
      </c>
      <c r="C13" s="124"/>
    </row>
    <row r="14" spans="1:16" ht="13.5" customHeight="1" thickBot="1"/>
    <row r="15" spans="1:16" ht="13.5" thickBot="1">
      <c r="B15" s="823"/>
      <c r="C15" s="780"/>
      <c r="D15" s="781" t="s">
        <v>33</v>
      </c>
      <c r="E15" s="782">
        <f>'4. Customer Growth'!B17</f>
        <v>2011</v>
      </c>
      <c r="F15" s="782">
        <f>'4. Customer Growth'!B18</f>
        <v>2012</v>
      </c>
      <c r="G15" s="782">
        <f>'4. Customer Growth'!B19</f>
        <v>2013</v>
      </c>
      <c r="H15" s="782">
        <f>'4. Customer Growth'!B20</f>
        <v>2014</v>
      </c>
      <c r="I15" s="782">
        <f>'4. Customer Growth'!B21</f>
        <v>2015</v>
      </c>
      <c r="J15" s="782">
        <f>'4. Customer Growth'!B22</f>
        <v>2016</v>
      </c>
      <c r="K15" s="782">
        <f>'4. Customer Growth'!B23</f>
        <v>2017</v>
      </c>
      <c r="L15" s="782">
        <f>'4. Customer Growth'!B24</f>
        <v>2018</v>
      </c>
      <c r="M15" s="782">
        <f>'4. Customer Growth'!B25</f>
        <v>2019</v>
      </c>
      <c r="N15" s="782">
        <f>'4. Customer Growth'!B26</f>
        <v>2020</v>
      </c>
      <c r="O15" s="782" t="str">
        <f>'4. Customer Growth'!B30</f>
        <v>2021</v>
      </c>
      <c r="P15" s="783" t="str">
        <f>'4. Customer Growth'!B31</f>
        <v>2022</v>
      </c>
    </row>
    <row r="16" spans="1:16">
      <c r="B16" s="696" t="s">
        <v>192</v>
      </c>
      <c r="C16" s="697" t="str">
        <f>IF($B16=$F$64,+$B$64,+IF($B16=$F$65,+$B$65,+IF($B16=$F$66,+$B$66,+IF($B16=$F$66,$B$66,+IF($B16=$F$67,+$B$67,+IF($B16=$F$68,+$B$68,+IF($B16=$F$69,+$B$69,+IF($B16=$F$70,+$B$70,+IF($B16=$F$71,+$B$71,+IF($B16=$F$72,+$B$72,+IF($B16=$F$73,+$B$73)))))))))))</f>
        <v>Residential</v>
      </c>
      <c r="D16" s="384" t="s">
        <v>129</v>
      </c>
      <c r="E16" s="490">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8425</v>
      </c>
      <c r="F16" s="490">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8525</v>
      </c>
      <c r="G16" s="490">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8627</v>
      </c>
      <c r="H16" s="490">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8760.5</v>
      </c>
      <c r="I16" s="490">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8885</v>
      </c>
      <c r="J16" s="490">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8988</v>
      </c>
      <c r="K16" s="490">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9072.5</v>
      </c>
      <c r="L16" s="490">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9175</v>
      </c>
      <c r="M16" s="490">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9270.5</v>
      </c>
      <c r="N16" s="490">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9383.5</v>
      </c>
      <c r="O16" s="490">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9496.5158425198933</v>
      </c>
      <c r="P16" s="491">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9610.8928595120487</v>
      </c>
    </row>
    <row r="17" spans="1:16">
      <c r="B17" s="80"/>
      <c r="C17" s="779"/>
      <c r="D17" s="45" t="s">
        <v>36</v>
      </c>
      <c r="E17" s="490">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70957666.025040165</v>
      </c>
      <c r="F17" s="490">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68431708.416596457</v>
      </c>
      <c r="G17" s="490">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72171331.846405834</v>
      </c>
      <c r="H17" s="490">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74316916.888821855</v>
      </c>
      <c r="I17" s="490">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78658150.986850381</v>
      </c>
      <c r="J17" s="490">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86737657.33398664</v>
      </c>
      <c r="K17" s="490">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81423303.559898421</v>
      </c>
      <c r="L17" s="490">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77282085.459067956</v>
      </c>
      <c r="M17" s="490">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77067211.672795802</v>
      </c>
      <c r="N17" s="490">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76102272.208445042</v>
      </c>
      <c r="O17" s="490">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75362999.896583319</v>
      </c>
      <c r="P17" s="491">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75357216.035489574</v>
      </c>
    </row>
    <row r="18" spans="1:16">
      <c r="B18" s="80"/>
      <c r="C18" s="779"/>
      <c r="D18" s="45" t="s">
        <v>37</v>
      </c>
      <c r="E18" s="390">
        <f>IF(B$16=$F$69,+'8. KW and Non-Weather Sensitive'!$F$21,IF($B16=$F$70,+'8. KW and Non-Weather Sensitive'!$Q$21,IF($B16=$F$71,+'8. KW and Non-Weather Sensitive'!$AA$21,IF($B16=$F$72,+'8. KW and Non-Weather Sensitive'!$AK$21,+IF($B16=$F$73,+'8. KW and Non-Weather Sensitive'!$AU$21,0)))))</f>
        <v>0</v>
      </c>
      <c r="F18" s="390">
        <f>IF($B16=$F$69,+'8. KW and Non-Weather Sensitive'!$F$22,IF($B16=$F$70,+'8. KW and Non-Weather Sensitive'!$Q$22,IF($B16=$F$71,+'8. KW and Non-Weather Sensitive'!$AA$22,IF($B16=$F$72,+'8. KW and Non-Weather Sensitive'!$AK$22,+IF($B16=$F$73,+'8. KW and Non-Weather Sensitive'!$AU$22,0)))))</f>
        <v>0</v>
      </c>
      <c r="G18" s="390">
        <f>IF($B16=$F$69,+'8. KW and Non-Weather Sensitive'!$F$23,IF($B16=$F$70,+'8. KW and Non-Weather Sensitive'!$Q$23,IF($B16=$F$71,+'8. KW and Non-Weather Sensitive'!$AA$23,IF($B16=$F$72,+'8. KW and Non-Weather Sensitive'!$AK$23,+IF($B16=$F$73,+'8. KW and Non-Weather Sensitive'!$AU$23,0)))))</f>
        <v>0</v>
      </c>
      <c r="H18" s="390">
        <f>IF($B16=$F$69,+'8. KW and Non-Weather Sensitive'!$F$24,IF($B16=$F$70,+'8. KW and Non-Weather Sensitive'!$Q$24,IF($B16=$F$71,+'8. KW and Non-Weather Sensitive'!$AA$24,IF($B16=$F$72,+'8. KW and Non-Weather Sensitive'!$AK$24,+IF($B16=$F$73,+'8. KW and Non-Weather Sensitive'!$AU$24,0)))))</f>
        <v>0</v>
      </c>
      <c r="I18" s="390">
        <f>IF($B16=$F$69,+'8. KW and Non-Weather Sensitive'!$F$25,IF($B16=$F$70,+'8. KW and Non-Weather Sensitive'!$Q$25,IF($B16=$F$71,+'8. KW and Non-Weather Sensitive'!$AA$25,IF($B16=$F$72,+'8. KW and Non-Weather Sensitive'!$AK$25,+IF($B16=$F$73,+'8. KW and Non-Weather Sensitive'!$AU$25,0)))))</f>
        <v>0</v>
      </c>
      <c r="J18" s="390">
        <f>IF($B16=$F$69,+'8. KW and Non-Weather Sensitive'!$F$26,IF($B16=$F$70,+'8. KW and Non-Weather Sensitive'!$Q$26,IF($B16=$F$71,+'8. KW and Non-Weather Sensitive'!$AA$26,IF($B16=$F$72,+'8. KW and Non-Weather Sensitive'!$AK$26,+IF($B16=$F$73,+'8. KW and Non-Weather Sensitive'!$AU$26,0)))))</f>
        <v>0</v>
      </c>
      <c r="K18" s="390">
        <f>IF($B16=$F$69,+'8. KW and Non-Weather Sensitive'!$F$27,IF($B16=$F$70,+'8. KW and Non-Weather Sensitive'!$Q$27,IF($B16=$F$71,+'8. KW and Non-Weather Sensitive'!$AA$27,IF($B16=$F$72,+'8. KW and Non-Weather Sensitive'!$AK$27,+IF($B16=$F$73,+'8. KW and Non-Weather Sensitive'!$AU$27,0)))))</f>
        <v>0</v>
      </c>
      <c r="L18" s="390">
        <f>IF($B16=$F$69,+'8. KW and Non-Weather Sensitive'!$F$28,IF($B16=$F$70,+'8. KW and Non-Weather Sensitive'!$Q$28,IF($B16=$F$71,+'8. KW and Non-Weather Sensitive'!$AA$28,IF($B16=$F$72,+'8. KW and Non-Weather Sensitive'!$AK$28,+IF($B16=$F$73,+'8. KW and Non-Weather Sensitive'!$AU$28,0)))))</f>
        <v>0</v>
      </c>
      <c r="M18" s="390">
        <f>IF($B16=$F$69,+'8. KW and Non-Weather Sensitive'!$F$29,IF($B16=$F$70,+'8. KW and Non-Weather Sensitive'!$Q$29,IF($B16=$F$71,+'8. KW and Non-Weather Sensitive'!$AA$29,IF($B16=$F$72,+'8. KW and Non-Weather Sensitive'!$AK$29,+IF($B16=$F$73,+'8. KW and Non-Weather Sensitive'!$AU$29,0)))))</f>
        <v>0</v>
      </c>
      <c r="N18" s="390">
        <f>IF($B16=$F$69,+'8. KW and Non-Weather Sensitive'!$F$30,IF($B16=$F$70,+'8. KW and Non-Weather Sensitive'!$Q$30,IF($B16=$F$71,+'8. KW and Non-Weather Sensitive'!$AA$30,IF($B16=$F$72,+'8. KW and Non-Weather Sensitive'!$AK$30,+IF($B16=$F$73,+'8. KW and Non-Weather Sensitive'!$AU$30,0)))))</f>
        <v>0</v>
      </c>
      <c r="O18" s="390">
        <f>IF($B16=$F$69,+'8. KW and Non-Weather Sensitive'!$J$49,IF($B16=$F$70,+'8. KW and Non-Weather Sensitive'!$U$49,IF($B16=$F$71,+'8. KW and Non-Weather Sensitive'!$AE$49,IF($B16=$F$72,+'8. KW and Non-Weather Sensitive'!$AO$49,+IF($B16=$F$73,+'8. KW and Non-Weather Sensitive'!$AY$49,0)))))</f>
        <v>0</v>
      </c>
      <c r="P18" s="492">
        <f>IF($B16=$F$69,+'8. KW and Non-Weather Sensitive'!$J$50,IF($B16=$F$70,+'8. KW and Non-Weather Sensitive'!$U$50,IF($B16=$F$71,+'8. KW and Non-Weather Sensitive'!$AE$50,IF($B16=$F$72,+'8. KW and Non-Weather Sensitive'!$AO$50,+IF($B16=$F$73,+'8. KW and Non-Weather Sensitive'!$AY$50,0)))))</f>
        <v>0</v>
      </c>
    </row>
    <row r="19" spans="1:16">
      <c r="A19" s="735" t="s">
        <v>267</v>
      </c>
      <c r="B19" s="80"/>
      <c r="C19" s="779"/>
      <c r="D19" s="45"/>
      <c r="E19" s="390"/>
      <c r="F19" s="390"/>
      <c r="G19" s="390"/>
      <c r="H19" s="390"/>
      <c r="I19" s="390"/>
      <c r="J19" s="390"/>
      <c r="K19" s="390"/>
      <c r="L19" s="390"/>
      <c r="M19" s="390"/>
      <c r="N19" s="390"/>
      <c r="O19" s="391"/>
      <c r="P19" s="392"/>
    </row>
    <row r="20" spans="1:16">
      <c r="A20" s="735" t="s">
        <v>268</v>
      </c>
      <c r="B20" s="698" t="s">
        <v>191</v>
      </c>
      <c r="C20" s="697" t="str">
        <f>IF($B20=$F$64,+$B$64,+IF($B20=$F$65,+$B$65,+IF($B20=$F$66,+$B$66,+IF($B20=$F$66,$B$66,+IF($B20=$F$67,+$B$67,+IF($B20=$F$68,+$B$68,+IF($B20=$F$69,+$B$69,+IF($B20=$F$70,+$B$70,+IF($B20=$F$71,+$B$71,+IF($B20=$F$72,+$B$72,+IF($B20=$F$73,+$B$73)))))))))))</f>
        <v>General Service &lt; 50 kW</v>
      </c>
      <c r="D20" s="79" t="s">
        <v>129</v>
      </c>
      <c r="E20" s="490">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1072.5</v>
      </c>
      <c r="F20" s="490">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1067</v>
      </c>
      <c r="G20" s="490">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1058</v>
      </c>
      <c r="H20" s="490">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1068.5</v>
      </c>
      <c r="I20" s="490">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1077.5</v>
      </c>
      <c r="J20" s="490">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1082.5</v>
      </c>
      <c r="K20" s="490">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1097</v>
      </c>
      <c r="L20" s="490">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1120</v>
      </c>
      <c r="M20" s="490">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1131</v>
      </c>
      <c r="N20" s="490">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1133.5</v>
      </c>
      <c r="O20" s="490">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1140.4884269178044</v>
      </c>
      <c r="P20" s="491">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1147.5199399501087</v>
      </c>
    </row>
    <row r="21" spans="1:16">
      <c r="B21" s="80"/>
      <c r="C21" s="779"/>
      <c r="D21" s="45" t="s">
        <v>36</v>
      </c>
      <c r="E21" s="490">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37629360.718589716</v>
      </c>
      <c r="F21" s="490">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32014523.805142321</v>
      </c>
      <c r="G21" s="490">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32367580.542212881</v>
      </c>
      <c r="H21" s="490">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31807450.286705617</v>
      </c>
      <c r="I21" s="490">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32511938.679650381</v>
      </c>
      <c r="J21" s="490">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31736946.144515336</v>
      </c>
      <c r="K21" s="490">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32374514.182592485</v>
      </c>
      <c r="L21" s="490">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35191711.415148593</v>
      </c>
      <c r="M21" s="490">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35397171.82917016</v>
      </c>
      <c r="N21" s="490">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33194524.124127503</v>
      </c>
      <c r="O21" s="490">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32872066.043990571</v>
      </c>
      <c r="P21" s="491">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32869543.221595977</v>
      </c>
    </row>
    <row r="22" spans="1:16">
      <c r="B22" s="80"/>
      <c r="C22" s="779"/>
      <c r="D22" s="45" t="s">
        <v>37</v>
      </c>
      <c r="E22" s="390">
        <f>IF(B$16=$F$69,+'8. KW and Non-Weather Sensitive'!$F$21,IF($B20=$F$70,+'8. KW and Non-Weather Sensitive'!$Q$21,IF($B20=$F$71,+'8. KW and Non-Weather Sensitive'!$AA$21,IF($B20=$F$72,+'8. KW and Non-Weather Sensitive'!$AK$21,+IF($B20=$F$73,+'8. KW and Non-Weather Sensitive'!$AU$21,0)))))</f>
        <v>0</v>
      </c>
      <c r="F22" s="390">
        <f>IF($B20=$F$69,+'8. KW and Non-Weather Sensitive'!$F$22,IF($B20=$F$70,+'8. KW and Non-Weather Sensitive'!$Q$22,IF($B20=$F$71,+'8. KW and Non-Weather Sensitive'!$AA$22,IF($B20=$F$72,+'8. KW and Non-Weather Sensitive'!$AK$22,+IF($B20=$F$73,+'8. KW and Non-Weather Sensitive'!$AU$22,0)))))</f>
        <v>0</v>
      </c>
      <c r="G22" s="390">
        <f>IF($B20=$F$69,+'8. KW and Non-Weather Sensitive'!$F$23,IF($B20=$F$70,+'8. KW and Non-Weather Sensitive'!$Q$23,IF($B20=$F$71,+'8. KW and Non-Weather Sensitive'!$AA$23,IF($B20=$F$72,+'8. KW and Non-Weather Sensitive'!$AK$23,+IF($B20=$F$73,+'8. KW and Non-Weather Sensitive'!$AU$23,0)))))</f>
        <v>0</v>
      </c>
      <c r="H22" s="390">
        <f>IF($B20=$F$69,+'8. KW and Non-Weather Sensitive'!$F$24,IF($B20=$F$70,+'8. KW and Non-Weather Sensitive'!$Q$24,IF($B20=$F$71,+'8. KW and Non-Weather Sensitive'!$AA$24,IF($B20=$F$72,+'8. KW and Non-Weather Sensitive'!$AK$24,+IF($B20=$F$73,+'8. KW and Non-Weather Sensitive'!$AU$24,0)))))</f>
        <v>0</v>
      </c>
      <c r="I22" s="390">
        <f>IF($B20=$F$69,+'8. KW and Non-Weather Sensitive'!$F$25,IF($B20=$F$70,+'8. KW and Non-Weather Sensitive'!$Q$25,IF($B20=$F$71,+'8. KW and Non-Weather Sensitive'!$AA$25,IF($B20=$F$72,+'8. KW and Non-Weather Sensitive'!$AK$25,+IF($B20=$F$73,+'8. KW and Non-Weather Sensitive'!$AU$25,0)))))</f>
        <v>0</v>
      </c>
      <c r="J22" s="390">
        <f>IF($B20=$F$69,+'8. KW and Non-Weather Sensitive'!$F$26,IF($B20=$F$70,+'8. KW and Non-Weather Sensitive'!$Q$26,IF($B20=$F$71,+'8. KW and Non-Weather Sensitive'!$AA$26,IF($B20=$F$72,+'8. KW and Non-Weather Sensitive'!$AK$26,+IF($B20=$F$73,+'8. KW and Non-Weather Sensitive'!$AU$26,0)))))</f>
        <v>0</v>
      </c>
      <c r="K22" s="390">
        <f>IF($B20=$F$69,+'8. KW and Non-Weather Sensitive'!$F$27,IF($B20=$F$70,+'8. KW and Non-Weather Sensitive'!$Q$27,IF($B20=$F$71,+'8. KW and Non-Weather Sensitive'!$AA$27,IF($B20=$F$72,+'8. KW and Non-Weather Sensitive'!$AK$27,+IF($B20=$F$73,+'8. KW and Non-Weather Sensitive'!$AU$27,0)))))</f>
        <v>0</v>
      </c>
      <c r="L22" s="390">
        <f>IF($B20=$F$69,+'8. KW and Non-Weather Sensitive'!$F$28,IF($B20=$F$70,+'8. KW and Non-Weather Sensitive'!$Q$28,IF($B20=$F$71,+'8. KW and Non-Weather Sensitive'!$AA$28,IF($B20=$F$72,+'8. KW and Non-Weather Sensitive'!$AK$28,+IF($B20=$F$73,+'8. KW and Non-Weather Sensitive'!$AU$28,0)))))</f>
        <v>0</v>
      </c>
      <c r="M22" s="390">
        <f>IF($B20=$F$69,+'8. KW and Non-Weather Sensitive'!$F$29,IF($B20=$F$70,+'8. KW and Non-Weather Sensitive'!$Q$29,IF($B20=$F$71,+'8. KW and Non-Weather Sensitive'!$AA$29,IF($B20=$F$72,+'8. KW and Non-Weather Sensitive'!$AK$29,+IF($B20=$F$73,+'8. KW and Non-Weather Sensitive'!$AU$29,0)))))</f>
        <v>0</v>
      </c>
      <c r="N22" s="390">
        <f>IF($B20=$F$69,+'8. KW and Non-Weather Sensitive'!$F$30,IF($B20=$F$70,+'8. KW and Non-Weather Sensitive'!$Q$30,IF($B20=$F$71,+'8. KW and Non-Weather Sensitive'!$AA$30,IF($B20=$F$72,+'8. KW and Non-Weather Sensitive'!$AK$30,+IF($B20=$F$73,+'8. KW and Non-Weather Sensitive'!$AU$30,0)))))</f>
        <v>0</v>
      </c>
      <c r="O22" s="390">
        <f>IF($B20=$F$69,+'8. KW and Non-Weather Sensitive'!$J$49,IF($B20=$F$70,+'8. KW and Non-Weather Sensitive'!$U$49,IF($B20=$F$71,+'8. KW and Non-Weather Sensitive'!$AE$49,IF($B20=$F$72,+'8. KW and Non-Weather Sensitive'!$AO$49,+IF($B20=$F$73,+'8. KW and Non-Weather Sensitive'!$AY$49,0)))))</f>
        <v>0</v>
      </c>
      <c r="P22" s="492">
        <f>IF($B20=$F$69,+'8. KW and Non-Weather Sensitive'!$J$50,IF($B20=$F$70,+'8. KW and Non-Weather Sensitive'!$U$50,IF($B20=$F$71,+'8. KW and Non-Weather Sensitive'!$AE$50,IF($B20=$F$72,+'8. KW and Non-Weather Sensitive'!$AO$50,+IF($B20=$F$73,+'8. KW and Non-Weather Sensitive'!$AY$50,0)))))</f>
        <v>0</v>
      </c>
    </row>
    <row r="23" spans="1:16">
      <c r="B23" s="80"/>
      <c r="C23" s="779"/>
      <c r="D23" s="45"/>
      <c r="E23" s="390"/>
      <c r="F23" s="390"/>
      <c r="G23" s="390"/>
      <c r="H23" s="390"/>
      <c r="I23" s="390"/>
      <c r="J23" s="390"/>
      <c r="K23" s="390"/>
      <c r="L23" s="390"/>
      <c r="M23" s="390"/>
      <c r="N23" s="390"/>
      <c r="O23" s="391"/>
      <c r="P23" s="392"/>
    </row>
    <row r="24" spans="1:16">
      <c r="B24" s="698" t="s">
        <v>264</v>
      </c>
      <c r="C24" s="697" t="str">
        <f>IF($B24=$F$64,+$B$64,+IF($B24=$F$65,+$B$65,+IF($B24=$F$66,+$B$66,+IF($B24=$F$66,$B$66,+IF($B24=$F$67,+$B$67,+IF($B24=$F$68,+$B$68,+IF($B24=$F$69,+$B$69,+IF($B24=$F$70,+$B$70,+IF($B24=$F$71,+$B$71,+IF($B24=$F$72,+$B$72,+IF($B24=$F$73,+$B$73)))))))))))</f>
        <v>General Service &gt; 50 kW - 2999 kW</v>
      </c>
      <c r="D24" s="79" t="s">
        <v>129</v>
      </c>
      <c r="E24" s="490">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131.5</v>
      </c>
      <c r="F24" s="490">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137</v>
      </c>
      <c r="G24" s="490">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141.5</v>
      </c>
      <c r="H24" s="490">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138</v>
      </c>
      <c r="I24" s="490">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134</v>
      </c>
      <c r="J24" s="490">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134</v>
      </c>
      <c r="K24" s="490">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130.5</v>
      </c>
      <c r="L24" s="490">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120.5</v>
      </c>
      <c r="M24" s="490">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114</v>
      </c>
      <c r="N24" s="490">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109.5</v>
      </c>
      <c r="O24" s="490">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107.295002251903</v>
      </c>
      <c r="P24" s="491">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105.1344064679075</v>
      </c>
    </row>
    <row r="25" spans="1:16">
      <c r="B25" s="80"/>
      <c r="C25" s="779"/>
      <c r="D25" s="45" t="s">
        <v>36</v>
      </c>
      <c r="E25" s="490">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120834914</v>
      </c>
      <c r="F25" s="490">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128532327</v>
      </c>
      <c r="G25" s="490">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125354819</v>
      </c>
      <c r="H25" s="490">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119336146</v>
      </c>
      <c r="I25" s="490">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115685946</v>
      </c>
      <c r="J25" s="490">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104065809</v>
      </c>
      <c r="K25" s="490">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101900559</v>
      </c>
      <c r="L25" s="490">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111495775.55</v>
      </c>
      <c r="M25" s="490">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115404710</v>
      </c>
      <c r="N25" s="490">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106071560</v>
      </c>
      <c r="O25" s="490">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105041160.18264371</v>
      </c>
      <c r="P25" s="491">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105033098.62086332</v>
      </c>
    </row>
    <row r="26" spans="1:16">
      <c r="B26" s="80"/>
      <c r="C26" s="779"/>
      <c r="D26" s="45" t="s">
        <v>37</v>
      </c>
      <c r="E26" s="390">
        <f>IF(B$24=$F$69,+'8. KW and Non-Weather Sensitive'!$F$21,IF($B24=$F$70,+'8. KW and Non-Weather Sensitive'!$Q$21,IF($B24=$F$71,+'8. KW and Non-Weather Sensitive'!$AA$21,IF($B24=$F$72,+'8. KW and Non-Weather Sensitive'!$AK$21,+IF($B24=$F$73,+'8. KW and Non-Weather Sensitive'!$AU$21,0)))))</f>
        <v>300129.30000000005</v>
      </c>
      <c r="F26" s="390">
        <f>IF($B24=$F$69,+'8. KW and Non-Weather Sensitive'!$F$22,IF($B24=$F$70,+'8. KW and Non-Weather Sensitive'!$Q$22,IF($B24=$F$71,+'8. KW and Non-Weather Sensitive'!$AA$22,IF($B24=$F$72,+'8. KW and Non-Weather Sensitive'!$AK$22,+IF($B24=$F$73,+'8. KW and Non-Weather Sensitive'!$AU$22,0)))))</f>
        <v>322335</v>
      </c>
      <c r="G26" s="390">
        <f>IF($B24=$F$69,+'8. KW and Non-Weather Sensitive'!$F$23,IF($B24=$F$70,+'8. KW and Non-Weather Sensitive'!$Q$23,IF($B24=$F$71,+'8. KW and Non-Weather Sensitive'!$AA$23,IF($B24=$F$72,+'8. KW and Non-Weather Sensitive'!$AK$23,+IF($B24=$F$73,+'8. KW and Non-Weather Sensitive'!$AU$23,0)))))</f>
        <v>323427</v>
      </c>
      <c r="H26" s="390">
        <f>IF($B24=$F$69,+'8. KW and Non-Weather Sensitive'!$F$24,IF($B24=$F$70,+'8. KW and Non-Weather Sensitive'!$Q$24,IF($B24=$F$71,+'8. KW and Non-Weather Sensitive'!$AA$24,IF($B24=$F$72,+'8. KW and Non-Weather Sensitive'!$AK$24,+IF($B24=$F$73,+'8. KW and Non-Weather Sensitive'!$AU$24,0)))))</f>
        <v>314352.19999999995</v>
      </c>
      <c r="I26" s="390">
        <f>IF($B24=$F$69,+'8. KW and Non-Weather Sensitive'!$F$25,IF($B24=$F$70,+'8. KW and Non-Weather Sensitive'!$Q$25,IF($B24=$F$71,+'8. KW and Non-Weather Sensitive'!$AA$25,IF($B24=$F$72,+'8. KW and Non-Weather Sensitive'!$AK$25,+IF($B24=$F$73,+'8. KW and Non-Weather Sensitive'!$AU$25,0)))))</f>
        <v>306814.40000000002</v>
      </c>
      <c r="J26" s="390">
        <f>IF($B24=$F$69,+'8. KW and Non-Weather Sensitive'!$F$26,IF($B24=$F$70,+'8. KW and Non-Weather Sensitive'!$Q$26,IF($B24=$F$71,+'8. KW and Non-Weather Sensitive'!$AA$26,IF($B24=$F$72,+'8. KW and Non-Weather Sensitive'!$AK$26,+IF($B24=$F$73,+'8. KW and Non-Weather Sensitive'!$AU$26,0)))))</f>
        <v>305435</v>
      </c>
      <c r="K26" s="390">
        <f>IF($B24=$F$69,+'8. KW and Non-Weather Sensitive'!$F$27,IF($B24=$F$70,+'8. KW and Non-Weather Sensitive'!$Q$27,IF($B24=$F$71,+'8. KW and Non-Weather Sensitive'!$AA$27,IF($B24=$F$72,+'8. KW and Non-Weather Sensitive'!$AK$27,+IF($B24=$F$73,+'8. KW and Non-Weather Sensitive'!$AU$27,0)))))</f>
        <v>292263</v>
      </c>
      <c r="L26" s="390">
        <f>IF($B24=$F$69,+'8. KW and Non-Weather Sensitive'!$F$28,IF($B24=$F$70,+'8. KW and Non-Weather Sensitive'!$Q$28,IF($B24=$F$71,+'8. KW and Non-Weather Sensitive'!$AA$28,IF($B24=$F$72,+'8. KW and Non-Weather Sensitive'!$AK$28,+IF($B24=$F$73,+'8. KW and Non-Weather Sensitive'!$AU$28,0)))))</f>
        <v>297531.40000000002</v>
      </c>
      <c r="M26" s="390">
        <f>IF($B24=$F$69,+'8. KW and Non-Weather Sensitive'!$F$29,IF($B24=$F$70,+'8. KW and Non-Weather Sensitive'!$Q$29,IF($B24=$F$71,+'8. KW and Non-Weather Sensitive'!$AA$29,IF($B24=$F$72,+'8. KW and Non-Weather Sensitive'!$AK$29,+IF($B24=$F$73,+'8. KW and Non-Weather Sensitive'!$AU$29,0)))))</f>
        <v>278379.43000000005</v>
      </c>
      <c r="N26" s="390">
        <f>IF($B24=$F$69,+'8. KW and Non-Weather Sensitive'!$F$30,IF($B24=$F$70,+'8. KW and Non-Weather Sensitive'!$Q$30,IF($B24=$F$71,+'8. KW and Non-Weather Sensitive'!$AA$30,IF($B24=$F$72,+'8. KW and Non-Weather Sensitive'!$AK$30,+IF($B24=$F$73,+'8. KW and Non-Weather Sensitive'!$AU$30,0)))))</f>
        <v>278617.41000000003</v>
      </c>
      <c r="O26" s="390">
        <f>IF($B24=$F$69,+'8. KW and Non-Weather Sensitive'!$J$49,IF($B24=$F$70,+'8. KW and Non-Weather Sensitive'!$U$49,IF($B24=$F$71,+'8. KW and Non-Weather Sensitive'!$AE$49,IF($B24=$F$72,+'8. KW and Non-Weather Sensitive'!$AO$49,+IF($B24=$F$73,+'8. KW and Non-Weather Sensitive'!$AY$49,0)))))</f>
        <v>276978.66050828708</v>
      </c>
      <c r="P26" s="492">
        <f>IF($B24=$F$69,+'8. KW and Non-Weather Sensitive'!$J$50,IF($B24=$F$70,+'8. KW and Non-Weather Sensitive'!$U$50,IF($B24=$F$71,+'8. KW and Non-Weather Sensitive'!$AE$50,IF($B24=$F$72,+'8. KW and Non-Weather Sensitive'!$AO$50,+IF($B24=$F$73,+'8. KW and Non-Weather Sensitive'!$AY$50,0)))))</f>
        <v>276957.40331177803</v>
      </c>
    </row>
    <row r="27" spans="1:16">
      <c r="B27" s="80"/>
      <c r="C27" s="779"/>
      <c r="D27" s="45"/>
      <c r="E27" s="390"/>
      <c r="F27" s="390"/>
      <c r="G27" s="390"/>
      <c r="H27" s="390"/>
      <c r="I27" s="390"/>
      <c r="J27" s="390"/>
      <c r="K27" s="390"/>
      <c r="L27" s="390"/>
      <c r="M27" s="390"/>
      <c r="N27" s="390"/>
      <c r="O27" s="391"/>
      <c r="P27" s="392"/>
    </row>
    <row r="28" spans="1:16">
      <c r="B28" s="698" t="s">
        <v>236</v>
      </c>
      <c r="C28" s="697" t="str">
        <f>IF($B28=$F$64,+$B$64,+IF($B28=$F$65,+$B$65,+IF($B28=$F$66,+$B$66,+IF($B28=$F$66,$B$66,+IF($B28=$F$67,+$B$67,+IF($B28=$F$68,+$B$68,+IF($B28=$F$69,+$B$69,+IF($B28=$F$70,+$B$70,+IF($B28=$F$71,+$B$71,+IF($B28=$F$72,+$B$72,+IF($B28=$F$73,+$B$73)))))))))))</f>
        <v>Streetlighting</v>
      </c>
      <c r="D28" s="45" t="s">
        <v>129</v>
      </c>
      <c r="E28" s="490">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2759</v>
      </c>
      <c r="F28" s="490">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2802</v>
      </c>
      <c r="G28" s="490">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2862</v>
      </c>
      <c r="H28" s="490">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2634</v>
      </c>
      <c r="I28" s="490">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2694</v>
      </c>
      <c r="J28" s="490">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2491</v>
      </c>
      <c r="K28" s="490">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2593</v>
      </c>
      <c r="L28" s="490">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2837.5</v>
      </c>
      <c r="M28" s="490">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3082</v>
      </c>
      <c r="N28" s="490">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3082</v>
      </c>
      <c r="O28" s="490">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3120.1463166459635</v>
      </c>
      <c r="P28" s="491">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3158.7647752366561</v>
      </c>
    </row>
    <row r="29" spans="1:16">
      <c r="B29" s="80"/>
      <c r="C29" s="779"/>
      <c r="D29" s="45" t="s">
        <v>36</v>
      </c>
      <c r="E29" s="490">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1222967</v>
      </c>
      <c r="F29" s="490">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1222128</v>
      </c>
      <c r="G29" s="490">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1249953</v>
      </c>
      <c r="H29" s="490">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1258253</v>
      </c>
      <c r="I29" s="490">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1439933</v>
      </c>
      <c r="J29" s="490">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1080612</v>
      </c>
      <c r="K29" s="490">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1077264</v>
      </c>
      <c r="L29" s="490">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1087264</v>
      </c>
      <c r="M29" s="490">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1077264</v>
      </c>
      <c r="N29" s="490">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1080612</v>
      </c>
      <c r="O29" s="490">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1070114.7243171213</v>
      </c>
      <c r="P29" s="491">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1070032.5965498043</v>
      </c>
    </row>
    <row r="30" spans="1:16">
      <c r="B30" s="80"/>
      <c r="C30" s="779"/>
      <c r="D30" s="45" t="s">
        <v>37</v>
      </c>
      <c r="E30" s="390">
        <f>IF(B$16=$F$69,+'8. KW and Non-Weather Sensitive'!$F$21,IF($B28=$F$70,+'8. KW and Non-Weather Sensitive'!$Q$21,IF($B28=$F$71,+'8. KW and Non-Weather Sensitive'!$AA$21,IF($B28=$F$72,+'8. KW and Non-Weather Sensitive'!$AK$21,+IF($B28=$F$73,+'8. KW and Non-Weather Sensitive'!$AU$21,0)))))</f>
        <v>3321</v>
      </c>
      <c r="F30" s="390">
        <f>IF($B28=$F$69,+'8. KW and Non-Weather Sensitive'!$F$22,IF($B28=$F$70,+'8. KW and Non-Weather Sensitive'!$Q$22,IF($B28=$F$71,+'8. KW and Non-Weather Sensitive'!$AA$22,IF($B28=$F$72,+'8. KW and Non-Weather Sensitive'!$AK$22,+IF($B28=$F$73,+'8. KW and Non-Weather Sensitive'!$AU$22,0)))))</f>
        <v>3340</v>
      </c>
      <c r="G30" s="390">
        <f>IF($B28=$F$69,+'8. KW and Non-Weather Sensitive'!$F$23,IF($B28=$F$70,+'8. KW and Non-Weather Sensitive'!$Q$23,IF($B28=$F$71,+'8. KW and Non-Weather Sensitive'!$AA$23,IF($B28=$F$72,+'8. KW and Non-Weather Sensitive'!$AK$23,+IF($B28=$F$73,+'8. KW and Non-Weather Sensitive'!$AU$23,0)))))</f>
        <v>3386</v>
      </c>
      <c r="H30" s="390">
        <f>IF($B28=$F$69,+'8. KW and Non-Weather Sensitive'!$F$24,IF($B28=$F$70,+'8. KW and Non-Weather Sensitive'!$Q$24,IF($B28=$F$71,+'8. KW and Non-Weather Sensitive'!$AA$24,IF($B28=$F$72,+'8. KW and Non-Weather Sensitive'!$AK$24,+IF($B28=$F$73,+'8. KW and Non-Weather Sensitive'!$AU$24,0)))))</f>
        <v>3408.5999999999995</v>
      </c>
      <c r="I30" s="390">
        <f>IF($B28=$F$69,+'8. KW and Non-Weather Sensitive'!$F$25,IF($B28=$F$70,+'8. KW and Non-Weather Sensitive'!$Q$25,IF($B28=$F$71,+'8. KW and Non-Weather Sensitive'!$AA$25,IF($B28=$F$72,+'8. KW and Non-Weather Sensitive'!$AK$25,+IF($B28=$F$73,+'8. KW and Non-Weather Sensitive'!$AU$25,0)))))</f>
        <v>3416</v>
      </c>
      <c r="J30" s="390">
        <f>IF($B28=$F$69,+'8. KW and Non-Weather Sensitive'!$F$26,IF($B28=$F$70,+'8. KW and Non-Weather Sensitive'!$Q$26,IF($B28=$F$71,+'8. KW and Non-Weather Sensitive'!$AA$26,IF($B28=$F$72,+'8. KW and Non-Weather Sensitive'!$AK$26,+IF($B28=$F$73,+'8. KW and Non-Weather Sensitive'!$AU$26,0)))))</f>
        <v>2916</v>
      </c>
      <c r="K30" s="390">
        <f>IF($B28=$F$69,+'8. KW and Non-Weather Sensitive'!$F$27,IF($B28=$F$70,+'8. KW and Non-Weather Sensitive'!$Q$27,IF($B28=$F$71,+'8. KW and Non-Weather Sensitive'!$AA$27,IF($B28=$F$72,+'8. KW and Non-Weather Sensitive'!$AK$27,+IF($B28=$F$73,+'8. KW and Non-Weather Sensitive'!$AU$27,0)))))</f>
        <v>2916</v>
      </c>
      <c r="L30" s="390">
        <f>IF($B28=$F$69,+'8. KW and Non-Weather Sensitive'!$F$28,IF($B28=$F$70,+'8. KW and Non-Weather Sensitive'!$Q$28,IF($B28=$F$71,+'8. KW and Non-Weather Sensitive'!$AA$28,IF($B28=$F$72,+'8. KW and Non-Weather Sensitive'!$AK$28,+IF($B28=$F$73,+'8. KW and Non-Weather Sensitive'!$AU$28,0)))))</f>
        <v>2916</v>
      </c>
      <c r="M30" s="390">
        <f>IF($B28=$F$69,+'8. KW and Non-Weather Sensitive'!$F$29,IF($B28=$F$70,+'8. KW and Non-Weather Sensitive'!$Q$29,IF($B28=$F$71,+'8. KW and Non-Weather Sensitive'!$AA$29,IF($B28=$F$72,+'8. KW and Non-Weather Sensitive'!$AK$29,+IF($B28=$F$73,+'8. KW and Non-Weather Sensitive'!$AU$29,0)))))</f>
        <v>2916</v>
      </c>
      <c r="N30" s="390">
        <f>IF($B28=$F$69,+'8. KW and Non-Weather Sensitive'!$F$30,IF($B28=$F$70,+'8. KW and Non-Weather Sensitive'!$Q$30,IF($B28=$F$71,+'8. KW and Non-Weather Sensitive'!$AA$30,IF($B28=$F$72,+'8. KW and Non-Weather Sensitive'!$AK$30,+IF($B28=$F$73,+'8. KW and Non-Weather Sensitive'!$AU$30,0)))))</f>
        <v>2916</v>
      </c>
      <c r="O30" s="390">
        <f>IF($B28=$F$69,+'8. KW and Non-Weather Sensitive'!$J$49,IF($B28=$F$70,+'8. KW and Non-Weather Sensitive'!$U$49,IF($B28=$F$71,+'8. KW and Non-Weather Sensitive'!$AE$49,IF($B28=$F$72,+'8. KW and Non-Weather Sensitive'!$AO$49,+IF($B28=$F$73,+'8. KW and Non-Weather Sensitive'!$AY$49,0)))))</f>
        <v>2860.5569960852968</v>
      </c>
      <c r="P30" s="492">
        <f>IF($B28=$F$69,+'8. KW and Non-Weather Sensitive'!$J$50,IF($B28=$F$70,+'8. KW and Non-Weather Sensitive'!$U$50,IF($B28=$F$71,+'8. KW and Non-Weather Sensitive'!$AE$50,IF($B28=$F$72,+'8. KW and Non-Weather Sensitive'!$AO$50,+IF($B28=$F$73,+'8. KW and Non-Weather Sensitive'!$AY$50,0)))))</f>
        <v>2860.3374577927821</v>
      </c>
    </row>
    <row r="31" spans="1:16">
      <c r="B31" s="80"/>
      <c r="C31" s="779"/>
      <c r="D31" s="45"/>
      <c r="E31" s="390"/>
      <c r="F31" s="390"/>
      <c r="G31" s="390"/>
      <c r="H31" s="390"/>
      <c r="I31" s="390"/>
      <c r="J31" s="390"/>
      <c r="K31" s="390"/>
      <c r="L31" s="390"/>
      <c r="M31" s="390"/>
      <c r="N31" s="390"/>
      <c r="O31" s="391"/>
      <c r="P31" s="392"/>
    </row>
    <row r="32" spans="1:16">
      <c r="B32" s="698" t="s">
        <v>237</v>
      </c>
      <c r="C32" s="697" t="str">
        <f>IF($B32=$F$64,+$B$64,+IF($B32=$F$65,+$B$65,+IF($B32=$F$66,+$B$66,+IF($B32=$F$66,$B$66,+IF($B32=$F$67,+$B$67,+IF($B32=$F$68,+$B$68,+IF($B32=$F$69,+$B$69,+IF($B32=$F$70,+$B$70,+IF($B32=$F$71,+$B$71,+IF($B32=$F$72,+$B$72,+IF($B32=$F$73,+$B$73)))))))))))</f>
        <v>Sentinel Lighting</v>
      </c>
      <c r="D32" s="45" t="s">
        <v>129</v>
      </c>
      <c r="E32" s="490">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53</v>
      </c>
      <c r="F32" s="490">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54</v>
      </c>
      <c r="G32" s="490">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54</v>
      </c>
      <c r="H32" s="490">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54</v>
      </c>
      <c r="I32" s="490">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54</v>
      </c>
      <c r="J32" s="490">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48</v>
      </c>
      <c r="K32" s="490">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48</v>
      </c>
      <c r="L32" s="490">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47.5</v>
      </c>
      <c r="M32" s="490">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46.5</v>
      </c>
      <c r="N32" s="490">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50</v>
      </c>
      <c r="O32" s="490">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49.677329507382098</v>
      </c>
      <c r="P32" s="491">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49.356741339700321</v>
      </c>
    </row>
    <row r="33" spans="1:16">
      <c r="B33" s="80"/>
      <c r="C33" s="779"/>
      <c r="D33" s="45" t="s">
        <v>36</v>
      </c>
      <c r="E33" s="490">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43758</v>
      </c>
      <c r="F33" s="490">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41938</v>
      </c>
      <c r="G33" s="490">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44355</v>
      </c>
      <c r="H33" s="490">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42943</v>
      </c>
      <c r="I33" s="490">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43818</v>
      </c>
      <c r="J33" s="490">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45385.920000000013</v>
      </c>
      <c r="K33" s="490">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45385.920000000013</v>
      </c>
      <c r="L33" s="490">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44705.52</v>
      </c>
      <c r="M33" s="490">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44341.919999999998</v>
      </c>
      <c r="N33" s="490">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44222.400000000009</v>
      </c>
      <c r="O33" s="490">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43792.814983214579</v>
      </c>
      <c r="P33" s="491">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43789.454029442641</v>
      </c>
    </row>
    <row r="34" spans="1:16">
      <c r="A34" s="735" t="s">
        <v>269</v>
      </c>
      <c r="B34" s="80"/>
      <c r="C34" s="779"/>
      <c r="D34" s="45" t="s">
        <v>37</v>
      </c>
      <c r="E34" s="390">
        <f>IF(B$16=$F$69,+'8. KW and Non-Weather Sensitive'!$F$21,IF($B32=$F$70,+'8. KW and Non-Weather Sensitive'!$Q$21,IF($B32=$F$71,+'8. KW and Non-Weather Sensitive'!$AA$21,IF($B32=$F$72,+'8. KW and Non-Weather Sensitive'!$AK$21,+IF($B32=$F$73,+'8. KW and Non-Weather Sensitive'!$AU$21,0)))))</f>
        <v>132</v>
      </c>
      <c r="F34" s="390">
        <f>IF($B32=$F$69,+'8. KW and Non-Weather Sensitive'!$F$22,IF($B32=$F$70,+'8. KW and Non-Weather Sensitive'!$Q$22,IF($B32=$F$71,+'8. KW and Non-Weather Sensitive'!$AA$22,IF($B32=$F$72,+'8. KW and Non-Weather Sensitive'!$AK$22,+IF($B32=$F$73,+'8. KW and Non-Weather Sensitive'!$AU$22,0)))))</f>
        <v>132</v>
      </c>
      <c r="G34" s="390">
        <f>IF($B32=$F$69,+'8. KW and Non-Weather Sensitive'!$F$23,IF($B32=$F$70,+'8. KW and Non-Weather Sensitive'!$Q$23,IF($B32=$F$71,+'8. KW and Non-Weather Sensitive'!$AA$23,IF($B32=$F$72,+'8. KW and Non-Weather Sensitive'!$AK$23,+IF($B32=$F$73,+'8. KW and Non-Weather Sensitive'!$AU$23,0)))))</f>
        <v>132</v>
      </c>
      <c r="H34" s="390">
        <f>IF($B32=$F$69,+'8. KW and Non-Weather Sensitive'!$F$24,IF($B32=$F$70,+'8. KW and Non-Weather Sensitive'!$Q$24,IF($B32=$F$71,+'8. KW and Non-Weather Sensitive'!$AA$24,IF($B32=$F$72,+'8. KW and Non-Weather Sensitive'!$AK$24,+IF($B32=$F$73,+'8. KW and Non-Weather Sensitive'!$AU$24,0)))))</f>
        <v>132</v>
      </c>
      <c r="I34" s="390">
        <f>IF($B32=$F$69,+'8. KW and Non-Weather Sensitive'!$F$25,IF($B32=$F$70,+'8. KW and Non-Weather Sensitive'!$Q$25,IF($B32=$F$71,+'8. KW and Non-Weather Sensitive'!$AA$25,IF($B32=$F$72,+'8. KW and Non-Weather Sensitive'!$AK$25,+IF($B32=$F$73,+'8. KW and Non-Weather Sensitive'!$AU$25,0)))))</f>
        <v>132</v>
      </c>
      <c r="J34" s="390">
        <f>IF($B32=$F$69,+'8. KW and Non-Weather Sensitive'!$F$26,IF($B32=$F$70,+'8. KW and Non-Weather Sensitive'!$Q$26,IF($B32=$F$71,+'8. KW and Non-Weather Sensitive'!$AA$26,IF($B32=$F$72,+'8. KW and Non-Weather Sensitive'!$AK$26,+IF($B32=$F$73,+'8. KW and Non-Weather Sensitive'!$AU$26,0)))))</f>
        <v>132</v>
      </c>
      <c r="K34" s="390">
        <f>IF($B32=$F$69,+'8. KW and Non-Weather Sensitive'!$F$27,IF($B32=$F$70,+'8. KW and Non-Weather Sensitive'!$Q$27,IF($B32=$F$71,+'8. KW and Non-Weather Sensitive'!$AA$27,IF($B32=$F$72,+'8. KW and Non-Weather Sensitive'!$AK$27,+IF($B32=$F$73,+'8. KW and Non-Weather Sensitive'!$AU$27,0)))))</f>
        <v>132</v>
      </c>
      <c r="L34" s="390">
        <f>IF($B32=$F$69,+'8. KW and Non-Weather Sensitive'!$F$28,IF($B32=$F$70,+'8. KW and Non-Weather Sensitive'!$Q$28,IF($B32=$F$71,+'8. KW and Non-Weather Sensitive'!$AA$28,IF($B32=$F$72,+'8. KW and Non-Weather Sensitive'!$AK$28,+IF($B32=$F$73,+'8. KW and Non-Weather Sensitive'!$AU$28,0)))))</f>
        <v>132</v>
      </c>
      <c r="M34" s="390">
        <f>IF($B32=$F$69,+'8. KW and Non-Weather Sensitive'!$F$29,IF($B32=$F$70,+'8. KW and Non-Weather Sensitive'!$Q$29,IF($B32=$F$71,+'8. KW and Non-Weather Sensitive'!$AA$29,IF($B32=$F$72,+'8. KW and Non-Weather Sensitive'!$AK$29,+IF($B32=$F$73,+'8. KW and Non-Weather Sensitive'!$AU$29,0)))))</f>
        <v>132</v>
      </c>
      <c r="N34" s="390">
        <f>IF($B32=$F$69,+'8. KW and Non-Weather Sensitive'!$F$30,IF($B32=$F$70,+'8. KW and Non-Weather Sensitive'!$Q$30,IF($B32=$F$71,+'8. KW and Non-Weather Sensitive'!$AA$30,IF($B32=$F$72,+'8. KW and Non-Weather Sensitive'!$AK$30,+IF($B32=$F$73,+'8. KW and Non-Weather Sensitive'!$AU$30,0)))))</f>
        <v>132</v>
      </c>
      <c r="O34" s="390">
        <f>IF($B32=$F$69,+'8. KW and Non-Weather Sensitive'!$J$49,IF($B32=$F$70,+'8. KW and Non-Weather Sensitive'!$U$49,IF($B32=$F$71,+'8. KW and Non-Weather Sensitive'!$AE$49,IF($B32=$F$72,+'8. KW and Non-Weather Sensitive'!$AO$49,+IF($B32=$F$73,+'8. KW and Non-Weather Sensitive'!$AY$49,0)))))</f>
        <v>131.19277964365381</v>
      </c>
      <c r="P34" s="492">
        <f>IF($B32=$F$69,+'8. KW and Non-Weather Sensitive'!$J$50,IF($B32=$F$70,+'8. KW and Non-Weather Sensitive'!$U$50,IF($B32=$F$71,+'8. KW and Non-Weather Sensitive'!$AE$50,IF($B32=$F$72,+'8. KW and Non-Weather Sensitive'!$AO$50,+IF($B32=$F$73,+'8. KW and Non-Weather Sensitive'!$AY$50,0)))))</f>
        <v>131.1827110315364</v>
      </c>
    </row>
    <row r="35" spans="1:16">
      <c r="A35" s="735" t="s">
        <v>268</v>
      </c>
      <c r="B35" s="80"/>
      <c r="C35" s="779"/>
      <c r="D35" s="45"/>
      <c r="E35" s="390"/>
      <c r="F35" s="390"/>
      <c r="G35" s="390"/>
      <c r="H35" s="390"/>
      <c r="I35" s="390"/>
      <c r="J35" s="390"/>
      <c r="K35" s="390"/>
      <c r="L35" s="390"/>
      <c r="M35" s="390"/>
      <c r="N35" s="390"/>
      <c r="O35" s="391"/>
      <c r="P35" s="392"/>
    </row>
    <row r="36" spans="1:16">
      <c r="B36" s="698" t="s">
        <v>265</v>
      </c>
      <c r="C36" s="697" t="str">
        <f>IF($B36=$F$64,+$B$64,+IF($B36=$F$65,+$B$65,+IF($B36=$F$66,+$B$66,+IF($B36=$F$66,$B$66,+IF($B36=$F$67,+$B$67,+IF($B36=$F$68,+$B$68,+IF($B36=$F$69,+$B$69,+IF($B36=$F$70,+$B$70,+IF($B36=$F$71,+$B$71,+IF($B36=$F$72,+$B$72,+IF($B36=$F$73,+$B$73)))))))))))</f>
        <v>General Service 3000-4999 kW</v>
      </c>
      <c r="D36" s="45" t="s">
        <v>129</v>
      </c>
      <c r="E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F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G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H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I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J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K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L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M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N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O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P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row>
    <row r="37" spans="1:16">
      <c r="B37" s="80"/>
      <c r="C37" s="779"/>
      <c r="D37" s="45" t="s">
        <v>36</v>
      </c>
      <c r="E37" s="490">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15051682</v>
      </c>
      <c r="F37" s="490">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15193348</v>
      </c>
      <c r="G37" s="490">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13952451</v>
      </c>
      <c r="H37" s="490">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12584229</v>
      </c>
      <c r="I37" s="490">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14943860</v>
      </c>
      <c r="J37" s="490">
        <f>IF($B36=$F$64,+'7. Weather Senstive Class'!$G$26,IF($B36=$F$65,+'7. Weather Senstive Class'!$O$26,IF($B36=$F$66,+'7. Weather Senstive Class'!$M$26,IF($B36=$F$67,+'7. Weather Senstive Class'!$AE$26,IF($B36=$F$68,+'7. Weather Senstive Class'!$AM$26,IF($B36=$F$69,+'8. KW and Non-Weather Sensitive'!$E$26,IF($B36=$F$70,+'8. KW and Non-Weather Sensitive'!$P$26,IF($B36=$F$71,+'8. KW and Non-Weather Sensitive'!$Z$26,IF($B36=$F$72,+'8. KW and Non-Weather Sensitive'!$AJ$26,IF($B36=$F$73,+'8. KW and Non-Weather Sensitive'!$AT$26))))))))))</f>
        <v>15890466</v>
      </c>
      <c r="K37" s="490">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18956591</v>
      </c>
      <c r="L37" s="490">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20169223</v>
      </c>
      <c r="M37" s="490">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17917827</v>
      </c>
      <c r="N37" s="490">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19292259</v>
      </c>
      <c r="O37" s="490">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19104850.234163143</v>
      </c>
      <c r="P37" s="491">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19103384.00006786</v>
      </c>
    </row>
    <row r="38" spans="1:16">
      <c r="B38" s="80"/>
      <c r="C38" s="779"/>
      <c r="D38" s="45" t="s">
        <v>37</v>
      </c>
      <c r="E38" s="390">
        <f>IF(B$16=$F$69,+'8. KW and Non-Weather Sensitive'!$F$21,IF($B36=$F$70,+'8. KW and Non-Weather Sensitive'!$Q$21,IF($B36=$F$71,+'8. KW and Non-Weather Sensitive'!$AA$21,IF($B36=$F$72,+'8. KW and Non-Weather Sensitive'!$AK$21,+IF($B36=$F$73,+'8. KW and Non-Weather Sensitive'!$AU$21,0)))))</f>
        <v>42335.9</v>
      </c>
      <c r="F38" s="390">
        <f>IF($B36=$F$69,+'8. KW and Non-Weather Sensitive'!$F$22,IF($B36=$F$70,+'8. KW and Non-Weather Sensitive'!$Q$22,IF($B36=$F$71,+'8. KW and Non-Weather Sensitive'!$AA$22,IF($B36=$F$72,+'8. KW and Non-Weather Sensitive'!$AK$22,+IF($B36=$F$73,+'8. KW and Non-Weather Sensitive'!$AU$22,0)))))</f>
        <v>39662.6</v>
      </c>
      <c r="G38" s="390">
        <f>IF($B36=$F$69,+'8. KW and Non-Weather Sensitive'!$F$23,IF($B36=$F$70,+'8. KW and Non-Weather Sensitive'!$Q$23,IF($B36=$F$71,+'8. KW and Non-Weather Sensitive'!$AA$23,IF($B36=$F$72,+'8. KW and Non-Weather Sensitive'!$AK$23,+IF($B36=$F$73,+'8. KW and Non-Weather Sensitive'!$AU$23,0)))))</f>
        <v>37942.600000000006</v>
      </c>
      <c r="H38" s="390">
        <f>IF($B36=$F$69,+'8. KW and Non-Weather Sensitive'!$F$24,IF($B36=$F$70,+'8. KW and Non-Weather Sensitive'!$Q$24,IF($B36=$F$71,+'8. KW and Non-Weather Sensitive'!$AA$24,IF($B36=$F$72,+'8. KW and Non-Weather Sensitive'!$AK$24,+IF($B36=$F$73,+'8. KW and Non-Weather Sensitive'!$AU$24,0)))))</f>
        <v>36603.599999999999</v>
      </c>
      <c r="I38" s="390">
        <f>IF($B36=$F$69,+'8. KW and Non-Weather Sensitive'!$F$25,IF($B36=$F$70,+'8. KW and Non-Weather Sensitive'!$Q$25,IF($B36=$F$71,+'8. KW and Non-Weather Sensitive'!$AA$25,IF($B36=$F$72,+'8. KW and Non-Weather Sensitive'!$AK$25,+IF($B36=$F$73,+'8. KW and Non-Weather Sensitive'!$AU$25,0)))))</f>
        <v>33867.5</v>
      </c>
      <c r="J38" s="390">
        <f>IF($B36=$F$69,+'8. KW and Non-Weather Sensitive'!$F$26,IF($B36=$F$70,+'8. KW and Non-Weather Sensitive'!$Q$26,IF($B36=$F$71,+'8. KW and Non-Weather Sensitive'!$AA$26,IF($B36=$F$72,+'8. KW and Non-Weather Sensitive'!$AK$26,+IF($B36=$F$73,+'8. KW and Non-Weather Sensitive'!$AU$26,0)))))</f>
        <v>37224</v>
      </c>
      <c r="K38" s="390">
        <f>IF($B36=$F$69,+'8. KW and Non-Weather Sensitive'!$F$27,IF($B36=$F$70,+'8. KW and Non-Weather Sensitive'!$Q$27,IF($B36=$F$71,+'8. KW and Non-Weather Sensitive'!$AA$27,IF($B36=$F$72,+'8. KW and Non-Weather Sensitive'!$AK$27,+IF($B36=$F$73,+'8. KW and Non-Weather Sensitive'!$AU$27,0)))))</f>
        <v>39385</v>
      </c>
      <c r="L38" s="390">
        <f>IF($B36=$F$69,+'8. KW and Non-Weather Sensitive'!$F$28,IF($B36=$F$70,+'8. KW and Non-Weather Sensitive'!$Q$28,IF($B36=$F$71,+'8. KW and Non-Weather Sensitive'!$AA$28,IF($B36=$F$72,+'8. KW and Non-Weather Sensitive'!$AK$28,+IF($B36=$F$73,+'8. KW and Non-Weather Sensitive'!$AU$28,0)))))</f>
        <v>42960.800000000003</v>
      </c>
      <c r="M38" s="390">
        <f>IF($B36=$F$69,+'8. KW and Non-Weather Sensitive'!$F$29,IF($B36=$F$70,+'8. KW and Non-Weather Sensitive'!$Q$29,IF($B36=$F$71,+'8. KW and Non-Weather Sensitive'!$AA$29,IF($B36=$F$72,+'8. KW and Non-Weather Sensitive'!$AK$29,+IF($B36=$F$73,+'8. KW and Non-Weather Sensitive'!$AU$29,0)))))</f>
        <v>38239.699999999997</v>
      </c>
      <c r="N38" s="390">
        <f>IF($B36=$F$69,+'8. KW and Non-Weather Sensitive'!$F$30,IF($B36=$F$70,+'8. KW and Non-Weather Sensitive'!$Q$30,IF($B36=$F$71,+'8. KW and Non-Weather Sensitive'!$AA$30,IF($B36=$F$72,+'8. KW and Non-Weather Sensitive'!$AK$30,+IF($B36=$F$73,+'8. KW and Non-Weather Sensitive'!$AU$30,0)))))</f>
        <v>41552.9</v>
      </c>
      <c r="O38" s="390">
        <f>IF($B36=$F$69,+'8. KW and Non-Weather Sensitive'!$J$49,IF($B36=$F$70,+'8. KW and Non-Weather Sensitive'!$U$49,IF($B36=$F$71,+'8. KW and Non-Weather Sensitive'!$AE$49,IF($B36=$F$72,+'8. KW and Non-Weather Sensitive'!$AO$49,+IF($B36=$F$73,+'8. KW and Non-Weather Sensitive'!$AY$49,0)))))</f>
        <v>46149.451117157194</v>
      </c>
      <c r="P38" s="492">
        <f>IF($B36=$F$69,+'8. KW and Non-Weather Sensitive'!$J$50,IF($B36=$F$70,+'8. KW and Non-Weather Sensitive'!$U$50,IF($B36=$F$71,+'8. KW and Non-Weather Sensitive'!$AE$50,IF($B36=$F$72,+'8. KW and Non-Weather Sensitive'!$AO$50,+IF($B36=$F$73,+'8. KW and Non-Weather Sensitive'!$AY$50,0)))))</f>
        <v>49045.909299352956</v>
      </c>
    </row>
    <row r="39" spans="1:16">
      <c r="B39" s="80"/>
      <c r="C39" s="779"/>
      <c r="D39" s="45"/>
      <c r="E39" s="390"/>
      <c r="F39" s="390"/>
      <c r="G39" s="390"/>
      <c r="H39" s="390"/>
      <c r="I39" s="390"/>
      <c r="J39" s="390"/>
      <c r="K39" s="390"/>
      <c r="L39" s="390"/>
      <c r="M39" s="390"/>
      <c r="N39" s="390"/>
      <c r="O39" s="391"/>
      <c r="P39" s="392"/>
    </row>
    <row r="40" spans="1:16">
      <c r="B40" s="698" t="s">
        <v>266</v>
      </c>
      <c r="C40" s="697" t="str">
        <f>IF($B40=$F$64,+$B$64,+IF($B40=$F$65,+$B$65,+IF($B40=$F$66,+$B$66,+IF($B40=$F$66,$B$66,+IF($B40=$F$67,+$B$67,+IF($B40=$F$68,+$B$68,+IF($B40=$F$69,+$B$69,+IF($B40=$F$70,+$B$70,+IF($B40=$F$71,+$B$71,+IF($B40=$F$72,+$B$72,+IF($B40=$F$73,+$B$73)))))))))))</f>
        <v>Unmetered Scattered Load</v>
      </c>
      <c r="D40" s="45" t="s">
        <v>129</v>
      </c>
      <c r="E40" s="493">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96</v>
      </c>
      <c r="F40" s="493">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94.5</v>
      </c>
      <c r="G40" s="493">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93.5</v>
      </c>
      <c r="H40" s="493">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93</v>
      </c>
      <c r="I40" s="493">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90</v>
      </c>
      <c r="J40" s="493">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85</v>
      </c>
      <c r="K40" s="493">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84</v>
      </c>
      <c r="L40" s="493">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84</v>
      </c>
      <c r="M40" s="493">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83.5</v>
      </c>
      <c r="N40" s="493">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82.5</v>
      </c>
      <c r="O40" s="493">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81.122423571488355</v>
      </c>
      <c r="P40" s="494">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79.767849771054173</v>
      </c>
    </row>
    <row r="41" spans="1:16">
      <c r="B41" s="80"/>
      <c r="C41" s="779"/>
      <c r="D41" s="45" t="s">
        <v>36</v>
      </c>
      <c r="E41" s="490">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659574</v>
      </c>
      <c r="F41" s="490">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627467</v>
      </c>
      <c r="G41" s="490">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668402</v>
      </c>
      <c r="H41" s="490">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555548</v>
      </c>
      <c r="I41" s="490">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602228</v>
      </c>
      <c r="J41" s="490">
        <f>IF($B40=$F$64,+'7. Weather Senstive Class'!$G$26,IF($B40=$F$65,+'7. Weather Senstive Class'!$O$26,IF($B40=$F$66,+'7. Weather Senstive Class'!$M$26,IF($B40=$F$67,+'7. Weather Senstive Class'!$AE$26,IF($B40=$F$68,+'7. Weather Senstive Class'!$AM$26,IF($B40=$F$69,+'8. KW and Non-Weather Sensitive'!$E$26,IF($B40=$F$70,+'8. KW and Non-Weather Sensitive'!$P$26,IF($B40=$F$71,+'8. KW and Non-Weather Sensitive'!$Z$26,IF($B40=$F$72,+'8. KW and Non-Weather Sensitive'!$AJ$26,IF($B40=$F$73,+'8. KW and Non-Weather Sensitive'!$AT$26))))))))))</f>
        <v>613092</v>
      </c>
      <c r="K41" s="490">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615642</v>
      </c>
      <c r="L41" s="490">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614016</v>
      </c>
      <c r="M41" s="490">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613910</v>
      </c>
      <c r="N41" s="490">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611429</v>
      </c>
      <c r="O41" s="493">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605489.45946786925</v>
      </c>
      <c r="P41" s="494">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605442.99015358917</v>
      </c>
    </row>
    <row r="42" spans="1:16">
      <c r="B42" s="80"/>
      <c r="C42" s="779"/>
      <c r="D42" s="45" t="s">
        <v>37</v>
      </c>
      <c r="E42" s="390">
        <f>IF(B$16=$F$69,+'8. KW and Non-Weather Sensitive'!$F$21,IF($B40=$F$70,+'8. KW and Non-Weather Sensitive'!$Q$21,IF($B40=$F$71,+'8. KW and Non-Weather Sensitive'!$AA$21,IF($B40=$F$72,+'8. KW and Non-Weather Sensitive'!$AK$21,+IF($B40=$F$73,+'8. KW and Non-Weather Sensitive'!$AU$21,0)))))</f>
        <v>0</v>
      </c>
      <c r="F42" s="390">
        <f>IF($B40=$F$69,+'8. KW and Non-Weather Sensitive'!$F$22,IF($B40=$F$70,+'8. KW and Non-Weather Sensitive'!$Q$22,IF($B40=$F$71,+'8. KW and Non-Weather Sensitive'!$AA$22,IF($B40=$F$72,+'8. KW and Non-Weather Sensitive'!$AK$22,+IF($B40=$F$73,+'8. KW and Non-Weather Sensitive'!$AU$22,0)))))</f>
        <v>0</v>
      </c>
      <c r="G42" s="390">
        <f>IF($B40=$F$69,+'8. KW and Non-Weather Sensitive'!$F$23,IF($B40=$F$70,+'8. KW and Non-Weather Sensitive'!$Q$23,IF($B40=$F$71,+'8. KW and Non-Weather Sensitive'!$AA$23,IF($B40=$F$72,+'8. KW and Non-Weather Sensitive'!$AK$23,+IF($B40=$F$73,+'8. KW and Non-Weather Sensitive'!$AU$23,0)))))</f>
        <v>0</v>
      </c>
      <c r="H42" s="390">
        <f>IF($B40=$F$69,+'8. KW and Non-Weather Sensitive'!$F$24,IF($B40=$F$70,+'8. KW and Non-Weather Sensitive'!$Q$24,IF($B40=$F$71,+'8. KW and Non-Weather Sensitive'!$AA$24,IF($B40=$F$72,+'8. KW and Non-Weather Sensitive'!$AK$24,+IF($B40=$F$73,+'8. KW and Non-Weather Sensitive'!$AU$24,0)))))</f>
        <v>0</v>
      </c>
      <c r="I42" s="390">
        <f>IF($B40=$F$69,+'8. KW and Non-Weather Sensitive'!$F$25,IF($B40=$F$70,+'8. KW and Non-Weather Sensitive'!$Q$25,IF($B40=$F$71,+'8. KW and Non-Weather Sensitive'!$AA$25,IF($B40=$F$72,+'8. KW and Non-Weather Sensitive'!$AK$25,+IF($B40=$F$73,+'8. KW and Non-Weather Sensitive'!$AU$25,0)))))</f>
        <v>0</v>
      </c>
      <c r="J42" s="390">
        <f>IF($B40=$F$69,+'8. KW and Non-Weather Sensitive'!$F$26,IF($B40=$F$70,+'8. KW and Non-Weather Sensitive'!$Q$26,IF($B40=$F$71,+'8. KW and Non-Weather Sensitive'!$AA$26,IF($B40=$F$72,+'8. KW and Non-Weather Sensitive'!$AK$26,+IF($B40=$F$73,+'8. KW and Non-Weather Sensitive'!$AU$26,0)))))</f>
        <v>0</v>
      </c>
      <c r="K42" s="390">
        <f>IF($B40=$F$69,+'8. KW and Non-Weather Sensitive'!$F$27,IF($B40=$F$70,+'8. KW and Non-Weather Sensitive'!$Q$27,IF($B40=$F$71,+'8. KW and Non-Weather Sensitive'!$AA$27,IF($B40=$F$72,+'8. KW and Non-Weather Sensitive'!$AK$27,+IF($B40=$F$73,+'8. KW and Non-Weather Sensitive'!$AU$27,0)))))</f>
        <v>0</v>
      </c>
      <c r="L42" s="390">
        <f>IF($B40=$F$69,+'8. KW and Non-Weather Sensitive'!$F$28,IF($B40=$F$70,+'8. KW and Non-Weather Sensitive'!$Q$28,IF($B40=$F$71,+'8. KW and Non-Weather Sensitive'!$AA$28,IF($B40=$F$72,+'8. KW and Non-Weather Sensitive'!$AK$28,+IF($B40=$F$73,+'8. KW and Non-Weather Sensitive'!$AU$28,0)))))</f>
        <v>0</v>
      </c>
      <c r="M42" s="390">
        <f>IF($B40=$F$69,+'8. KW and Non-Weather Sensitive'!$F$29,IF($B40=$F$70,+'8. KW and Non-Weather Sensitive'!$Q$29,IF($B40=$F$71,+'8. KW and Non-Weather Sensitive'!$AA$29,IF($B40=$F$72,+'8. KW and Non-Weather Sensitive'!$AK$29,+IF($B40=$F$73,+'8. KW and Non-Weather Sensitive'!$AU$29,0)))))</f>
        <v>0</v>
      </c>
      <c r="N42" s="390">
        <f>IF($B40=$F$69,+'8. KW and Non-Weather Sensitive'!$F$30,IF($B40=$F$70,+'8. KW and Non-Weather Sensitive'!$Q$30,IF($B40=$F$71,+'8. KW and Non-Weather Sensitive'!$AA$30,IF($B40=$F$72,+'8. KW and Non-Weather Sensitive'!$AK$30,+IF($B40=$F$73,+'8. KW and Non-Weather Sensitive'!$AU$30,0)))))</f>
        <v>0</v>
      </c>
      <c r="O42" s="390">
        <f>IF($B40=$F$69,+'8. KW and Non-Weather Sensitive'!$J$49,IF($B40=$F$70,+'8. KW and Non-Weather Sensitive'!$U$49,IF($B40=$F$71,+'8. KW and Non-Weather Sensitive'!$AE$49,IF($B40=$F$72,+'8. KW and Non-Weather Sensitive'!$AO$49,+IF($B40=$F$73,+'8. KW and Non-Weather Sensitive'!$AY$49,0)))))</f>
        <v>0</v>
      </c>
      <c r="P42" s="492">
        <f>IF($B40=$F$69,+'8. KW and Non-Weather Sensitive'!$J$50,IF($B40=$F$70,+'8. KW and Non-Weather Sensitive'!$U$50,IF($B40=$F$71,+'8. KW and Non-Weather Sensitive'!$AE$50,IF($B40=$F$72,+'8. KW and Non-Weather Sensitive'!$AO$50,+IF($B40=$F$73,+'8. KW and Non-Weather Sensitive'!$AY$50,0)))))</f>
        <v>0</v>
      </c>
    </row>
    <row r="43" spans="1:16" hidden="1">
      <c r="B43" s="189" t="str">
        <f>'2. Customer Classes'!B21</f>
        <v>General Service 3000-4999 kW</v>
      </c>
      <c r="C43" s="713"/>
      <c r="D43" s="45" t="s">
        <v>129</v>
      </c>
      <c r="E43" s="393"/>
      <c r="F43" s="393"/>
      <c r="G43" s="393"/>
      <c r="H43" s="393"/>
      <c r="I43" s="393"/>
      <c r="J43" s="393"/>
      <c r="K43" s="393"/>
      <c r="L43" s="393"/>
      <c r="M43" s="393"/>
      <c r="N43" s="393"/>
      <c r="O43" s="394"/>
      <c r="P43" s="395"/>
    </row>
    <row r="44" spans="1:16" hidden="1">
      <c r="B44" s="187"/>
      <c r="C44" s="714"/>
      <c r="D44" s="45" t="s">
        <v>36</v>
      </c>
      <c r="E44" s="393"/>
      <c r="F44" s="393"/>
      <c r="G44" s="393"/>
      <c r="H44" s="393"/>
      <c r="I44" s="393"/>
      <c r="J44" s="393"/>
      <c r="K44" s="393"/>
      <c r="L44" s="393"/>
      <c r="M44" s="393"/>
      <c r="N44" s="393"/>
      <c r="O44" s="394"/>
      <c r="P44" s="395"/>
    </row>
    <row r="45" spans="1:16" hidden="1">
      <c r="B45" s="187"/>
      <c r="C45" s="714"/>
      <c r="D45" s="45" t="s">
        <v>37</v>
      </c>
      <c r="E45" s="393"/>
      <c r="F45" s="393"/>
      <c r="G45" s="393"/>
      <c r="H45" s="393"/>
      <c r="I45" s="393"/>
      <c r="J45" s="393"/>
      <c r="K45" s="393"/>
      <c r="L45" s="393"/>
      <c r="M45" s="393"/>
      <c r="N45" s="393"/>
      <c r="O45" s="394"/>
      <c r="P45" s="395"/>
    </row>
    <row r="46" spans="1:16" hidden="1">
      <c r="B46" s="187"/>
      <c r="C46" s="714"/>
      <c r="D46" s="45"/>
      <c r="E46" s="393"/>
      <c r="F46" s="393"/>
      <c r="G46" s="393"/>
      <c r="H46" s="393"/>
      <c r="I46" s="393"/>
      <c r="J46" s="393"/>
      <c r="K46" s="393"/>
      <c r="L46" s="393"/>
      <c r="M46" s="393"/>
      <c r="N46" s="393"/>
      <c r="O46" s="394"/>
      <c r="P46" s="395"/>
    </row>
    <row r="47" spans="1:16" hidden="1">
      <c r="B47" s="189" t="str">
        <f>'2. Customer Classes'!B22</f>
        <v>other</v>
      </c>
      <c r="C47" s="713"/>
      <c r="D47" s="45" t="s">
        <v>129</v>
      </c>
      <c r="E47" s="393"/>
      <c r="F47" s="393"/>
      <c r="G47" s="393"/>
      <c r="H47" s="393"/>
      <c r="I47" s="393"/>
      <c r="J47" s="393"/>
      <c r="K47" s="393"/>
      <c r="L47" s="393"/>
      <c r="M47" s="393"/>
      <c r="N47" s="393"/>
      <c r="O47" s="394"/>
      <c r="P47" s="395"/>
    </row>
    <row r="48" spans="1:16" hidden="1">
      <c r="B48" s="187"/>
      <c r="C48" s="714"/>
      <c r="D48" s="45" t="s">
        <v>36</v>
      </c>
      <c r="E48" s="393"/>
      <c r="F48" s="393"/>
      <c r="G48" s="393"/>
      <c r="H48" s="393"/>
      <c r="I48" s="393"/>
      <c r="J48" s="393"/>
      <c r="K48" s="393"/>
      <c r="L48" s="393"/>
      <c r="M48" s="393"/>
      <c r="N48" s="393"/>
      <c r="O48" s="394"/>
      <c r="P48" s="395"/>
    </row>
    <row r="49" spans="2:16" hidden="1">
      <c r="B49" s="187"/>
      <c r="C49" s="714"/>
      <c r="D49" s="45" t="s">
        <v>37</v>
      </c>
      <c r="E49" s="393"/>
      <c r="F49" s="393"/>
      <c r="G49" s="393"/>
      <c r="H49" s="393"/>
      <c r="I49" s="393"/>
      <c r="J49" s="393"/>
      <c r="K49" s="393"/>
      <c r="L49" s="393"/>
      <c r="M49" s="393"/>
      <c r="N49" s="393"/>
      <c r="O49" s="394"/>
      <c r="P49" s="395"/>
    </row>
    <row r="50" spans="2:16" hidden="1">
      <c r="B50" s="187"/>
      <c r="C50" s="714"/>
      <c r="D50" s="45"/>
      <c r="E50" s="393"/>
      <c r="F50" s="393"/>
      <c r="G50" s="393"/>
      <c r="H50" s="393"/>
      <c r="I50" s="393"/>
      <c r="J50" s="393"/>
      <c r="K50" s="393"/>
      <c r="L50" s="393"/>
      <c r="M50" s="393"/>
      <c r="N50" s="393"/>
      <c r="O50" s="394"/>
      <c r="P50" s="395"/>
    </row>
    <row r="51" spans="2:16" hidden="1">
      <c r="B51" s="189" t="str">
        <f>'2. Customer Classes'!B23</f>
        <v>other</v>
      </c>
      <c r="C51" s="713"/>
      <c r="D51" s="45" t="s">
        <v>129</v>
      </c>
      <c r="E51" s="393"/>
      <c r="F51" s="393"/>
      <c r="G51" s="393"/>
      <c r="H51" s="393"/>
      <c r="I51" s="393"/>
      <c r="J51" s="393"/>
      <c r="K51" s="393"/>
      <c r="L51" s="393"/>
      <c r="M51" s="393"/>
      <c r="N51" s="393"/>
      <c r="O51" s="394"/>
      <c r="P51" s="395"/>
    </row>
    <row r="52" spans="2:16" hidden="1">
      <c r="B52" s="187"/>
      <c r="C52" s="714"/>
      <c r="D52" s="45" t="s">
        <v>36</v>
      </c>
      <c r="E52" s="390"/>
      <c r="F52" s="390"/>
      <c r="G52" s="390"/>
      <c r="H52" s="390"/>
      <c r="I52" s="390"/>
      <c r="J52" s="390"/>
      <c r="K52" s="390"/>
      <c r="L52" s="390"/>
      <c r="M52" s="390"/>
      <c r="N52" s="390"/>
      <c r="O52" s="391"/>
      <c r="P52" s="392"/>
    </row>
    <row r="53" spans="2:16" hidden="1">
      <c r="B53" s="187"/>
      <c r="C53" s="714"/>
      <c r="D53" s="45" t="s">
        <v>37</v>
      </c>
      <c r="E53" s="393"/>
      <c r="F53" s="393"/>
      <c r="G53" s="393"/>
      <c r="H53" s="393"/>
      <c r="I53" s="393"/>
      <c r="J53" s="393"/>
      <c r="K53" s="393"/>
      <c r="L53" s="393"/>
      <c r="M53" s="393"/>
      <c r="N53" s="393"/>
      <c r="O53" s="394"/>
      <c r="P53" s="395"/>
    </row>
    <row r="54" spans="2:16" ht="13.5" thickBot="1">
      <c r="B54" s="81"/>
      <c r="C54" s="715"/>
      <c r="D54" s="82"/>
      <c r="E54" s="454"/>
      <c r="F54" s="454"/>
      <c r="G54" s="454"/>
      <c r="H54" s="454"/>
      <c r="I54" s="454"/>
      <c r="J54" s="454"/>
      <c r="K54" s="454"/>
      <c r="L54" s="454"/>
      <c r="M54" s="454"/>
      <c r="N54" s="454"/>
      <c r="O54" s="455"/>
      <c r="P54" s="456"/>
    </row>
    <row r="55" spans="2:16">
      <c r="B55" s="448" t="s">
        <v>16</v>
      </c>
      <c r="C55" s="449"/>
      <c r="D55" s="450" t="s">
        <v>129</v>
      </c>
      <c r="E55" s="451">
        <f t="shared" ref="E55:P55" si="0">E16+E20+E24+E28+E32+E36+E40+E43+E47+E51</f>
        <v>12538</v>
      </c>
      <c r="F55" s="451">
        <f t="shared" si="0"/>
        <v>12680.5</v>
      </c>
      <c r="G55" s="451">
        <f t="shared" si="0"/>
        <v>12837</v>
      </c>
      <c r="H55" s="451">
        <f t="shared" si="0"/>
        <v>12749</v>
      </c>
      <c r="I55" s="451">
        <f t="shared" si="0"/>
        <v>12935.5</v>
      </c>
      <c r="J55" s="451">
        <f t="shared" si="0"/>
        <v>12829.5</v>
      </c>
      <c r="K55" s="451">
        <f t="shared" si="0"/>
        <v>13026</v>
      </c>
      <c r="L55" s="451">
        <f t="shared" si="0"/>
        <v>13385.5</v>
      </c>
      <c r="M55" s="451">
        <f t="shared" si="0"/>
        <v>13728.5</v>
      </c>
      <c r="N55" s="451">
        <f t="shared" si="0"/>
        <v>13842</v>
      </c>
      <c r="O55" s="451">
        <f t="shared" si="0"/>
        <v>13996.245341414435</v>
      </c>
      <c r="P55" s="452">
        <f t="shared" si="0"/>
        <v>14152.436572277475</v>
      </c>
    </row>
    <row r="56" spans="2:16">
      <c r="B56" s="201"/>
      <c r="C56" s="388"/>
      <c r="D56" s="202" t="s">
        <v>36</v>
      </c>
      <c r="E56" s="398">
        <f t="shared" ref="E56:O56" si="1">E17+E21+E25+E29+E33+E37+E41+E44+E48+E52</f>
        <v>246399921.74362987</v>
      </c>
      <c r="F56" s="396">
        <f t="shared" si="1"/>
        <v>246063440.22173879</v>
      </c>
      <c r="G56" s="396">
        <f t="shared" si="1"/>
        <v>245808892.38861871</v>
      </c>
      <c r="H56" s="396">
        <f t="shared" si="1"/>
        <v>239901486.17552745</v>
      </c>
      <c r="I56" s="396">
        <f t="shared" si="1"/>
        <v>243885874.66650075</v>
      </c>
      <c r="J56" s="396">
        <f t="shared" si="1"/>
        <v>240169968.39850196</v>
      </c>
      <c r="K56" s="396">
        <f t="shared" si="1"/>
        <v>236393259.66249087</v>
      </c>
      <c r="L56" s="396">
        <f t="shared" si="1"/>
        <v>245884780.94421658</v>
      </c>
      <c r="M56" s="396">
        <f t="shared" si="1"/>
        <v>247522436.42196596</v>
      </c>
      <c r="N56" s="396">
        <f t="shared" si="1"/>
        <v>236396878.73257256</v>
      </c>
      <c r="O56" s="396">
        <f t="shared" si="1"/>
        <v>234100473.35614893</v>
      </c>
      <c r="P56" s="397">
        <f>P17+P21+P25+P29+P33+P37+P41+P44+P48+P52</f>
        <v>234082506.91874957</v>
      </c>
    </row>
    <row r="57" spans="2:16" ht="13.5" thickBot="1">
      <c r="B57" s="203"/>
      <c r="C57" s="389"/>
      <c r="D57" s="204" t="s">
        <v>37</v>
      </c>
      <c r="E57" s="399">
        <f t="shared" ref="E57:P57" si="2">E18+E22+E26+E30+E34+E38+E42+E45+E49+E53</f>
        <v>345918.20000000007</v>
      </c>
      <c r="F57" s="399">
        <f t="shared" si="2"/>
        <v>365469.6</v>
      </c>
      <c r="G57" s="399">
        <f t="shared" si="2"/>
        <v>364887.6</v>
      </c>
      <c r="H57" s="399">
        <f t="shared" si="2"/>
        <v>354496.39999999991</v>
      </c>
      <c r="I57" s="399">
        <f t="shared" si="2"/>
        <v>344229.9</v>
      </c>
      <c r="J57" s="399">
        <f t="shared" si="2"/>
        <v>345707</v>
      </c>
      <c r="K57" s="399">
        <f t="shared" si="2"/>
        <v>334696</v>
      </c>
      <c r="L57" s="399">
        <f t="shared" si="2"/>
        <v>343540.2</v>
      </c>
      <c r="M57" s="399">
        <f t="shared" si="2"/>
        <v>319667.13000000006</v>
      </c>
      <c r="N57" s="399">
        <f t="shared" si="2"/>
        <v>323218.31000000006</v>
      </c>
      <c r="O57" s="399">
        <f t="shared" si="2"/>
        <v>326119.86140117317</v>
      </c>
      <c r="P57" s="400">
        <f t="shared" si="2"/>
        <v>328994.83277995529</v>
      </c>
    </row>
    <row r="63" spans="2:16">
      <c r="B63" s="1138" t="s">
        <v>190</v>
      </c>
      <c r="C63" s="1139"/>
      <c r="D63" s="1139"/>
      <c r="E63" s="1139"/>
      <c r="F63" s="1139"/>
      <c r="G63" s="1139"/>
      <c r="H63" s="1140"/>
    </row>
    <row r="64" spans="2:16">
      <c r="B64" s="343" t="str">
        <f>+'7. Weather Senstive Class'!B19</f>
        <v>Residential</v>
      </c>
      <c r="C64" s="345"/>
      <c r="D64" s="344" t="s">
        <v>189</v>
      </c>
      <c r="E64" s="345" t="s">
        <v>188</v>
      </c>
      <c r="F64" s="345" t="str">
        <f t="shared" ref="F64:F72" si="3">+CONCATENATE(B64,D64,E64)</f>
        <v>Residential-WN</v>
      </c>
      <c r="G64" s="346"/>
      <c r="H64" s="347"/>
    </row>
    <row r="65" spans="2:8">
      <c r="B65" s="348" t="str">
        <f>+'7. Weather Senstive Class'!J19</f>
        <v>General Service &lt; 50 kW</v>
      </c>
      <c r="C65" s="350"/>
      <c r="D65" s="349" t="s">
        <v>189</v>
      </c>
      <c r="E65" s="350" t="s">
        <v>188</v>
      </c>
      <c r="F65" s="350" t="str">
        <f t="shared" si="3"/>
        <v>General Service &lt; 50 kW-WN</v>
      </c>
      <c r="G65" s="351"/>
      <c r="H65" s="352"/>
    </row>
    <row r="66" spans="2:8">
      <c r="B66" s="348" t="str">
        <f>+'7. Weather Senstive Class'!R19</f>
        <v>Unmetered Scattered Load</v>
      </c>
      <c r="C66" s="350"/>
      <c r="D66" s="349" t="s">
        <v>189</v>
      </c>
      <c r="E66" s="350" t="s">
        <v>188</v>
      </c>
      <c r="F66" s="350" t="str">
        <f t="shared" si="3"/>
        <v>Unmetered Scattered Load-WN</v>
      </c>
      <c r="G66" s="351"/>
      <c r="H66" s="352"/>
    </row>
    <row r="67" spans="2:8">
      <c r="B67" s="348">
        <f>+'7. Weather Senstive Class'!Z19</f>
        <v>0</v>
      </c>
      <c r="C67" s="350"/>
      <c r="D67" s="349" t="s">
        <v>189</v>
      </c>
      <c r="E67" s="350" t="s">
        <v>188</v>
      </c>
      <c r="F67" s="350" t="str">
        <f t="shared" si="3"/>
        <v>0-WN</v>
      </c>
      <c r="G67" s="351"/>
      <c r="H67" s="352"/>
    </row>
    <row r="68" spans="2:8">
      <c r="B68" s="348">
        <f>+'7. Weather Senstive Class'!AH19</f>
        <v>0</v>
      </c>
      <c r="C68" s="350"/>
      <c r="D68" s="349" t="s">
        <v>189</v>
      </c>
      <c r="E68" s="350" t="s">
        <v>188</v>
      </c>
      <c r="F68" s="350" t="str">
        <f t="shared" si="3"/>
        <v>0-WN</v>
      </c>
      <c r="G68" s="351"/>
      <c r="H68" s="352"/>
    </row>
    <row r="69" spans="2:8">
      <c r="B69" s="348" t="str">
        <f>+'8. KW and Non-Weather Sensitive'!B18</f>
        <v>General Service &gt; 50 kW - 2999 kW</v>
      </c>
      <c r="C69" s="350"/>
      <c r="D69" s="349" t="s">
        <v>189</v>
      </c>
      <c r="E69" s="350" t="s">
        <v>235</v>
      </c>
      <c r="F69" s="350" t="str">
        <f t="shared" si="3"/>
        <v>General Service &gt; 50 kW - 2999 kW-Non-WN/kW</v>
      </c>
      <c r="G69" s="351"/>
      <c r="H69" s="352"/>
    </row>
    <row r="70" spans="2:8">
      <c r="B70" s="348" t="str">
        <f>+'8. KW and Non-Weather Sensitive'!M18</f>
        <v>Streetlighting</v>
      </c>
      <c r="C70" s="350"/>
      <c r="D70" s="349" t="s">
        <v>189</v>
      </c>
      <c r="E70" s="350" t="s">
        <v>235</v>
      </c>
      <c r="F70" s="350" t="str">
        <f t="shared" si="3"/>
        <v>Streetlighting-Non-WN/kW</v>
      </c>
      <c r="G70" s="351"/>
      <c r="H70" s="352"/>
    </row>
    <row r="71" spans="2:8">
      <c r="B71" s="348" t="str">
        <f>+'8. KW and Non-Weather Sensitive'!W18</f>
        <v>Sentinel Lighting</v>
      </c>
      <c r="C71" s="350"/>
      <c r="D71" s="349" t="s">
        <v>189</v>
      </c>
      <c r="E71" s="350" t="s">
        <v>235</v>
      </c>
      <c r="F71" s="350" t="str">
        <f t="shared" si="3"/>
        <v>Sentinel Lighting-Non-WN/kW</v>
      </c>
      <c r="G71" s="351"/>
      <c r="H71" s="352"/>
    </row>
    <row r="72" spans="2:8">
      <c r="B72" s="348" t="str">
        <f>+'8. KW and Non-Weather Sensitive'!AG18</f>
        <v>General Service 3000-4999 kW</v>
      </c>
      <c r="C72" s="350"/>
      <c r="D72" s="349" t="s">
        <v>189</v>
      </c>
      <c r="E72" s="350" t="s">
        <v>235</v>
      </c>
      <c r="F72" s="350" t="str">
        <f t="shared" si="3"/>
        <v>General Service 3000-4999 kW-Non-WN/kW</v>
      </c>
      <c r="G72" s="351"/>
      <c r="H72" s="352"/>
    </row>
    <row r="73" spans="2:8">
      <c r="B73" s="353" t="str">
        <f>+'8. KW and Non-Weather Sensitive'!AQ18</f>
        <v>Unmetered Scattered Load</v>
      </c>
      <c r="C73" s="355"/>
      <c r="D73" s="354" t="s">
        <v>189</v>
      </c>
      <c r="E73" s="355" t="s">
        <v>235</v>
      </c>
      <c r="F73" s="355" t="str">
        <f t="shared" ref="F73" si="4">+CONCATENATE(B73,D73,E73)</f>
        <v>Unmetered Scattered Load-Non-WN/kW</v>
      </c>
      <c r="G73" s="356"/>
      <c r="H73" s="357"/>
    </row>
  </sheetData>
  <mergeCells count="1">
    <mergeCell ref="B63:H63"/>
  </mergeCells>
  <dataValidations count="1">
    <dataValidation type="list" allowBlank="1" showInputMessage="1" showErrorMessage="1" sqref="B16 B40 B20 B24 B28 B32 B36" xr:uid="{00000000-0002-0000-0900-000000000000}">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15"/>
  <sheetViews>
    <sheetView showGridLines="0" topLeftCell="A82" workbookViewId="0">
      <selection activeCell="C94" sqref="C94"/>
    </sheetView>
  </sheetViews>
  <sheetFormatPr defaultColWidth="17.5" defaultRowHeight="12.75"/>
  <cols>
    <col min="1" max="1" width="13.6640625" style="367" customWidth="1"/>
    <col min="2" max="2" width="30.83203125" style="367" bestFit="1" customWidth="1"/>
    <col min="3" max="9" width="19.83203125" style="367" customWidth="1"/>
    <col min="10" max="10" width="17" style="367" bestFit="1" customWidth="1"/>
    <col min="11" max="13" width="17.5" style="367"/>
    <col min="14" max="14" width="21" style="367" bestFit="1" customWidth="1"/>
    <col min="15" max="16384" width="17.5" style="367"/>
  </cols>
  <sheetData>
    <row r="1" spans="1:13">
      <c r="A1" s="694" t="s">
        <v>257</v>
      </c>
    </row>
    <row r="10" spans="1:13" s="93" customFormat="1">
      <c r="H10" s="95"/>
    </row>
    <row r="11" spans="1:13" ht="23.25">
      <c r="B11" s="1141" t="s">
        <v>208</v>
      </c>
      <c r="C11" s="1141"/>
      <c r="D11" s="1141"/>
      <c r="E11" s="1141"/>
      <c r="F11" s="1141"/>
      <c r="G11" s="1141"/>
      <c r="H11" s="1141"/>
      <c r="I11" s="1141"/>
    </row>
    <row r="12" spans="1:13" ht="14.25">
      <c r="B12" s="539"/>
      <c r="C12" s="539"/>
      <c r="D12" s="539"/>
      <c r="E12" s="539"/>
      <c r="F12" s="539"/>
      <c r="G12" s="539"/>
      <c r="H12" s="539"/>
      <c r="I12" s="539"/>
    </row>
    <row r="13" spans="1:13" ht="75" customHeight="1">
      <c r="B13" s="1142" t="s">
        <v>223</v>
      </c>
      <c r="C13" s="1142"/>
      <c r="D13" s="1142"/>
      <c r="E13" s="1142"/>
      <c r="F13" s="1142"/>
      <c r="G13" s="1142"/>
      <c r="H13" s="1142"/>
      <c r="I13" s="1142"/>
      <c r="J13" s="97"/>
      <c r="K13" s="98"/>
      <c r="L13" s="99"/>
      <c r="M13" s="99"/>
    </row>
    <row r="14" spans="1:13" ht="14.25">
      <c r="B14" s="539"/>
      <c r="C14" s="539"/>
      <c r="D14" s="539"/>
      <c r="E14" s="539"/>
      <c r="F14" s="539"/>
      <c r="G14" s="539"/>
      <c r="H14" s="539"/>
      <c r="I14" s="539"/>
      <c r="J14" s="94"/>
      <c r="K14" s="98"/>
      <c r="L14" s="99"/>
      <c r="M14" s="99"/>
    </row>
    <row r="15" spans="1:13" ht="23.25">
      <c r="B15" s="1165" t="s">
        <v>209</v>
      </c>
      <c r="C15" s="1165"/>
      <c r="D15" s="1165"/>
      <c r="E15" s="1165"/>
      <c r="F15" s="1165"/>
      <c r="G15" s="1165"/>
      <c r="H15" s="1165"/>
      <c r="I15" s="1165"/>
    </row>
    <row r="16" spans="1:13" ht="15" thickBot="1">
      <c r="B16" s="540"/>
      <c r="C16" s="541"/>
      <c r="D16" s="541"/>
      <c r="E16" s="541"/>
      <c r="F16" s="541"/>
      <c r="G16" s="541"/>
      <c r="H16" s="539"/>
      <c r="I16" s="539"/>
    </row>
    <row r="17" spans="2:9" ht="15">
      <c r="B17" s="1172" t="s">
        <v>49</v>
      </c>
      <c r="C17" s="1173"/>
      <c r="D17" s="1173"/>
      <c r="E17" s="1173"/>
      <c r="F17" s="1173"/>
      <c r="G17" s="1174"/>
      <c r="H17" s="539"/>
      <c r="I17" s="539"/>
    </row>
    <row r="18" spans="2:9" ht="12.75" customHeight="1">
      <c r="B18" s="1169">
        <f>13.6*1000000</f>
        <v>13600000</v>
      </c>
      <c r="C18" s="1170"/>
      <c r="D18" s="1170"/>
      <c r="E18" s="1170"/>
      <c r="F18" s="1170"/>
      <c r="G18" s="1171"/>
      <c r="H18" s="539"/>
      <c r="I18" s="539"/>
    </row>
    <row r="19" spans="2:9" ht="15">
      <c r="B19" s="542"/>
      <c r="C19" s="543">
        <v>2011</v>
      </c>
      <c r="D19" s="543">
        <v>2012</v>
      </c>
      <c r="E19" s="543">
        <v>2013</v>
      </c>
      <c r="F19" s="543">
        <v>2014</v>
      </c>
      <c r="G19" s="544" t="s">
        <v>16</v>
      </c>
      <c r="H19" s="539"/>
      <c r="I19" s="539"/>
    </row>
    <row r="20" spans="2:9" ht="14.25">
      <c r="B20" s="545" t="s">
        <v>50</v>
      </c>
      <c r="C20" s="687">
        <f>C26/$G$30</f>
        <v>0.13220018885741266</v>
      </c>
      <c r="D20" s="546">
        <f>D26/$G$30</f>
        <v>0.13220018885741266</v>
      </c>
      <c r="E20" s="546">
        <f>E26/$G$30</f>
        <v>0.13220018885741266</v>
      </c>
      <c r="F20" s="547">
        <f>F26/$G$30</f>
        <v>0.12275731822474033</v>
      </c>
      <c r="G20" s="548">
        <f>SUM(C20:F20)</f>
        <v>0.51935788479697831</v>
      </c>
      <c r="H20" s="539"/>
      <c r="I20" s="539"/>
    </row>
    <row r="21" spans="2:9" ht="14.25">
      <c r="B21" s="545" t="s">
        <v>51</v>
      </c>
      <c r="C21" s="549"/>
      <c r="D21" s="546">
        <f>D27/$G$30</f>
        <v>6.6100094428706332E-2</v>
      </c>
      <c r="E21" s="546">
        <f>E27/$G$30</f>
        <v>6.6100094428706332E-2</v>
      </c>
      <c r="F21" s="547">
        <f>F27/$G$30</f>
        <v>6.6100094428706332E-2</v>
      </c>
      <c r="G21" s="548">
        <f t="shared" ref="G21:G23" si="0">SUM(C21:F21)</f>
        <v>0.19830028328611898</v>
      </c>
      <c r="H21" s="539"/>
      <c r="I21" s="539"/>
    </row>
    <row r="22" spans="2:9" ht="14.25">
      <c r="B22" s="545" t="s">
        <v>52</v>
      </c>
      <c r="C22" s="549"/>
      <c r="D22" s="549"/>
      <c r="E22" s="546">
        <f>E28/$G$30</f>
        <v>7.5542965061378656E-2</v>
      </c>
      <c r="F22" s="547">
        <f>F28/$G$30</f>
        <v>7.5542965061378656E-2</v>
      </c>
      <c r="G22" s="548">
        <f t="shared" si="0"/>
        <v>0.15108593012275731</v>
      </c>
      <c r="H22" s="539"/>
      <c r="I22" s="539"/>
    </row>
    <row r="23" spans="2:9" ht="15" thickBot="1">
      <c r="B23" s="550" t="s">
        <v>53</v>
      </c>
      <c r="C23" s="551"/>
      <c r="D23" s="551"/>
      <c r="E23" s="551"/>
      <c r="F23" s="552">
        <f>F29/$G$30</f>
        <v>0.11331444759206799</v>
      </c>
      <c r="G23" s="553">
        <f t="shared" si="0"/>
        <v>0.11331444759206799</v>
      </c>
      <c r="H23" s="539"/>
      <c r="I23" s="539"/>
    </row>
    <row r="24" spans="2:9" ht="12.75" customHeight="1" thickTop="1">
      <c r="B24" s="554" t="s">
        <v>54</v>
      </c>
      <c r="C24" s="555">
        <f>SUM(C20:C23)</f>
        <v>0.13220018885741266</v>
      </c>
      <c r="D24" s="555">
        <f t="shared" ref="D24:F24" si="1">SUM(D20:D23)</f>
        <v>0.19830028328611898</v>
      </c>
      <c r="E24" s="555">
        <f t="shared" si="1"/>
        <v>0.27384324834749763</v>
      </c>
      <c r="F24" s="556">
        <f t="shared" si="1"/>
        <v>0.37771482530689332</v>
      </c>
      <c r="G24" s="557">
        <f>SUM(C24:F24)</f>
        <v>0.98205854579792251</v>
      </c>
      <c r="H24" s="539"/>
      <c r="I24" s="539"/>
    </row>
    <row r="25" spans="2:9" ht="12.75" customHeight="1">
      <c r="B25" s="1148" t="s">
        <v>36</v>
      </c>
      <c r="C25" s="1149"/>
      <c r="D25" s="1149"/>
      <c r="E25" s="1149"/>
      <c r="F25" s="1149"/>
      <c r="G25" s="1150"/>
      <c r="H25" s="539"/>
      <c r="I25" s="539"/>
    </row>
    <row r="26" spans="2:9" ht="14.25">
      <c r="B26" s="545" t="s">
        <v>50</v>
      </c>
      <c r="C26" s="558">
        <f>1.4*1000000</f>
        <v>1400000</v>
      </c>
      <c r="D26" s="558">
        <f>1.4*1000000</f>
        <v>1400000</v>
      </c>
      <c r="E26" s="558">
        <f>1.4*1000000</f>
        <v>1400000</v>
      </c>
      <c r="F26" s="559">
        <f>1.3*1000000</f>
        <v>1300000</v>
      </c>
      <c r="G26" s="560">
        <f>SUM(C26:F26)</f>
        <v>5500000</v>
      </c>
      <c r="H26" s="539"/>
      <c r="I26" s="539"/>
    </row>
    <row r="27" spans="2:9" ht="14.25">
      <c r="B27" s="545" t="s">
        <v>51</v>
      </c>
      <c r="C27" s="561">
        <f>0.01*1000000</f>
        <v>10000</v>
      </c>
      <c r="D27" s="562">
        <f>0.7*1000000</f>
        <v>700000</v>
      </c>
      <c r="E27" s="562">
        <f>0.7*1000000</f>
        <v>700000</v>
      </c>
      <c r="F27" s="563">
        <f>0.7*1000000</f>
        <v>700000</v>
      </c>
      <c r="G27" s="560">
        <f t="shared" ref="G27:G29" si="2">SUM(C27:F27)</f>
        <v>2110000</v>
      </c>
      <c r="H27" s="539"/>
      <c r="I27" s="539"/>
    </row>
    <row r="28" spans="2:9" ht="14.25">
      <c r="B28" s="545" t="s">
        <v>52</v>
      </c>
      <c r="C28" s="561"/>
      <c r="D28" s="561"/>
      <c r="E28" s="562">
        <f>0.8*1000000</f>
        <v>800000</v>
      </c>
      <c r="F28" s="563">
        <f>0.8*1000000</f>
        <v>800000</v>
      </c>
      <c r="G28" s="560">
        <f t="shared" si="2"/>
        <v>1600000</v>
      </c>
      <c r="H28" s="539"/>
      <c r="I28" s="539"/>
    </row>
    <row r="29" spans="2:9" ht="15" thickBot="1">
      <c r="B29" s="550" t="s">
        <v>53</v>
      </c>
      <c r="C29" s="564"/>
      <c r="D29" s="564"/>
      <c r="E29" s="564">
        <f>0.18*1000000</f>
        <v>180000</v>
      </c>
      <c r="F29" s="565">
        <f>1.2*1000000</f>
        <v>1200000</v>
      </c>
      <c r="G29" s="560">
        <f t="shared" si="2"/>
        <v>1380000</v>
      </c>
      <c r="H29" s="539"/>
      <c r="I29" s="539"/>
    </row>
    <row r="30" spans="2:9" ht="16.5" thickTop="1" thickBot="1">
      <c r="B30" s="567" t="s">
        <v>54</v>
      </c>
      <c r="C30" s="568">
        <f>SUM(C26:C29)</f>
        <v>1410000</v>
      </c>
      <c r="D30" s="568">
        <f t="shared" ref="D30:F30" si="3">SUM(D26:D29)</f>
        <v>2100000</v>
      </c>
      <c r="E30" s="568">
        <f t="shared" si="3"/>
        <v>3080000</v>
      </c>
      <c r="F30" s="569">
        <f t="shared" si="3"/>
        <v>4000000</v>
      </c>
      <c r="G30" s="570">
        <f>SUM(G26:G29)</f>
        <v>10590000</v>
      </c>
      <c r="H30" s="539"/>
      <c r="I30" s="539"/>
    </row>
    <row r="31" spans="2:9" ht="15">
      <c r="B31" s="571"/>
      <c r="C31" s="572"/>
      <c r="D31" s="572"/>
      <c r="E31" s="572"/>
      <c r="F31" s="572"/>
      <c r="G31" s="572"/>
      <c r="H31" s="539"/>
      <c r="I31" s="539"/>
    </row>
    <row r="32" spans="2:9" ht="23.25">
      <c r="B32" s="1165" t="s">
        <v>193</v>
      </c>
      <c r="C32" s="1165"/>
      <c r="D32" s="1165"/>
      <c r="E32" s="1165"/>
      <c r="F32" s="1165"/>
      <c r="G32" s="1165"/>
      <c r="H32" s="539"/>
      <c r="I32" s="539"/>
    </row>
    <row r="33" spans="2:9" ht="15">
      <c r="B33" s="571"/>
      <c r="C33" s="572"/>
      <c r="D33" s="572"/>
      <c r="E33" s="572"/>
      <c r="F33" s="572"/>
      <c r="G33" s="572"/>
      <c r="H33" s="539"/>
      <c r="I33" s="539"/>
    </row>
    <row r="34" spans="2:9" ht="86.25" customHeight="1">
      <c r="B34" s="1144" t="s">
        <v>194</v>
      </c>
      <c r="C34" s="1144"/>
      <c r="D34" s="1144"/>
      <c r="E34" s="1144"/>
      <c r="F34" s="1144"/>
      <c r="G34" s="1144"/>
      <c r="H34" s="1144"/>
      <c r="I34" s="1144"/>
    </row>
    <row r="35" spans="2:9" ht="15.75" thickBot="1">
      <c r="B35" s="571"/>
      <c r="C35" s="572"/>
      <c r="D35" s="572"/>
      <c r="E35" s="572"/>
      <c r="F35" s="572"/>
      <c r="G35" s="572"/>
      <c r="H35" s="539"/>
      <c r="I35" s="539"/>
    </row>
    <row r="36" spans="2:9" ht="15">
      <c r="B36" s="1166" t="s">
        <v>195</v>
      </c>
      <c r="C36" s="1167"/>
      <c r="D36" s="1167"/>
      <c r="E36" s="1167"/>
      <c r="F36" s="1167"/>
      <c r="G36" s="1167"/>
      <c r="H36" s="1167"/>
      <c r="I36" s="1168"/>
    </row>
    <row r="37" spans="2:9" ht="14.25">
      <c r="B37" s="1162">
        <v>12170000</v>
      </c>
      <c r="C37" s="1163"/>
      <c r="D37" s="1163"/>
      <c r="E37" s="1163"/>
      <c r="F37" s="1163"/>
      <c r="G37" s="1163"/>
      <c r="H37" s="1163"/>
      <c r="I37" s="1164"/>
    </row>
    <row r="38" spans="2:9" ht="15">
      <c r="B38" s="573"/>
      <c r="C38" s="574">
        <v>2015</v>
      </c>
      <c r="D38" s="574">
        <v>2016</v>
      </c>
      <c r="E38" s="574">
        <v>2017</v>
      </c>
      <c r="F38" s="574">
        <v>2018</v>
      </c>
      <c r="G38" s="574">
        <v>2019</v>
      </c>
      <c r="H38" s="574">
        <v>2020</v>
      </c>
      <c r="I38" s="575" t="s">
        <v>16</v>
      </c>
    </row>
    <row r="39" spans="2:9" ht="15" customHeight="1">
      <c r="B39" s="1145" t="s">
        <v>196</v>
      </c>
      <c r="C39" s="1146"/>
      <c r="D39" s="1146"/>
      <c r="E39" s="1146"/>
      <c r="F39" s="1146"/>
      <c r="G39" s="1146"/>
      <c r="H39" s="1146"/>
      <c r="I39" s="1147"/>
    </row>
    <row r="40" spans="2:9" ht="14.25">
      <c r="B40" s="545" t="s">
        <v>197</v>
      </c>
      <c r="C40" s="546">
        <f>C48/$I$54</f>
        <v>0.16666666666666666</v>
      </c>
      <c r="D40" s="576"/>
      <c r="E40" s="576"/>
      <c r="F40" s="576"/>
      <c r="G40" s="576"/>
      <c r="H40" s="577"/>
      <c r="I40" s="548">
        <f>SUM(C40:H40)</f>
        <v>0.16666666666666666</v>
      </c>
    </row>
    <row r="41" spans="2:9" ht="15" customHeight="1">
      <c r="B41" s="545" t="s">
        <v>198</v>
      </c>
      <c r="C41" s="549"/>
      <c r="D41" s="546">
        <f>D49/$I$54</f>
        <v>0.16666666666666666</v>
      </c>
      <c r="E41" s="576"/>
      <c r="F41" s="576"/>
      <c r="G41" s="576"/>
      <c r="H41" s="577"/>
      <c r="I41" s="548">
        <f>SUM(C41:H41)</f>
        <v>0.16666666666666666</v>
      </c>
    </row>
    <row r="42" spans="2:9" ht="14.25">
      <c r="B42" s="545" t="s">
        <v>199</v>
      </c>
      <c r="C42" s="549"/>
      <c r="D42" s="549"/>
      <c r="E42" s="546">
        <f>E50/$I$54</f>
        <v>0.16666666666666666</v>
      </c>
      <c r="F42" s="576"/>
      <c r="G42" s="576"/>
      <c r="H42" s="577"/>
      <c r="I42" s="548">
        <f>SUM(C42:H42)</f>
        <v>0.16666666666666666</v>
      </c>
    </row>
    <row r="43" spans="2:9" ht="14.25">
      <c r="B43" s="545" t="s">
        <v>200</v>
      </c>
      <c r="C43" s="549"/>
      <c r="D43" s="549"/>
      <c r="E43" s="546"/>
      <c r="F43" s="546">
        <f>F51/$I$54</f>
        <v>0.16666666666666666</v>
      </c>
      <c r="G43" s="576"/>
      <c r="H43" s="577"/>
      <c r="I43" s="548">
        <f>SUM(F43:H43)</f>
        <v>0.16666666666666666</v>
      </c>
    </row>
    <row r="44" spans="2:9" ht="14.25">
      <c r="B44" s="545" t="s">
        <v>201</v>
      </c>
      <c r="C44" s="549"/>
      <c r="D44" s="549"/>
      <c r="E44" s="546"/>
      <c r="F44" s="546"/>
      <c r="G44" s="546">
        <f>G52/$I$54</f>
        <v>0.16666666666666666</v>
      </c>
      <c r="H44" s="577"/>
      <c r="I44" s="548">
        <f>SUM(G44:H44)</f>
        <v>0.16666666666666666</v>
      </c>
    </row>
    <row r="45" spans="2:9" ht="15" thickBot="1">
      <c r="B45" s="550" t="s">
        <v>202</v>
      </c>
      <c r="C45" s="551"/>
      <c r="D45" s="551"/>
      <c r="E45" s="551"/>
      <c r="F45" s="551"/>
      <c r="G45" s="551"/>
      <c r="H45" s="552">
        <f>H53/$I$54</f>
        <v>0.16666666666666666</v>
      </c>
      <c r="I45" s="553">
        <f>SUM(C45:H45)</f>
        <v>0.16666666666666666</v>
      </c>
    </row>
    <row r="46" spans="2:9" ht="15.75" thickTop="1">
      <c r="B46" s="578" t="s">
        <v>54</v>
      </c>
      <c r="C46" s="579">
        <f>SUM(C40:C45)</f>
        <v>0.16666666666666666</v>
      </c>
      <c r="D46" s="579">
        <f>SUM(D40:D45)</f>
        <v>0.16666666666666666</v>
      </c>
      <c r="E46" s="579">
        <f>SUM(E40:E45)</f>
        <v>0.16666666666666666</v>
      </c>
      <c r="F46" s="579">
        <f>SUM(F40:F43)</f>
        <v>0.16666666666666666</v>
      </c>
      <c r="G46" s="579">
        <f>SUM(G40:G44)</f>
        <v>0.16666666666666666</v>
      </c>
      <c r="H46" s="580">
        <f>SUM(H40:H45)</f>
        <v>0.16666666666666666</v>
      </c>
      <c r="I46" s="581">
        <f>SUM(C46:H46)</f>
        <v>0.99999999999999989</v>
      </c>
    </row>
    <row r="47" spans="2:9" ht="15">
      <c r="B47" s="1148" t="s">
        <v>36</v>
      </c>
      <c r="C47" s="1149"/>
      <c r="D47" s="1149"/>
      <c r="E47" s="1149"/>
      <c r="F47" s="1149"/>
      <c r="G47" s="1149"/>
      <c r="H47" s="1149"/>
      <c r="I47" s="1150"/>
    </row>
    <row r="48" spans="2:9" ht="15" customHeight="1">
      <c r="B48" s="545" t="str">
        <f t="shared" ref="B48:B53" si="4">B40</f>
        <v>2015 CDM Programs</v>
      </c>
      <c r="C48" s="558">
        <f>1/6*B37</f>
        <v>2028333.3333333333</v>
      </c>
      <c r="D48" s="582"/>
      <c r="E48" s="576"/>
      <c r="F48" s="582"/>
      <c r="G48" s="582"/>
      <c r="H48" s="583"/>
      <c r="I48" s="560">
        <f>SUM(C48:H48)</f>
        <v>2028333.3333333333</v>
      </c>
    </row>
    <row r="49" spans="2:9" ht="14.25">
      <c r="B49" s="545" t="str">
        <f t="shared" si="4"/>
        <v>2016 CDM Programs</v>
      </c>
      <c r="C49" s="561"/>
      <c r="D49" s="562">
        <f>C48</f>
        <v>2028333.3333333333</v>
      </c>
      <c r="E49" s="584"/>
      <c r="F49" s="584"/>
      <c r="G49" s="584"/>
      <c r="H49" s="585"/>
      <c r="I49" s="560">
        <f>SUM(C49:H49)</f>
        <v>2028333.3333333333</v>
      </c>
    </row>
    <row r="50" spans="2:9" ht="14.25">
      <c r="B50" s="545" t="str">
        <f t="shared" si="4"/>
        <v>2017 CDM Programs</v>
      </c>
      <c r="C50" s="561"/>
      <c r="D50" s="561"/>
      <c r="E50" s="562">
        <f>D49</f>
        <v>2028333.3333333333</v>
      </c>
      <c r="F50" s="584"/>
      <c r="G50" s="584"/>
      <c r="H50" s="585"/>
      <c r="I50" s="560">
        <f>SUM(C50:H50)</f>
        <v>2028333.3333333333</v>
      </c>
    </row>
    <row r="51" spans="2:9" ht="14.25">
      <c r="B51" s="545" t="str">
        <f t="shared" si="4"/>
        <v>2018 CDM Programs</v>
      </c>
      <c r="C51" s="561"/>
      <c r="D51" s="561"/>
      <c r="E51" s="586"/>
      <c r="F51" s="558">
        <f>E50</f>
        <v>2028333.3333333333</v>
      </c>
      <c r="G51" s="582"/>
      <c r="H51" s="583"/>
      <c r="I51" s="560">
        <f>SUM(F51:H51)</f>
        <v>2028333.3333333333</v>
      </c>
    </row>
    <row r="52" spans="2:9" ht="14.25">
      <c r="B52" s="545" t="str">
        <f t="shared" si="4"/>
        <v>2019 CDM Programs</v>
      </c>
      <c r="C52" s="561"/>
      <c r="D52" s="561"/>
      <c r="E52" s="586"/>
      <c r="F52" s="586"/>
      <c r="G52" s="558">
        <f>F51</f>
        <v>2028333.3333333333</v>
      </c>
      <c r="H52" s="583"/>
      <c r="I52" s="560">
        <f>SUM(G52:H52)</f>
        <v>2028333.3333333333</v>
      </c>
    </row>
    <row r="53" spans="2:9" ht="16.5" customHeight="1" thickBot="1">
      <c r="B53" s="550" t="str">
        <f t="shared" si="4"/>
        <v>2020 CDM Programs</v>
      </c>
      <c r="C53" s="564"/>
      <c r="D53" s="564"/>
      <c r="E53" s="564"/>
      <c r="F53" s="564"/>
      <c r="G53" s="564"/>
      <c r="H53" s="587">
        <f>G52</f>
        <v>2028333.3333333333</v>
      </c>
      <c r="I53" s="566">
        <f>SUM(C53:H53)</f>
        <v>2028333.3333333333</v>
      </c>
    </row>
    <row r="54" spans="2:9" ht="16.5" thickTop="1" thickBot="1">
      <c r="B54" s="567" t="s">
        <v>54</v>
      </c>
      <c r="C54" s="568">
        <f>SUM(C48:C53)</f>
        <v>2028333.3333333333</v>
      </c>
      <c r="D54" s="568">
        <f t="shared" ref="D54:E54" si="5">SUM(D48:D53)</f>
        <v>2028333.3333333333</v>
      </c>
      <c r="E54" s="568">
        <f t="shared" si="5"/>
        <v>2028333.3333333333</v>
      </c>
      <c r="F54" s="568">
        <f>SUM(F48:F51)</f>
        <v>2028333.3333333333</v>
      </c>
      <c r="G54" s="568">
        <f>SUM(G48:G52)</f>
        <v>2028333.3333333333</v>
      </c>
      <c r="H54" s="569">
        <f>SUM(H48:H53)</f>
        <v>2028333.3333333333</v>
      </c>
      <c r="I54" s="570">
        <f>B37</f>
        <v>12170000</v>
      </c>
    </row>
    <row r="55" spans="2:9" ht="15">
      <c r="B55" s="571"/>
      <c r="C55" s="572"/>
      <c r="D55" s="572"/>
      <c r="E55" s="572"/>
      <c r="F55" s="572"/>
      <c r="G55" s="572"/>
      <c r="H55" s="539"/>
      <c r="I55" s="539"/>
    </row>
    <row r="56" spans="2:9" ht="23.25">
      <c r="B56" s="1151" t="s">
        <v>203</v>
      </c>
      <c r="C56" s="1151"/>
      <c r="D56" s="1151"/>
      <c r="E56" s="1151"/>
      <c r="F56" s="1151"/>
      <c r="G56" s="1151"/>
      <c r="H56" s="1151"/>
      <c r="I56" s="1151"/>
    </row>
    <row r="57" spans="2:9" ht="15">
      <c r="B57" s="571"/>
      <c r="C57" s="572"/>
      <c r="D57" s="572"/>
      <c r="E57" s="572"/>
      <c r="F57" s="572"/>
      <c r="G57" s="572"/>
      <c r="H57" s="539"/>
      <c r="I57" s="539"/>
    </row>
    <row r="58" spans="2:9" ht="60" customHeight="1">
      <c r="B58" s="1144" t="s">
        <v>204</v>
      </c>
      <c r="C58" s="1144"/>
      <c r="D58" s="1144"/>
      <c r="E58" s="1144"/>
      <c r="F58" s="1144"/>
      <c r="G58" s="1144"/>
      <c r="H58" s="1144"/>
      <c r="I58" s="1144"/>
    </row>
    <row r="59" spans="2:9" ht="15" customHeight="1">
      <c r="B59" s="1144" t="s">
        <v>205</v>
      </c>
      <c r="C59" s="1144"/>
      <c r="D59" s="1144"/>
      <c r="E59" s="1144"/>
      <c r="F59" s="1144"/>
      <c r="G59" s="1144"/>
      <c r="H59" s="1144"/>
      <c r="I59" s="1144"/>
    </row>
    <row r="60" spans="2:9" ht="15" thickBot="1">
      <c r="B60" s="588"/>
      <c r="C60" s="589"/>
      <c r="D60" s="589"/>
      <c r="E60" s="589"/>
      <c r="F60" s="589"/>
      <c r="G60" s="589"/>
      <c r="H60" s="539"/>
      <c r="I60" s="539"/>
    </row>
    <row r="61" spans="2:9" ht="15">
      <c r="B61" s="1153" t="s">
        <v>69</v>
      </c>
      <c r="C61" s="1154"/>
      <c r="D61" s="1154"/>
      <c r="E61" s="1154"/>
      <c r="F61" s="1154"/>
      <c r="G61" s="1155"/>
      <c r="H61" s="539"/>
      <c r="I61" s="539"/>
    </row>
    <row r="62" spans="2:9" ht="15">
      <c r="B62" s="590"/>
      <c r="C62" s="591"/>
      <c r="D62" s="591"/>
      <c r="E62" s="591"/>
      <c r="F62" s="591"/>
      <c r="G62" s="592"/>
      <c r="H62" s="539"/>
      <c r="I62" s="539"/>
    </row>
    <row r="63" spans="2:9" ht="15">
      <c r="B63" s="1156" t="s">
        <v>70</v>
      </c>
      <c r="C63" s="1157"/>
      <c r="D63" s="1157"/>
      <c r="E63" s="1157"/>
      <c r="F63" s="1157"/>
      <c r="G63" s="593" t="s">
        <v>71</v>
      </c>
      <c r="H63" s="539"/>
      <c r="I63" s="539"/>
    </row>
    <row r="64" spans="2:9" ht="15">
      <c r="B64" s="594"/>
      <c r="C64" s="595"/>
      <c r="D64" s="595"/>
      <c r="E64" s="595"/>
      <c r="F64" s="595"/>
      <c r="G64" s="596"/>
      <c r="H64" s="539"/>
      <c r="I64" s="539"/>
    </row>
    <row r="65" spans="2:9" ht="45">
      <c r="B65" s="597"/>
      <c r="C65" s="598"/>
      <c r="D65" s="591" t="s">
        <v>55</v>
      </c>
      <c r="E65" s="591" t="s">
        <v>56</v>
      </c>
      <c r="F65" s="591" t="s">
        <v>57</v>
      </c>
      <c r="G65" s="599" t="s">
        <v>72</v>
      </c>
      <c r="H65" s="539"/>
      <c r="I65" s="539"/>
    </row>
    <row r="66" spans="2:9" ht="15" customHeight="1">
      <c r="B66" s="1158" t="s">
        <v>73</v>
      </c>
      <c r="C66" s="1159"/>
      <c r="D66" s="600" t="s">
        <v>36</v>
      </c>
      <c r="E66" s="600" t="s">
        <v>36</v>
      </c>
      <c r="F66" s="600" t="s">
        <v>36</v>
      </c>
      <c r="G66" s="601" t="s">
        <v>74</v>
      </c>
      <c r="H66" s="539"/>
      <c r="I66" s="539"/>
    </row>
    <row r="67" spans="2:9" ht="15">
      <c r="B67" s="602" t="s">
        <v>75</v>
      </c>
      <c r="C67" s="603"/>
      <c r="D67" s="604"/>
      <c r="E67" s="604"/>
      <c r="F67" s="605"/>
      <c r="G67" s="606"/>
      <c r="H67" s="539"/>
      <c r="I67" s="539"/>
    </row>
    <row r="68" spans="2:9" ht="15">
      <c r="B68" s="602" t="s">
        <v>76</v>
      </c>
      <c r="C68" s="603"/>
      <c r="D68" s="604"/>
      <c r="E68" s="604"/>
      <c r="F68" s="605"/>
      <c r="G68" s="606"/>
      <c r="H68" s="539"/>
      <c r="I68" s="539"/>
    </row>
    <row r="69" spans="2:9" ht="15">
      <c r="B69" s="602" t="s">
        <v>77</v>
      </c>
      <c r="C69" s="603"/>
      <c r="D69" s="604"/>
      <c r="E69" s="604"/>
      <c r="F69" s="605"/>
      <c r="G69" s="606"/>
      <c r="H69" s="539"/>
      <c r="I69" s="539"/>
    </row>
    <row r="70" spans="2:9" ht="15.75" thickBot="1">
      <c r="B70" s="607" t="s">
        <v>206</v>
      </c>
      <c r="C70" s="608"/>
      <c r="D70" s="609"/>
      <c r="E70" s="609"/>
      <c r="F70" s="605"/>
      <c r="G70" s="606"/>
      <c r="H70" s="539"/>
      <c r="I70" s="539"/>
    </row>
    <row r="71" spans="2:9" ht="16.5" customHeight="1" thickTop="1" thickBot="1">
      <c r="B71" s="1160" t="s">
        <v>207</v>
      </c>
      <c r="C71" s="1161"/>
      <c r="D71" s="610">
        <f>SUM(D67:D70)</f>
        <v>0</v>
      </c>
      <c r="E71" s="610">
        <f>SUM(E67:E70)</f>
        <v>0</v>
      </c>
      <c r="F71" s="611">
        <f>D71-E71</f>
        <v>0</v>
      </c>
      <c r="G71" s="612">
        <f>IF(E71=0,0,IF(G63="net",0,F71/E71))</f>
        <v>0</v>
      </c>
      <c r="H71" s="539"/>
      <c r="I71" s="539"/>
    </row>
    <row r="72" spans="2:9" ht="15">
      <c r="B72" s="613"/>
      <c r="C72" s="613"/>
      <c r="D72" s="614"/>
      <c r="E72" s="614"/>
      <c r="F72" s="549"/>
      <c r="G72" s="615"/>
      <c r="H72" s="539"/>
      <c r="I72" s="539"/>
    </row>
    <row r="73" spans="2:9" ht="38.25" customHeight="1">
      <c r="B73" s="1144" t="s">
        <v>78</v>
      </c>
      <c r="C73" s="1144"/>
      <c r="D73" s="1144"/>
      <c r="E73" s="1144"/>
      <c r="F73" s="1144"/>
      <c r="G73" s="1144"/>
      <c r="H73" s="1144"/>
      <c r="I73" s="1144"/>
    </row>
    <row r="74" spans="2:9" ht="33.75" customHeight="1">
      <c r="B74" s="1144" t="s">
        <v>79</v>
      </c>
      <c r="C74" s="1144"/>
      <c r="D74" s="1144"/>
      <c r="E74" s="1144"/>
      <c r="F74" s="1144"/>
      <c r="G74" s="1144"/>
      <c r="H74" s="1144"/>
      <c r="I74" s="1144"/>
    </row>
    <row r="75" spans="2:9" ht="15">
      <c r="B75" s="613"/>
      <c r="C75" s="616"/>
      <c r="D75" s="614"/>
      <c r="E75" s="614"/>
      <c r="F75" s="614"/>
      <c r="G75" s="615"/>
      <c r="H75" s="539"/>
      <c r="I75" s="539"/>
    </row>
    <row r="76" spans="2:9" ht="15.75" customHeight="1" thickBot="1">
      <c r="B76" s="1152" t="s">
        <v>80</v>
      </c>
      <c r="C76" s="1152"/>
      <c r="D76" s="1152"/>
      <c r="E76" s="1152"/>
      <c r="F76" s="1152"/>
      <c r="G76" s="1152"/>
      <c r="H76" s="549"/>
      <c r="I76" s="539"/>
    </row>
    <row r="77" spans="2:9" ht="15">
      <c r="B77" s="617"/>
      <c r="C77" s="618">
        <v>2011</v>
      </c>
      <c r="D77" s="618">
        <v>2012</v>
      </c>
      <c r="E77" s="618">
        <v>2013</v>
      </c>
      <c r="F77" s="618">
        <v>2014</v>
      </c>
      <c r="G77" s="619">
        <v>2015</v>
      </c>
      <c r="H77" s="620"/>
      <c r="I77" s="539"/>
    </row>
    <row r="78" spans="2:9" ht="60">
      <c r="B78" s="621" t="s">
        <v>81</v>
      </c>
      <c r="C78" s="622">
        <v>0</v>
      </c>
      <c r="D78" s="622">
        <v>0</v>
      </c>
      <c r="E78" s="622">
        <v>0</v>
      </c>
      <c r="F78" s="622">
        <v>0.5</v>
      </c>
      <c r="G78" s="622">
        <v>1</v>
      </c>
      <c r="H78" s="623" t="s">
        <v>210</v>
      </c>
      <c r="I78" s="539"/>
    </row>
    <row r="79" spans="2:9" ht="271.5" thickBot="1">
      <c r="B79" s="624" t="s">
        <v>82</v>
      </c>
      <c r="C79" s="625" t="s">
        <v>211</v>
      </c>
      <c r="D79" s="625" t="s">
        <v>212</v>
      </c>
      <c r="E79" s="625" t="s">
        <v>213</v>
      </c>
      <c r="F79" s="625" t="s">
        <v>214</v>
      </c>
      <c r="G79" s="625" t="s">
        <v>215</v>
      </c>
      <c r="H79" s="612"/>
      <c r="I79" s="539"/>
    </row>
    <row r="80" spans="2:9" ht="14.25">
      <c r="B80" s="626"/>
      <c r="C80" s="627"/>
      <c r="D80" s="627"/>
      <c r="E80" s="627"/>
      <c r="F80" s="627"/>
      <c r="G80" s="627"/>
      <c r="H80" s="615"/>
      <c r="I80" s="539"/>
    </row>
    <row r="81" spans="2:11" ht="23.25">
      <c r="B81" s="1143" t="s">
        <v>216</v>
      </c>
      <c r="C81" s="1143"/>
      <c r="D81" s="1143"/>
      <c r="E81" s="1143"/>
      <c r="F81" s="1143"/>
      <c r="G81" s="1143"/>
      <c r="H81" s="1143"/>
      <c r="I81" s="1143"/>
    </row>
    <row r="82" spans="2:11" ht="18.75">
      <c r="B82" s="628"/>
      <c r="C82" s="628"/>
      <c r="D82" s="628"/>
      <c r="E82" s="628"/>
      <c r="F82" s="628"/>
      <c r="G82" s="628"/>
      <c r="H82" s="628"/>
      <c r="I82" s="628"/>
    </row>
    <row r="83" spans="2:11" ht="34.5" customHeight="1">
      <c r="B83" s="1142" t="s">
        <v>217</v>
      </c>
      <c r="C83" s="1142"/>
      <c r="D83" s="1142"/>
      <c r="E83" s="1142"/>
      <c r="F83" s="1142"/>
      <c r="G83" s="1142"/>
      <c r="H83" s="1142"/>
      <c r="I83" s="1142"/>
    </row>
    <row r="84" spans="2:11" ht="15.75" thickBot="1">
      <c r="B84" s="613"/>
      <c r="C84" s="616"/>
      <c r="D84" s="614"/>
      <c r="E84" s="614"/>
      <c r="F84" s="614"/>
      <c r="G84" s="615"/>
      <c r="H84" s="539"/>
      <c r="I84" s="539"/>
    </row>
    <row r="85" spans="2:11" ht="15">
      <c r="B85" s="629"/>
      <c r="C85" s="807">
        <v>2011</v>
      </c>
      <c r="D85" s="808">
        <v>2012</v>
      </c>
      <c r="E85" s="808">
        <v>2013</v>
      </c>
      <c r="F85" s="808">
        <v>2014</v>
      </c>
      <c r="G85" s="809">
        <v>2015</v>
      </c>
      <c r="H85" s="810">
        <v>2016</v>
      </c>
      <c r="I85" s="811" t="s">
        <v>158</v>
      </c>
    </row>
    <row r="86" spans="2:11" ht="15">
      <c r="B86" s="630"/>
      <c r="C86" s="812" t="s">
        <v>36</v>
      </c>
      <c r="D86" s="813"/>
      <c r="E86" s="813"/>
      <c r="F86" s="813"/>
      <c r="G86" s="813"/>
      <c r="H86" s="814"/>
      <c r="I86" s="815"/>
    </row>
    <row r="87" spans="2:11" ht="42.75">
      <c r="B87" s="631" t="s">
        <v>83</v>
      </c>
      <c r="C87" s="632">
        <f>F26</f>
        <v>1300000</v>
      </c>
      <c r="D87" s="632">
        <f>F27</f>
        <v>700000</v>
      </c>
      <c r="E87" s="632">
        <f>F28</f>
        <v>800000</v>
      </c>
      <c r="F87" s="632">
        <f>F29</f>
        <v>1200000</v>
      </c>
      <c r="G87" s="632"/>
      <c r="H87" s="803"/>
      <c r="I87" s="633"/>
    </row>
    <row r="88" spans="2:11" ht="14.25">
      <c r="B88" s="631"/>
      <c r="C88" s="632"/>
      <c r="D88" s="632"/>
      <c r="E88" s="632"/>
      <c r="F88" s="632"/>
      <c r="G88" s="632"/>
      <c r="H88" s="803"/>
      <c r="I88" s="633"/>
    </row>
    <row r="89" spans="2:11" ht="57">
      <c r="B89" s="634" t="s">
        <v>218</v>
      </c>
      <c r="C89" s="635"/>
      <c r="D89" s="636">
        <f>C89</f>
        <v>0</v>
      </c>
      <c r="E89" s="636">
        <f>C89</f>
        <v>0</v>
      </c>
      <c r="F89" s="636">
        <f>C89</f>
        <v>0</v>
      </c>
      <c r="G89" s="636"/>
      <c r="H89" s="806"/>
      <c r="I89" s="637"/>
    </row>
    <row r="90" spans="2:11" ht="14.25">
      <c r="B90" s="638"/>
      <c r="C90" s="639"/>
      <c r="D90" s="639"/>
      <c r="E90" s="639"/>
      <c r="F90" s="639"/>
      <c r="G90" s="639"/>
      <c r="H90" s="804"/>
      <c r="I90" s="816"/>
    </row>
    <row r="91" spans="2:11" ht="43.5" thickBot="1">
      <c r="B91" s="640" t="s">
        <v>219</v>
      </c>
      <c r="C91" s="641"/>
      <c r="D91" s="642"/>
      <c r="E91" s="642"/>
      <c r="F91" s="642"/>
      <c r="G91" s="642">
        <f>C48</f>
        <v>2028333.3333333333</v>
      </c>
      <c r="H91" s="642">
        <f>G91</f>
        <v>2028333.3333333333</v>
      </c>
      <c r="I91" s="643">
        <f>SUM(C91:G91)</f>
        <v>2028333.3333333333</v>
      </c>
    </row>
    <row r="92" spans="2:11" ht="15.75" thickTop="1" thickBot="1">
      <c r="B92" s="644"/>
      <c r="C92" s="645"/>
      <c r="D92" s="645"/>
      <c r="E92" s="645"/>
      <c r="F92" s="645"/>
      <c r="G92" s="645"/>
      <c r="H92" s="805"/>
      <c r="I92" s="646"/>
    </row>
    <row r="93" spans="2:11" ht="15.75" thickTop="1">
      <c r="B93" s="801" t="s">
        <v>339</v>
      </c>
      <c r="C93" s="818">
        <v>4.41E-2</v>
      </c>
      <c r="D93" s="796"/>
      <c r="E93" s="796"/>
      <c r="F93" s="796"/>
      <c r="G93" s="796"/>
      <c r="H93" s="803"/>
      <c r="I93" s="799"/>
    </row>
    <row r="94" spans="2:11" ht="14.25">
      <c r="B94" s="800"/>
      <c r="C94" s="796"/>
      <c r="D94" s="796"/>
      <c r="E94" s="796"/>
      <c r="F94" s="796"/>
      <c r="G94" s="796"/>
      <c r="H94" s="803"/>
      <c r="I94" s="799"/>
    </row>
    <row r="95" spans="2:11" ht="42.75">
      <c r="B95" s="634" t="s">
        <v>220</v>
      </c>
      <c r="C95" s="797">
        <v>0</v>
      </c>
      <c r="D95" s="798">
        <f>D87*(1+G71)*D78</f>
        <v>0</v>
      </c>
      <c r="E95" s="798"/>
      <c r="F95" s="798">
        <f>F87*(1+G71)*F78*(1+C93)</f>
        <v>626460</v>
      </c>
      <c r="G95" s="798">
        <f>G91*(1+G71)*G78*(1+C93)</f>
        <v>2117782.8333333335</v>
      </c>
      <c r="H95" s="798">
        <f>H91*(1+G71)*0.5*(1+C93)</f>
        <v>1058891.4166666667</v>
      </c>
      <c r="I95" s="802">
        <f>SUM(C95:H95)</f>
        <v>3803134.25</v>
      </c>
      <c r="K95" s="401" t="s">
        <v>222</v>
      </c>
    </row>
    <row r="96" spans="2:11" ht="14.25">
      <c r="B96" s="638"/>
      <c r="C96" s="647"/>
      <c r="D96" s="647"/>
      <c r="E96" s="647"/>
      <c r="F96" s="647"/>
      <c r="G96" s="817"/>
      <c r="H96" s="647"/>
      <c r="I96" s="648"/>
    </row>
    <row r="97" spans="1:15">
      <c r="B97" s="369"/>
      <c r="C97" s="369"/>
      <c r="D97" s="370"/>
      <c r="E97" s="370"/>
      <c r="F97" s="370"/>
      <c r="G97" s="370"/>
      <c r="H97" s="368"/>
    </row>
    <row r="98" spans="1:15">
      <c r="B98" s="369"/>
      <c r="C98" s="369"/>
      <c r="D98" s="370"/>
      <c r="E98" s="370"/>
      <c r="F98" s="370"/>
      <c r="G98" s="370"/>
      <c r="H98" s="368"/>
    </row>
    <row r="99" spans="1:15" ht="15">
      <c r="A99" s="101"/>
    </row>
    <row r="100" spans="1:15" ht="14.25">
      <c r="A100" s="100"/>
    </row>
    <row r="101" spans="1:15" ht="14.25">
      <c r="A101" s="100"/>
    </row>
    <row r="102" spans="1:15" ht="14.25">
      <c r="A102" s="100"/>
    </row>
    <row r="103" spans="1:15" ht="14.25">
      <c r="A103" s="100"/>
      <c r="N103" s="214"/>
      <c r="O103" s="221"/>
    </row>
    <row r="104" spans="1:15" ht="14.25">
      <c r="A104" s="100"/>
    </row>
    <row r="105" spans="1:15" ht="14.25">
      <c r="A105" s="100"/>
    </row>
    <row r="106" spans="1:15" ht="14.25">
      <c r="A106" s="100"/>
    </row>
    <row r="107" spans="1:15" ht="14.25">
      <c r="A107" s="100"/>
    </row>
    <row r="108" spans="1:15" ht="14.25">
      <c r="A108" s="100"/>
    </row>
    <row r="109" spans="1:15" ht="14.25">
      <c r="A109" s="100"/>
    </row>
    <row r="110" spans="1:15" ht="14.25">
      <c r="A110" s="100"/>
    </row>
    <row r="111" spans="1:15" ht="14.25">
      <c r="A111" s="100"/>
    </row>
    <row r="112" spans="1:15" ht="14.25">
      <c r="A112" s="100"/>
    </row>
    <row r="113" spans="1:14" ht="14.25">
      <c r="A113" s="100"/>
    </row>
    <row r="115" spans="1:14">
      <c r="N115" s="213"/>
    </row>
  </sheetData>
  <mergeCells count="24">
    <mergeCell ref="B59:I59"/>
    <mergeCell ref="B32:G32"/>
    <mergeCell ref="B15:I15"/>
    <mergeCell ref="B36:I36"/>
    <mergeCell ref="B34:I34"/>
    <mergeCell ref="B18:G18"/>
    <mergeCell ref="B17:G17"/>
    <mergeCell ref="B25:G25"/>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s>
  <dataValidations count="2">
    <dataValidation type="list" allowBlank="1" showInputMessage="1" showErrorMessage="1" sqref="G63" xr:uid="{00000000-0002-0000-0A00-000000000000}">
      <formula1>"net,gross"</formula1>
    </dataValidation>
    <dataValidation type="list" allowBlank="1" showInputMessage="1" showErrorMessage="1" sqref="C78:G78" xr:uid="{00000000-0002-0000-0A00-000001000000}">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O141"/>
  <sheetViews>
    <sheetView showGridLines="0" topLeftCell="A49" workbookViewId="0">
      <selection activeCell="L34" sqref="L34"/>
    </sheetView>
  </sheetViews>
  <sheetFormatPr defaultRowHeight="15"/>
  <cols>
    <col min="1" max="1" width="36" style="834" customWidth="1"/>
    <col min="2" max="5" width="17.6640625" style="834" customWidth="1"/>
    <col min="6" max="6" width="20" style="834" bestFit="1" customWidth="1"/>
    <col min="7" max="7" width="17.6640625" style="834" customWidth="1"/>
    <col min="8" max="8" width="18.5" style="834" bestFit="1" customWidth="1"/>
    <col min="9" max="9" width="17" style="834" bestFit="1" customWidth="1"/>
    <col min="10" max="12" width="10.6640625" style="834" hidden="1" customWidth="1"/>
    <col min="13" max="13" width="0" style="834" hidden="1" customWidth="1"/>
    <col min="14" max="14" width="7" style="834" bestFit="1" customWidth="1"/>
    <col min="15" max="16384" width="9.33203125" style="834"/>
  </cols>
  <sheetData>
    <row r="1" spans="1:10" s="831" customFormat="1" ht="12.75" customHeight="1">
      <c r="G1" s="832" t="s">
        <v>342</v>
      </c>
      <c r="H1" s="833" t="str">
        <f>EBNUMBER</f>
        <v>EB-2016-0089</v>
      </c>
      <c r="I1" s="834"/>
      <c r="J1" s="833"/>
    </row>
    <row r="2" spans="1:10" s="831" customFormat="1" ht="12.75" customHeight="1">
      <c r="G2" s="832" t="s">
        <v>343</v>
      </c>
      <c r="H2" s="835">
        <v>3</v>
      </c>
      <c r="I2" s="834"/>
      <c r="J2" s="836"/>
    </row>
    <row r="3" spans="1:10" s="831" customFormat="1" ht="12.75" customHeight="1">
      <c r="G3" s="832" t="s">
        <v>344</v>
      </c>
      <c r="H3" s="835">
        <v>2</v>
      </c>
      <c r="I3" s="834"/>
      <c r="J3" s="836"/>
    </row>
    <row r="4" spans="1:10" s="831" customFormat="1" ht="12.75" customHeight="1">
      <c r="G4" s="832" t="s">
        <v>345</v>
      </c>
      <c r="H4" s="835">
        <v>1</v>
      </c>
      <c r="I4" s="834"/>
      <c r="J4" s="836"/>
    </row>
    <row r="5" spans="1:10" s="831" customFormat="1" ht="12.75" customHeight="1">
      <c r="G5" s="832" t="s">
        <v>346</v>
      </c>
      <c r="H5" s="837" t="s">
        <v>347</v>
      </c>
      <c r="I5" s="834"/>
      <c r="J5" s="838"/>
    </row>
    <row r="6" spans="1:10" s="831" customFormat="1" ht="12.75" customHeight="1">
      <c r="G6" s="832"/>
      <c r="H6" s="833"/>
      <c r="I6" s="834"/>
      <c r="J6" s="838"/>
    </row>
    <row r="7" spans="1:10" s="831" customFormat="1" ht="12.75" customHeight="1">
      <c r="G7" s="832" t="s">
        <v>348</v>
      </c>
      <c r="H7" s="839">
        <v>42489</v>
      </c>
      <c r="I7" s="834"/>
      <c r="J7" s="838"/>
    </row>
    <row r="8" spans="1:10" s="831" customFormat="1" ht="12.75">
      <c r="G8" s="840"/>
    </row>
    <row r="9" spans="1:10" s="831" customFormat="1" ht="18">
      <c r="A9" s="1176" t="s">
        <v>349</v>
      </c>
      <c r="B9" s="1176"/>
      <c r="C9" s="1176"/>
      <c r="D9" s="1176"/>
      <c r="E9" s="1176"/>
      <c r="F9" s="1176"/>
      <c r="G9" s="1176"/>
      <c r="H9" s="1176"/>
    </row>
    <row r="10" spans="1:10" s="831" customFormat="1" ht="18">
      <c r="A10" s="1176" t="s">
        <v>350</v>
      </c>
      <c r="B10" s="1176"/>
      <c r="C10" s="1176"/>
      <c r="D10" s="1176"/>
      <c r="E10" s="1176"/>
      <c r="F10" s="1176"/>
      <c r="G10" s="1176"/>
      <c r="H10" s="1176"/>
    </row>
    <row r="11" spans="1:10" ht="12" customHeight="1"/>
    <row r="12" spans="1:10" ht="57" customHeight="1">
      <c r="A12" s="1177" t="s">
        <v>351</v>
      </c>
      <c r="B12" s="1177"/>
      <c r="C12" s="1177"/>
      <c r="D12" s="1177"/>
      <c r="E12" s="1177"/>
      <c r="F12" s="1177"/>
      <c r="G12" s="1177"/>
      <c r="H12" s="1177"/>
    </row>
    <row r="13" spans="1:10" ht="12" customHeight="1"/>
    <row r="14" spans="1:10" ht="77.25" customHeight="1">
      <c r="A14" s="1177" t="s">
        <v>352</v>
      </c>
      <c r="B14" s="1177"/>
      <c r="C14" s="1177"/>
      <c r="D14" s="1177"/>
      <c r="E14" s="1177"/>
      <c r="F14" s="1177"/>
      <c r="G14" s="1177"/>
      <c r="H14" s="1177"/>
    </row>
    <row r="15" spans="1:10" ht="12" customHeight="1"/>
    <row r="16" spans="1:10" ht="77.25" customHeight="1">
      <c r="A16" s="1177" t="s">
        <v>353</v>
      </c>
      <c r="B16" s="1177"/>
      <c r="C16" s="1177"/>
      <c r="D16" s="1177"/>
      <c r="E16" s="1177"/>
      <c r="F16" s="1177"/>
      <c r="G16" s="1177"/>
      <c r="H16" s="1177"/>
    </row>
    <row r="17" spans="1:8" ht="12" customHeight="1"/>
    <row r="18" spans="1:8" ht="61.5" customHeight="1">
      <c r="A18" s="1177" t="s">
        <v>354</v>
      </c>
      <c r="B18" s="1177"/>
      <c r="C18" s="1177"/>
      <c r="D18" s="1177"/>
      <c r="E18" s="1177"/>
      <c r="F18" s="1177"/>
      <c r="G18" s="1177"/>
      <c r="H18" s="1177"/>
    </row>
    <row r="19" spans="1:8" ht="12" customHeight="1"/>
    <row r="20" spans="1:8" ht="18.75">
      <c r="A20" s="1178" t="s">
        <v>209</v>
      </c>
      <c r="B20" s="1178"/>
      <c r="C20" s="1178"/>
      <c r="D20" s="1178"/>
      <c r="E20" s="1178"/>
      <c r="F20" s="1178"/>
      <c r="G20" s="1178"/>
      <c r="H20" s="1178"/>
    </row>
    <row r="21" spans="1:8" ht="12" customHeight="1"/>
    <row r="22" spans="1:8">
      <c r="A22" s="1179" t="s">
        <v>355</v>
      </c>
      <c r="B22" s="1179"/>
      <c r="C22" s="1179"/>
      <c r="D22" s="1179"/>
      <c r="E22" s="1179"/>
      <c r="F22" s="1179"/>
      <c r="G22" s="1179"/>
      <c r="H22" s="1179"/>
    </row>
    <row r="23" spans="1:8">
      <c r="A23" s="841"/>
      <c r="B23" s="841"/>
      <c r="C23" s="841"/>
      <c r="D23" s="841"/>
      <c r="E23" s="841"/>
      <c r="F23" s="841"/>
    </row>
    <row r="24" spans="1:8" ht="28.5" customHeight="1">
      <c r="A24" s="1175" t="s">
        <v>356</v>
      </c>
      <c r="B24" s="1175"/>
      <c r="C24" s="1175"/>
      <c r="D24" s="1175"/>
      <c r="E24" s="1175"/>
      <c r="F24" s="1175"/>
      <c r="G24" s="1175"/>
      <c r="H24" s="1175"/>
    </row>
    <row r="25" spans="1:8" ht="12" customHeight="1">
      <c r="A25" s="841"/>
      <c r="B25" s="841"/>
      <c r="C25" s="841"/>
      <c r="D25" s="841"/>
      <c r="E25" s="841"/>
      <c r="F25" s="841"/>
    </row>
    <row r="26" spans="1:8" ht="28.5" customHeight="1">
      <c r="A26" s="1175" t="s">
        <v>357</v>
      </c>
      <c r="B26" s="1175"/>
      <c r="C26" s="1175"/>
      <c r="D26" s="1175"/>
      <c r="E26" s="1175"/>
      <c r="F26" s="1175"/>
      <c r="G26" s="1175"/>
      <c r="H26" s="1175"/>
    </row>
    <row r="27" spans="1:8" ht="12" customHeight="1">
      <c r="A27" s="842"/>
      <c r="B27" s="843"/>
      <c r="C27" s="843"/>
      <c r="D27" s="843"/>
      <c r="E27" s="843"/>
      <c r="F27" s="843"/>
    </row>
    <row r="28" spans="1:8" ht="46.5" customHeight="1">
      <c r="A28" s="1175" t="s">
        <v>358</v>
      </c>
      <c r="B28" s="1175"/>
      <c r="C28" s="1175"/>
      <c r="D28" s="1175"/>
      <c r="E28" s="1175"/>
      <c r="F28" s="1175"/>
      <c r="G28" s="1175"/>
      <c r="H28" s="1175"/>
    </row>
    <row r="29" spans="1:8" ht="12" customHeight="1">
      <c r="A29" s="842"/>
      <c r="B29" s="843"/>
      <c r="C29" s="843"/>
      <c r="D29" s="843"/>
      <c r="E29" s="843"/>
      <c r="F29" s="843"/>
    </row>
    <row r="30" spans="1:8" ht="57.75" customHeight="1">
      <c r="A30" s="1175" t="s">
        <v>359</v>
      </c>
      <c r="B30" s="1175"/>
      <c r="C30" s="1175"/>
      <c r="D30" s="1175"/>
      <c r="E30" s="1175"/>
      <c r="F30" s="1175"/>
      <c r="G30" s="1175"/>
      <c r="H30" s="1175"/>
    </row>
    <row r="31" spans="1:8" ht="12" customHeight="1">
      <c r="A31" s="1175"/>
      <c r="B31" s="1175"/>
      <c r="C31" s="1175"/>
      <c r="D31" s="1175"/>
      <c r="E31" s="1175"/>
      <c r="F31" s="1175"/>
      <c r="G31" s="1175"/>
      <c r="H31" s="1175"/>
    </row>
    <row r="32" spans="1:8" ht="12" customHeight="1" thickBot="1">
      <c r="A32" s="844"/>
      <c r="B32" s="843"/>
      <c r="C32" s="843"/>
      <c r="D32" s="843"/>
      <c r="E32" s="843"/>
      <c r="F32" s="843"/>
    </row>
    <row r="33" spans="1:14">
      <c r="A33" s="1181" t="s">
        <v>49</v>
      </c>
      <c r="B33" s="1182"/>
      <c r="C33" s="1182"/>
      <c r="D33" s="1182"/>
      <c r="E33" s="1182"/>
      <c r="F33" s="1183"/>
      <c r="G33" s="1184" t="s">
        <v>360</v>
      </c>
      <c r="H33" s="1185"/>
    </row>
    <row r="34" spans="1:14">
      <c r="A34" s="1188">
        <v>13600000</v>
      </c>
      <c r="B34" s="1189"/>
      <c r="C34" s="1189"/>
      <c r="D34" s="1189"/>
      <c r="E34" s="1189"/>
      <c r="F34" s="1190"/>
      <c r="G34" s="1186"/>
      <c r="H34" s="1187"/>
    </row>
    <row r="35" spans="1:14">
      <c r="A35" s="845"/>
      <c r="B35" s="846">
        <v>2011</v>
      </c>
      <c r="C35" s="846">
        <v>2012</v>
      </c>
      <c r="D35" s="846">
        <v>2013</v>
      </c>
      <c r="E35" s="846">
        <v>2014</v>
      </c>
      <c r="F35" s="847" t="s">
        <v>16</v>
      </c>
      <c r="G35" s="848">
        <v>2015</v>
      </c>
      <c r="H35" s="849">
        <v>2016</v>
      </c>
      <c r="K35" s="834">
        <f>B35</f>
        <v>2011</v>
      </c>
      <c r="L35" s="834">
        <f>C35</f>
        <v>2012</v>
      </c>
      <c r="M35" s="834">
        <f>D35</f>
        <v>2013</v>
      </c>
      <c r="N35" s="834">
        <f>E35</f>
        <v>2014</v>
      </c>
    </row>
    <row r="36" spans="1:14">
      <c r="A36" s="850" t="s">
        <v>50</v>
      </c>
      <c r="B36" s="851">
        <f>B42/$F$46</f>
        <v>0.13108614232209737</v>
      </c>
      <c r="C36" s="851">
        <f t="shared" ref="C36:E39" si="0">C42/$F$46</f>
        <v>0.13108614232209737</v>
      </c>
      <c r="D36" s="851">
        <f t="shared" si="0"/>
        <v>0.13108614232209737</v>
      </c>
      <c r="E36" s="852">
        <f t="shared" si="0"/>
        <v>0.12172284644194757</v>
      </c>
      <c r="F36" s="853">
        <f>SUM(B36:E36)</f>
        <v>0.51498127340823963</v>
      </c>
      <c r="G36" s="854"/>
      <c r="H36" s="855"/>
      <c r="J36" s="834" t="str">
        <f>A36</f>
        <v>2011 CDM Programs</v>
      </c>
      <c r="K36" s="856">
        <f>50%</f>
        <v>0.5</v>
      </c>
      <c r="L36" s="857">
        <v>1</v>
      </c>
      <c r="M36" s="858">
        <v>1</v>
      </c>
      <c r="N36" s="858">
        <v>1</v>
      </c>
    </row>
    <row r="37" spans="1:14">
      <c r="A37" s="850" t="s">
        <v>51</v>
      </c>
      <c r="B37" s="859"/>
      <c r="C37" s="851">
        <f t="shared" si="0"/>
        <v>6.5543071161048683E-2</v>
      </c>
      <c r="D37" s="851">
        <f t="shared" si="0"/>
        <v>6.5543071161048683E-2</v>
      </c>
      <c r="E37" s="852">
        <f t="shared" si="0"/>
        <v>6.5543071161048683E-2</v>
      </c>
      <c r="F37" s="853">
        <f>SUM(B37:E37)</f>
        <v>0.19662921348314605</v>
      </c>
      <c r="G37" s="854"/>
      <c r="H37" s="855"/>
      <c r="J37" s="834" t="str">
        <f>A37</f>
        <v>2012 CDM Programs</v>
      </c>
      <c r="L37" s="857">
        <v>0.5</v>
      </c>
      <c r="M37" s="858">
        <v>1</v>
      </c>
      <c r="N37" s="858">
        <v>1</v>
      </c>
    </row>
    <row r="38" spans="1:14">
      <c r="A38" s="850" t="s">
        <v>52</v>
      </c>
      <c r="B38" s="859"/>
      <c r="C38" s="859"/>
      <c r="D38" s="851">
        <f t="shared" si="0"/>
        <v>7.4906367041198504E-2</v>
      </c>
      <c r="E38" s="852">
        <f t="shared" si="0"/>
        <v>7.4906367041198504E-2</v>
      </c>
      <c r="F38" s="853">
        <f>SUM(B38:E38)</f>
        <v>0.14981273408239701</v>
      </c>
      <c r="G38" s="854"/>
      <c r="H38" s="855"/>
      <c r="J38" s="834" t="str">
        <f>A38</f>
        <v>2013 CDM Programs</v>
      </c>
      <c r="M38" s="858">
        <v>0.5</v>
      </c>
      <c r="N38" s="858">
        <v>1</v>
      </c>
    </row>
    <row r="39" spans="1:14" ht="15.75" thickBot="1">
      <c r="A39" s="860" t="s">
        <v>53</v>
      </c>
      <c r="B39" s="861"/>
      <c r="C39" s="861"/>
      <c r="D39" s="861"/>
      <c r="E39" s="862">
        <f t="shared" si="0"/>
        <v>0.11235955056179775</v>
      </c>
      <c r="F39" s="863">
        <f>SUM(B39:E39)</f>
        <v>0.11235955056179775</v>
      </c>
      <c r="G39" s="854"/>
      <c r="H39" s="855"/>
      <c r="J39" s="834" t="str">
        <f>A39</f>
        <v>2014 CDM Programs</v>
      </c>
      <c r="N39" s="858">
        <v>0.5</v>
      </c>
    </row>
    <row r="40" spans="1:14" ht="15.75" thickTop="1">
      <c r="A40" s="848" t="s">
        <v>54</v>
      </c>
      <c r="B40" s="864">
        <f>SUM(B36:B39)</f>
        <v>0.13108614232209737</v>
      </c>
      <c r="C40" s="864">
        <f>SUM(C36:C39)</f>
        <v>0.19662921348314605</v>
      </c>
      <c r="D40" s="864">
        <f>SUM(D36:D39)</f>
        <v>0.27153558052434457</v>
      </c>
      <c r="E40" s="865">
        <f>SUM(E36:E39)</f>
        <v>0.37453183520599254</v>
      </c>
      <c r="F40" s="866">
        <f>SUM(B40:E40)</f>
        <v>0.97378277153558046</v>
      </c>
      <c r="G40" s="854"/>
      <c r="H40" s="855"/>
    </row>
    <row r="41" spans="1:14" ht="12" customHeight="1">
      <c r="A41" s="1191" t="s">
        <v>36</v>
      </c>
      <c r="B41" s="1192"/>
      <c r="C41" s="1192"/>
      <c r="D41" s="1192"/>
      <c r="E41" s="1192"/>
      <c r="F41" s="1193"/>
      <c r="G41" s="854"/>
      <c r="H41" s="855"/>
    </row>
    <row r="42" spans="1:14">
      <c r="A42" s="850" t="s">
        <v>50</v>
      </c>
      <c r="B42" s="867">
        <f>'10. CDM Adjustment'!C26</f>
        <v>1400000</v>
      </c>
      <c r="C42" s="867">
        <f>'10. CDM Adjustment'!D26</f>
        <v>1400000</v>
      </c>
      <c r="D42" s="867">
        <f>'10. CDM Adjustment'!E26</f>
        <v>1400000</v>
      </c>
      <c r="E42" s="867">
        <f>'10. CDM Adjustment'!F26</f>
        <v>1300000</v>
      </c>
      <c r="F42" s="868">
        <f>SUM(B42:E42)</f>
        <v>5500000</v>
      </c>
      <c r="G42" s="854"/>
      <c r="H42" s="855"/>
    </row>
    <row r="43" spans="1:14">
      <c r="A43" s="850" t="s">
        <v>51</v>
      </c>
      <c r="B43" s="867">
        <v>100000</v>
      </c>
      <c r="C43" s="867">
        <f>'10. CDM Adjustment'!D27</f>
        <v>700000</v>
      </c>
      <c r="D43" s="867">
        <f>'10. CDM Adjustment'!E27</f>
        <v>700000</v>
      </c>
      <c r="E43" s="867">
        <f>'10. CDM Adjustment'!F27</f>
        <v>700000</v>
      </c>
      <c r="F43" s="868">
        <f>SUM(B43:E43)</f>
        <v>2200000</v>
      </c>
      <c r="G43" s="854"/>
      <c r="H43" s="855"/>
    </row>
    <row r="44" spans="1:14">
      <c r="A44" s="850" t="s">
        <v>52</v>
      </c>
      <c r="B44" s="869"/>
      <c r="C44" s="869"/>
      <c r="D44" s="867">
        <f>'10. CDM Adjustment'!E28</f>
        <v>800000</v>
      </c>
      <c r="E44" s="867">
        <f>'10. CDM Adjustment'!F28</f>
        <v>800000</v>
      </c>
      <c r="F44" s="868">
        <f>SUM(B44:E44)</f>
        <v>1600000</v>
      </c>
      <c r="G44" s="854"/>
      <c r="H44" s="855"/>
    </row>
    <row r="45" spans="1:14" ht="15.75" thickBot="1">
      <c r="A45" s="860" t="s">
        <v>53</v>
      </c>
      <c r="B45" s="870"/>
      <c r="C45" s="870"/>
      <c r="D45" s="867">
        <f>'10. CDM Adjustment'!E29</f>
        <v>180000</v>
      </c>
      <c r="E45" s="867">
        <f>'10. CDM Adjustment'!F29</f>
        <v>1200000</v>
      </c>
      <c r="F45" s="871">
        <f>SUM(B45:E45)</f>
        <v>1380000</v>
      </c>
      <c r="G45" s="872"/>
      <c r="H45" s="873"/>
    </row>
    <row r="46" spans="1:14" ht="16.5" thickTop="1" thickBot="1">
      <c r="A46" s="874" t="s">
        <v>54</v>
      </c>
      <c r="B46" s="875">
        <f>SUM(B42:B45)</f>
        <v>1500000</v>
      </c>
      <c r="C46" s="875">
        <f>SUM(C42:C45)</f>
        <v>2100000</v>
      </c>
      <c r="D46" s="875">
        <f>SUM(D42:D45)</f>
        <v>3080000</v>
      </c>
      <c r="E46" s="876">
        <f>SUM(E42:E45)</f>
        <v>4000000</v>
      </c>
      <c r="F46" s="877">
        <f>SUM(F42:F45)</f>
        <v>10680000</v>
      </c>
      <c r="G46" s="878"/>
      <c r="H46" s="879"/>
    </row>
    <row r="47" spans="1:14" ht="12" customHeight="1">
      <c r="A47" s="880"/>
      <c r="B47" s="881"/>
      <c r="C47" s="881"/>
      <c r="D47" s="881"/>
      <c r="E47" s="881"/>
      <c r="F47" s="881"/>
    </row>
    <row r="48" spans="1:14" ht="18.75">
      <c r="A48" s="1178" t="s">
        <v>361</v>
      </c>
      <c r="B48" s="1178"/>
      <c r="C48" s="1178"/>
      <c r="D48" s="1178"/>
      <c r="E48" s="1178"/>
      <c r="F48" s="1178"/>
    </row>
    <row r="49" spans="1:8">
      <c r="A49" s="880"/>
      <c r="B49" s="881"/>
      <c r="C49" s="881"/>
      <c r="D49" s="881"/>
      <c r="E49" s="881"/>
      <c r="F49" s="881"/>
    </row>
    <row r="50" spans="1:8" ht="96.75" customHeight="1">
      <c r="A50" s="1194" t="s">
        <v>362</v>
      </c>
      <c r="B50" s="1194"/>
      <c r="C50" s="1194"/>
      <c r="D50" s="1194"/>
      <c r="E50" s="1194"/>
      <c r="F50" s="1194"/>
      <c r="G50" s="1194"/>
      <c r="H50" s="1194"/>
    </row>
    <row r="51" spans="1:8" ht="15.75" thickBot="1">
      <c r="A51" s="880"/>
      <c r="B51" s="881"/>
      <c r="C51" s="881"/>
      <c r="D51" s="881"/>
      <c r="E51" s="881"/>
      <c r="F51" s="881"/>
    </row>
    <row r="52" spans="1:8">
      <c r="A52" s="1195" t="s">
        <v>195</v>
      </c>
      <c r="B52" s="1196"/>
      <c r="C52" s="1196"/>
      <c r="D52" s="1196"/>
      <c r="E52" s="1196"/>
      <c r="F52" s="1196"/>
      <c r="G52" s="1196"/>
      <c r="H52" s="1197"/>
    </row>
    <row r="53" spans="1:8">
      <c r="A53" s="1198">
        <v>12170000</v>
      </c>
      <c r="B53" s="1199"/>
      <c r="C53" s="1199"/>
      <c r="D53" s="1199"/>
      <c r="E53" s="1199"/>
      <c r="F53" s="1199"/>
      <c r="G53" s="1199"/>
      <c r="H53" s="1200"/>
    </row>
    <row r="54" spans="1:8">
      <c r="A54" s="882"/>
      <c r="B54" s="883">
        <v>2015</v>
      </c>
      <c r="C54" s="883">
        <v>2016</v>
      </c>
      <c r="D54" s="883">
        <v>2017</v>
      </c>
      <c r="E54" s="883">
        <v>2018</v>
      </c>
      <c r="F54" s="883">
        <v>2019</v>
      </c>
      <c r="G54" s="883">
        <v>2020</v>
      </c>
      <c r="H54" s="884" t="s">
        <v>16</v>
      </c>
    </row>
    <row r="55" spans="1:8">
      <c r="A55" s="1201" t="s">
        <v>196</v>
      </c>
      <c r="B55" s="1202"/>
      <c r="C55" s="1202"/>
      <c r="D55" s="1202"/>
      <c r="E55" s="1202"/>
      <c r="F55" s="1202"/>
      <c r="G55" s="1202"/>
      <c r="H55" s="1203"/>
    </row>
    <row r="56" spans="1:8">
      <c r="A56" s="850" t="s">
        <v>197</v>
      </c>
      <c r="B56" s="851">
        <f>B64/$H$70</f>
        <v>0.18892119967132293</v>
      </c>
      <c r="C56" s="885"/>
      <c r="D56" s="885"/>
      <c r="E56" s="885"/>
      <c r="F56" s="885"/>
      <c r="G56" s="886"/>
      <c r="H56" s="853">
        <f>SUM(B56:G56)</f>
        <v>0.18892119967132293</v>
      </c>
    </row>
    <row r="57" spans="1:8">
      <c r="A57" s="850" t="s">
        <v>198</v>
      </c>
      <c r="B57" s="859"/>
      <c r="C57" s="851">
        <f>C65/$H$70</f>
        <v>0.14918652423993425</v>
      </c>
      <c r="D57" s="885"/>
      <c r="E57" s="885"/>
      <c r="F57" s="885"/>
      <c r="G57" s="886"/>
      <c r="H57" s="853">
        <f>SUM(B57:G57)</f>
        <v>0.14918652423993425</v>
      </c>
    </row>
    <row r="58" spans="1:8">
      <c r="A58" s="850" t="s">
        <v>199</v>
      </c>
      <c r="B58" s="859"/>
      <c r="C58" s="859"/>
      <c r="D58" s="851">
        <f>D66/$H$70</f>
        <v>9.2867707477403458E-2</v>
      </c>
      <c r="E58" s="885"/>
      <c r="F58" s="885"/>
      <c r="G58" s="886"/>
      <c r="H58" s="853">
        <f>SUM(B58:G58)</f>
        <v>9.2867707477403458E-2</v>
      </c>
    </row>
    <row r="59" spans="1:8">
      <c r="A59" s="850" t="s">
        <v>200</v>
      </c>
      <c r="B59" s="859"/>
      <c r="C59" s="859"/>
      <c r="D59" s="851"/>
      <c r="E59" s="851">
        <f>E67/$H$70</f>
        <v>9.2867707477403458E-2</v>
      </c>
      <c r="F59" s="885"/>
      <c r="G59" s="886"/>
      <c r="H59" s="853">
        <f>SUM(E59:G59)</f>
        <v>9.2867707477403458E-2</v>
      </c>
    </row>
    <row r="60" spans="1:8">
      <c r="A60" s="850" t="s">
        <v>201</v>
      </c>
      <c r="B60" s="859"/>
      <c r="C60" s="859"/>
      <c r="D60" s="851"/>
      <c r="E60" s="851"/>
      <c r="F60" s="851">
        <f>F68/$H$70</f>
        <v>9.2867707477403458E-2</v>
      </c>
      <c r="G60" s="886"/>
      <c r="H60" s="853">
        <f>SUM(F60:G60)</f>
        <v>9.2867707477403458E-2</v>
      </c>
    </row>
    <row r="61" spans="1:8" ht="15.75" thickBot="1">
      <c r="A61" s="860" t="s">
        <v>202</v>
      </c>
      <c r="B61" s="861"/>
      <c r="C61" s="861"/>
      <c r="D61" s="861"/>
      <c r="E61" s="861"/>
      <c r="F61" s="861"/>
      <c r="G61" s="862">
        <f>G69/$H$70</f>
        <v>9.2867707477403458E-2</v>
      </c>
      <c r="H61" s="863">
        <f>SUM(B61:G61)</f>
        <v>9.2867707477403458E-2</v>
      </c>
    </row>
    <row r="62" spans="1:8" ht="15.75" thickTop="1">
      <c r="A62" s="887" t="s">
        <v>54</v>
      </c>
      <c r="B62" s="888">
        <f>SUM(B56:B61)</f>
        <v>0.18892119967132293</v>
      </c>
      <c r="C62" s="888">
        <f>SUM(C56:C61)</f>
        <v>0.14918652423993425</v>
      </c>
      <c r="D62" s="888">
        <f>SUM(D56:D61)</f>
        <v>9.2867707477403458E-2</v>
      </c>
      <c r="E62" s="888">
        <f>SUM(E56:E59)</f>
        <v>9.2867707477403458E-2</v>
      </c>
      <c r="F62" s="888">
        <f>SUM(F56:F60)</f>
        <v>9.2867707477403458E-2</v>
      </c>
      <c r="G62" s="889">
        <f>SUM(G56:G61)</f>
        <v>9.2867707477403458E-2</v>
      </c>
      <c r="H62" s="890">
        <f>SUM(B62:G62)</f>
        <v>0.70957855382087109</v>
      </c>
    </row>
    <row r="63" spans="1:8" ht="12" customHeight="1">
      <c r="A63" s="1191" t="s">
        <v>36</v>
      </c>
      <c r="B63" s="1192"/>
      <c r="C63" s="1192"/>
      <c r="D63" s="1192"/>
      <c r="E63" s="1192"/>
      <c r="F63" s="1192"/>
      <c r="G63" s="1192"/>
      <c r="H63" s="1193"/>
    </row>
    <row r="64" spans="1:8">
      <c r="A64" s="850" t="str">
        <f t="shared" ref="A64:A69" si="1">A56</f>
        <v>2015 CDM Programs</v>
      </c>
      <c r="B64" s="867">
        <v>2299171</v>
      </c>
      <c r="C64" s="867">
        <f>B64</f>
        <v>2299171</v>
      </c>
      <c r="D64" s="885"/>
      <c r="E64" s="891"/>
      <c r="F64" s="891"/>
      <c r="G64" s="892"/>
      <c r="H64" s="868">
        <f>SUM(B64:G64)</f>
        <v>4598342</v>
      </c>
    </row>
    <row r="65" spans="1:8">
      <c r="A65" s="850" t="str">
        <f t="shared" si="1"/>
        <v>2016 CDM Programs</v>
      </c>
      <c r="B65" s="869"/>
      <c r="C65" s="893">
        <v>1815600</v>
      </c>
      <c r="D65" s="894"/>
      <c r="E65" s="894"/>
      <c r="F65" s="894"/>
      <c r="G65" s="895"/>
      <c r="H65" s="868">
        <f>SUM(B65:G65)</f>
        <v>1815600</v>
      </c>
    </row>
    <row r="66" spans="1:8">
      <c r="A66" s="850" t="str">
        <f t="shared" si="1"/>
        <v>2017 CDM Programs</v>
      </c>
      <c r="B66" s="869"/>
      <c r="C66" s="869"/>
      <c r="D66" s="893">
        <v>1130200</v>
      </c>
      <c r="E66" s="894"/>
      <c r="F66" s="894"/>
      <c r="G66" s="895"/>
      <c r="H66" s="868">
        <f>SUM(B66:G66)</f>
        <v>1130200</v>
      </c>
    </row>
    <row r="67" spans="1:8">
      <c r="A67" s="850" t="str">
        <f t="shared" si="1"/>
        <v>2018 CDM Programs</v>
      </c>
      <c r="B67" s="869"/>
      <c r="C67" s="869"/>
      <c r="D67" s="896"/>
      <c r="E67" s="867">
        <f>D66</f>
        <v>1130200</v>
      </c>
      <c r="F67" s="891"/>
      <c r="G67" s="892"/>
      <c r="H67" s="868">
        <f>SUM(E67:G67)</f>
        <v>1130200</v>
      </c>
    </row>
    <row r="68" spans="1:8">
      <c r="A68" s="850" t="str">
        <f t="shared" si="1"/>
        <v>2019 CDM Programs</v>
      </c>
      <c r="B68" s="869"/>
      <c r="C68" s="869"/>
      <c r="D68" s="896"/>
      <c r="E68" s="896"/>
      <c r="F68" s="867">
        <f>E67</f>
        <v>1130200</v>
      </c>
      <c r="G68" s="892"/>
      <c r="H68" s="868">
        <f>SUM(F68:G68)</f>
        <v>1130200</v>
      </c>
    </row>
    <row r="69" spans="1:8" ht="15.75" thickBot="1">
      <c r="A69" s="860" t="str">
        <f t="shared" si="1"/>
        <v>2020 CDM Programs</v>
      </c>
      <c r="B69" s="870"/>
      <c r="C69" s="870"/>
      <c r="D69" s="870"/>
      <c r="E69" s="870"/>
      <c r="F69" s="870"/>
      <c r="G69" s="897">
        <f>F68</f>
        <v>1130200</v>
      </c>
      <c r="H69" s="871">
        <f>SUM(B69:G69)</f>
        <v>1130200</v>
      </c>
    </row>
    <row r="70" spans="1:8" ht="16.5" thickTop="1" thickBot="1">
      <c r="A70" s="874" t="s">
        <v>54</v>
      </c>
      <c r="B70" s="875">
        <f>SUM(B64:B69)</f>
        <v>2299171</v>
      </c>
      <c r="C70" s="875">
        <f>SUM(C64:C69)</f>
        <v>4114771</v>
      </c>
      <c r="D70" s="875">
        <f>SUM(D64:D69)</f>
        <v>1130200</v>
      </c>
      <c r="E70" s="875">
        <f>SUM(E64:E67)</f>
        <v>1130200</v>
      </c>
      <c r="F70" s="875">
        <f>SUM(F64:F68)</f>
        <v>1130200</v>
      </c>
      <c r="G70" s="876">
        <f>SUM(G64:G69)</f>
        <v>1130200</v>
      </c>
      <c r="H70" s="877">
        <f>A53</f>
        <v>12170000</v>
      </c>
    </row>
    <row r="71" spans="1:8" ht="12" customHeight="1">
      <c r="A71" s="880"/>
      <c r="B71" s="881"/>
      <c r="C71" s="881"/>
      <c r="D71" s="881"/>
      <c r="E71" s="881"/>
      <c r="F71" s="881"/>
    </row>
    <row r="72" spans="1:8" ht="18.75">
      <c r="A72" s="1180" t="s">
        <v>363</v>
      </c>
      <c r="B72" s="1180"/>
      <c r="C72" s="1180"/>
      <c r="D72" s="1180"/>
      <c r="E72" s="1180"/>
      <c r="F72" s="1180"/>
      <c r="G72" s="1180"/>
      <c r="H72" s="1180"/>
    </row>
    <row r="73" spans="1:8" ht="12" customHeight="1">
      <c r="A73" s="880"/>
      <c r="B73" s="881"/>
      <c r="C73" s="881"/>
      <c r="D73" s="881"/>
      <c r="E73" s="881"/>
      <c r="F73" s="881"/>
    </row>
    <row r="74" spans="1:8" ht="75" customHeight="1">
      <c r="A74" s="1194" t="s">
        <v>204</v>
      </c>
      <c r="B74" s="1194"/>
      <c r="C74" s="1194"/>
      <c r="D74" s="1194"/>
      <c r="E74" s="1194"/>
      <c r="F74" s="1194"/>
      <c r="G74" s="1194"/>
      <c r="H74" s="1194"/>
    </row>
    <row r="75" spans="1:8" ht="12" customHeight="1">
      <c r="A75" s="880"/>
      <c r="B75" s="881"/>
      <c r="C75" s="881"/>
      <c r="D75" s="881"/>
      <c r="E75" s="881"/>
      <c r="F75" s="881"/>
    </row>
    <row r="76" spans="1:8" ht="47.25" customHeight="1">
      <c r="A76" s="1194" t="s">
        <v>364</v>
      </c>
      <c r="B76" s="1194"/>
      <c r="C76" s="1194"/>
      <c r="D76" s="1194"/>
      <c r="E76" s="1194"/>
      <c r="F76" s="1194"/>
      <c r="G76" s="1194"/>
      <c r="H76" s="1194"/>
    </row>
    <row r="77" spans="1:8" ht="12" customHeight="1" thickBot="1">
      <c r="A77" s="898"/>
      <c r="B77" s="899"/>
      <c r="C77" s="899"/>
      <c r="D77" s="899"/>
      <c r="E77" s="899"/>
      <c r="F77" s="899"/>
    </row>
    <row r="78" spans="1:8">
      <c r="A78" s="1181" t="s">
        <v>69</v>
      </c>
      <c r="B78" s="1182"/>
      <c r="C78" s="1182"/>
      <c r="D78" s="1182"/>
      <c r="E78" s="1182"/>
      <c r="F78" s="1183"/>
    </row>
    <row r="79" spans="1:8" ht="12" customHeight="1">
      <c r="A79" s="900"/>
      <c r="B79" s="901"/>
      <c r="C79" s="901"/>
      <c r="D79" s="901"/>
      <c r="E79" s="901"/>
      <c r="F79" s="902"/>
    </row>
    <row r="80" spans="1:8">
      <c r="A80" s="1204" t="s">
        <v>70</v>
      </c>
      <c r="B80" s="1205"/>
      <c r="C80" s="1205"/>
      <c r="D80" s="1205"/>
      <c r="E80" s="1205"/>
      <c r="F80" s="903" t="s">
        <v>71</v>
      </c>
    </row>
    <row r="81" spans="1:9" ht="12" customHeight="1">
      <c r="A81" s="904"/>
      <c r="B81" s="905"/>
      <c r="C81" s="905"/>
      <c r="D81" s="905"/>
      <c r="E81" s="905"/>
      <c r="F81" s="906"/>
    </row>
    <row r="82" spans="1:9" ht="32.25" customHeight="1">
      <c r="A82" s="907"/>
      <c r="B82" s="908"/>
      <c r="C82" s="901" t="s">
        <v>55</v>
      </c>
      <c r="D82" s="901" t="s">
        <v>56</v>
      </c>
      <c r="E82" s="901" t="s">
        <v>57</v>
      </c>
      <c r="F82" s="909" t="s">
        <v>72</v>
      </c>
    </row>
    <row r="83" spans="1:9" ht="15" customHeight="1">
      <c r="A83" s="1206" t="s">
        <v>73</v>
      </c>
      <c r="B83" s="1207"/>
      <c r="C83" s="910" t="s">
        <v>36</v>
      </c>
      <c r="D83" s="910" t="s">
        <v>36</v>
      </c>
      <c r="E83" s="910" t="s">
        <v>36</v>
      </c>
      <c r="F83" s="911" t="s">
        <v>74</v>
      </c>
    </row>
    <row r="84" spans="1:9">
      <c r="A84" s="912" t="s">
        <v>75</v>
      </c>
      <c r="B84" s="913"/>
      <c r="C84" s="914"/>
      <c r="D84" s="914"/>
      <c r="E84" s="915"/>
      <c r="F84" s="916"/>
    </row>
    <row r="85" spans="1:9">
      <c r="A85" s="912" t="s">
        <v>76</v>
      </c>
      <c r="B85" s="913"/>
      <c r="C85" s="917"/>
      <c r="D85" s="917"/>
      <c r="E85" s="915"/>
      <c r="F85" s="916"/>
    </row>
    <row r="86" spans="1:9">
      <c r="A86" s="912" t="s">
        <v>77</v>
      </c>
      <c r="B86" s="913"/>
      <c r="C86" s="914"/>
      <c r="D86" s="914"/>
      <c r="E86" s="915"/>
      <c r="F86" s="916"/>
    </row>
    <row r="87" spans="1:9">
      <c r="A87" s="912" t="s">
        <v>206</v>
      </c>
      <c r="B87" s="913"/>
      <c r="C87" s="914"/>
      <c r="D87" s="914"/>
      <c r="E87" s="915"/>
      <c r="F87" s="916"/>
    </row>
    <row r="88" spans="1:9" ht="15.75" thickBot="1">
      <c r="A88" s="918" t="s">
        <v>365</v>
      </c>
      <c r="B88" s="919"/>
      <c r="C88" s="920"/>
      <c r="D88" s="920"/>
      <c r="E88" s="915"/>
      <c r="F88" s="916"/>
    </row>
    <row r="89" spans="1:9" ht="29.25" customHeight="1" thickTop="1" thickBot="1">
      <c r="A89" s="1208" t="s">
        <v>366</v>
      </c>
      <c r="B89" s="1209"/>
      <c r="C89" s="921">
        <f>SUM(C84:C88)</f>
        <v>0</v>
      </c>
      <c r="D89" s="921">
        <f>SUM(D84:D88)</f>
        <v>0</v>
      </c>
      <c r="E89" s="922">
        <f>C89-D89</f>
        <v>0</v>
      </c>
      <c r="F89" s="923">
        <f>IF(D89=0,0,IF(F80="net",0,E89/D89))</f>
        <v>0</v>
      </c>
    </row>
    <row r="90" spans="1:9" ht="13.5" customHeight="1">
      <c r="A90" s="924"/>
      <c r="B90" s="924"/>
      <c r="C90" s="925"/>
      <c r="D90" s="925"/>
      <c r="E90" s="859"/>
      <c r="F90" s="926"/>
    </row>
    <row r="91" spans="1:9" ht="29.25" customHeight="1">
      <c r="A91" s="1194" t="s">
        <v>78</v>
      </c>
      <c r="B91" s="1194"/>
      <c r="C91" s="1194"/>
      <c r="D91" s="1194"/>
      <c r="E91" s="1194"/>
      <c r="F91" s="1194"/>
      <c r="G91" s="1194"/>
      <c r="H91" s="1194"/>
    </row>
    <row r="92" spans="1:9" ht="12" customHeight="1">
      <c r="A92" s="927"/>
      <c r="B92" s="927"/>
      <c r="C92" s="927"/>
      <c r="D92" s="927"/>
      <c r="E92" s="927"/>
      <c r="F92" s="927"/>
      <c r="G92" s="927"/>
      <c r="H92" s="927"/>
    </row>
    <row r="93" spans="1:9" ht="41.25" customHeight="1">
      <c r="A93" s="1194" t="s">
        <v>367</v>
      </c>
      <c r="B93" s="1194"/>
      <c r="C93" s="1194"/>
      <c r="D93" s="1194"/>
      <c r="E93" s="1194"/>
      <c r="F93" s="1194"/>
      <c r="G93" s="1194"/>
      <c r="H93" s="1194"/>
    </row>
    <row r="94" spans="1:9" ht="12" customHeight="1">
      <c r="A94" s="924"/>
      <c r="B94" s="928"/>
      <c r="C94" s="925"/>
      <c r="D94" s="925"/>
      <c r="E94" s="925"/>
      <c r="F94" s="926"/>
    </row>
    <row r="95" spans="1:9" ht="15.75" customHeight="1" thickBot="1">
      <c r="A95" s="1210" t="s">
        <v>80</v>
      </c>
      <c r="B95" s="1210"/>
      <c r="C95" s="1210"/>
      <c r="D95" s="1210"/>
      <c r="E95" s="1210"/>
      <c r="F95" s="1210"/>
      <c r="G95" s="929"/>
    </row>
    <row r="96" spans="1:9" ht="16.5" customHeight="1">
      <c r="A96" s="930"/>
      <c r="B96" s="931">
        <v>2011</v>
      </c>
      <c r="C96" s="931">
        <v>2012</v>
      </c>
      <c r="D96" s="931">
        <v>2013</v>
      </c>
      <c r="E96" s="931">
        <v>2014</v>
      </c>
      <c r="F96" s="932">
        <v>2015</v>
      </c>
      <c r="G96" s="932">
        <v>2016</v>
      </c>
      <c r="H96" s="932">
        <v>2017</v>
      </c>
      <c r="I96" s="933"/>
    </row>
    <row r="97" spans="1:9" ht="62.25" customHeight="1">
      <c r="A97" s="934" t="s">
        <v>81</v>
      </c>
      <c r="B97" s="935">
        <v>0</v>
      </c>
      <c r="C97" s="935">
        <v>0</v>
      </c>
      <c r="D97" s="935">
        <v>0</v>
      </c>
      <c r="E97" s="935">
        <v>0</v>
      </c>
      <c r="F97" s="935">
        <v>0</v>
      </c>
      <c r="G97" s="935">
        <v>1</v>
      </c>
      <c r="H97" s="935">
        <v>0.5</v>
      </c>
      <c r="I97" s="936" t="s">
        <v>210</v>
      </c>
    </row>
    <row r="98" spans="1:9" ht="288.75" customHeight="1" thickBot="1">
      <c r="A98" s="937" t="s">
        <v>82</v>
      </c>
      <c r="B98" s="938" t="s">
        <v>211</v>
      </c>
      <c r="C98" s="938" t="s">
        <v>212</v>
      </c>
      <c r="D98" s="939" t="s">
        <v>368</v>
      </c>
      <c r="E98" s="939" t="s">
        <v>369</v>
      </c>
      <c r="F98" s="939" t="s">
        <v>369</v>
      </c>
      <c r="G98" s="938" t="s">
        <v>370</v>
      </c>
      <c r="H98" s="938" t="s">
        <v>371</v>
      </c>
      <c r="I98" s="923"/>
    </row>
    <row r="99" spans="1:9" ht="12" customHeight="1">
      <c r="A99" s="940"/>
      <c r="B99" s="941"/>
      <c r="C99" s="941"/>
      <c r="D99" s="941"/>
      <c r="E99" s="941"/>
      <c r="F99" s="941"/>
      <c r="G99" s="926"/>
    </row>
    <row r="100" spans="1:9" ht="19.5" customHeight="1">
      <c r="A100" s="1211" t="s">
        <v>216</v>
      </c>
      <c r="B100" s="1211"/>
      <c r="C100" s="1211"/>
      <c r="D100" s="1211"/>
      <c r="E100" s="1211"/>
      <c r="F100" s="1211"/>
      <c r="G100" s="1211"/>
      <c r="H100" s="1211"/>
    </row>
    <row r="101" spans="1:9" ht="13.5" customHeight="1">
      <c r="A101" s="942"/>
      <c r="B101" s="942"/>
      <c r="C101" s="942"/>
      <c r="D101" s="942"/>
      <c r="E101" s="942"/>
      <c r="F101" s="942"/>
      <c r="G101" s="942"/>
      <c r="H101" s="942"/>
    </row>
    <row r="102" spans="1:9" ht="75.75" customHeight="1">
      <c r="A102" s="1177" t="s">
        <v>372</v>
      </c>
      <c r="B102" s="1177"/>
      <c r="C102" s="1177"/>
      <c r="D102" s="1177"/>
      <c r="E102" s="1177"/>
      <c r="F102" s="1177"/>
      <c r="G102" s="1177"/>
      <c r="H102" s="1177"/>
    </row>
    <row r="103" spans="1:9" ht="12" customHeight="1">
      <c r="A103" s="924"/>
      <c r="B103" s="941"/>
      <c r="C103" s="941"/>
      <c r="D103" s="941"/>
      <c r="E103" s="941"/>
      <c r="F103" s="926"/>
    </row>
    <row r="104" spans="1:9" ht="57.75" customHeight="1">
      <c r="A104" s="1177" t="s">
        <v>373</v>
      </c>
      <c r="B104" s="1177"/>
      <c r="C104" s="1177"/>
      <c r="D104" s="1177"/>
      <c r="E104" s="1177"/>
      <c r="F104" s="1177"/>
      <c r="G104" s="1177"/>
      <c r="H104" s="1177"/>
    </row>
    <row r="105" spans="1:9" ht="12" customHeight="1">
      <c r="A105" s="841"/>
      <c r="B105" s="841"/>
      <c r="C105" s="841"/>
      <c r="D105" s="841"/>
      <c r="E105" s="841"/>
      <c r="F105" s="841"/>
    </row>
    <row r="106" spans="1:9">
      <c r="A106" s="1212" t="s">
        <v>374</v>
      </c>
      <c r="B106" s="1212"/>
      <c r="C106" s="1212"/>
      <c r="D106" s="1212"/>
      <c r="E106" s="1212"/>
      <c r="F106" s="1212"/>
      <c r="G106" s="1212"/>
      <c r="H106" s="1212"/>
    </row>
    <row r="107" spans="1:9">
      <c r="A107" s="841"/>
      <c r="B107" s="841"/>
      <c r="C107" s="841"/>
      <c r="D107" s="841"/>
      <c r="E107" s="841"/>
      <c r="F107" s="841"/>
    </row>
    <row r="108" spans="1:9" ht="29.25" customHeight="1">
      <c r="A108" s="1177" t="s">
        <v>375</v>
      </c>
      <c r="B108" s="1177"/>
      <c r="C108" s="1177"/>
      <c r="D108" s="1177"/>
      <c r="E108" s="1177"/>
      <c r="F108" s="1177"/>
      <c r="G108" s="1177"/>
      <c r="H108" s="1177"/>
    </row>
    <row r="109" spans="1:9" ht="12" customHeight="1">
      <c r="A109" s="841"/>
      <c r="B109" s="841"/>
      <c r="C109" s="841"/>
      <c r="D109" s="841"/>
      <c r="E109" s="841"/>
      <c r="F109" s="841"/>
    </row>
    <row r="110" spans="1:9" ht="46.5" customHeight="1">
      <c r="A110" s="1177" t="s">
        <v>376</v>
      </c>
      <c r="B110" s="1177"/>
      <c r="C110" s="1177"/>
      <c r="D110" s="1177"/>
      <c r="E110" s="1177"/>
      <c r="F110" s="1177"/>
      <c r="G110" s="1177"/>
      <c r="H110" s="1177"/>
    </row>
    <row r="111" spans="1:9" ht="12" customHeight="1">
      <c r="A111" s="841"/>
      <c r="B111" s="841"/>
      <c r="C111" s="841"/>
      <c r="D111" s="841"/>
      <c r="E111" s="841"/>
      <c r="F111" s="841"/>
    </row>
    <row r="112" spans="1:9" ht="30" customHeight="1">
      <c r="A112" s="1177" t="s">
        <v>217</v>
      </c>
      <c r="B112" s="1177"/>
      <c r="C112" s="1177"/>
      <c r="D112" s="1177"/>
      <c r="E112" s="1177"/>
      <c r="F112" s="1177"/>
      <c r="G112" s="1177"/>
      <c r="H112" s="1177"/>
    </row>
    <row r="113" spans="1:15" ht="13.5" customHeight="1" thickBot="1">
      <c r="A113" s="924"/>
      <c r="B113" s="928"/>
      <c r="C113" s="925"/>
      <c r="D113" s="925"/>
      <c r="E113" s="925"/>
      <c r="F113" s="926"/>
    </row>
    <row r="114" spans="1:15">
      <c r="A114" s="943"/>
      <c r="B114" s="944">
        <v>2011</v>
      </c>
      <c r="C114" s="945">
        <v>2012</v>
      </c>
      <c r="D114" s="945">
        <v>2013</v>
      </c>
      <c r="E114" s="945">
        <v>2014</v>
      </c>
      <c r="F114" s="945">
        <v>2015</v>
      </c>
      <c r="G114" s="946">
        <v>2016</v>
      </c>
      <c r="H114" s="946">
        <v>2017</v>
      </c>
      <c r="I114" s="947" t="s">
        <v>377</v>
      </c>
    </row>
    <row r="115" spans="1:15">
      <c r="A115" s="948"/>
      <c r="B115" s="949" t="s">
        <v>36</v>
      </c>
      <c r="C115" s="950"/>
      <c r="D115" s="950"/>
      <c r="E115" s="950"/>
      <c r="F115" s="950"/>
      <c r="G115" s="950"/>
      <c r="H115" s="950"/>
      <c r="I115" s="951"/>
    </row>
    <row r="116" spans="1:15" ht="30">
      <c r="A116" s="952" t="s">
        <v>83</v>
      </c>
      <c r="B116" s="953">
        <f>E42</f>
        <v>1300000</v>
      </c>
      <c r="C116" s="953">
        <f>E43</f>
        <v>700000</v>
      </c>
      <c r="D116" s="953">
        <f>E44</f>
        <v>800000</v>
      </c>
      <c r="E116" s="953">
        <f>E45</f>
        <v>1200000</v>
      </c>
      <c r="F116" s="953"/>
      <c r="G116" s="953"/>
      <c r="H116" s="954"/>
      <c r="I116" s="955"/>
    </row>
    <row r="117" spans="1:15" ht="12" customHeight="1">
      <c r="A117" s="952"/>
      <c r="B117" s="953"/>
      <c r="C117" s="953"/>
      <c r="D117" s="953"/>
      <c r="E117" s="953"/>
      <c r="F117" s="953"/>
      <c r="G117" s="953"/>
      <c r="H117" s="954"/>
      <c r="I117" s="955"/>
    </row>
    <row r="118" spans="1:15" ht="75">
      <c r="A118" s="956" t="s">
        <v>378</v>
      </c>
      <c r="B118" s="957"/>
      <c r="C118" s="958"/>
      <c r="D118" s="953">
        <f>B118</f>
        <v>0</v>
      </c>
      <c r="E118" s="953">
        <f>B118</f>
        <v>0</v>
      </c>
      <c r="F118" s="953"/>
      <c r="G118" s="953"/>
      <c r="H118" s="954"/>
      <c r="I118" s="955"/>
    </row>
    <row r="119" spans="1:15" ht="12" customHeight="1">
      <c r="A119" s="959"/>
      <c r="B119" s="960"/>
      <c r="C119" s="960"/>
      <c r="D119" s="960"/>
      <c r="E119" s="960"/>
      <c r="F119" s="960"/>
      <c r="G119" s="960"/>
      <c r="H119" s="961"/>
      <c r="I119" s="962"/>
    </row>
    <row r="120" spans="1:15" ht="30.75" thickBot="1">
      <c r="A120" s="963" t="s">
        <v>379</v>
      </c>
      <c r="B120" s="953"/>
      <c r="C120" s="953"/>
      <c r="D120" s="953"/>
      <c r="E120" s="953">
        <f>H45</f>
        <v>0</v>
      </c>
      <c r="F120" s="953">
        <f>B64</f>
        <v>2299171</v>
      </c>
      <c r="G120" s="953">
        <f>C65</f>
        <v>1815600</v>
      </c>
      <c r="H120" s="954">
        <f>D66</f>
        <v>1130200</v>
      </c>
      <c r="I120" s="955">
        <f>SUM(B120:H120)</f>
        <v>5244971</v>
      </c>
    </row>
    <row r="121" spans="1:15" ht="12" customHeight="1" thickTop="1" thickBot="1">
      <c r="A121" s="964"/>
      <c r="B121" s="960"/>
      <c r="C121" s="960"/>
      <c r="D121" s="960"/>
      <c r="E121" s="960"/>
      <c r="F121" s="960"/>
      <c r="G121" s="960"/>
      <c r="H121" s="961"/>
      <c r="I121" s="962"/>
    </row>
    <row r="122" spans="1:15" ht="30.75" thickTop="1">
      <c r="A122" s="956" t="s">
        <v>380</v>
      </c>
      <c r="B122" s="965">
        <f>B116*(1+F89)*B97</f>
        <v>0</v>
      </c>
      <c r="C122" s="965">
        <f>C116*(1+F89)*C97</f>
        <v>0</v>
      </c>
      <c r="D122" s="965">
        <f>D116*(1+F89)*D97</f>
        <v>0</v>
      </c>
      <c r="E122" s="965">
        <f>E116*(1+F89)*E97</f>
        <v>0</v>
      </c>
      <c r="F122" s="965">
        <f>F120*(1+F89)*F97</f>
        <v>0</v>
      </c>
      <c r="G122" s="965">
        <f>G120*(1+F89)*G97</f>
        <v>1815600</v>
      </c>
      <c r="H122" s="966">
        <f>H120*(1+F89)*H97</f>
        <v>565100</v>
      </c>
      <c r="I122" s="967">
        <f>SUM(B122:H122)</f>
        <v>2380700</v>
      </c>
    </row>
    <row r="123" spans="1:15" ht="12" customHeight="1">
      <c r="A123" s="959"/>
      <c r="B123" s="968"/>
      <c r="C123" s="968"/>
      <c r="D123" s="968"/>
      <c r="E123" s="968"/>
      <c r="F123" s="968"/>
      <c r="G123" s="968"/>
      <c r="H123" s="969"/>
      <c r="I123" s="970"/>
    </row>
    <row r="124" spans="1:15">
      <c r="A124" s="952" t="s">
        <v>339</v>
      </c>
      <c r="B124" s="971">
        <v>4.41E-2</v>
      </c>
      <c r="C124" s="965" t="s">
        <v>381</v>
      </c>
      <c r="D124" s="972"/>
      <c r="E124" s="965"/>
      <c r="F124" s="965"/>
      <c r="G124" s="965"/>
      <c r="H124" s="966"/>
      <c r="I124" s="973"/>
    </row>
    <row r="125" spans="1:15" ht="45.75" thickBot="1">
      <c r="A125" s="974" t="s">
        <v>382</v>
      </c>
      <c r="B125" s="965">
        <f t="shared" ref="B125:H125" si="2">B122*(1+$B124)</f>
        <v>0</v>
      </c>
      <c r="C125" s="965">
        <f t="shared" si="2"/>
        <v>0</v>
      </c>
      <c r="D125" s="965">
        <f t="shared" si="2"/>
        <v>0</v>
      </c>
      <c r="E125" s="965">
        <f t="shared" si="2"/>
        <v>0</v>
      </c>
      <c r="F125" s="965">
        <f t="shared" si="2"/>
        <v>0</v>
      </c>
      <c r="G125" s="965">
        <f t="shared" si="2"/>
        <v>1895667.96</v>
      </c>
      <c r="H125" s="966">
        <f t="shared" si="2"/>
        <v>590020.91</v>
      </c>
      <c r="I125" s="975">
        <f>SUM(B125:H125)</f>
        <v>2485688.87</v>
      </c>
      <c r="J125" s="929"/>
      <c r="O125" s="929"/>
    </row>
    <row r="126" spans="1:15" ht="12" customHeight="1">
      <c r="A126" s="976"/>
      <c r="B126" s="977"/>
      <c r="C126" s="977"/>
      <c r="D126" s="977"/>
      <c r="E126" s="977"/>
      <c r="F126" s="977"/>
      <c r="G126" s="977"/>
      <c r="H126" s="977"/>
    </row>
    <row r="127" spans="1:15" ht="31.5" customHeight="1">
      <c r="A127" s="1213" t="s">
        <v>383</v>
      </c>
      <c r="B127" s="1213"/>
      <c r="C127" s="1213"/>
      <c r="D127" s="1213"/>
      <c r="E127" s="1213"/>
      <c r="F127" s="1213"/>
      <c r="G127" s="1213"/>
      <c r="H127" s="1213"/>
    </row>
    <row r="128" spans="1:15">
      <c r="A128" s="841"/>
      <c r="B128" s="841"/>
      <c r="C128" s="841"/>
      <c r="D128" s="841"/>
      <c r="E128" s="841"/>
      <c r="F128" s="841"/>
    </row>
    <row r="129" spans="1:6">
      <c r="A129" s="978"/>
      <c r="B129" s="841"/>
      <c r="C129" s="841"/>
      <c r="D129" s="841"/>
      <c r="E129" s="841"/>
      <c r="F129" s="841"/>
    </row>
    <row r="130" spans="1:6">
      <c r="A130" s="841"/>
      <c r="B130" s="841"/>
      <c r="C130" s="841"/>
      <c r="D130" s="841"/>
      <c r="E130" s="841"/>
      <c r="F130" s="841"/>
    </row>
    <row r="131" spans="1:6">
      <c r="A131" s="841"/>
      <c r="B131" s="841"/>
      <c r="C131" s="841"/>
      <c r="D131" s="841"/>
      <c r="E131" s="841"/>
      <c r="F131" s="841"/>
    </row>
    <row r="132" spans="1:6">
      <c r="A132" s="841"/>
      <c r="B132" s="841"/>
      <c r="C132" s="841"/>
      <c r="D132" s="841"/>
      <c r="E132" s="841"/>
      <c r="F132" s="841"/>
    </row>
    <row r="133" spans="1:6">
      <c r="A133" s="841"/>
      <c r="B133" s="841"/>
      <c r="C133" s="841"/>
      <c r="D133" s="841"/>
      <c r="E133" s="841"/>
      <c r="F133" s="841"/>
    </row>
    <row r="134" spans="1:6">
      <c r="A134" s="841"/>
      <c r="B134" s="841"/>
      <c r="C134" s="841"/>
      <c r="D134" s="841"/>
      <c r="E134" s="841"/>
      <c r="F134" s="841"/>
    </row>
    <row r="135" spans="1:6">
      <c r="A135" s="841"/>
      <c r="B135" s="841"/>
      <c r="C135" s="841"/>
      <c r="D135" s="841"/>
      <c r="E135" s="841"/>
      <c r="F135" s="841"/>
    </row>
    <row r="136" spans="1:6">
      <c r="A136" s="841"/>
      <c r="B136" s="841"/>
      <c r="C136" s="841"/>
      <c r="D136" s="841"/>
      <c r="E136" s="841"/>
      <c r="F136" s="841"/>
    </row>
    <row r="137" spans="1:6">
      <c r="A137" s="841"/>
      <c r="B137" s="841"/>
      <c r="C137" s="841"/>
      <c r="D137" s="841"/>
      <c r="E137" s="841"/>
      <c r="F137" s="841"/>
    </row>
    <row r="138" spans="1:6">
      <c r="A138" s="841"/>
      <c r="B138" s="841"/>
      <c r="C138" s="841"/>
      <c r="D138" s="841"/>
      <c r="E138" s="841"/>
      <c r="F138" s="841"/>
    </row>
    <row r="139" spans="1:6">
      <c r="A139" s="841"/>
      <c r="B139" s="841"/>
      <c r="C139" s="841"/>
      <c r="D139" s="841"/>
      <c r="E139" s="841"/>
      <c r="F139" s="841"/>
    </row>
    <row r="140" spans="1:6">
      <c r="A140" s="841"/>
      <c r="B140" s="841"/>
      <c r="C140" s="841"/>
      <c r="D140" s="841"/>
      <c r="E140" s="841"/>
      <c r="F140" s="841"/>
    </row>
    <row r="141" spans="1:6">
      <c r="A141" s="841"/>
      <c r="B141" s="841"/>
      <c r="C141" s="841"/>
      <c r="D141" s="841"/>
      <c r="E141" s="841"/>
      <c r="F141" s="841"/>
    </row>
  </sheetData>
  <mergeCells count="41">
    <mergeCell ref="A106:H106"/>
    <mergeCell ref="A108:H108"/>
    <mergeCell ref="A110:H110"/>
    <mergeCell ref="A112:H112"/>
    <mergeCell ref="A127:H127"/>
    <mergeCell ref="A104:H104"/>
    <mergeCell ref="A74:H74"/>
    <mergeCell ref="A76:H76"/>
    <mergeCell ref="A78:F78"/>
    <mergeCell ref="A80:E80"/>
    <mergeCell ref="A83:B83"/>
    <mergeCell ref="A89:B89"/>
    <mergeCell ref="A91:H91"/>
    <mergeCell ref="A93:H93"/>
    <mergeCell ref="A95:F95"/>
    <mergeCell ref="A100:H100"/>
    <mergeCell ref="A102:H102"/>
    <mergeCell ref="A72:H72"/>
    <mergeCell ref="A31:H31"/>
    <mergeCell ref="A33:F33"/>
    <mergeCell ref="G33:H34"/>
    <mergeCell ref="A34:F34"/>
    <mergeCell ref="A41:F41"/>
    <mergeCell ref="A48:F48"/>
    <mergeCell ref="A50:H50"/>
    <mergeCell ref="A52:H52"/>
    <mergeCell ref="A53:H53"/>
    <mergeCell ref="A55:H55"/>
    <mergeCell ref="A63:H63"/>
    <mergeCell ref="A30:H30"/>
    <mergeCell ref="A9:H9"/>
    <mergeCell ref="A10:H10"/>
    <mergeCell ref="A12:H12"/>
    <mergeCell ref="A14:H14"/>
    <mergeCell ref="A16:H16"/>
    <mergeCell ref="A18:H18"/>
    <mergeCell ref="A20:H20"/>
    <mergeCell ref="A22:H22"/>
    <mergeCell ref="A24:H24"/>
    <mergeCell ref="A26:H26"/>
    <mergeCell ref="A28:H28"/>
  </mergeCells>
  <conditionalFormatting sqref="F46">
    <cfRule type="expression" dxfId="0" priority="1">
      <formula>$F$46&lt;$A$34</formula>
    </cfRule>
  </conditionalFormatting>
  <dataValidations count="2">
    <dataValidation type="list" allowBlank="1" showInputMessage="1" showErrorMessage="1" sqref="F80" xr:uid="{00000000-0002-0000-0B00-000000000000}">
      <formula1>"net,gross"</formula1>
    </dataValidation>
    <dataValidation type="list" allowBlank="1" showInputMessage="1" showErrorMessage="1" sqref="B97:H97" xr:uid="{00000000-0002-0000-0B00-000001000000}">
      <formula1>"0, 0.5, 1"</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3"/>
  <sheetViews>
    <sheetView showGridLines="0" topLeftCell="A13" workbookViewId="0">
      <selection activeCell="L34" sqref="L34"/>
    </sheetView>
  </sheetViews>
  <sheetFormatPr defaultRowHeight="12.75"/>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c r="A1" s="694" t="s">
        <v>257</v>
      </c>
    </row>
    <row r="11" spans="1:2" ht="23.25">
      <c r="B11" s="124" t="s">
        <v>221</v>
      </c>
    </row>
    <row r="12" spans="1:2" ht="15">
      <c r="B12" s="49" t="s">
        <v>63</v>
      </c>
    </row>
    <row r="13" spans="1:2" ht="14.25">
      <c r="B13" s="91" t="s">
        <v>254</v>
      </c>
    </row>
    <row r="14" spans="1:2" ht="14.25">
      <c r="B14" s="91" t="s">
        <v>255</v>
      </c>
    </row>
    <row r="15" spans="1:2" ht="14.25">
      <c r="B15" s="91" t="s">
        <v>256</v>
      </c>
    </row>
    <row r="17" spans="2:15">
      <c r="B17" s="119" t="s">
        <v>224</v>
      </c>
      <c r="C17" s="119"/>
      <c r="D17" s="93"/>
      <c r="E17" s="93"/>
      <c r="F17" s="93"/>
      <c r="G17" s="93"/>
      <c r="H17" s="93"/>
      <c r="I17" s="93"/>
      <c r="J17" s="93"/>
      <c r="K17" s="93"/>
      <c r="L17" s="93"/>
      <c r="M17" s="93"/>
    </row>
    <row r="18" spans="2:15" ht="13.5" thickBot="1">
      <c r="B18" s="93"/>
      <c r="C18" s="93"/>
      <c r="D18" s="93"/>
      <c r="E18" s="93"/>
      <c r="F18" s="93"/>
      <c r="G18" s="93"/>
      <c r="H18" s="93"/>
      <c r="I18" s="93"/>
      <c r="J18" s="93"/>
      <c r="K18" s="93"/>
      <c r="L18" s="93"/>
      <c r="M18" s="93"/>
    </row>
    <row r="19" spans="2:15" ht="27.75" customHeight="1" thickBot="1">
      <c r="B19" s="784" t="s">
        <v>36</v>
      </c>
      <c r="C19" s="785"/>
      <c r="D19" s="786" t="s">
        <v>33</v>
      </c>
      <c r="E19" s="787">
        <f>'1. LDC Info'!$F$25-3</f>
        <v>2018</v>
      </c>
      <c r="F19" s="787">
        <f>'1. LDC Info'!$F$25-2</f>
        <v>2019</v>
      </c>
      <c r="G19" s="788">
        <f>'1. LDC Info'!$F$25-1</f>
        <v>2020</v>
      </c>
      <c r="H19" s="789" t="str">
        <f>'1. LDC Info'!F25</f>
        <v>2021</v>
      </c>
      <c r="I19" s="790" t="str">
        <f>'1. LDC Info'!F27</f>
        <v>2022</v>
      </c>
      <c r="J19" s="93"/>
      <c r="K19" s="791" t="s">
        <v>59</v>
      </c>
      <c r="L19" s="792" t="s">
        <v>60</v>
      </c>
      <c r="M19" s="793" t="s">
        <v>225</v>
      </c>
      <c r="N19" s="792" t="s">
        <v>227</v>
      </c>
      <c r="O19" s="794" t="s">
        <v>228</v>
      </c>
    </row>
    <row r="20" spans="2:15">
      <c r="B20" s="406" t="str">
        <f>+'9. Weather Adj LF'!C16</f>
        <v>Residential</v>
      </c>
      <c r="C20" s="407"/>
      <c r="D20" s="408" t="s">
        <v>36</v>
      </c>
      <c r="E20" s="433">
        <f>+'9. Weather Adj LF'!L17</f>
        <v>77282085.459067956</v>
      </c>
      <c r="F20" s="433">
        <f>+'9. Weather Adj LF'!M17</f>
        <v>77067211.672795802</v>
      </c>
      <c r="G20" s="433">
        <f>+'9. Weather Adj LF'!N17</f>
        <v>76102272.208445042</v>
      </c>
      <c r="H20" s="433">
        <f>+'9. Weather Adj LF'!O17</f>
        <v>75362999.896583319</v>
      </c>
      <c r="I20" s="434">
        <f>+'9. Weather Adj LF'!P17</f>
        <v>75357216.035489574</v>
      </c>
      <c r="J20" s="93"/>
      <c r="K20" s="419">
        <f>I20/$I$34</f>
        <v>0.32192587574109582</v>
      </c>
      <c r="L20" s="420">
        <f>K20*$L$34</f>
        <v>766408.93237682688</v>
      </c>
      <c r="M20" s="819">
        <f>I20-L20</f>
        <v>74590807.103112742</v>
      </c>
      <c r="N20" s="427"/>
      <c r="O20" s="421">
        <f>+M20-N20</f>
        <v>74590807.103112742</v>
      </c>
    </row>
    <row r="21" spans="2:15">
      <c r="B21" s="105"/>
      <c r="C21" s="217"/>
      <c r="D21" s="120"/>
      <c r="E21" s="373"/>
      <c r="F21" s="373"/>
      <c r="G21" s="373"/>
      <c r="H21" s="373"/>
      <c r="I21" s="374"/>
      <c r="J21" s="93"/>
      <c r="K21" s="107"/>
      <c r="L21" s="415"/>
      <c r="M21" s="820"/>
      <c r="N21" s="428"/>
      <c r="O21" s="229"/>
    </row>
    <row r="22" spans="2:15">
      <c r="B22" s="403" t="str">
        <f>+'9. Weather Adj LF'!C20</f>
        <v>General Service &lt; 50 kW</v>
      </c>
      <c r="C22" s="217"/>
      <c r="D22" s="120" t="s">
        <v>36</v>
      </c>
      <c r="E22" s="373">
        <f>+'9. Weather Adj LF'!L21</f>
        <v>35191711.415148593</v>
      </c>
      <c r="F22" s="373">
        <f>+'9. Weather Adj LF'!M21</f>
        <v>35397171.82917016</v>
      </c>
      <c r="G22" s="373">
        <f>+'9. Weather Adj LF'!N21</f>
        <v>33194524.124127503</v>
      </c>
      <c r="H22" s="373">
        <f>+'9. Weather Adj LF'!O21</f>
        <v>32872066.043990571</v>
      </c>
      <c r="I22" s="374">
        <f>+'9. Weather Adj LF'!P21</f>
        <v>32869543.221595977</v>
      </c>
      <c r="J22" s="93"/>
      <c r="K22" s="108">
        <f>I22/$I$34</f>
        <v>0.14041862270812508</v>
      </c>
      <c r="L22" s="416">
        <f>K22*$L$34</f>
        <v>334294.61508123338</v>
      </c>
      <c r="M22" s="820">
        <f>I22-L22</f>
        <v>32535248.606514744</v>
      </c>
      <c r="N22" s="428"/>
      <c r="O22" s="422">
        <f>+M22-N22</f>
        <v>32535248.606514744</v>
      </c>
    </row>
    <row r="23" spans="2:15">
      <c r="B23" s="105"/>
      <c r="C23" s="217"/>
      <c r="D23" s="120"/>
      <c r="E23" s="373"/>
      <c r="F23" s="373"/>
      <c r="G23" s="373"/>
      <c r="H23" s="373"/>
      <c r="I23" s="374"/>
      <c r="J23" s="93"/>
      <c r="K23" s="108"/>
      <c r="L23" s="415"/>
      <c r="M23" s="820"/>
      <c r="N23" s="428"/>
      <c r="O23" s="229"/>
    </row>
    <row r="24" spans="2:15">
      <c r="B24" s="403" t="str">
        <f>+'9. Weather Adj LF'!C24</f>
        <v>General Service &gt; 50 kW - 2999 kW</v>
      </c>
      <c r="C24" s="217"/>
      <c r="D24" s="120" t="s">
        <v>36</v>
      </c>
      <c r="E24" s="373">
        <f>+'9. Weather Adj LF'!L25</f>
        <v>111495775.55</v>
      </c>
      <c r="F24" s="373">
        <f>+'9. Weather Adj LF'!M25</f>
        <v>115404710</v>
      </c>
      <c r="G24" s="373">
        <f>+'9. Weather Adj LF'!N25</f>
        <v>106071560</v>
      </c>
      <c r="H24" s="373">
        <f>+'9. Weather Adj LF'!O25</f>
        <v>105041160.18264371</v>
      </c>
      <c r="I24" s="374">
        <f>+'9. Weather Adj LF'!P25</f>
        <v>105033098.62086332</v>
      </c>
      <c r="J24" s="93"/>
      <c r="K24" s="108">
        <f>I24/$I$34</f>
        <v>0.44870118661759073</v>
      </c>
      <c r="L24" s="416">
        <f>K24*$L$34</f>
        <v>1068222.9149804981</v>
      </c>
      <c r="M24" s="820">
        <f>I24-L24</f>
        <v>103964875.70588282</v>
      </c>
      <c r="N24" s="428"/>
      <c r="O24" s="422">
        <f>+M24-N24</f>
        <v>103964875.70588282</v>
      </c>
    </row>
    <row r="25" spans="2:15">
      <c r="B25" s="105"/>
      <c r="C25" s="217"/>
      <c r="D25" s="120"/>
      <c r="E25" s="373"/>
      <c r="F25" s="373"/>
      <c r="G25" s="373"/>
      <c r="H25" s="373"/>
      <c r="I25" s="374"/>
      <c r="J25" s="93"/>
      <c r="K25" s="108"/>
      <c r="L25" s="416"/>
      <c r="M25" s="820"/>
      <c r="N25" s="428"/>
      <c r="O25" s="229"/>
    </row>
    <row r="26" spans="2:15">
      <c r="B26" s="403" t="str">
        <f>+'9. Weather Adj LF'!C28</f>
        <v>Streetlighting</v>
      </c>
      <c r="C26" s="217"/>
      <c r="D26" s="120" t="s">
        <v>36</v>
      </c>
      <c r="E26" s="373">
        <f>+'9. Weather Adj LF'!L29</f>
        <v>1087264</v>
      </c>
      <c r="F26" s="373">
        <f>+'9. Weather Adj LF'!M29</f>
        <v>1077264</v>
      </c>
      <c r="G26" s="373">
        <f>+'9. Weather Adj LF'!N29</f>
        <v>1080612</v>
      </c>
      <c r="H26" s="373">
        <f>+'9. Weather Adj LF'!O29</f>
        <v>1070114.7243171213</v>
      </c>
      <c r="I26" s="374">
        <f>+'9. Weather Adj LF'!P29</f>
        <v>1070032.5965498043</v>
      </c>
      <c r="J26" s="93"/>
      <c r="K26" s="108">
        <f>I26/$I$34</f>
        <v>4.571177106033021E-3</v>
      </c>
      <c r="L26" s="416">
        <f>K26*$L$34</f>
        <v>10882.601336332813</v>
      </c>
      <c r="M26" s="820">
        <f>I26-L26</f>
        <v>1059149.9952134716</v>
      </c>
      <c r="N26" s="428"/>
      <c r="O26" s="422">
        <f>+M26+N26</f>
        <v>1059149.9952134716</v>
      </c>
    </row>
    <row r="27" spans="2:15">
      <c r="B27" s="105"/>
      <c r="C27" s="217"/>
      <c r="D27" s="120"/>
      <c r="E27" s="373"/>
      <c r="F27" s="373"/>
      <c r="G27" s="373"/>
      <c r="H27" s="373"/>
      <c r="I27" s="374"/>
      <c r="J27" s="93"/>
      <c r="K27" s="108"/>
      <c r="L27" s="416"/>
      <c r="M27" s="820"/>
      <c r="N27" s="428"/>
      <c r="O27" s="229"/>
    </row>
    <row r="28" spans="2:15">
      <c r="B28" s="403" t="str">
        <f>+'9. Weather Adj LF'!C32</f>
        <v>Sentinel Lighting</v>
      </c>
      <c r="C28" s="217"/>
      <c r="D28" s="120" t="s">
        <v>36</v>
      </c>
      <c r="E28" s="373">
        <f>+'9. Weather Adj LF'!L33</f>
        <v>44705.52</v>
      </c>
      <c r="F28" s="373">
        <f>+'9. Weather Adj LF'!M33</f>
        <v>44341.919999999998</v>
      </c>
      <c r="G28" s="373">
        <f>+'9. Weather Adj LF'!N33</f>
        <v>44222.400000000009</v>
      </c>
      <c r="H28" s="373">
        <f>+'9. Weather Adj LF'!O33</f>
        <v>43792.814983214579</v>
      </c>
      <c r="I28" s="374">
        <f>+'9. Weather Adj LF'!P33</f>
        <v>43789.454029442641</v>
      </c>
      <c r="J28" s="93"/>
      <c r="K28" s="108">
        <f>I28/$I$34</f>
        <v>1.8706845977449325E-4</v>
      </c>
      <c r="L28" s="416">
        <f>K28*$L$34</f>
        <v>445.35388218513606</v>
      </c>
      <c r="M28" s="820">
        <f>I28-L28</f>
        <v>43344.100147257508</v>
      </c>
      <c r="N28" s="428"/>
      <c r="O28" s="422">
        <f>+M28-N28</f>
        <v>43344.100147257508</v>
      </c>
    </row>
    <row r="29" spans="2:15">
      <c r="B29" s="105"/>
      <c r="C29" s="217"/>
      <c r="D29" s="120"/>
      <c r="E29" s="373"/>
      <c r="F29" s="373"/>
      <c r="G29" s="373"/>
      <c r="H29" s="373"/>
      <c r="I29" s="374"/>
      <c r="J29" s="93"/>
      <c r="K29" s="108"/>
      <c r="L29" s="415"/>
      <c r="M29" s="820"/>
      <c r="N29" s="428"/>
      <c r="O29" s="229"/>
    </row>
    <row r="30" spans="2:15">
      <c r="B30" s="403" t="str">
        <f>'9. Weather Adj LF'!C36</f>
        <v>General Service 3000-4999 kW</v>
      </c>
      <c r="C30" s="218"/>
      <c r="D30" s="120" t="s">
        <v>36</v>
      </c>
      <c r="E30" s="373">
        <f>+'9. Weather Adj LF'!L37</f>
        <v>20169223</v>
      </c>
      <c r="F30" s="373">
        <f>+'9. Weather Adj LF'!M37</f>
        <v>17917827</v>
      </c>
      <c r="G30" s="373">
        <f>+'9. Weather Adj LF'!N37</f>
        <v>19292259</v>
      </c>
      <c r="H30" s="373">
        <f>+'9. Weather Adj LF'!O37</f>
        <v>19104850.234163143</v>
      </c>
      <c r="I30" s="374">
        <f>+'9. Weather Adj LF'!P37</f>
        <v>19103384.00006786</v>
      </c>
      <c r="J30" s="93"/>
      <c r="K30" s="108">
        <f>I30/$I$34</f>
        <v>8.1609618127930744E-2</v>
      </c>
      <c r="L30" s="416">
        <f>K30*$L$34</f>
        <v>194288.01787716473</v>
      </c>
      <c r="M30" s="820">
        <f>I30-L30</f>
        <v>18909095.982190695</v>
      </c>
      <c r="N30" s="428"/>
      <c r="O30" s="422">
        <f>+M30-N30</f>
        <v>18909095.982190695</v>
      </c>
    </row>
    <row r="31" spans="2:15">
      <c r="B31" s="109"/>
      <c r="C31" s="219"/>
      <c r="D31" s="197"/>
      <c r="E31" s="376"/>
      <c r="F31" s="376"/>
      <c r="G31" s="376"/>
      <c r="H31" s="376"/>
      <c r="I31" s="409"/>
      <c r="J31" s="93"/>
      <c r="K31" s="108"/>
      <c r="L31" s="415"/>
      <c r="M31" s="820"/>
      <c r="N31" s="428"/>
      <c r="O31" s="229"/>
    </row>
    <row r="32" spans="2:15">
      <c r="B32" s="404" t="str">
        <f>+'9. Weather Adj LF'!C40</f>
        <v>Unmetered Scattered Load</v>
      </c>
      <c r="C32" s="219"/>
      <c r="D32" s="120" t="s">
        <v>36</v>
      </c>
      <c r="E32" s="376">
        <f>+'9. Weather Adj LF'!L41</f>
        <v>614016</v>
      </c>
      <c r="F32" s="376">
        <f>+'9. Weather Adj LF'!M41</f>
        <v>613910</v>
      </c>
      <c r="G32" s="376">
        <f>+'9. Weather Adj LF'!N41</f>
        <v>611429</v>
      </c>
      <c r="H32" s="376">
        <f>+'9. Weather Adj LF'!O41</f>
        <v>605489.45946786925</v>
      </c>
      <c r="I32" s="409">
        <f>+'9. Weather Adj LF'!P41</f>
        <v>605442.99015358917</v>
      </c>
      <c r="J32" s="93"/>
      <c r="K32" s="108">
        <f>I32/$I$34</f>
        <v>2.5864512394501117E-3</v>
      </c>
      <c r="L32" s="416">
        <f>K32*$L$34</f>
        <v>6157.5644657588809</v>
      </c>
      <c r="M32" s="820">
        <f>I32-L32</f>
        <v>599285.42568783031</v>
      </c>
      <c r="N32" s="428"/>
      <c r="O32" s="422">
        <f>+M32-N32</f>
        <v>599285.42568783031</v>
      </c>
    </row>
    <row r="33" spans="2:18" ht="13.5" thickBot="1">
      <c r="B33" s="110"/>
      <c r="C33" s="220"/>
      <c r="D33" s="198"/>
      <c r="E33" s="280"/>
      <c r="F33" s="280"/>
      <c r="G33" s="280"/>
      <c r="H33" s="280"/>
      <c r="I33" s="414"/>
      <c r="J33" s="93"/>
      <c r="K33" s="111"/>
      <c r="L33" s="417"/>
      <c r="M33" s="821"/>
      <c r="N33" s="445"/>
      <c r="O33" s="186"/>
    </row>
    <row r="34" spans="2:18" ht="20.25" thickTop="1" thickBot="1">
      <c r="B34" s="435" t="s">
        <v>16</v>
      </c>
      <c r="C34" s="436"/>
      <c r="D34" s="437"/>
      <c r="E34" s="438">
        <f>SUM(E20:E33)</f>
        <v>245884780.94421658</v>
      </c>
      <c r="F34" s="438">
        <f t="shared" ref="F34:I34" si="0">SUM(F20:F33)</f>
        <v>247522436.42196596</v>
      </c>
      <c r="G34" s="438">
        <f t="shared" si="0"/>
        <v>236396878.73257256</v>
      </c>
      <c r="H34" s="438">
        <f t="shared" si="0"/>
        <v>234100473.35614893</v>
      </c>
      <c r="I34" s="439">
        <f t="shared" si="0"/>
        <v>234082506.91874957</v>
      </c>
      <c r="J34" s="93"/>
      <c r="K34" s="442">
        <f>I34/$I$34</f>
        <v>1</v>
      </c>
      <c r="L34" s="712">
        <f>'10.CDM Allocation V2'!I122</f>
        <v>2380700</v>
      </c>
      <c r="M34" s="443">
        <f>I34-L34</f>
        <v>231701806.91874957</v>
      </c>
      <c r="N34" s="443">
        <f>SUM(N20:N33)</f>
        <v>0</v>
      </c>
      <c r="O34" s="444">
        <f>SUM(O20:O33)</f>
        <v>231701806.91874954</v>
      </c>
      <c r="Q34" s="429">
        <f>+M34-O34</f>
        <v>0</v>
      </c>
      <c r="R34" s="430" t="s">
        <v>229</v>
      </c>
    </row>
    <row r="35" spans="2:18">
      <c r="B35" s="112"/>
      <c r="C35" s="112"/>
      <c r="D35" s="116"/>
      <c r="E35" s="113"/>
      <c r="F35" s="113"/>
      <c r="G35" s="113"/>
      <c r="H35" s="114"/>
      <c r="I35" s="114"/>
      <c r="J35" s="115"/>
      <c r="K35" s="115"/>
      <c r="L35" s="115"/>
      <c r="M35" s="115"/>
    </row>
    <row r="36" spans="2:18" ht="13.5" thickBot="1">
      <c r="B36" s="93"/>
      <c r="C36" s="93"/>
      <c r="D36" s="199"/>
      <c r="E36" s="93"/>
      <c r="F36" s="93"/>
      <c r="G36" s="93"/>
      <c r="H36" s="93"/>
      <c r="I36" s="93"/>
      <c r="J36" s="93"/>
      <c r="K36" s="93"/>
      <c r="L36" s="93"/>
      <c r="M36" s="115"/>
    </row>
    <row r="37" spans="2:18" ht="26.25" thickBot="1">
      <c r="B37" s="102"/>
      <c r="C37" s="215"/>
      <c r="D37" s="103" t="s">
        <v>33</v>
      </c>
      <c r="E37" s="200">
        <f>E19</f>
        <v>2018</v>
      </c>
      <c r="F37" s="200">
        <f>F19</f>
        <v>2019</v>
      </c>
      <c r="G37" s="200">
        <f>G19</f>
        <v>2020</v>
      </c>
      <c r="H37" s="200" t="str">
        <f>H19</f>
        <v>2021</v>
      </c>
      <c r="I37" s="405" t="str">
        <f>I19</f>
        <v>2022</v>
      </c>
      <c r="J37" s="93"/>
      <c r="K37" s="116"/>
      <c r="L37" s="116"/>
      <c r="M37" s="432" t="s">
        <v>226</v>
      </c>
      <c r="N37" s="418" t="s">
        <v>227</v>
      </c>
      <c r="O37" s="423" t="s">
        <v>228</v>
      </c>
    </row>
    <row r="38" spans="2:18">
      <c r="B38" s="406" t="str">
        <f>+B20</f>
        <v>Residential</v>
      </c>
      <c r="C38" s="407"/>
      <c r="D38" s="408" t="s">
        <v>37</v>
      </c>
      <c r="E38" s="410">
        <f>+'9. Weather Adj LF'!L18</f>
        <v>0</v>
      </c>
      <c r="F38" s="410">
        <f>+'9. Weather Adj LF'!M18</f>
        <v>0</v>
      </c>
      <c r="G38" s="410">
        <f>+'9. Weather Adj LF'!N18</f>
        <v>0</v>
      </c>
      <c r="H38" s="410">
        <f>+'9. Weather Adj LF'!O18</f>
        <v>0</v>
      </c>
      <c r="I38" s="411">
        <f>+'9. Weather Adj LF'!P18</f>
        <v>0</v>
      </c>
      <c r="J38" s="93"/>
      <c r="K38" s="117"/>
      <c r="L38" s="118"/>
      <c r="M38" s="424">
        <f>IF(I38&gt;0,+M20/I20*I38,0)</f>
        <v>0</v>
      </c>
      <c r="N38" s="431">
        <f>IF(I38&gt;0,+N20/I20*I38,0)</f>
        <v>0</v>
      </c>
      <c r="O38" s="421">
        <f>+M38-N38</f>
        <v>0</v>
      </c>
    </row>
    <row r="39" spans="2:18">
      <c r="B39" s="104" t="s">
        <v>30</v>
      </c>
      <c r="C39" s="216"/>
      <c r="D39" s="120"/>
      <c r="E39" s="412"/>
      <c r="F39" s="412"/>
      <c r="G39" s="412"/>
      <c r="H39" s="412"/>
      <c r="I39" s="413"/>
      <c r="J39" s="93"/>
      <c r="K39" s="117"/>
      <c r="L39" s="118"/>
      <c r="M39" s="425"/>
      <c r="N39" s="45"/>
      <c r="O39" s="229"/>
    </row>
    <row r="40" spans="2:18">
      <c r="B40" s="402" t="str">
        <f>+B22</f>
        <v>General Service &lt; 50 kW</v>
      </c>
      <c r="C40" s="216"/>
      <c r="D40" s="121" t="s">
        <v>37</v>
      </c>
      <c r="E40" s="412">
        <f>+'9. Weather Adj LF'!L22</f>
        <v>0</v>
      </c>
      <c r="F40" s="412">
        <f>+'9. Weather Adj LF'!M22</f>
        <v>0</v>
      </c>
      <c r="G40" s="412">
        <f>+'9. Weather Adj LF'!N22</f>
        <v>0</v>
      </c>
      <c r="H40" s="412">
        <f>+'9. Weather Adj LF'!O22</f>
        <v>0</v>
      </c>
      <c r="I40" s="413">
        <f>+'9. Weather Adj LF'!P22</f>
        <v>0</v>
      </c>
      <c r="J40" s="93"/>
      <c r="K40" s="117"/>
      <c r="L40" s="118"/>
      <c r="M40" s="425">
        <f t="shared" ref="M40:M50" si="1">IF(I40&gt;0,+M22/I22*I40,0)</f>
        <v>0</v>
      </c>
      <c r="N40" s="106">
        <f>IF(I40&gt;0,+N22/I22*I40,0)</f>
        <v>0</v>
      </c>
      <c r="O40" s="422">
        <f>+M40-N40</f>
        <v>0</v>
      </c>
    </row>
    <row r="41" spans="2:18">
      <c r="B41" s="104" t="s">
        <v>30</v>
      </c>
      <c r="C41" s="216"/>
      <c r="D41" s="120"/>
      <c r="E41" s="412"/>
      <c r="F41" s="412"/>
      <c r="G41" s="412"/>
      <c r="H41" s="412"/>
      <c r="I41" s="413"/>
      <c r="J41" s="93"/>
      <c r="K41" s="117"/>
      <c r="L41" s="118"/>
      <c r="M41" s="425"/>
      <c r="N41" s="45"/>
      <c r="O41" s="229"/>
    </row>
    <row r="42" spans="2:18">
      <c r="B42" s="402" t="str">
        <f>+B24</f>
        <v>General Service &gt; 50 kW - 2999 kW</v>
      </c>
      <c r="C42" s="216"/>
      <c r="D42" s="121" t="s">
        <v>37</v>
      </c>
      <c r="E42" s="371">
        <f>+'9. Weather Adj LF'!L26</f>
        <v>297531.40000000002</v>
      </c>
      <c r="F42" s="371">
        <f>+'9. Weather Adj LF'!M26</f>
        <v>278379.43000000005</v>
      </c>
      <c r="G42" s="371">
        <f>+'9. Weather Adj LF'!N26</f>
        <v>278617.41000000003</v>
      </c>
      <c r="H42" s="371">
        <f>+'9. Weather Adj LF'!O26</f>
        <v>276978.66050828708</v>
      </c>
      <c r="I42" s="372">
        <f>+'9. Weather Adj LF'!P26</f>
        <v>276957.40331177803</v>
      </c>
      <c r="J42" s="93"/>
      <c r="K42" s="117"/>
      <c r="L42" s="118"/>
      <c r="M42" s="425">
        <f>IF(I42&gt;0,+M24/I24*I42,0)</f>
        <v>274140.6507968487</v>
      </c>
      <c r="N42" s="106">
        <f>IF(I42&gt;0,+N24/I24*I42,0)</f>
        <v>0</v>
      </c>
      <c r="O42" s="422">
        <f>+M42-N42</f>
        <v>274140.6507968487</v>
      </c>
    </row>
    <row r="43" spans="2:18">
      <c r="B43" s="104" t="s">
        <v>30</v>
      </c>
      <c r="C43" s="216"/>
      <c r="D43" s="120"/>
      <c r="E43" s="373"/>
      <c r="F43" s="373"/>
      <c r="G43" s="373"/>
      <c r="H43" s="373"/>
      <c r="I43" s="374"/>
      <c r="J43" s="93"/>
      <c r="K43" s="117"/>
      <c r="L43" s="118"/>
      <c r="M43" s="425"/>
      <c r="N43" s="45"/>
      <c r="O43" s="229"/>
    </row>
    <row r="44" spans="2:18">
      <c r="B44" s="402" t="str">
        <f>+B26</f>
        <v>Streetlighting</v>
      </c>
      <c r="C44" s="216"/>
      <c r="D44" s="121" t="s">
        <v>37</v>
      </c>
      <c r="E44" s="373">
        <f>+'9. Weather Adj LF'!L30</f>
        <v>2916</v>
      </c>
      <c r="F44" s="373">
        <f>+'9. Weather Adj LF'!M30</f>
        <v>2916</v>
      </c>
      <c r="G44" s="373">
        <f>+'9. Weather Adj LF'!N30</f>
        <v>2916</v>
      </c>
      <c r="H44" s="373">
        <f>+'9. Weather Adj LF'!O30</f>
        <v>2860.5569960852968</v>
      </c>
      <c r="I44" s="374">
        <f>+'9. Weather Adj LF'!P30</f>
        <v>2860.3374577927821</v>
      </c>
      <c r="J44" s="93"/>
      <c r="K44" s="117"/>
      <c r="L44" s="118"/>
      <c r="M44" s="425">
        <f t="shared" si="1"/>
        <v>2831.246837244486</v>
      </c>
      <c r="N44" s="106">
        <f>IF(I44&gt;0,+N26/I26*I44,0)</f>
        <v>0</v>
      </c>
      <c r="O44" s="422">
        <f>+M44-N44</f>
        <v>2831.246837244486</v>
      </c>
    </row>
    <row r="45" spans="2:18">
      <c r="B45" s="104" t="s">
        <v>30</v>
      </c>
      <c r="C45" s="216"/>
      <c r="D45" s="120"/>
      <c r="E45" s="373"/>
      <c r="F45" s="373"/>
      <c r="G45" s="373"/>
      <c r="H45" s="373"/>
      <c r="I45" s="374"/>
      <c r="J45" s="93"/>
      <c r="K45" s="117"/>
      <c r="L45" s="118"/>
      <c r="M45" s="425"/>
      <c r="N45" s="45"/>
      <c r="O45" s="229"/>
    </row>
    <row r="46" spans="2:18">
      <c r="B46" s="402" t="str">
        <f>+B28</f>
        <v>Sentinel Lighting</v>
      </c>
      <c r="C46" s="216"/>
      <c r="D46" s="121" t="s">
        <v>37</v>
      </c>
      <c r="E46" s="373">
        <f>+'9. Weather Adj LF'!L34</f>
        <v>132</v>
      </c>
      <c r="F46" s="373">
        <f>+'9. Weather Adj LF'!M34</f>
        <v>132</v>
      </c>
      <c r="G46" s="373">
        <f>+'9. Weather Adj LF'!N34</f>
        <v>132</v>
      </c>
      <c r="H46" s="373">
        <f>+'9. Weather Adj LF'!O34</f>
        <v>131.19277964365381</v>
      </c>
      <c r="I46" s="374">
        <f>+'9. Weather Adj LF'!P34</f>
        <v>131.1827110315364</v>
      </c>
      <c r="J46" s="93"/>
      <c r="K46" s="117"/>
      <c r="L46" s="118"/>
      <c r="M46" s="425">
        <f>IF(I46&gt;0,+M28/I28*I46,0)</f>
        <v>129.8485375203941</v>
      </c>
      <c r="N46" s="106">
        <f>IF(I46&gt;0,+N28/I28*I46,0)</f>
        <v>0</v>
      </c>
      <c r="O46" s="422">
        <f>+M46-N46</f>
        <v>129.8485375203941</v>
      </c>
    </row>
    <row r="47" spans="2:18">
      <c r="B47" s="104" t="s">
        <v>30</v>
      </c>
      <c r="C47" s="216"/>
      <c r="D47" s="120"/>
      <c r="E47" s="373"/>
      <c r="F47" s="373"/>
      <c r="G47" s="373"/>
      <c r="H47" s="373"/>
      <c r="I47" s="374"/>
      <c r="J47" s="93"/>
      <c r="K47" s="117"/>
      <c r="L47" s="118"/>
      <c r="M47" s="425"/>
      <c r="N47" s="45"/>
      <c r="O47" s="229"/>
    </row>
    <row r="48" spans="2:18">
      <c r="B48" s="402" t="str">
        <f>+B30</f>
        <v>General Service 3000-4999 kW</v>
      </c>
      <c r="C48" s="216"/>
      <c r="D48" s="121" t="s">
        <v>37</v>
      </c>
      <c r="E48" s="373">
        <f>+'9. Weather Adj LF'!L38</f>
        <v>42960.800000000003</v>
      </c>
      <c r="F48" s="373">
        <f>+'9. Weather Adj LF'!M38</f>
        <v>38239.699999999997</v>
      </c>
      <c r="G48" s="373">
        <f>+'9. Weather Adj LF'!N38</f>
        <v>41552.9</v>
      </c>
      <c r="H48" s="373">
        <f>+'9. Weather Adj LF'!O38</f>
        <v>46149.451117157194</v>
      </c>
      <c r="I48" s="374">
        <f>+'9. Weather Adj LF'!P38</f>
        <v>49045.909299352956</v>
      </c>
      <c r="J48" s="93"/>
      <c r="K48" s="117"/>
      <c r="L48" s="118"/>
      <c r="M48" s="425">
        <f t="shared" si="1"/>
        <v>48547.095450313398</v>
      </c>
      <c r="N48" s="106">
        <f>IF(I48&gt;0,+N30/I30*I48,0)</f>
        <v>0</v>
      </c>
      <c r="O48" s="422">
        <f>+M48-N48</f>
        <v>48547.095450313398</v>
      </c>
    </row>
    <row r="49" spans="2:15">
      <c r="B49" s="402"/>
      <c r="C49" s="216"/>
      <c r="D49" s="121"/>
      <c r="E49" s="373"/>
      <c r="F49" s="373"/>
      <c r="G49" s="373"/>
      <c r="H49" s="373"/>
      <c r="I49" s="374"/>
      <c r="J49" s="93"/>
      <c r="K49" s="117"/>
      <c r="L49" s="118"/>
      <c r="M49" s="425"/>
      <c r="N49" s="45"/>
      <c r="O49" s="229"/>
    </row>
    <row r="50" spans="2:15">
      <c r="B50" s="402" t="str">
        <f>+B32</f>
        <v>Unmetered Scattered Load</v>
      </c>
      <c r="C50" s="216"/>
      <c r="D50" s="121" t="s">
        <v>37</v>
      </c>
      <c r="E50" s="373">
        <f>+'9. Weather Adj LF'!L42</f>
        <v>0</v>
      </c>
      <c r="F50" s="373">
        <f>+'9. Weather Adj LF'!M42</f>
        <v>0</v>
      </c>
      <c r="G50" s="373">
        <f>+'9. Weather Adj LF'!N42</f>
        <v>0</v>
      </c>
      <c r="H50" s="373">
        <f>+'9. Weather Adj LF'!O42</f>
        <v>0</v>
      </c>
      <c r="I50" s="374">
        <f>+'9. Weather Adj LF'!P42</f>
        <v>0</v>
      </c>
      <c r="J50" s="93"/>
      <c r="K50" s="117"/>
      <c r="L50" s="118"/>
      <c r="M50" s="425">
        <f t="shared" si="1"/>
        <v>0</v>
      </c>
      <c r="N50" s="106">
        <f>IF(I50&gt;0,+N32/I32*I50,0)</f>
        <v>0</v>
      </c>
      <c r="O50" s="422">
        <f>+M50-N50</f>
        <v>0</v>
      </c>
    </row>
    <row r="51" spans="2:15" ht="13.5" thickBot="1">
      <c r="B51" s="110" t="s">
        <v>30</v>
      </c>
      <c r="C51" s="220"/>
      <c r="D51" s="198"/>
      <c r="E51" s="280"/>
      <c r="F51" s="280"/>
      <c r="G51" s="280"/>
      <c r="H51" s="280"/>
      <c r="I51" s="414"/>
      <c r="J51" s="93"/>
      <c r="K51" s="117"/>
      <c r="L51" s="118"/>
      <c r="M51" s="426"/>
      <c r="N51" s="82"/>
      <c r="O51" s="186"/>
    </row>
    <row r="52" spans="2:15" ht="13.5" thickBot="1">
      <c r="B52" s="435" t="s">
        <v>16</v>
      </c>
      <c r="C52" s="440"/>
      <c r="D52" s="441" t="s">
        <v>30</v>
      </c>
      <c r="E52" s="438">
        <f>SUM(E38:E51)</f>
        <v>343540.2</v>
      </c>
      <c r="F52" s="438">
        <f t="shared" ref="F52:H52" si="2">SUM(F38:F51)</f>
        <v>319667.13000000006</v>
      </c>
      <c r="G52" s="438">
        <f t="shared" si="2"/>
        <v>323218.31000000006</v>
      </c>
      <c r="H52" s="438">
        <f t="shared" si="2"/>
        <v>326119.86140117317</v>
      </c>
      <c r="I52" s="439">
        <f>SUM(I38:I51)</f>
        <v>328994.83277995529</v>
      </c>
      <c r="J52" s="93"/>
      <c r="K52" s="117"/>
      <c r="L52" s="118"/>
      <c r="M52" s="446">
        <f>SUM(M38:M51)</f>
        <v>325648.84162192699</v>
      </c>
      <c r="N52" s="441">
        <f t="shared" ref="N52:O52" si="3">SUM(N38:N51)</f>
        <v>0</v>
      </c>
      <c r="O52" s="447">
        <f t="shared" si="3"/>
        <v>325648.84162192699</v>
      </c>
    </row>
    <row r="53" spans="2:15">
      <c r="B53" s="96"/>
      <c r="C53" s="96"/>
      <c r="D53" s="96"/>
      <c r="E53" s="96"/>
      <c r="F53" s="96"/>
      <c r="G53" s="96"/>
      <c r="H53" s="96"/>
      <c r="I53" s="96"/>
      <c r="J53" s="96"/>
      <c r="K53" s="96"/>
      <c r="L53" s="96"/>
      <c r="M53" s="96"/>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61"/>
  <sheetViews>
    <sheetView showGridLines="0" topLeftCell="A13" zoomScaleNormal="100" workbookViewId="0">
      <selection activeCell="P55" sqref="P55"/>
    </sheetView>
  </sheetViews>
  <sheetFormatPr defaultColWidth="10.5" defaultRowHeight="12.75"/>
  <cols>
    <col min="1" max="1" width="13.6640625" style="1" customWidth="1"/>
    <col min="2" max="2" width="42.6640625" style="1" customWidth="1"/>
    <col min="3" max="3" width="11.83203125" style="1" bestFit="1" customWidth="1"/>
    <col min="4" max="9" width="14.5" style="1" customWidth="1"/>
    <col min="10" max="10" width="14.5" style="1" bestFit="1" customWidth="1"/>
    <col min="11" max="14" width="17.1640625" style="1" customWidth="1"/>
    <col min="15" max="15" width="17.1640625" style="196" customWidth="1"/>
    <col min="16" max="16" width="11.6640625" style="1" bestFit="1" customWidth="1"/>
    <col min="17" max="18" width="1.83203125" style="1" bestFit="1" customWidth="1"/>
    <col min="19" max="16384" width="10.5" style="1"/>
  </cols>
  <sheetData>
    <row r="1" spans="1:15" s="514" customFormat="1">
      <c r="A1" s="694" t="s">
        <v>257</v>
      </c>
      <c r="O1" s="196"/>
    </row>
    <row r="2" spans="1:15" s="514" customFormat="1">
      <c r="O2" s="196"/>
    </row>
    <row r="3" spans="1:15" s="514" customFormat="1">
      <c r="O3" s="196"/>
    </row>
    <row r="4" spans="1:15" s="514" customFormat="1">
      <c r="O4" s="196"/>
    </row>
    <row r="5" spans="1:15" s="514" customFormat="1">
      <c r="O5" s="196"/>
    </row>
    <row r="6" spans="1:15" s="514" customFormat="1">
      <c r="O6" s="196"/>
    </row>
    <row r="7" spans="1:15" s="514" customFormat="1">
      <c r="O7" s="196"/>
    </row>
    <row r="8" spans="1:15" s="514" customFormat="1">
      <c r="O8" s="196"/>
    </row>
    <row r="9" spans="1:15" s="514" customFormat="1">
      <c r="O9" s="196"/>
    </row>
    <row r="11" spans="1:15" ht="23.25">
      <c r="B11" s="124" t="s">
        <v>230</v>
      </c>
      <c r="O11" s="300"/>
    </row>
    <row r="12" spans="1:15" ht="13.5" thickBot="1"/>
    <row r="13" spans="1:15" ht="13.5" thickBot="1">
      <c r="B13" s="758"/>
      <c r="C13" s="763" t="s">
        <v>33</v>
      </c>
      <c r="D13" s="764">
        <f>'4. Customer Growth'!B17</f>
        <v>2011</v>
      </c>
      <c r="E13" s="764">
        <f>'4. Customer Growth'!B18</f>
        <v>2012</v>
      </c>
      <c r="F13" s="764">
        <f>'4. Customer Growth'!B19</f>
        <v>2013</v>
      </c>
      <c r="G13" s="764">
        <f>'4. Customer Growth'!B20</f>
        <v>2014</v>
      </c>
      <c r="H13" s="764">
        <f>'4. Customer Growth'!B21</f>
        <v>2015</v>
      </c>
      <c r="I13" s="764">
        <f>'4. Customer Growth'!B22</f>
        <v>2016</v>
      </c>
      <c r="J13" s="764">
        <f>'4. Customer Growth'!B23</f>
        <v>2017</v>
      </c>
      <c r="K13" s="764">
        <f>'4. Customer Growth'!B24</f>
        <v>2018</v>
      </c>
      <c r="L13" s="764">
        <f>'4. Customer Growth'!B25</f>
        <v>2019</v>
      </c>
      <c r="M13" s="764">
        <f>'4. Customer Growth'!B26</f>
        <v>2020</v>
      </c>
      <c r="N13" s="764" t="str">
        <f>'4. Customer Growth'!B30</f>
        <v>2021</v>
      </c>
      <c r="O13" s="765" t="str">
        <f>'4. Customer Growth'!B31</f>
        <v>2022</v>
      </c>
    </row>
    <row r="14" spans="1:15">
      <c r="B14" s="759" t="str">
        <f>+'9. Weather Adj LF'!C16</f>
        <v>Residential</v>
      </c>
      <c r="C14" s="79" t="s">
        <v>129</v>
      </c>
      <c r="D14" s="371">
        <f>+'9. Weather Adj LF'!E16</f>
        <v>8425</v>
      </c>
      <c r="E14" s="371">
        <f>+'9. Weather Adj LF'!F16</f>
        <v>8525</v>
      </c>
      <c r="F14" s="371">
        <f>+'9. Weather Adj LF'!G16</f>
        <v>8627</v>
      </c>
      <c r="G14" s="371">
        <f>+'9. Weather Adj LF'!H16</f>
        <v>8760.5</v>
      </c>
      <c r="H14" s="371">
        <f>+'9. Weather Adj LF'!I16</f>
        <v>8885</v>
      </c>
      <c r="I14" s="371">
        <f>+'9. Weather Adj LF'!J16</f>
        <v>8988</v>
      </c>
      <c r="J14" s="371">
        <f>+'9. Weather Adj LF'!K16</f>
        <v>9072.5</v>
      </c>
      <c r="K14" s="371">
        <f>+'9. Weather Adj LF'!L16</f>
        <v>9175</v>
      </c>
      <c r="L14" s="371">
        <f>+'9. Weather Adj LF'!M16</f>
        <v>9270.5</v>
      </c>
      <c r="M14" s="371">
        <f>+'9. Weather Adj LF'!N16</f>
        <v>9383.5</v>
      </c>
      <c r="N14" s="371">
        <f>+'9. Weather Adj LF'!O16</f>
        <v>9496.5158425198933</v>
      </c>
      <c r="O14" s="372">
        <f>+'9. Weather Adj LF'!P16</f>
        <v>9610.8928595120487</v>
      </c>
    </row>
    <row r="15" spans="1:15">
      <c r="B15" s="760"/>
      <c r="C15" s="45" t="s">
        <v>36</v>
      </c>
      <c r="D15" s="371">
        <f>+'9. Weather Adj LF'!E17</f>
        <v>70957666.025040165</v>
      </c>
      <c r="E15" s="371">
        <f>+'9. Weather Adj LF'!F17</f>
        <v>68431708.416596457</v>
      </c>
      <c r="F15" s="371">
        <f>+'9. Weather Adj LF'!G17</f>
        <v>72171331.846405834</v>
      </c>
      <c r="G15" s="371">
        <f>+'9. Weather Adj LF'!H17</f>
        <v>74316916.888821855</v>
      </c>
      <c r="H15" s="371">
        <f>+'9. Weather Adj LF'!I17</f>
        <v>78658150.986850381</v>
      </c>
      <c r="I15" s="371">
        <f>+'9. Weather Adj LF'!J17</f>
        <v>86737657.33398664</v>
      </c>
      <c r="J15" s="371">
        <f>+'9. Weather Adj LF'!K17</f>
        <v>81423303.559898421</v>
      </c>
      <c r="K15" s="371">
        <f>+'9. Weather Adj LF'!L17</f>
        <v>77282085.459067956</v>
      </c>
      <c r="L15" s="371">
        <f>+'9. Weather Adj LF'!M17</f>
        <v>77067211.672795802</v>
      </c>
      <c r="M15" s="371">
        <f>+'9. Weather Adj LF'!N17</f>
        <v>76102272.208445042</v>
      </c>
      <c r="N15" s="371">
        <f>+'9. Weather Adj LF'!O17</f>
        <v>75362999.896583319</v>
      </c>
      <c r="O15" s="372">
        <f>+'10.1 CDM Allocation'!O20</f>
        <v>74590807.103112742</v>
      </c>
    </row>
    <row r="16" spans="1:15">
      <c r="B16" s="760"/>
      <c r="C16" s="45" t="s">
        <v>37</v>
      </c>
      <c r="D16" s="373">
        <f>+'9. Weather Adj LF'!E18</f>
        <v>0</v>
      </c>
      <c r="E16" s="373">
        <f>+'9. Weather Adj LF'!F18</f>
        <v>0</v>
      </c>
      <c r="F16" s="373">
        <f>+'9. Weather Adj LF'!G18</f>
        <v>0</v>
      </c>
      <c r="G16" s="373">
        <f>+'9. Weather Adj LF'!H18</f>
        <v>0</v>
      </c>
      <c r="H16" s="373">
        <f>+'9. Weather Adj LF'!I18</f>
        <v>0</v>
      </c>
      <c r="I16" s="373">
        <f>+'9. Weather Adj LF'!J18</f>
        <v>0</v>
      </c>
      <c r="J16" s="373">
        <f>+'9. Weather Adj LF'!K18</f>
        <v>0</v>
      </c>
      <c r="K16" s="373">
        <f>+'9. Weather Adj LF'!L18</f>
        <v>0</v>
      </c>
      <c r="L16" s="373">
        <f>+'9. Weather Adj LF'!M18</f>
        <v>0</v>
      </c>
      <c r="M16" s="373">
        <f>+'9. Weather Adj LF'!N18</f>
        <v>0</v>
      </c>
      <c r="N16" s="373">
        <f>+'9. Weather Adj LF'!O18</f>
        <v>0</v>
      </c>
      <c r="O16" s="374">
        <f>+'10.1 CDM Allocation'!O38</f>
        <v>0</v>
      </c>
    </row>
    <row r="17" spans="2:15">
      <c r="B17" s="760"/>
      <c r="C17" s="45"/>
      <c r="D17" s="373"/>
      <c r="E17" s="373"/>
      <c r="F17" s="373"/>
      <c r="G17" s="373"/>
      <c r="H17" s="373"/>
      <c r="I17" s="373"/>
      <c r="J17" s="373"/>
      <c r="K17" s="373"/>
      <c r="L17" s="373"/>
      <c r="M17" s="373"/>
      <c r="N17" s="373"/>
      <c r="O17" s="374"/>
    </row>
    <row r="18" spans="2:15">
      <c r="B18" s="761" t="str">
        <f>+'9. Weather Adj LF'!C20</f>
        <v>General Service &lt; 50 kW</v>
      </c>
      <c r="C18" s="79" t="s">
        <v>129</v>
      </c>
      <c r="D18" s="371">
        <f>+'9. Weather Adj LF'!E20</f>
        <v>1072.5</v>
      </c>
      <c r="E18" s="371">
        <f>+'9. Weather Adj LF'!F20</f>
        <v>1067</v>
      </c>
      <c r="F18" s="371">
        <f>+'9. Weather Adj LF'!G20</f>
        <v>1058</v>
      </c>
      <c r="G18" s="371">
        <f>+'9. Weather Adj LF'!H20</f>
        <v>1068.5</v>
      </c>
      <c r="H18" s="371">
        <f>+'9. Weather Adj LF'!I20</f>
        <v>1077.5</v>
      </c>
      <c r="I18" s="371">
        <f>+'9. Weather Adj LF'!J20</f>
        <v>1082.5</v>
      </c>
      <c r="J18" s="371">
        <f>+'9. Weather Adj LF'!K20</f>
        <v>1097</v>
      </c>
      <c r="K18" s="371">
        <f>+'9. Weather Adj LF'!L20</f>
        <v>1120</v>
      </c>
      <c r="L18" s="371">
        <f>+'9. Weather Adj LF'!M20</f>
        <v>1131</v>
      </c>
      <c r="M18" s="371">
        <f>+'9. Weather Adj LF'!N20</f>
        <v>1133.5</v>
      </c>
      <c r="N18" s="371">
        <f>+'9. Weather Adj LF'!O20</f>
        <v>1140.4884269178044</v>
      </c>
      <c r="O18" s="372">
        <f>+'9. Weather Adj LF'!P20</f>
        <v>1147.5199399501087</v>
      </c>
    </row>
    <row r="19" spans="2:15">
      <c r="B19" s="760"/>
      <c r="C19" s="45" t="s">
        <v>36</v>
      </c>
      <c r="D19" s="371">
        <f>+'9. Weather Adj LF'!E21</f>
        <v>37629360.718589716</v>
      </c>
      <c r="E19" s="371">
        <f>+'9. Weather Adj LF'!F21</f>
        <v>32014523.805142321</v>
      </c>
      <c r="F19" s="371">
        <f>+'9. Weather Adj LF'!G21</f>
        <v>32367580.542212881</v>
      </c>
      <c r="G19" s="371">
        <f>+'9. Weather Adj LF'!H21</f>
        <v>31807450.286705617</v>
      </c>
      <c r="H19" s="371">
        <f>+'9. Weather Adj LF'!I21</f>
        <v>32511938.679650381</v>
      </c>
      <c r="I19" s="371">
        <f>+'9. Weather Adj LF'!J21</f>
        <v>31736946.144515336</v>
      </c>
      <c r="J19" s="371">
        <f>+'9. Weather Adj LF'!K21</f>
        <v>32374514.182592485</v>
      </c>
      <c r="K19" s="371">
        <f>+'9. Weather Adj LF'!L21</f>
        <v>35191711.415148593</v>
      </c>
      <c r="L19" s="371">
        <f>+'9. Weather Adj LF'!M21</f>
        <v>35397171.82917016</v>
      </c>
      <c r="M19" s="371">
        <f>+'9. Weather Adj LF'!N21</f>
        <v>33194524.124127503</v>
      </c>
      <c r="N19" s="371">
        <f>+'9. Weather Adj LF'!O21</f>
        <v>32872066.043990571</v>
      </c>
      <c r="O19" s="372">
        <f>+'10.1 CDM Allocation'!O22</f>
        <v>32535248.606514744</v>
      </c>
    </row>
    <row r="20" spans="2:15">
      <c r="B20" s="760"/>
      <c r="C20" s="45" t="s">
        <v>37</v>
      </c>
      <c r="D20" s="373">
        <f>+'9. Weather Adj LF'!E22</f>
        <v>0</v>
      </c>
      <c r="E20" s="373">
        <f>+'9. Weather Adj LF'!F22</f>
        <v>0</v>
      </c>
      <c r="F20" s="373">
        <f>+'9. Weather Adj LF'!G22</f>
        <v>0</v>
      </c>
      <c r="G20" s="373">
        <f>+'9. Weather Adj LF'!H22</f>
        <v>0</v>
      </c>
      <c r="H20" s="373">
        <f>+'9. Weather Adj LF'!I22</f>
        <v>0</v>
      </c>
      <c r="I20" s="373">
        <f>+'9. Weather Adj LF'!J22</f>
        <v>0</v>
      </c>
      <c r="J20" s="373">
        <f>+'9. Weather Adj LF'!K22</f>
        <v>0</v>
      </c>
      <c r="K20" s="373">
        <f>+'9. Weather Adj LF'!L22</f>
        <v>0</v>
      </c>
      <c r="L20" s="373">
        <f>+'9. Weather Adj LF'!M22</f>
        <v>0</v>
      </c>
      <c r="M20" s="373">
        <f>+'9. Weather Adj LF'!N22</f>
        <v>0</v>
      </c>
      <c r="N20" s="373">
        <f>+'9. Weather Adj LF'!O22</f>
        <v>0</v>
      </c>
      <c r="O20" s="374">
        <f>+'10.1 CDM Allocation'!O40</f>
        <v>0</v>
      </c>
    </row>
    <row r="21" spans="2:15">
      <c r="B21" s="760"/>
      <c r="C21" s="45"/>
      <c r="D21" s="373"/>
      <c r="E21" s="373"/>
      <c r="F21" s="373"/>
      <c r="G21" s="373"/>
      <c r="H21" s="373"/>
      <c r="I21" s="373"/>
      <c r="J21" s="373"/>
      <c r="K21" s="373"/>
      <c r="L21" s="373"/>
      <c r="M21" s="373"/>
      <c r="N21" s="373"/>
      <c r="O21" s="374"/>
    </row>
    <row r="22" spans="2:15">
      <c r="B22" s="761" t="str">
        <f>+'9. Weather Adj LF'!C24</f>
        <v>General Service &gt; 50 kW - 2999 kW</v>
      </c>
      <c r="C22" s="79" t="s">
        <v>129</v>
      </c>
      <c r="D22" s="371">
        <f>+'9. Weather Adj LF'!E24</f>
        <v>131.5</v>
      </c>
      <c r="E22" s="371">
        <f>+'9. Weather Adj LF'!F24</f>
        <v>137</v>
      </c>
      <c r="F22" s="371">
        <f>+'9. Weather Adj LF'!G24</f>
        <v>141.5</v>
      </c>
      <c r="G22" s="371">
        <f>+'9. Weather Adj LF'!H24</f>
        <v>138</v>
      </c>
      <c r="H22" s="371">
        <f>+'9. Weather Adj LF'!I24</f>
        <v>134</v>
      </c>
      <c r="I22" s="371">
        <f>+'9. Weather Adj LF'!J24</f>
        <v>134</v>
      </c>
      <c r="J22" s="371">
        <f>+'9. Weather Adj LF'!K24</f>
        <v>130.5</v>
      </c>
      <c r="K22" s="371">
        <f>+'9. Weather Adj LF'!L24</f>
        <v>120.5</v>
      </c>
      <c r="L22" s="371">
        <f>+'9. Weather Adj LF'!M24</f>
        <v>114</v>
      </c>
      <c r="M22" s="371">
        <f>+'9. Weather Adj LF'!N24</f>
        <v>109.5</v>
      </c>
      <c r="N22" s="371">
        <f>+'9. Weather Adj LF'!O24</f>
        <v>107.295002251903</v>
      </c>
      <c r="O22" s="372">
        <f>+'9. Weather Adj LF'!P24</f>
        <v>105.1344064679075</v>
      </c>
    </row>
    <row r="23" spans="2:15">
      <c r="B23" s="760"/>
      <c r="C23" s="45" t="s">
        <v>36</v>
      </c>
      <c r="D23" s="371">
        <f>+'9. Weather Adj LF'!E25</f>
        <v>120834914</v>
      </c>
      <c r="E23" s="371">
        <f>+'9. Weather Adj LF'!F25</f>
        <v>128532327</v>
      </c>
      <c r="F23" s="371">
        <f>+'9. Weather Adj LF'!G25</f>
        <v>125354819</v>
      </c>
      <c r="G23" s="371">
        <f>+'9. Weather Adj LF'!H25</f>
        <v>119336146</v>
      </c>
      <c r="H23" s="371">
        <f>+'9. Weather Adj LF'!I25</f>
        <v>115685946</v>
      </c>
      <c r="I23" s="371">
        <f>+'9. Weather Adj LF'!J25</f>
        <v>104065809</v>
      </c>
      <c r="J23" s="371">
        <f>+'9. Weather Adj LF'!K25</f>
        <v>101900559</v>
      </c>
      <c r="K23" s="371">
        <f>+'9. Weather Adj LF'!L25</f>
        <v>111495775.55</v>
      </c>
      <c r="L23" s="371">
        <f>+'9. Weather Adj LF'!M25</f>
        <v>115404710</v>
      </c>
      <c r="M23" s="371">
        <f>+'9. Weather Adj LF'!N25</f>
        <v>106071560</v>
      </c>
      <c r="N23" s="371">
        <f>+'9. Weather Adj LF'!O25</f>
        <v>105041160.18264371</v>
      </c>
      <c r="O23" s="372">
        <f>+'10.1 CDM Allocation'!O24</f>
        <v>103964875.70588282</v>
      </c>
    </row>
    <row r="24" spans="2:15">
      <c r="B24" s="760"/>
      <c r="C24" s="45" t="s">
        <v>37</v>
      </c>
      <c r="D24" s="373">
        <f>+'9. Weather Adj LF'!E26</f>
        <v>300129.30000000005</v>
      </c>
      <c r="E24" s="373">
        <f>+'9. Weather Adj LF'!F26</f>
        <v>322335</v>
      </c>
      <c r="F24" s="373">
        <f>+'9. Weather Adj LF'!G26</f>
        <v>323427</v>
      </c>
      <c r="G24" s="373">
        <f>+'9. Weather Adj LF'!H26</f>
        <v>314352.19999999995</v>
      </c>
      <c r="H24" s="373">
        <f>+'9. Weather Adj LF'!I26</f>
        <v>306814.40000000002</v>
      </c>
      <c r="I24" s="373">
        <f>+'9. Weather Adj LF'!J26</f>
        <v>305435</v>
      </c>
      <c r="J24" s="373">
        <f>+'9. Weather Adj LF'!K26</f>
        <v>292263</v>
      </c>
      <c r="K24" s="373">
        <f>+'9. Weather Adj LF'!L26</f>
        <v>297531.40000000002</v>
      </c>
      <c r="L24" s="373">
        <f>+'9. Weather Adj LF'!M26</f>
        <v>278379.43000000005</v>
      </c>
      <c r="M24" s="373">
        <f>+'9. Weather Adj LF'!N26</f>
        <v>278617.41000000003</v>
      </c>
      <c r="N24" s="373">
        <f>+'9. Weather Adj LF'!O26</f>
        <v>276978.66050828708</v>
      </c>
      <c r="O24" s="374">
        <f>+'10.1 CDM Allocation'!O42</f>
        <v>274140.6507968487</v>
      </c>
    </row>
    <row r="25" spans="2:15">
      <c r="B25" s="760"/>
      <c r="C25" s="45"/>
      <c r="D25" s="373"/>
      <c r="E25" s="373"/>
      <c r="F25" s="373"/>
      <c r="G25" s="373"/>
      <c r="H25" s="373"/>
      <c r="I25" s="373"/>
      <c r="J25" s="373"/>
      <c r="K25" s="373"/>
      <c r="L25" s="373"/>
      <c r="M25" s="373"/>
      <c r="N25" s="373"/>
      <c r="O25" s="374"/>
    </row>
    <row r="26" spans="2:15">
      <c r="B26" s="761" t="str">
        <f>+'9. Weather Adj LF'!C28</f>
        <v>Streetlighting</v>
      </c>
      <c r="C26" s="79" t="s">
        <v>129</v>
      </c>
      <c r="D26" s="371">
        <f>+'9. Weather Adj LF'!E28</f>
        <v>2759</v>
      </c>
      <c r="E26" s="371">
        <f>+'9. Weather Adj LF'!F28</f>
        <v>2802</v>
      </c>
      <c r="F26" s="371">
        <f>+'9. Weather Adj LF'!G28</f>
        <v>2862</v>
      </c>
      <c r="G26" s="371">
        <f>+'9. Weather Adj LF'!H28</f>
        <v>2634</v>
      </c>
      <c r="H26" s="371">
        <f>+'9. Weather Adj LF'!I28</f>
        <v>2694</v>
      </c>
      <c r="I26" s="371">
        <f>+'9. Weather Adj LF'!J28</f>
        <v>2491</v>
      </c>
      <c r="J26" s="371">
        <f>+'9. Weather Adj LF'!K28</f>
        <v>2593</v>
      </c>
      <c r="K26" s="371">
        <f>+'9. Weather Adj LF'!L28</f>
        <v>2837.5</v>
      </c>
      <c r="L26" s="371">
        <f>+'9. Weather Adj LF'!M28</f>
        <v>3082</v>
      </c>
      <c r="M26" s="371">
        <f>+'9. Weather Adj LF'!N28</f>
        <v>3082</v>
      </c>
      <c r="N26" s="371">
        <f>+'9. Weather Adj LF'!O28</f>
        <v>3120.1463166459635</v>
      </c>
      <c r="O26" s="372">
        <f>+'9. Weather Adj LF'!P28</f>
        <v>3158.7647752366561</v>
      </c>
    </row>
    <row r="27" spans="2:15">
      <c r="B27" s="760"/>
      <c r="C27" s="45" t="s">
        <v>36</v>
      </c>
      <c r="D27" s="371">
        <f>+'9. Weather Adj LF'!E29</f>
        <v>1222967</v>
      </c>
      <c r="E27" s="371">
        <f>+'9. Weather Adj LF'!F29</f>
        <v>1222128</v>
      </c>
      <c r="F27" s="371">
        <f>+'9. Weather Adj LF'!G29</f>
        <v>1249953</v>
      </c>
      <c r="G27" s="371">
        <f>+'9. Weather Adj LF'!H29</f>
        <v>1258253</v>
      </c>
      <c r="H27" s="371">
        <f>+'9. Weather Adj LF'!I29</f>
        <v>1439933</v>
      </c>
      <c r="I27" s="371">
        <f>+'9. Weather Adj LF'!J29</f>
        <v>1080612</v>
      </c>
      <c r="J27" s="371">
        <f>+'9. Weather Adj LF'!K29</f>
        <v>1077264</v>
      </c>
      <c r="K27" s="371">
        <f>+'9. Weather Adj LF'!L29</f>
        <v>1087264</v>
      </c>
      <c r="L27" s="371">
        <f>+'9. Weather Adj LF'!M29</f>
        <v>1077264</v>
      </c>
      <c r="M27" s="371">
        <f>+'9. Weather Adj LF'!N29</f>
        <v>1080612</v>
      </c>
      <c r="N27" s="371">
        <f>+'9. Weather Adj LF'!O29</f>
        <v>1070114.7243171213</v>
      </c>
      <c r="O27" s="372">
        <f>+'10.1 CDM Allocation'!O26</f>
        <v>1059149.9952134716</v>
      </c>
    </row>
    <row r="28" spans="2:15">
      <c r="B28" s="760"/>
      <c r="C28" s="45" t="s">
        <v>37</v>
      </c>
      <c r="D28" s="373">
        <f>+'9. Weather Adj LF'!E30</f>
        <v>3321</v>
      </c>
      <c r="E28" s="373">
        <f>+'9. Weather Adj LF'!F30</f>
        <v>3340</v>
      </c>
      <c r="F28" s="373">
        <f>+'9. Weather Adj LF'!G30</f>
        <v>3386</v>
      </c>
      <c r="G28" s="373">
        <f>+'9. Weather Adj LF'!H30</f>
        <v>3408.5999999999995</v>
      </c>
      <c r="H28" s="373">
        <f>+'9. Weather Adj LF'!I30</f>
        <v>3416</v>
      </c>
      <c r="I28" s="373">
        <f>+'9. Weather Adj LF'!J30</f>
        <v>2916</v>
      </c>
      <c r="J28" s="373">
        <f>+'9. Weather Adj LF'!K30</f>
        <v>2916</v>
      </c>
      <c r="K28" s="373">
        <f>+'9. Weather Adj LF'!L30</f>
        <v>2916</v>
      </c>
      <c r="L28" s="373">
        <f>+'9. Weather Adj LF'!M30</f>
        <v>2916</v>
      </c>
      <c r="M28" s="373">
        <f>+'9. Weather Adj LF'!N30</f>
        <v>2916</v>
      </c>
      <c r="N28" s="373">
        <f>+'9. Weather Adj LF'!O30</f>
        <v>2860.5569960852968</v>
      </c>
      <c r="O28" s="374">
        <f>+'10.1 CDM Allocation'!O44</f>
        <v>2831.246837244486</v>
      </c>
    </row>
    <row r="29" spans="2:15">
      <c r="B29" s="760"/>
      <c r="C29" s="45"/>
      <c r="D29" s="373"/>
      <c r="E29" s="373"/>
      <c r="F29" s="373"/>
      <c r="G29" s="373"/>
      <c r="H29" s="373"/>
      <c r="I29" s="373"/>
      <c r="J29" s="373"/>
      <c r="K29" s="373"/>
      <c r="L29" s="373"/>
      <c r="M29" s="373"/>
      <c r="N29" s="373"/>
      <c r="O29" s="374"/>
    </row>
    <row r="30" spans="2:15">
      <c r="B30" s="761" t="str">
        <f>+'9. Weather Adj LF'!C32</f>
        <v>Sentinel Lighting</v>
      </c>
      <c r="C30" s="79" t="s">
        <v>129</v>
      </c>
      <c r="D30" s="371">
        <f>+'9. Weather Adj LF'!E32</f>
        <v>53</v>
      </c>
      <c r="E30" s="371">
        <f>+'9. Weather Adj LF'!F32</f>
        <v>54</v>
      </c>
      <c r="F30" s="371">
        <f>+'9. Weather Adj LF'!G32</f>
        <v>54</v>
      </c>
      <c r="G30" s="371">
        <f>+'9. Weather Adj LF'!H32</f>
        <v>54</v>
      </c>
      <c r="H30" s="371">
        <f>+'9. Weather Adj LF'!I32</f>
        <v>54</v>
      </c>
      <c r="I30" s="371">
        <f>+'9. Weather Adj LF'!J32</f>
        <v>48</v>
      </c>
      <c r="J30" s="371">
        <f>+'9. Weather Adj LF'!K32</f>
        <v>48</v>
      </c>
      <c r="K30" s="371">
        <f>+'9. Weather Adj LF'!L32</f>
        <v>47.5</v>
      </c>
      <c r="L30" s="371">
        <f>+'9. Weather Adj LF'!M32</f>
        <v>46.5</v>
      </c>
      <c r="M30" s="371">
        <f>+'9. Weather Adj LF'!N32</f>
        <v>50</v>
      </c>
      <c r="N30" s="371">
        <f>+'9. Weather Adj LF'!O32</f>
        <v>49.677329507382098</v>
      </c>
      <c r="O30" s="372">
        <f>+'9. Weather Adj LF'!P32</f>
        <v>49.356741339700321</v>
      </c>
    </row>
    <row r="31" spans="2:15">
      <c r="B31" s="760"/>
      <c r="C31" s="45" t="s">
        <v>36</v>
      </c>
      <c r="D31" s="371">
        <f>+'9. Weather Adj LF'!E33</f>
        <v>43758</v>
      </c>
      <c r="E31" s="371">
        <f>+'9. Weather Adj LF'!F33</f>
        <v>41938</v>
      </c>
      <c r="F31" s="371">
        <f>+'9. Weather Adj LF'!G33</f>
        <v>44355</v>
      </c>
      <c r="G31" s="371">
        <f>+'9. Weather Adj LF'!H33</f>
        <v>42943</v>
      </c>
      <c r="H31" s="371">
        <f>+'9. Weather Adj LF'!I33</f>
        <v>43818</v>
      </c>
      <c r="I31" s="371">
        <f>+'9. Weather Adj LF'!J33</f>
        <v>45385.920000000013</v>
      </c>
      <c r="J31" s="371">
        <f>+'9. Weather Adj LF'!K33</f>
        <v>45385.920000000013</v>
      </c>
      <c r="K31" s="371">
        <f>+'9. Weather Adj LF'!L33</f>
        <v>44705.52</v>
      </c>
      <c r="L31" s="371">
        <f>+'9. Weather Adj LF'!M33</f>
        <v>44341.919999999998</v>
      </c>
      <c r="M31" s="371">
        <f>+'9. Weather Adj LF'!N33</f>
        <v>44222.400000000009</v>
      </c>
      <c r="N31" s="371">
        <f>+'9. Weather Adj LF'!O33</f>
        <v>43792.814983214579</v>
      </c>
      <c r="O31" s="372">
        <f>+'10.1 CDM Allocation'!O28</f>
        <v>43344.100147257508</v>
      </c>
    </row>
    <row r="32" spans="2:15">
      <c r="B32" s="760"/>
      <c r="C32" s="45" t="s">
        <v>37</v>
      </c>
      <c r="D32" s="373">
        <f>+'9. Weather Adj LF'!E34</f>
        <v>132</v>
      </c>
      <c r="E32" s="373">
        <f>+'9. Weather Adj LF'!F34</f>
        <v>132</v>
      </c>
      <c r="F32" s="373">
        <f>+'9. Weather Adj LF'!G34</f>
        <v>132</v>
      </c>
      <c r="G32" s="373">
        <f>+'9. Weather Adj LF'!H34</f>
        <v>132</v>
      </c>
      <c r="H32" s="373">
        <f>+'9. Weather Adj LF'!I34</f>
        <v>132</v>
      </c>
      <c r="I32" s="373">
        <f>+'9. Weather Adj LF'!J34</f>
        <v>132</v>
      </c>
      <c r="J32" s="373">
        <f>+'9. Weather Adj LF'!K34</f>
        <v>132</v>
      </c>
      <c r="K32" s="373">
        <f>+'9. Weather Adj LF'!L34</f>
        <v>132</v>
      </c>
      <c r="L32" s="373">
        <f>+'9. Weather Adj LF'!M34</f>
        <v>132</v>
      </c>
      <c r="M32" s="373">
        <f>+'9. Weather Adj LF'!N34</f>
        <v>132</v>
      </c>
      <c r="N32" s="373">
        <f>+'9. Weather Adj LF'!O34</f>
        <v>131.19277964365381</v>
      </c>
      <c r="O32" s="374">
        <f>+'10.1 CDM Allocation'!O46</f>
        <v>129.8485375203941</v>
      </c>
    </row>
    <row r="33" spans="2:15">
      <c r="B33" s="760"/>
      <c r="C33" s="45"/>
      <c r="D33" s="373"/>
      <c r="E33" s="373"/>
      <c r="F33" s="373"/>
      <c r="G33" s="373"/>
      <c r="H33" s="373"/>
      <c r="I33" s="373"/>
      <c r="J33" s="373"/>
      <c r="K33" s="373"/>
      <c r="L33" s="373"/>
      <c r="M33" s="373"/>
      <c r="N33" s="373"/>
      <c r="O33" s="374"/>
    </row>
    <row r="34" spans="2:15">
      <c r="B34" s="761" t="str">
        <f>+'9. Weather Adj LF'!C36</f>
        <v>General Service 3000-4999 kW</v>
      </c>
      <c r="C34" s="79" t="s">
        <v>129</v>
      </c>
      <c r="D34" s="373">
        <f>+'9. Weather Adj LF'!E36</f>
        <v>1</v>
      </c>
      <c r="E34" s="373">
        <f>+'9. Weather Adj LF'!F36</f>
        <v>1</v>
      </c>
      <c r="F34" s="373">
        <f>+'9. Weather Adj LF'!G36</f>
        <v>1</v>
      </c>
      <c r="G34" s="373">
        <f>+'9. Weather Adj LF'!H36</f>
        <v>1</v>
      </c>
      <c r="H34" s="373">
        <f>+'9. Weather Adj LF'!I36</f>
        <v>1</v>
      </c>
      <c r="I34" s="373">
        <f>+'9. Weather Adj LF'!J36</f>
        <v>1</v>
      </c>
      <c r="J34" s="373">
        <f>+'9. Weather Adj LF'!K36</f>
        <v>1</v>
      </c>
      <c r="K34" s="373">
        <f>+'9. Weather Adj LF'!L36</f>
        <v>1</v>
      </c>
      <c r="L34" s="373">
        <f>+'9. Weather Adj LF'!M36</f>
        <v>1</v>
      </c>
      <c r="M34" s="373">
        <f>+'9. Weather Adj LF'!N36</f>
        <v>1</v>
      </c>
      <c r="N34" s="373">
        <f>+'9. Weather Adj LF'!O36</f>
        <v>1</v>
      </c>
      <c r="O34" s="374">
        <f>+'9. Weather Adj LF'!P36</f>
        <v>1</v>
      </c>
    </row>
    <row r="35" spans="2:15">
      <c r="B35" s="201"/>
      <c r="C35" s="45" t="s">
        <v>36</v>
      </c>
      <c r="D35" s="371">
        <f>+'9. Weather Adj LF'!E37</f>
        <v>15051682</v>
      </c>
      <c r="E35" s="371">
        <f>+'9. Weather Adj LF'!F37</f>
        <v>15193348</v>
      </c>
      <c r="F35" s="371">
        <f>+'9. Weather Adj LF'!G37</f>
        <v>13952451</v>
      </c>
      <c r="G35" s="371">
        <f>+'9. Weather Adj LF'!H37</f>
        <v>12584229</v>
      </c>
      <c r="H35" s="371">
        <f>+'9. Weather Adj LF'!I37</f>
        <v>14943860</v>
      </c>
      <c r="I35" s="371">
        <f>+'9. Weather Adj LF'!J37</f>
        <v>15890466</v>
      </c>
      <c r="J35" s="371">
        <f>+'9. Weather Adj LF'!K37</f>
        <v>18956591</v>
      </c>
      <c r="K35" s="371">
        <f>+'9. Weather Adj LF'!L37</f>
        <v>20169223</v>
      </c>
      <c r="L35" s="371">
        <f>+'9. Weather Adj LF'!M37</f>
        <v>17917827</v>
      </c>
      <c r="M35" s="371">
        <f>+'9. Weather Adj LF'!N37</f>
        <v>19292259</v>
      </c>
      <c r="N35" s="371">
        <f>+'9. Weather Adj LF'!O37</f>
        <v>19104850.234163143</v>
      </c>
      <c r="O35" s="372">
        <f>+'10.1 CDM Allocation'!O30</f>
        <v>18909095.982190695</v>
      </c>
    </row>
    <row r="36" spans="2:15">
      <c r="B36" s="201"/>
      <c r="C36" s="45" t="s">
        <v>37</v>
      </c>
      <c r="D36" s="375">
        <f>+'9. Weather Adj LF'!E38</f>
        <v>42335.9</v>
      </c>
      <c r="E36" s="375">
        <f>+'9. Weather Adj LF'!F38</f>
        <v>39662.6</v>
      </c>
      <c r="F36" s="375">
        <f>+'9. Weather Adj LF'!G38</f>
        <v>37942.600000000006</v>
      </c>
      <c r="G36" s="375">
        <f>+'9. Weather Adj LF'!H38</f>
        <v>36603.599999999999</v>
      </c>
      <c r="H36" s="375">
        <f>+'9. Weather Adj LF'!I38</f>
        <v>33867.5</v>
      </c>
      <c r="I36" s="375">
        <f>+'9. Weather Adj LF'!J38</f>
        <v>37224</v>
      </c>
      <c r="J36" s="375">
        <f>+'9. Weather Adj LF'!K38</f>
        <v>39385</v>
      </c>
      <c r="K36" s="375">
        <f>+'9. Weather Adj LF'!L38</f>
        <v>42960.800000000003</v>
      </c>
      <c r="L36" s="375">
        <f>+'9. Weather Adj LF'!M38</f>
        <v>38239.699999999997</v>
      </c>
      <c r="M36" s="375">
        <f>+'9. Weather Adj LF'!N38</f>
        <v>41552.9</v>
      </c>
      <c r="N36" s="375">
        <f>+'9. Weather Adj LF'!O38</f>
        <v>46149.451117157194</v>
      </c>
      <c r="O36" s="461">
        <f>+'10.1 CDM Allocation'!O48</f>
        <v>48547.095450313398</v>
      </c>
    </row>
    <row r="37" spans="2:15">
      <c r="B37" s="201"/>
      <c r="C37" s="188"/>
      <c r="D37" s="376"/>
      <c r="E37" s="376"/>
      <c r="F37" s="376"/>
      <c r="G37" s="376"/>
      <c r="H37" s="376"/>
      <c r="I37" s="376"/>
      <c r="J37" s="376"/>
      <c r="K37" s="376"/>
      <c r="L37" s="376"/>
      <c r="M37" s="376"/>
      <c r="N37" s="376"/>
      <c r="O37" s="409"/>
    </row>
    <row r="38" spans="2:15">
      <c r="B38" s="762" t="str">
        <f>'9. Weather Adj LF'!C40</f>
        <v>Unmetered Scattered Load</v>
      </c>
      <c r="C38" s="79" t="s">
        <v>129</v>
      </c>
      <c r="D38" s="376">
        <f>+'9. Weather Adj LF'!E40</f>
        <v>96</v>
      </c>
      <c r="E38" s="376">
        <f>+'9. Weather Adj LF'!F40</f>
        <v>94.5</v>
      </c>
      <c r="F38" s="376">
        <f>+'9. Weather Adj LF'!G40</f>
        <v>93.5</v>
      </c>
      <c r="G38" s="376">
        <f>+'9. Weather Adj LF'!H40</f>
        <v>93</v>
      </c>
      <c r="H38" s="376">
        <f>+'9. Weather Adj LF'!I40</f>
        <v>90</v>
      </c>
      <c r="I38" s="376">
        <f>+'9. Weather Adj LF'!J40</f>
        <v>85</v>
      </c>
      <c r="J38" s="376">
        <f>+'9. Weather Adj LF'!K40</f>
        <v>84</v>
      </c>
      <c r="K38" s="376">
        <f>+'9. Weather Adj LF'!L40</f>
        <v>84</v>
      </c>
      <c r="L38" s="376">
        <f>+'9. Weather Adj LF'!M40</f>
        <v>83.5</v>
      </c>
      <c r="M38" s="376">
        <f>+'9. Weather Adj LF'!N40</f>
        <v>82.5</v>
      </c>
      <c r="N38" s="376">
        <f>+'9. Weather Adj LF'!O40</f>
        <v>81.122423571488355</v>
      </c>
      <c r="O38" s="409">
        <f>+'9. Weather Adj LF'!P40</f>
        <v>79.767849771054173</v>
      </c>
    </row>
    <row r="39" spans="2:15">
      <c r="B39" s="201"/>
      <c r="C39" s="45" t="s">
        <v>36</v>
      </c>
      <c r="D39" s="376">
        <f>+'9. Weather Adj LF'!E41</f>
        <v>659574</v>
      </c>
      <c r="E39" s="376">
        <f>+'9. Weather Adj LF'!F41</f>
        <v>627467</v>
      </c>
      <c r="F39" s="376">
        <f>+'9. Weather Adj LF'!G41</f>
        <v>668402</v>
      </c>
      <c r="G39" s="376">
        <f>+'9. Weather Adj LF'!H41</f>
        <v>555548</v>
      </c>
      <c r="H39" s="376">
        <f>+'9. Weather Adj LF'!I41</f>
        <v>602228</v>
      </c>
      <c r="I39" s="376">
        <f>+'9. Weather Adj LF'!J41</f>
        <v>613092</v>
      </c>
      <c r="J39" s="376">
        <f>+'9. Weather Adj LF'!K41</f>
        <v>615642</v>
      </c>
      <c r="K39" s="376">
        <f>+'9. Weather Adj LF'!L41</f>
        <v>614016</v>
      </c>
      <c r="L39" s="376">
        <f>+'9. Weather Adj LF'!M41</f>
        <v>613910</v>
      </c>
      <c r="M39" s="376">
        <f>+'9. Weather Adj LF'!N41</f>
        <v>611429</v>
      </c>
      <c r="N39" s="376">
        <f>+'9. Weather Adj LF'!O41</f>
        <v>605489.45946786925</v>
      </c>
      <c r="O39" s="409">
        <f>+'10.1 CDM Allocation'!O32</f>
        <v>599285.42568783031</v>
      </c>
    </row>
    <row r="40" spans="2:15">
      <c r="B40" s="201"/>
      <c r="C40" s="45" t="s">
        <v>37</v>
      </c>
      <c r="D40" s="376">
        <f>+'9. Weather Adj LF'!E42</f>
        <v>0</v>
      </c>
      <c r="E40" s="376">
        <f>+'9. Weather Adj LF'!F42</f>
        <v>0</v>
      </c>
      <c r="F40" s="376">
        <f>+'9. Weather Adj LF'!G42</f>
        <v>0</v>
      </c>
      <c r="G40" s="376">
        <f>+'9. Weather Adj LF'!H42</f>
        <v>0</v>
      </c>
      <c r="H40" s="376">
        <f>+'9. Weather Adj LF'!I42</f>
        <v>0</v>
      </c>
      <c r="I40" s="376">
        <f>+'9. Weather Adj LF'!J42</f>
        <v>0</v>
      </c>
      <c r="J40" s="376">
        <f>+'9. Weather Adj LF'!K42</f>
        <v>0</v>
      </c>
      <c r="K40" s="376">
        <f>+'9. Weather Adj LF'!L42</f>
        <v>0</v>
      </c>
      <c r="L40" s="376">
        <f>+'9. Weather Adj LF'!M42</f>
        <v>0</v>
      </c>
      <c r="M40" s="376">
        <f>+'9. Weather Adj LF'!N42</f>
        <v>0</v>
      </c>
      <c r="N40" s="376">
        <f>+'9. Weather Adj LF'!O42</f>
        <v>0</v>
      </c>
      <c r="O40" s="409">
        <f>+'10.1 CDM Allocation'!O50</f>
        <v>0</v>
      </c>
    </row>
    <row r="41" spans="2:15" ht="13.5" thickBot="1">
      <c r="B41" s="81"/>
      <c r="C41" s="82"/>
      <c r="D41" s="280"/>
      <c r="E41" s="280"/>
      <c r="F41" s="280"/>
      <c r="G41" s="280"/>
      <c r="H41" s="280"/>
      <c r="I41" s="280"/>
      <c r="J41" s="280"/>
      <c r="K41" s="280"/>
      <c r="L41" s="280"/>
      <c r="M41" s="280"/>
      <c r="N41" s="460"/>
      <c r="O41" s="414"/>
    </row>
    <row r="42" spans="2:15" hidden="1">
      <c r="B42" s="457" t="str">
        <f>'2. Customer Classes'!B21</f>
        <v>General Service 3000-4999 kW</v>
      </c>
      <c r="C42" s="458"/>
      <c r="D42" s="375"/>
      <c r="E42" s="375"/>
      <c r="F42" s="375"/>
      <c r="G42" s="375"/>
      <c r="H42" s="375"/>
      <c r="I42" s="375"/>
      <c r="J42" s="375"/>
      <c r="K42" s="375"/>
      <c r="L42" s="375"/>
      <c r="M42" s="375"/>
      <c r="N42" s="459"/>
      <c r="O42" s="461"/>
    </row>
    <row r="43" spans="2:15" hidden="1">
      <c r="B43" s="187"/>
      <c r="C43" s="188"/>
      <c r="D43" s="376"/>
      <c r="E43" s="376"/>
      <c r="F43" s="376"/>
      <c r="G43" s="376"/>
      <c r="H43" s="376"/>
      <c r="I43" s="376"/>
      <c r="J43" s="376"/>
      <c r="K43" s="376"/>
      <c r="L43" s="376"/>
      <c r="M43" s="376"/>
      <c r="N43" s="377"/>
      <c r="O43" s="409"/>
    </row>
    <row r="44" spans="2:15" hidden="1">
      <c r="B44" s="187"/>
      <c r="C44" s="188"/>
      <c r="D44" s="376"/>
      <c r="E44" s="376"/>
      <c r="F44" s="376"/>
      <c r="G44" s="376"/>
      <c r="H44" s="376"/>
      <c r="I44" s="376"/>
      <c r="J44" s="376"/>
      <c r="K44" s="376"/>
      <c r="L44" s="376"/>
      <c r="M44" s="376"/>
      <c r="N44" s="377"/>
      <c r="O44" s="409"/>
    </row>
    <row r="45" spans="2:15" hidden="1">
      <c r="B45" s="187"/>
      <c r="C45" s="188"/>
      <c r="D45" s="376"/>
      <c r="E45" s="376"/>
      <c r="F45" s="376"/>
      <c r="G45" s="376"/>
      <c r="H45" s="376"/>
      <c r="I45" s="376"/>
      <c r="J45" s="376"/>
      <c r="K45" s="376"/>
      <c r="L45" s="376"/>
      <c r="M45" s="376"/>
      <c r="N45" s="377"/>
      <c r="O45" s="409"/>
    </row>
    <row r="46" spans="2:15" hidden="1">
      <c r="B46" s="189" t="str">
        <f>'2. Customer Classes'!B22</f>
        <v>other</v>
      </c>
      <c r="C46" s="188"/>
      <c r="D46" s="376"/>
      <c r="E46" s="376"/>
      <c r="F46" s="376"/>
      <c r="G46" s="376"/>
      <c r="H46" s="376"/>
      <c r="I46" s="376"/>
      <c r="J46" s="376"/>
      <c r="K46" s="376"/>
      <c r="L46" s="376"/>
      <c r="M46" s="376"/>
      <c r="N46" s="377"/>
      <c r="O46" s="409"/>
    </row>
    <row r="47" spans="2:15" hidden="1">
      <c r="B47" s="187"/>
      <c r="C47" s="188"/>
      <c r="D47" s="376"/>
      <c r="E47" s="376"/>
      <c r="F47" s="376"/>
      <c r="G47" s="376"/>
      <c r="H47" s="376"/>
      <c r="I47" s="376"/>
      <c r="J47" s="376"/>
      <c r="K47" s="376"/>
      <c r="L47" s="376"/>
      <c r="M47" s="376"/>
      <c r="N47" s="377"/>
      <c r="O47" s="409"/>
    </row>
    <row r="48" spans="2:15" hidden="1">
      <c r="B48" s="187"/>
      <c r="C48" s="188"/>
      <c r="D48" s="376"/>
      <c r="E48" s="376"/>
      <c r="F48" s="376"/>
      <c r="G48" s="376"/>
      <c r="H48" s="376"/>
      <c r="I48" s="376"/>
      <c r="J48" s="376"/>
      <c r="K48" s="376"/>
      <c r="L48" s="376"/>
      <c r="M48" s="376"/>
      <c r="N48" s="377"/>
      <c r="O48" s="409"/>
    </row>
    <row r="49" spans="2:16" hidden="1">
      <c r="B49" s="187"/>
      <c r="C49" s="188"/>
      <c r="D49" s="376"/>
      <c r="E49" s="376"/>
      <c r="F49" s="376"/>
      <c r="G49" s="376"/>
      <c r="H49" s="376"/>
      <c r="I49" s="376"/>
      <c r="J49" s="376"/>
      <c r="K49" s="376"/>
      <c r="L49" s="376"/>
      <c r="M49" s="376"/>
      <c r="N49" s="377"/>
      <c r="O49" s="409"/>
    </row>
    <row r="50" spans="2:16" hidden="1">
      <c r="B50" s="189" t="str">
        <f>'2. Customer Classes'!B23</f>
        <v>other</v>
      </c>
      <c r="C50" s="188"/>
      <c r="D50" s="376"/>
      <c r="E50" s="376"/>
      <c r="F50" s="376"/>
      <c r="G50" s="376"/>
      <c r="H50" s="376"/>
      <c r="I50" s="376"/>
      <c r="J50" s="376"/>
      <c r="K50" s="376"/>
      <c r="L50" s="376"/>
      <c r="M50" s="376"/>
      <c r="N50" s="377"/>
      <c r="O50" s="409"/>
    </row>
    <row r="51" spans="2:16" hidden="1">
      <c r="B51" s="189"/>
      <c r="C51" s="188"/>
      <c r="D51" s="376"/>
      <c r="E51" s="376"/>
      <c r="F51" s="376"/>
      <c r="G51" s="376"/>
      <c r="H51" s="376"/>
      <c r="I51" s="376"/>
      <c r="J51" s="376"/>
      <c r="K51" s="376"/>
      <c r="L51" s="376"/>
      <c r="M51" s="376"/>
      <c r="N51" s="377"/>
      <c r="O51" s="409"/>
    </row>
    <row r="52" spans="2:16" hidden="1">
      <c r="B52" s="189"/>
      <c r="C52" s="188"/>
      <c r="D52" s="376"/>
      <c r="E52" s="376"/>
      <c r="F52" s="376"/>
      <c r="G52" s="376"/>
      <c r="H52" s="376"/>
      <c r="I52" s="376"/>
      <c r="J52" s="376"/>
      <c r="K52" s="376"/>
      <c r="L52" s="376"/>
      <c r="M52" s="376"/>
      <c r="N52" s="377"/>
      <c r="O52" s="409"/>
    </row>
    <row r="53" spans="2:16" hidden="1">
      <c r="B53" s="189"/>
      <c r="C53" s="188"/>
      <c r="D53" s="376"/>
      <c r="E53" s="376"/>
      <c r="F53" s="376"/>
      <c r="G53" s="376"/>
      <c r="H53" s="376"/>
      <c r="I53" s="376"/>
      <c r="J53" s="376"/>
      <c r="K53" s="376"/>
      <c r="L53" s="376"/>
      <c r="M53" s="376"/>
      <c r="N53" s="377"/>
      <c r="O53" s="409"/>
    </row>
    <row r="54" spans="2:16">
      <c r="B54" s="201" t="s">
        <v>16</v>
      </c>
      <c r="C54" s="202" t="s">
        <v>129</v>
      </c>
      <c r="D54" s="378">
        <f>D14+D18+D22+D26+D30+D34+D38+D42+D46+D50</f>
        <v>12538</v>
      </c>
      <c r="E54" s="378">
        <f t="shared" ref="E54:O56" si="0">E14+E18+E22+E26+E30+E34+E38+E42+E46+E50</f>
        <v>12680.5</v>
      </c>
      <c r="F54" s="378">
        <f t="shared" si="0"/>
        <v>12837</v>
      </c>
      <c r="G54" s="378">
        <f t="shared" si="0"/>
        <v>12749</v>
      </c>
      <c r="H54" s="378">
        <f t="shared" si="0"/>
        <v>12935.5</v>
      </c>
      <c r="I54" s="378">
        <f t="shared" si="0"/>
        <v>12829.5</v>
      </c>
      <c r="J54" s="378">
        <f t="shared" si="0"/>
        <v>13026</v>
      </c>
      <c r="K54" s="378">
        <f t="shared" si="0"/>
        <v>13385.5</v>
      </c>
      <c r="L54" s="378">
        <f t="shared" si="0"/>
        <v>13728.5</v>
      </c>
      <c r="M54" s="378">
        <f t="shared" si="0"/>
        <v>13842</v>
      </c>
      <c r="N54" s="378">
        <f t="shared" si="0"/>
        <v>13996.245341414435</v>
      </c>
      <c r="O54" s="379">
        <f t="shared" si="0"/>
        <v>14152.436572277475</v>
      </c>
    </row>
    <row r="55" spans="2:16">
      <c r="B55" s="201"/>
      <c r="C55" s="202" t="s">
        <v>36</v>
      </c>
      <c r="D55" s="378">
        <f>D15+D19+D23+D27+D31+D35+D39+D43+D47+D51</f>
        <v>246399921.74362987</v>
      </c>
      <c r="E55" s="378">
        <f t="shared" si="0"/>
        <v>246063440.22173879</v>
      </c>
      <c r="F55" s="378">
        <f t="shared" si="0"/>
        <v>245808892.38861871</v>
      </c>
      <c r="G55" s="378">
        <f t="shared" si="0"/>
        <v>239901486.17552745</v>
      </c>
      <c r="H55" s="378">
        <f t="shared" si="0"/>
        <v>243885874.66650075</v>
      </c>
      <c r="I55" s="378">
        <f t="shared" si="0"/>
        <v>240169968.39850196</v>
      </c>
      <c r="J55" s="378">
        <f t="shared" si="0"/>
        <v>236393259.66249087</v>
      </c>
      <c r="K55" s="378">
        <f t="shared" si="0"/>
        <v>245884780.94421658</v>
      </c>
      <c r="L55" s="378">
        <f t="shared" si="0"/>
        <v>247522436.42196596</v>
      </c>
      <c r="M55" s="378">
        <f t="shared" si="0"/>
        <v>236396878.73257256</v>
      </c>
      <c r="N55" s="378">
        <f t="shared" si="0"/>
        <v>234100473.35614893</v>
      </c>
      <c r="O55" s="379">
        <f>O15+O19+O23+O27+O31+O35+O39+O43+O47+O51</f>
        <v>231701806.91874954</v>
      </c>
      <c r="P55" s="284"/>
    </row>
    <row r="56" spans="2:16" ht="13.5" thickBot="1">
      <c r="B56" s="203"/>
      <c r="C56" s="204" t="s">
        <v>37</v>
      </c>
      <c r="D56" s="380">
        <f>D16+D20+D24+D28+D32+D36+D40+D44+D48+D52</f>
        <v>345918.20000000007</v>
      </c>
      <c r="E56" s="380">
        <f t="shared" si="0"/>
        <v>365469.6</v>
      </c>
      <c r="F56" s="380">
        <f t="shared" si="0"/>
        <v>364887.6</v>
      </c>
      <c r="G56" s="380">
        <f t="shared" si="0"/>
        <v>354496.39999999991</v>
      </c>
      <c r="H56" s="380">
        <f t="shared" si="0"/>
        <v>344229.9</v>
      </c>
      <c r="I56" s="380">
        <f t="shared" si="0"/>
        <v>345707</v>
      </c>
      <c r="J56" s="380">
        <f t="shared" si="0"/>
        <v>334696</v>
      </c>
      <c r="K56" s="380">
        <f t="shared" si="0"/>
        <v>343540.2</v>
      </c>
      <c r="L56" s="380">
        <f t="shared" si="0"/>
        <v>319667.13000000006</v>
      </c>
      <c r="M56" s="380">
        <f t="shared" si="0"/>
        <v>323218.31000000006</v>
      </c>
      <c r="N56" s="380">
        <f t="shared" si="0"/>
        <v>326119.86140117317</v>
      </c>
      <c r="O56" s="381">
        <f t="shared" si="0"/>
        <v>325648.84162192699</v>
      </c>
    </row>
    <row r="57" spans="2:16">
      <c r="O57" s="1"/>
    </row>
    <row r="60" spans="2:16">
      <c r="O60" s="1"/>
    </row>
    <row r="61" spans="2:16">
      <c r="O61" s="1"/>
    </row>
  </sheetData>
  <pageMargins left="0.70866141732283472" right="0.70866141732283472" top="0.74803149606299213" bottom="0.74803149606299213" header="0.31496062992125984" footer="0.31496062992125984"/>
  <pageSetup scale="51"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6"/>
  <sheetViews>
    <sheetView showGridLines="0" zoomScaleNormal="100" workbookViewId="0">
      <selection activeCell="C16" sqref="C16"/>
    </sheetView>
  </sheetViews>
  <sheetFormatPr defaultColWidth="10.5" defaultRowHeight="12.75"/>
  <cols>
    <col min="1" max="1" width="13.6640625" style="48" customWidth="1"/>
    <col min="2" max="2" width="24.5" style="48" customWidth="1"/>
    <col min="3" max="16" width="14.1640625" style="48" customWidth="1"/>
    <col min="17" max="17" width="10.83203125" style="48" customWidth="1"/>
    <col min="18" max="18" width="8.5" style="48" bestFit="1" customWidth="1"/>
    <col min="19" max="19" width="10.6640625" style="48" bestFit="1" customWidth="1"/>
    <col min="20" max="20" width="8.33203125" style="48" bestFit="1" customWidth="1"/>
    <col min="21" max="22" width="9" style="48" bestFit="1" customWidth="1"/>
    <col min="23" max="23" width="10.83203125" style="48" customWidth="1"/>
    <col min="24" max="24" width="9.6640625" style="48" bestFit="1" customWidth="1"/>
    <col min="25" max="25" width="8.5" style="48" bestFit="1" customWidth="1"/>
    <col min="26" max="26" width="9.5" style="48" bestFit="1" customWidth="1"/>
    <col min="27" max="27" width="8.33203125" style="48" bestFit="1" customWidth="1"/>
    <col min="28" max="29" width="9" style="48" bestFit="1" customWidth="1"/>
    <col min="30" max="30" width="10.83203125" style="48" bestFit="1" customWidth="1"/>
    <col min="31" max="31" width="8" style="48" bestFit="1" customWidth="1"/>
    <col min="32" max="32" width="9" style="48" bestFit="1" customWidth="1"/>
    <col min="33" max="16384" width="10.5" style="48"/>
  </cols>
  <sheetData>
    <row r="1" spans="1:16">
      <c r="A1" s="694" t="s">
        <v>257</v>
      </c>
    </row>
    <row r="11" spans="1:16" ht="23.25">
      <c r="B11" s="145" t="s">
        <v>58</v>
      </c>
    </row>
    <row r="12" spans="1:16" ht="13.5" thickBot="1"/>
    <row r="13" spans="1:16" ht="40.5" customHeight="1">
      <c r="B13" s="192"/>
      <c r="C13" s="1214" t="str">
        <f>+'11. Final Load Forecast'!B14</f>
        <v>Residential</v>
      </c>
      <c r="D13" s="1215"/>
      <c r="E13" s="1214" t="str">
        <f>+'11. Final Load Forecast'!B18</f>
        <v>General Service &lt; 50 kW</v>
      </c>
      <c r="F13" s="1215"/>
      <c r="G13" s="1217" t="str">
        <f>+'11. Final Load Forecast'!B22</f>
        <v>General Service &gt; 50 kW - 2999 kW</v>
      </c>
      <c r="H13" s="1218"/>
      <c r="I13" s="1217" t="str">
        <f>+'11. Final Load Forecast'!B26</f>
        <v>Streetlighting</v>
      </c>
      <c r="J13" s="1218"/>
      <c r="K13" s="1217" t="str">
        <f>+'11. Final Load Forecast'!B30</f>
        <v>Sentinel Lighting</v>
      </c>
      <c r="L13" s="1218"/>
      <c r="M13" s="1214" t="str">
        <f>+'11. Final Load Forecast'!B34</f>
        <v>General Service 3000-4999 kW</v>
      </c>
      <c r="N13" s="1215"/>
      <c r="O13" s="1214" t="str">
        <f>+'11. Final Load Forecast'!B38</f>
        <v>Unmetered Scattered Load</v>
      </c>
      <c r="P13" s="1216"/>
    </row>
    <row r="14" spans="1:16" ht="25.5">
      <c r="B14" s="83" t="s">
        <v>33</v>
      </c>
      <c r="C14" s="84" t="s">
        <v>47</v>
      </c>
      <c r="D14" s="84" t="s">
        <v>130</v>
      </c>
      <c r="E14" s="84" t="s">
        <v>47</v>
      </c>
      <c r="F14" s="84" t="s">
        <v>130</v>
      </c>
      <c r="G14" s="84" t="s">
        <v>47</v>
      </c>
      <c r="H14" s="84" t="s">
        <v>130</v>
      </c>
      <c r="I14" s="84" t="s">
        <v>47</v>
      </c>
      <c r="J14" s="84" t="s">
        <v>130</v>
      </c>
      <c r="K14" s="84" t="s">
        <v>47</v>
      </c>
      <c r="L14" s="84" t="s">
        <v>130</v>
      </c>
      <c r="M14" s="84" t="s">
        <v>47</v>
      </c>
      <c r="N14" s="84" t="s">
        <v>130</v>
      </c>
      <c r="O14" s="84" t="s">
        <v>47</v>
      </c>
      <c r="P14" s="85" t="s">
        <v>130</v>
      </c>
    </row>
    <row r="15" spans="1:16">
      <c r="B15" s="193">
        <f>'4. Customer Growth'!B17</f>
        <v>2011</v>
      </c>
      <c r="C15" s="86">
        <f>+'11. Final Load Forecast'!$D$15/'11. Final Load Forecast'!$D$14</f>
        <v>8422.27489911456</v>
      </c>
      <c r="D15" s="86">
        <f>+'11. Final Load Forecast'!$D$16/'11. Final Load Forecast'!$D$14</f>
        <v>0</v>
      </c>
      <c r="E15" s="86">
        <f>+'11. Final Load Forecast'!$D$19/'11. Final Load Forecast'!$D$18</f>
        <v>35085.651019664074</v>
      </c>
      <c r="F15" s="86">
        <f>+'11. Final Load Forecast'!$D$20/'11. Final Load Forecast'!$D$18</f>
        <v>0</v>
      </c>
      <c r="G15" s="86">
        <f>+'11. Final Load Forecast'!$D$23/'11. Final Load Forecast'!$D$22</f>
        <v>918896.68441064644</v>
      </c>
      <c r="H15" s="86">
        <f>+'11. Final Load Forecast'!$D$24/'11. Final Load Forecast'!$D$22</f>
        <v>2282.3520912547533</v>
      </c>
      <c r="I15" s="86">
        <f>+'11. Final Load Forecast'!$D$27/'11. Final Load Forecast'!$D$26</f>
        <v>443.26458861906485</v>
      </c>
      <c r="J15" s="86">
        <f>+'11. Final Load Forecast'!$D$28/'11. Final Load Forecast'!$D$26</f>
        <v>1.2036969916636462</v>
      </c>
      <c r="K15" s="86">
        <f>+'11. Final Load Forecast'!$D$31/'11. Final Load Forecast'!$D$30</f>
        <v>825.62264150943395</v>
      </c>
      <c r="L15" s="86">
        <f>+'11. Final Load Forecast'!$D$32/'11. Final Load Forecast'!$D$30</f>
        <v>2.4905660377358489</v>
      </c>
      <c r="M15" s="86">
        <f>+'11. Final Load Forecast'!$D$35/'11. Final Load Forecast'!$D$34</f>
        <v>15051682</v>
      </c>
      <c r="N15" s="86">
        <f>+'11. Final Load Forecast'!$D$36/'11. Final Load Forecast'!$D$34</f>
        <v>42335.9</v>
      </c>
      <c r="O15" s="86">
        <f>+'11. Final Load Forecast'!$D$39/'11. Final Load Forecast'!$D$39</f>
        <v>1</v>
      </c>
      <c r="P15" s="87">
        <f>+'11. Final Load Forecast'!$D$40/'11. Final Load Forecast'!$D$39</f>
        <v>0</v>
      </c>
    </row>
    <row r="16" spans="1:16">
      <c r="B16" s="193">
        <f>'4. Customer Growth'!B18</f>
        <v>2012</v>
      </c>
      <c r="C16" s="86">
        <f>+'11. Final Load Forecast'!$E$15/'11. Final Load Forecast'!$E$14</f>
        <v>8027.1798729145403</v>
      </c>
      <c r="D16" s="86">
        <f>+'11. Final Load Forecast'!$E$16/'11. Final Load Forecast'!$E$14</f>
        <v>0</v>
      </c>
      <c r="E16" s="86">
        <f>+'11. Final Load Forecast'!$E$19/'11. Final Load Forecast'!$E$18</f>
        <v>30004.239742401423</v>
      </c>
      <c r="F16" s="86">
        <f>+'11. Final Load Forecast'!$E$20/'11. Final Load Forecast'!$E$18</f>
        <v>0</v>
      </c>
      <c r="G16" s="86">
        <f>+'11. Final Load Forecast'!$E$23/'11. Final Load Forecast'!$E$22</f>
        <v>938192.16788321163</v>
      </c>
      <c r="H16" s="86">
        <f>+'11. Final Load Forecast'!$E$24/'11. Final Load Forecast'!$E$22</f>
        <v>2352.8102189781021</v>
      </c>
      <c r="I16" s="86">
        <f>+'11. Final Load Forecast'!$E$27/'11. Final Load Forecast'!$E$26</f>
        <v>436.16274089935763</v>
      </c>
      <c r="J16" s="86">
        <f>+'11. Final Load Forecast'!$E$28/'11. Final Load Forecast'!$E$26</f>
        <v>1.192005710206995</v>
      </c>
      <c r="K16" s="86">
        <f>+'11. Final Load Forecast'!$E$31/'11. Final Load Forecast'!$E$30</f>
        <v>776.62962962962968</v>
      </c>
      <c r="L16" s="86">
        <f>+'11. Final Load Forecast'!$E$32/'11. Final Load Forecast'!$E$30</f>
        <v>2.4444444444444446</v>
      </c>
      <c r="M16" s="86">
        <f>+'11. Final Load Forecast'!$E$35/'11. Final Load Forecast'!$E$34</f>
        <v>15193348</v>
      </c>
      <c r="N16" s="86">
        <f>+'11. Final Load Forecast'!$E$36/'11. Final Load Forecast'!$E$34</f>
        <v>39662.6</v>
      </c>
      <c r="O16" s="86">
        <f>+'11. Final Load Forecast'!$E$39/'11. Final Load Forecast'!$E$38</f>
        <v>6639.862433862434</v>
      </c>
      <c r="P16" s="87">
        <f>+'11. Final Load Forecast'!$E$40/'11. Final Load Forecast'!$E$38</f>
        <v>0</v>
      </c>
    </row>
    <row r="17" spans="2:16">
      <c r="B17" s="193">
        <f>'4. Customer Growth'!B19</f>
        <v>2013</v>
      </c>
      <c r="C17" s="86">
        <f>+'11. Final Load Forecast'!$F$15/'11. Final Load Forecast'!$F$14</f>
        <v>8365.7507646233717</v>
      </c>
      <c r="D17" s="86">
        <f>+'11. Final Load Forecast'!$F$16/'11. Final Load Forecast'!$F$14</f>
        <v>0</v>
      </c>
      <c r="E17" s="86">
        <f>+'11. Final Load Forecast'!$F$19/'11. Final Load Forecast'!$F$18</f>
        <v>30593.176315891193</v>
      </c>
      <c r="F17" s="86">
        <f>+'11. Final Load Forecast'!$F$20/'11. Final Load Forecast'!$F$18</f>
        <v>0</v>
      </c>
      <c r="G17" s="86">
        <f>+'11. Final Load Forecast'!$F$23/'11. Final Load Forecast'!$F$22</f>
        <v>885899.78091872786</v>
      </c>
      <c r="H17" s="86">
        <f>+'11. Final Load Forecast'!$F$24/'11. Final Load Forecast'!$F$22</f>
        <v>2285.7031802120141</v>
      </c>
      <c r="I17" s="86">
        <f>+'11. Final Load Forecast'!$F$27/'11. Final Load Forecast'!$F$26</f>
        <v>436.74109014675054</v>
      </c>
      <c r="J17" s="86">
        <f>+'11. Final Load Forecast'!$F$28/'11. Final Load Forecast'!$F$26</f>
        <v>1.183088749126485</v>
      </c>
      <c r="K17" s="86">
        <f>+'11. Final Load Forecast'!$F$31/'11. Final Load Forecast'!$F$30</f>
        <v>821.38888888888891</v>
      </c>
      <c r="L17" s="86">
        <f>+'11. Final Load Forecast'!$F$32/'11. Final Load Forecast'!$F$30</f>
        <v>2.4444444444444446</v>
      </c>
      <c r="M17" s="86">
        <f>+'11. Final Load Forecast'!$F$35/'11. Final Load Forecast'!$F$34</f>
        <v>13952451</v>
      </c>
      <c r="N17" s="86">
        <f>+'11. Final Load Forecast'!$F$36/'11. Final Load Forecast'!$F$34</f>
        <v>37942.600000000006</v>
      </c>
      <c r="O17" s="86">
        <f>+'11. Final Load Forecast'!$F$39/'11. Final Load Forecast'!$F$38</f>
        <v>7148.6844919786099</v>
      </c>
      <c r="P17" s="87">
        <f>+'11. Final Load Forecast'!$F$40/'11. Final Load Forecast'!$F$38</f>
        <v>0</v>
      </c>
    </row>
    <row r="18" spans="2:16">
      <c r="B18" s="193">
        <f>'4. Customer Growth'!B20</f>
        <v>2014</v>
      </c>
      <c r="C18" s="86">
        <f>+'11. Final Load Forecast'!$G$15/'11. Final Load Forecast'!$G$14</f>
        <v>8483.1821116171286</v>
      </c>
      <c r="D18" s="86">
        <f>+'11. Final Load Forecast'!$G$16/'11. Final Load Forecast'!$G$14</f>
        <v>0</v>
      </c>
      <c r="E18" s="86">
        <f>+'11. Final Load Forecast'!$G$19/'11. Final Load Forecast'!$G$18</f>
        <v>29768.320343196647</v>
      </c>
      <c r="F18" s="86">
        <f>+'11. Final Load Forecast'!$G$20/'11. Final Load Forecast'!$G$18</f>
        <v>0</v>
      </c>
      <c r="G18" s="86">
        <f>+'11. Final Load Forecast'!$G$23/'11. Final Load Forecast'!$G$22</f>
        <v>864754.68115942029</v>
      </c>
      <c r="H18" s="86">
        <f>+'11. Final Load Forecast'!$G$24/'11. Final Load Forecast'!$G$22</f>
        <v>2277.9144927536227</v>
      </c>
      <c r="I18" s="86">
        <f>+'11. Final Load Forecast'!$G$27/'11. Final Load Forecast'!$G$26</f>
        <v>477.69665907365226</v>
      </c>
      <c r="J18" s="86">
        <f>+'11. Final Load Forecast'!$G$28/'11. Final Load Forecast'!$G$26</f>
        <v>1.2940774487471525</v>
      </c>
      <c r="K18" s="86">
        <f>+'11. Final Load Forecast'!$G$31/'11. Final Load Forecast'!$G$30</f>
        <v>795.24074074074076</v>
      </c>
      <c r="L18" s="86">
        <f>+'11. Final Load Forecast'!$G$32/'11. Final Load Forecast'!$G$30</f>
        <v>2.4444444444444446</v>
      </c>
      <c r="M18" s="86">
        <f>+'11. Final Load Forecast'!$G$35/'11. Final Load Forecast'!$G$34</f>
        <v>12584229</v>
      </c>
      <c r="N18" s="86">
        <f>+'11. Final Load Forecast'!$G$36/'11. Final Load Forecast'!$G$34</f>
        <v>36603.599999999999</v>
      </c>
      <c r="O18" s="86">
        <f>+'11. Final Load Forecast'!$G$39/'11. Final Load Forecast'!$G$38</f>
        <v>5973.6344086021509</v>
      </c>
      <c r="P18" s="87">
        <f>+'11. Final Load Forecast'!$G$40/'11. Final Load Forecast'!$G$38</f>
        <v>0</v>
      </c>
    </row>
    <row r="19" spans="2:16">
      <c r="B19" s="193">
        <f>'4. Customer Growth'!B21</f>
        <v>2015</v>
      </c>
      <c r="C19" s="86">
        <f>+'11. Final Load Forecast'!$H$15/'11. Final Load Forecast'!$H$14</f>
        <v>8852.9151363928395</v>
      </c>
      <c r="D19" s="86">
        <f>+'11. Final Load Forecast'!$H$16/'11. Final Load Forecast'!$H$14</f>
        <v>0</v>
      </c>
      <c r="E19" s="86">
        <f>+'11. Final Load Forecast'!$H$19/'11. Final Load Forecast'!$H$18</f>
        <v>30173.492974153487</v>
      </c>
      <c r="F19" s="86">
        <f>+'11. Final Load Forecast'!$H$20/'11. Final Load Forecast'!$H$18</f>
        <v>0</v>
      </c>
      <c r="G19" s="86">
        <f>+'11. Final Load Forecast'!$H$23/'11. Final Load Forecast'!$H$22</f>
        <v>863327.95522388059</v>
      </c>
      <c r="H19" s="86">
        <f>+'11. Final Load Forecast'!$H$24/'11. Final Load Forecast'!$H$22</f>
        <v>2289.6597014925374</v>
      </c>
      <c r="I19" s="86">
        <f>+'11. Final Load Forecast'!$H$27/'11. Final Load Forecast'!$H$26</f>
        <v>534.49628804751296</v>
      </c>
      <c r="J19" s="86">
        <f>+'11. Final Load Forecast'!$H$28/'11. Final Load Forecast'!$H$26</f>
        <v>1.2680029695619897</v>
      </c>
      <c r="K19" s="86">
        <f>+'11. Final Load Forecast'!$H$31/'11. Final Load Forecast'!$H$30</f>
        <v>811.44444444444446</v>
      </c>
      <c r="L19" s="86">
        <f>+'11. Final Load Forecast'!$H$32/'11. Final Load Forecast'!$H$30</f>
        <v>2.4444444444444446</v>
      </c>
      <c r="M19" s="86">
        <f>+'11. Final Load Forecast'!$H$35/'11. Final Load Forecast'!$H$34</f>
        <v>14943860</v>
      </c>
      <c r="N19" s="86">
        <f>+'11. Final Load Forecast'!$H$36/'11. Final Load Forecast'!$H$34</f>
        <v>33867.5</v>
      </c>
      <c r="O19" s="86">
        <f>+'11. Final Load Forecast'!$H$39/'11. Final Load Forecast'!$H$38</f>
        <v>6691.4222222222224</v>
      </c>
      <c r="P19" s="87">
        <f>+'11. Final Load Forecast'!$H$40/'11. Final Load Forecast'!$H$38</f>
        <v>0</v>
      </c>
    </row>
    <row r="20" spans="2:16">
      <c r="B20" s="193">
        <f>'4. Customer Growth'!B22</f>
        <v>2016</v>
      </c>
      <c r="C20" s="86">
        <f>+'11. Final Load Forecast'!$I$15/'11. Final Load Forecast'!$I$14</f>
        <v>9650.3846611022072</v>
      </c>
      <c r="D20" s="86">
        <f>+'11. Final Load Forecast'!$I$16/'11. Final Load Forecast'!$I$14</f>
        <v>0</v>
      </c>
      <c r="E20" s="86">
        <f>+'11. Final Load Forecast'!$I$19/'11. Final Load Forecast'!$I$18</f>
        <v>29318.195052670057</v>
      </c>
      <c r="F20" s="86">
        <f>+'11. Final Load Forecast'!$I$20/'11. Final Load Forecast'!$I$18</f>
        <v>0</v>
      </c>
      <c r="G20" s="86">
        <f>+'11. Final Load Forecast'!$I$23/'11. Final Load Forecast'!$I$22</f>
        <v>776610.51492537314</v>
      </c>
      <c r="H20" s="86">
        <f>+'11. Final Load Forecast'!$I$24/'11. Final Load Forecast'!$I$22</f>
        <v>2279.3656716417909</v>
      </c>
      <c r="I20" s="86">
        <f>+'11. Final Load Forecast'!$I$27/'11. Final Load Forecast'!$I$26</f>
        <v>433.8065034122842</v>
      </c>
      <c r="J20" s="86">
        <f>+'11. Final Load Forecast'!$I$28/'11. Final Load Forecast'!$I$26</f>
        <v>1.1706142111601767</v>
      </c>
      <c r="K20" s="86">
        <f>+'11. Final Load Forecast'!$I$31/'11. Final Load Forecast'!$I$30</f>
        <v>945.5400000000003</v>
      </c>
      <c r="L20" s="86">
        <f>+'11. Final Load Forecast'!$I$32/'11. Final Load Forecast'!$I$30</f>
        <v>2.75</v>
      </c>
      <c r="M20" s="86">
        <f>+'11. Final Load Forecast'!$I$35/'11. Final Load Forecast'!$I$34</f>
        <v>15890466</v>
      </c>
      <c r="N20" s="86">
        <f>+'11. Final Load Forecast'!$I$36/'11. Final Load Forecast'!$I$34</f>
        <v>37224</v>
      </c>
      <c r="O20" s="86">
        <f>+'11. Final Load Forecast'!$I$39/'11. Final Load Forecast'!$I$38</f>
        <v>7212.8470588235296</v>
      </c>
      <c r="P20" s="87">
        <f>+'11. Final Load Forecast'!$I$40/'11. Final Load Forecast'!$I$38</f>
        <v>0</v>
      </c>
    </row>
    <row r="21" spans="2:16">
      <c r="B21" s="193">
        <f>'4. Customer Growth'!B23</f>
        <v>2017</v>
      </c>
      <c r="C21" s="86">
        <f>+'11. Final Load Forecast'!$J$15/'11. Final Load Forecast'!$J$14</f>
        <v>8974.7372344886662</v>
      </c>
      <c r="D21" s="86">
        <f>+'11. Final Load Forecast'!$J$16/'11. Final Load Forecast'!$J$14</f>
        <v>0</v>
      </c>
      <c r="E21" s="86">
        <f>+'11. Final Load Forecast'!$J$19/'11. Final Load Forecast'!$J$18</f>
        <v>29511.863429892877</v>
      </c>
      <c r="F21" s="86">
        <f>+'11. Final Load Forecast'!$J$20/'11. Final Load Forecast'!$J$18</f>
        <v>0</v>
      </c>
      <c r="G21" s="86">
        <f>+'11. Final Load Forecast'!$J$23/'11. Final Load Forecast'!$J$22</f>
        <v>780847.19540229882</v>
      </c>
      <c r="H21" s="86">
        <f>+'11. Final Load Forecast'!$J$24/'11. Final Load Forecast'!$J$22</f>
        <v>2239.5632183908046</v>
      </c>
      <c r="I21" s="86">
        <f>+'11. Final Load Forecast'!$J$27/'11. Final Load Forecast'!$J$26</f>
        <v>415.45082915541843</v>
      </c>
      <c r="J21" s="86">
        <f>+'11. Final Load Forecast'!$J$28/'11. Final Load Forecast'!$J$26</f>
        <v>1.1245661396066333</v>
      </c>
      <c r="K21" s="86">
        <f>+'11. Final Load Forecast'!$J$31/'11. Final Load Forecast'!$J$30</f>
        <v>945.5400000000003</v>
      </c>
      <c r="L21" s="86">
        <f>+'11. Final Load Forecast'!$J$32/'11. Final Load Forecast'!$J$30</f>
        <v>2.75</v>
      </c>
      <c r="M21" s="86">
        <f>+'11. Final Load Forecast'!$J$35/'11. Final Load Forecast'!$J$34</f>
        <v>18956591</v>
      </c>
      <c r="N21" s="86">
        <f>+'11. Final Load Forecast'!$J$36/'11. Final Load Forecast'!$J$34</f>
        <v>39385</v>
      </c>
      <c r="O21" s="86">
        <f>+'11. Final Load Forecast'!$J$39/'11. Final Load Forecast'!$J$38</f>
        <v>7329.0714285714284</v>
      </c>
      <c r="P21" s="87">
        <f>+'11. Final Load Forecast'!$J$40/'11. Final Load Forecast'!$J$38</f>
        <v>0</v>
      </c>
    </row>
    <row r="22" spans="2:16">
      <c r="B22" s="193">
        <f>'4. Customer Growth'!B24</f>
        <v>2018</v>
      </c>
      <c r="C22" s="86">
        <f>+'11. Final Load Forecast'!$K$15/'11. Final Load Forecast'!$K$14</f>
        <v>8423.1155813698042</v>
      </c>
      <c r="D22" s="86">
        <f>+'11. Final Load Forecast'!$K$16/'11. Final Load Forecast'!$K$14</f>
        <v>0</v>
      </c>
      <c r="E22" s="86">
        <f>+'11. Final Load Forecast'!$K$19/'11. Final Load Forecast'!$K$18</f>
        <v>31421.170906382671</v>
      </c>
      <c r="F22" s="86">
        <f>+'11. Final Load Forecast'!$K$20/'11. Final Load Forecast'!$K$18</f>
        <v>0</v>
      </c>
      <c r="G22" s="86">
        <f>+'11. Final Load Forecast'!$K$23/'11. Final Load Forecast'!$K$22</f>
        <v>925276.14564315346</v>
      </c>
      <c r="H22" s="86">
        <f>+'11. Final Load Forecast'!$K$24/'11. Final Load Forecast'!$K$22</f>
        <v>2469.1402489626557</v>
      </c>
      <c r="I22" s="86">
        <f>+'11. Final Load Forecast'!$K$27/'11. Final Load Forecast'!$K$26</f>
        <v>383.1767400881057</v>
      </c>
      <c r="J22" s="86">
        <f>+'11. Final Load Forecast'!$K$28/'11. Final Load Forecast'!$K$26</f>
        <v>1.0276651982378855</v>
      </c>
      <c r="K22" s="86">
        <f>+'11. Final Load Forecast'!$K$31/'11. Final Load Forecast'!$K$30</f>
        <v>941.16884210526314</v>
      </c>
      <c r="L22" s="86">
        <f>+'11. Final Load Forecast'!$K$32/'11. Final Load Forecast'!$K$30</f>
        <v>2.7789473684210528</v>
      </c>
      <c r="M22" s="86">
        <f>+'11. Final Load Forecast'!$K$35/'11. Final Load Forecast'!$K$34</f>
        <v>20169223</v>
      </c>
      <c r="N22" s="86">
        <f>+'11. Final Load Forecast'!$K$36/'11. Final Load Forecast'!$K$34</f>
        <v>42960.800000000003</v>
      </c>
      <c r="O22" s="86">
        <f>+'11. Final Load Forecast'!$K$39/'11. Final Load Forecast'!$K$38</f>
        <v>7309.7142857142853</v>
      </c>
      <c r="P22" s="87">
        <f>+'11. Final Load Forecast'!$K$40/'11. Final Load Forecast'!$K$38</f>
        <v>0</v>
      </c>
    </row>
    <row r="23" spans="2:16">
      <c r="B23" s="193">
        <f>'4. Customer Growth'!B25</f>
        <v>2019</v>
      </c>
      <c r="C23" s="86">
        <f>+'11. Final Load Forecast'!$L$15/'11. Final Load Forecast'!$L$14</f>
        <v>8313.1666763168978</v>
      </c>
      <c r="D23" s="86">
        <f>+'11. Final Load Forecast'!$L$16/'11. Final Load Forecast'!$L$14</f>
        <v>0</v>
      </c>
      <c r="E23" s="86">
        <f>+'11. Final Load Forecast'!$L$19/'11. Final Load Forecast'!$L$18</f>
        <v>31297.234154880778</v>
      </c>
      <c r="F23" s="86">
        <f>+'11. Final Load Forecast'!$L$20/'11. Final Load Forecast'!$L$18</f>
        <v>0</v>
      </c>
      <c r="G23" s="86">
        <f>+'11. Final Load Forecast'!$L$23/'11. Final Load Forecast'!$L$22</f>
        <v>1012322.0175438597</v>
      </c>
      <c r="H23" s="86">
        <f>+'11. Final Load Forecast'!$L$24/'11. Final Load Forecast'!$L$22</f>
        <v>2441.924824561404</v>
      </c>
      <c r="I23" s="86">
        <f>+'11. Final Load Forecast'!$L$27/'11. Final Load Forecast'!$L$26</f>
        <v>349.53406878650225</v>
      </c>
      <c r="J23" s="86">
        <f>+'11. Final Load Forecast'!$L$28/'11. Final Load Forecast'!$L$26</f>
        <v>0.94613887086307591</v>
      </c>
      <c r="K23" s="86">
        <f>+'11. Final Load Forecast'!$L$31/'11. Final Load Forecast'!$L$30</f>
        <v>953.58967741935476</v>
      </c>
      <c r="L23" s="86">
        <f>+'11. Final Load Forecast'!$L$32/'11. Final Load Forecast'!$L$30</f>
        <v>2.838709677419355</v>
      </c>
      <c r="M23" s="86">
        <f>+'11. Final Load Forecast'!$L$35/'11. Final Load Forecast'!$L$34</f>
        <v>17917827</v>
      </c>
      <c r="N23" s="86">
        <f>+'11. Final Load Forecast'!$L$36/'11. Final Load Forecast'!$L$34</f>
        <v>38239.699999999997</v>
      </c>
      <c r="O23" s="86">
        <f>+'11. Final Load Forecast'!$L$39/'11. Final Load Forecast'!$L$38</f>
        <v>7352.2155688622752</v>
      </c>
      <c r="P23" s="87">
        <f>+'11. Final Load Forecast'!$L$40/'11. Final Load Forecast'!$L$38</f>
        <v>0</v>
      </c>
    </row>
    <row r="24" spans="2:16">
      <c r="B24" s="193">
        <f>'4. Customer Growth'!B26</f>
        <v>2020</v>
      </c>
      <c r="C24" s="86">
        <f>+'11. Final Load Forecast'!$M$15/'11. Final Load Forecast'!$M$14</f>
        <v>8110.2224338940741</v>
      </c>
      <c r="D24" s="86">
        <f>+'11. Final Load Forecast'!$M$16/'11. Final Load Forecast'!$M$14</f>
        <v>0</v>
      </c>
      <c r="E24" s="86">
        <f>+'11. Final Load Forecast'!$M$19/'11. Final Load Forecast'!$M$18</f>
        <v>29284.979377262905</v>
      </c>
      <c r="F24" s="86">
        <f>+'11. Final Load Forecast'!$M$20/'11. Final Load Forecast'!$M$18</f>
        <v>0</v>
      </c>
      <c r="G24" s="86">
        <f>+'11. Final Load Forecast'!$M$23/'11. Final Load Forecast'!$M$22</f>
        <v>968690.04566210043</v>
      </c>
      <c r="H24" s="86">
        <f>+'11. Final Load Forecast'!$M$24/'11. Final Load Forecast'!$M$22</f>
        <v>2544.4512328767128</v>
      </c>
      <c r="I24" s="86">
        <f>+'11. Final Load Forecast'!$M$27/'11. Final Load Forecast'!$M$26</f>
        <v>350.6203763789747</v>
      </c>
      <c r="J24" s="86">
        <f>+'11. Final Load Forecast'!$M$28/'11. Final Load Forecast'!$M$26</f>
        <v>0.94613887086307591</v>
      </c>
      <c r="K24" s="86">
        <f>+'11. Final Load Forecast'!$M$31/'11. Final Load Forecast'!$M$30</f>
        <v>884.44800000000021</v>
      </c>
      <c r="L24" s="86">
        <f>+'11. Final Load Forecast'!$M$32/'11. Final Load Forecast'!$M$30</f>
        <v>2.64</v>
      </c>
      <c r="M24" s="86">
        <f>+'11. Final Load Forecast'!$M$35/'11. Final Load Forecast'!$M$34</f>
        <v>19292259</v>
      </c>
      <c r="N24" s="86">
        <f>+'11. Final Load Forecast'!$M$36/'11. Final Load Forecast'!$M$34</f>
        <v>41552.9</v>
      </c>
      <c r="O24" s="86">
        <f>+'11. Final Load Forecast'!$M$39/'11. Final Load Forecast'!$M$38</f>
        <v>7411.2606060606058</v>
      </c>
      <c r="P24" s="87">
        <f>+'11. Final Load Forecast'!$M$40/'11. Final Load Forecast'!$M$38</f>
        <v>0</v>
      </c>
    </row>
    <row r="25" spans="2:16">
      <c r="B25" s="194" t="str">
        <f>'4. Customer Growth'!B30</f>
        <v>2021</v>
      </c>
      <c r="C25" s="86">
        <f>+'11. Final Load Forecast'!$N$15/'11. Final Load Forecast'!$N$14</f>
        <v>7935.8578605378079</v>
      </c>
      <c r="D25" s="86">
        <f>+'11. Final Load Forecast'!$N$16/'11. Final Load Forecast'!$N$14</f>
        <v>0</v>
      </c>
      <c r="E25" s="86">
        <f>+'11. Final Load Forecast'!$N$19/'11. Final Load Forecast'!$N$18</f>
        <v>28822.796679163213</v>
      </c>
      <c r="F25" s="86">
        <f>+'11. Final Load Forecast'!$N$20/'11. Final Load Forecast'!$N$18</f>
        <v>0</v>
      </c>
      <c r="G25" s="86">
        <f>+'11. Final Load Forecast'!$N$23/'11. Final Load Forecast'!$N$22</f>
        <v>978993.96969145117</v>
      </c>
      <c r="H25" s="86">
        <f>+'11. Final Load Forecast'!$N$24/'11. Final Load Forecast'!$N$22</f>
        <v>2581.4684253233663</v>
      </c>
      <c r="I25" s="86">
        <f>+'11. Final Load Forecast'!$N$27/'11. Final Load Forecast'!$N$26</f>
        <v>342.96940454621154</v>
      </c>
      <c r="J25" s="86">
        <f>+'11. Final Load Forecast'!$N$28/'11. Final Load Forecast'!$N$26</f>
        <v>0.9168021963663181</v>
      </c>
      <c r="K25" s="86">
        <f>+'11. Final Load Forecast'!$N$31/'11. Final Load Forecast'!$N$30</f>
        <v>881.54527261186468</v>
      </c>
      <c r="L25" s="86">
        <f>+'11. Final Load Forecast'!$N$32/'11. Final Load Forecast'!$N$30</f>
        <v>2.640898392578821</v>
      </c>
      <c r="M25" s="86">
        <f>+'11. Final Load Forecast'!$N$35/'11. Final Load Forecast'!$N$34</f>
        <v>19104850.234163143</v>
      </c>
      <c r="N25" s="86">
        <f>+'11. Final Load Forecast'!$N$36/'11. Final Load Forecast'!$N$34</f>
        <v>46149.451117157194</v>
      </c>
      <c r="O25" s="86">
        <f>+'11. Final Load Forecast'!$N$39/'11. Final Load Forecast'!$N$38</f>
        <v>7463.897561372627</v>
      </c>
      <c r="P25" s="87">
        <f>+'11. Final Load Forecast'!$N$40/'11. Final Load Forecast'!$N$38</f>
        <v>0</v>
      </c>
    </row>
    <row r="26" spans="2:16" ht="13.5" thickBot="1">
      <c r="B26" s="195" t="str">
        <f>'4. Customer Growth'!B31</f>
        <v>2022</v>
      </c>
      <c r="C26" s="88">
        <f>+'11. Final Load Forecast'!$O$15/'11. Final Load Forecast'!$O$14</f>
        <v>7761.0694649757825</v>
      </c>
      <c r="D26" s="88">
        <f>+'11. Final Load Forecast'!$O$16/'11. Final Load Forecast'!$O$14</f>
        <v>0</v>
      </c>
      <c r="E26" s="88">
        <f>+'11. Final Load Forecast'!$O$19/'11. Final Load Forecast'!$O$18</f>
        <v>28352.665146654705</v>
      </c>
      <c r="F26" s="88">
        <f>+'11. Final Load Forecast'!$O$20/'11. Final Load Forecast'!$O$18</f>
        <v>0</v>
      </c>
      <c r="G26" s="88">
        <f>+'11. Final Load Forecast'!$O$23/'11. Final Load Forecast'!$O$22</f>
        <v>988875.85138570517</v>
      </c>
      <c r="H26" s="88">
        <f>+'11. Final Load Forecast'!$O$24/'11. Final Load Forecast'!$O$22</f>
        <v>2607.5255476001639</v>
      </c>
      <c r="I26" s="88">
        <f>+'11. Final Load Forecast'!$O$27/'11. Final Load Forecast'!$O$26</f>
        <v>335.30511784756737</v>
      </c>
      <c r="J26" s="88">
        <f>+'11. Final Load Forecast'!$O$28/'11. Final Load Forecast'!$O$26</f>
        <v>0.89631455290379058</v>
      </c>
      <c r="K26" s="88">
        <f>+'11. Final Load Forecast'!$O$31/'11. Final Load Forecast'!$O$30</f>
        <v>878.17993997900919</v>
      </c>
      <c r="L26" s="88">
        <f>+'11. Final Load Forecast'!$O$32/'11. Final Load Forecast'!$O$30</f>
        <v>2.6308166624434306</v>
      </c>
      <c r="M26" s="88">
        <f>+'11. Final Load Forecast'!$O$35/'11. Final Load Forecast'!$O$34</f>
        <v>18909095.982190695</v>
      </c>
      <c r="N26" s="88">
        <f>+'11. Final Load Forecast'!$O$36/'11. Final Load Forecast'!$O$34</f>
        <v>48547.095450313398</v>
      </c>
      <c r="O26" s="88">
        <f>+'11. Final Load Forecast'!$O$39/'11. Final Load Forecast'!$O$38</f>
        <v>7512.869250053378</v>
      </c>
      <c r="P26" s="89">
        <f>+'11. Final Load Forecast'!$O$40/'11. Final Load Forecast'!$O$38</f>
        <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23"/>
  <sheetViews>
    <sheetView showGridLines="0" topLeftCell="A13" workbookViewId="0">
      <selection activeCell="T31" sqref="T31"/>
    </sheetView>
  </sheetViews>
  <sheetFormatPr defaultColWidth="10.5" defaultRowHeight="12.75"/>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s="514" customFormat="1">
      <c r="A1" s="694" t="s">
        <v>257</v>
      </c>
    </row>
    <row r="2" spans="1:8" s="514" customFormat="1"/>
    <row r="3" spans="1:8" s="514" customFormat="1"/>
    <row r="4" spans="1:8" s="514" customFormat="1"/>
    <row r="5" spans="1:8" s="514" customFormat="1"/>
    <row r="6" spans="1:8" s="514" customFormat="1"/>
    <row r="7" spans="1:8" s="514" customFormat="1"/>
    <row r="8" spans="1:8" s="514" customFormat="1"/>
    <row r="9" spans="1:8" s="514" customFormat="1"/>
    <row r="11" spans="1:8" ht="23.25">
      <c r="B11" s="124" t="s">
        <v>101</v>
      </c>
    </row>
    <row r="12" spans="1:8" ht="15">
      <c r="B12" s="2"/>
    </row>
    <row r="13" spans="1:8" ht="13.5" thickBot="1">
      <c r="B13" s="50"/>
      <c r="C13" s="136" t="s">
        <v>30</v>
      </c>
      <c r="D13" s="136"/>
      <c r="E13" s="136"/>
      <c r="F13" s="136"/>
    </row>
    <row r="14" spans="1:8" ht="13.5" thickBot="1">
      <c r="B14" s="1219" t="str">
        <f>+'11. Final Load Forecast'!B14</f>
        <v>Residential</v>
      </c>
      <c r="C14" s="1220"/>
      <c r="D14" s="1220"/>
      <c r="E14" s="1220"/>
      <c r="F14" s="1220"/>
      <c r="G14" s="1220"/>
      <c r="H14" s="1221"/>
    </row>
    <row r="15" spans="1:8" ht="13.5" thickBot="1">
      <c r="B15" s="73" t="s">
        <v>33</v>
      </c>
      <c r="C15" s="464" t="s">
        <v>48</v>
      </c>
      <c r="D15" s="465" t="s">
        <v>61</v>
      </c>
      <c r="E15" s="466" t="s">
        <v>36</v>
      </c>
      <c r="F15" s="465" t="s">
        <v>61</v>
      </c>
      <c r="G15" s="466" t="s">
        <v>37</v>
      </c>
      <c r="H15" s="467" t="s">
        <v>61</v>
      </c>
    </row>
    <row r="16" spans="1:8">
      <c r="B16" s="74">
        <v>2003</v>
      </c>
      <c r="C16" s="462">
        <f>'11. Final Load Forecast'!$D$14</f>
        <v>8425</v>
      </c>
      <c r="D16" s="462"/>
      <c r="E16" s="462">
        <f>+'11. Final Load Forecast'!$D$15</f>
        <v>70957666.025040165</v>
      </c>
      <c r="F16" s="462"/>
      <c r="G16" s="462">
        <f>+'11. Final Load Forecast'!$D$16</f>
        <v>0</v>
      </c>
      <c r="H16" s="463"/>
    </row>
    <row r="17" spans="2:30">
      <c r="B17" s="75">
        <v>2004</v>
      </c>
      <c r="C17" s="86">
        <f>'11. Final Load Forecast'!$E$14</f>
        <v>8525</v>
      </c>
      <c r="D17" s="177">
        <f t="shared" ref="D17:D27" si="0">(C17-C16)/C16</f>
        <v>1.1869436201780416E-2</v>
      </c>
      <c r="E17" s="86">
        <f>+'11. Final Load Forecast'!$E$15</f>
        <v>68431708.416596457</v>
      </c>
      <c r="F17" s="177">
        <f t="shared" ref="F17:F27" si="1">(E17-E16)/E16</f>
        <v>-3.5598093200420726E-2</v>
      </c>
      <c r="G17" s="86">
        <f>+'11. Final Load Forecast'!$E$16</f>
        <v>0</v>
      </c>
      <c r="H17" s="470" t="e">
        <f t="shared" ref="H17:H27" si="2">(G17-G16)/G16</f>
        <v>#DIV/0!</v>
      </c>
    </row>
    <row r="18" spans="2:30">
      <c r="B18" s="75">
        <v>2005</v>
      </c>
      <c r="C18" s="86">
        <f>'11. Final Load Forecast'!$F$14</f>
        <v>8627</v>
      </c>
      <c r="D18" s="177">
        <f t="shared" si="0"/>
        <v>1.1964809384164223E-2</v>
      </c>
      <c r="E18" s="86">
        <f>+'11. Final Load Forecast'!$F$15</f>
        <v>72171331.846405834</v>
      </c>
      <c r="F18" s="177">
        <f t="shared" si="1"/>
        <v>5.4647524025608303E-2</v>
      </c>
      <c r="G18" s="86">
        <f>+'11. Final Load Forecast'!$F$16</f>
        <v>0</v>
      </c>
      <c r="H18" s="470" t="e">
        <f t="shared" si="2"/>
        <v>#DIV/0!</v>
      </c>
    </row>
    <row r="19" spans="2:30">
      <c r="B19" s="75">
        <v>2006</v>
      </c>
      <c r="C19" s="86">
        <f>'11. Final Load Forecast'!$G$14</f>
        <v>8760.5</v>
      </c>
      <c r="D19" s="177">
        <f t="shared" si="0"/>
        <v>1.5474672539700939E-2</v>
      </c>
      <c r="E19" s="86">
        <f>+'11. Final Load Forecast'!$G$15</f>
        <v>74316916.888821855</v>
      </c>
      <c r="F19" s="177">
        <f t="shared" si="1"/>
        <v>2.9729048744482501E-2</v>
      </c>
      <c r="G19" s="86">
        <f>+'11. Final Load Forecast'!$G$16</f>
        <v>0</v>
      </c>
      <c r="H19" s="470" t="e">
        <f t="shared" si="2"/>
        <v>#DIV/0!</v>
      </c>
    </row>
    <row r="20" spans="2:30">
      <c r="B20" s="76">
        <v>2007</v>
      </c>
      <c r="C20" s="86">
        <f>'11. Final Load Forecast'!$H$14</f>
        <v>8885</v>
      </c>
      <c r="D20" s="177">
        <f t="shared" si="0"/>
        <v>1.4211517607442497E-2</v>
      </c>
      <c r="E20" s="86">
        <f>+'11. Final Load Forecast'!$H$15</f>
        <v>78658150.986850381</v>
      </c>
      <c r="F20" s="177">
        <f t="shared" si="1"/>
        <v>5.8415153369763897E-2</v>
      </c>
      <c r="G20" s="86">
        <f>+'11. Final Load Forecast'!$H$16</f>
        <v>0</v>
      </c>
      <c r="H20" s="470" t="e">
        <f t="shared" si="2"/>
        <v>#DIV/0!</v>
      </c>
    </row>
    <row r="21" spans="2:30">
      <c r="B21" s="76">
        <v>2008</v>
      </c>
      <c r="C21" s="86">
        <f>'11. Final Load Forecast'!$I$14</f>
        <v>8988</v>
      </c>
      <c r="D21" s="177">
        <f t="shared" si="0"/>
        <v>1.1592571750140687E-2</v>
      </c>
      <c r="E21" s="86">
        <f>+'11. Final Load Forecast'!$I$15</f>
        <v>86737657.33398664</v>
      </c>
      <c r="F21" s="177">
        <f t="shared" si="1"/>
        <v>0.10271670825935057</v>
      </c>
      <c r="G21" s="86">
        <f>+'11. Final Load Forecast'!$I$16</f>
        <v>0</v>
      </c>
      <c r="H21" s="470" t="e">
        <f t="shared" si="2"/>
        <v>#DIV/0!</v>
      </c>
    </row>
    <row r="22" spans="2:30">
      <c r="B22" s="76">
        <v>2009</v>
      </c>
      <c r="C22" s="86">
        <f>'11. Final Load Forecast'!$J$14</f>
        <v>9072.5</v>
      </c>
      <c r="D22" s="177">
        <f t="shared" si="0"/>
        <v>9.4014241210502898E-3</v>
      </c>
      <c r="E22" s="86">
        <f>+'11. Final Load Forecast'!$J$15</f>
        <v>81423303.559898421</v>
      </c>
      <c r="F22" s="177">
        <f t="shared" si="1"/>
        <v>-6.1269279542852974E-2</v>
      </c>
      <c r="G22" s="86">
        <f>+'11. Final Load Forecast'!$J$16</f>
        <v>0</v>
      </c>
      <c r="H22" s="470" t="e">
        <f t="shared" si="2"/>
        <v>#DIV/0!</v>
      </c>
    </row>
    <row r="23" spans="2:30">
      <c r="B23" s="76">
        <v>2010</v>
      </c>
      <c r="C23" s="86">
        <f>'11. Final Load Forecast'!$K$14</f>
        <v>9175</v>
      </c>
      <c r="D23" s="177">
        <f t="shared" si="0"/>
        <v>1.1297878203361807E-2</v>
      </c>
      <c r="E23" s="86">
        <f>+'11. Final Load Forecast'!$K$15</f>
        <v>77282085.459067956</v>
      </c>
      <c r="F23" s="177">
        <f t="shared" si="1"/>
        <v>-5.0860354711400414E-2</v>
      </c>
      <c r="G23" s="86">
        <f>+'11. Final Load Forecast'!$K$16</f>
        <v>0</v>
      </c>
      <c r="H23" s="470" t="e">
        <f t="shared" si="2"/>
        <v>#DIV/0!</v>
      </c>
    </row>
    <row r="24" spans="2:30">
      <c r="B24" s="76">
        <v>2011</v>
      </c>
      <c r="C24" s="86">
        <f>'11. Final Load Forecast'!$L$14</f>
        <v>9270.5</v>
      </c>
      <c r="D24" s="177">
        <f t="shared" si="0"/>
        <v>1.0408719346049046E-2</v>
      </c>
      <c r="E24" s="86">
        <f>+'11. Final Load Forecast'!$L$15</f>
        <v>77067211.672795802</v>
      </c>
      <c r="F24" s="177">
        <f t="shared" si="1"/>
        <v>-2.7803828661683828E-3</v>
      </c>
      <c r="G24" s="86">
        <f>+'11. Final Load Forecast'!$L$16</f>
        <v>0</v>
      </c>
      <c r="H24" s="470" t="e">
        <f t="shared" si="2"/>
        <v>#DIV/0!</v>
      </c>
    </row>
    <row r="25" spans="2:30">
      <c r="B25" s="76">
        <v>2012</v>
      </c>
      <c r="C25" s="86">
        <f>'11. Final Load Forecast'!$M$14</f>
        <v>9383.5</v>
      </c>
      <c r="D25" s="177">
        <f t="shared" si="0"/>
        <v>1.2189202308397606E-2</v>
      </c>
      <c r="E25" s="86">
        <f>+'11. Final Load Forecast'!$M$15</f>
        <v>76102272.208445042</v>
      </c>
      <c r="F25" s="177">
        <f t="shared" si="1"/>
        <v>-1.2520752255156222E-2</v>
      </c>
      <c r="G25" s="86">
        <f>+'11. Final Load Forecast'!$M$16</f>
        <v>0</v>
      </c>
      <c r="H25" s="470" t="e">
        <f t="shared" si="2"/>
        <v>#DIV/0!</v>
      </c>
    </row>
    <row r="26" spans="2:30">
      <c r="B26" s="77">
        <v>2013</v>
      </c>
      <c r="C26" s="86">
        <f>'11. Final Load Forecast'!$N$14</f>
        <v>9496.5158425198933</v>
      </c>
      <c r="D26" s="178">
        <f t="shared" si="0"/>
        <v>1.2044103215206835E-2</v>
      </c>
      <c r="E26" s="86">
        <f>+'11. Final Load Forecast'!$N$15</f>
        <v>75362999.896583319</v>
      </c>
      <c r="F26" s="178">
        <f t="shared" si="1"/>
        <v>-9.7141949958714485E-3</v>
      </c>
      <c r="G26" s="86">
        <f>+'11. Final Load Forecast'!$N$16</f>
        <v>0</v>
      </c>
      <c r="H26" s="471" t="e">
        <f t="shared" si="2"/>
        <v>#DIV/0!</v>
      </c>
      <c r="AC26" s="1" t="s">
        <v>30</v>
      </c>
      <c r="AD26" s="1" t="s">
        <v>30</v>
      </c>
    </row>
    <row r="27" spans="2:30" ht="13.5" thickBot="1">
      <c r="B27" s="78">
        <v>2014</v>
      </c>
      <c r="C27" s="88">
        <f>'11. Final Load Forecast'!$O$14</f>
        <v>9610.8928595120487</v>
      </c>
      <c r="D27" s="179">
        <f t="shared" si="0"/>
        <v>1.2044103215206721E-2</v>
      </c>
      <c r="E27" s="88">
        <f>+'11. Final Load Forecast'!$O$15</f>
        <v>74590807.103112742</v>
      </c>
      <c r="F27" s="179">
        <f t="shared" si="1"/>
        <v>-1.0246311778063719E-2</v>
      </c>
      <c r="G27" s="88">
        <f>+'11. Final Load Forecast'!$O$16</f>
        <v>0</v>
      </c>
      <c r="H27" s="472" t="e">
        <f t="shared" si="2"/>
        <v>#DIV/0!</v>
      </c>
    </row>
    <row r="29" spans="2:30" ht="13.5" thickBot="1">
      <c r="C29" s="136"/>
      <c r="D29" s="136"/>
      <c r="E29" s="136"/>
      <c r="F29" s="136"/>
    </row>
    <row r="30" spans="2:30" ht="13.5" thickBot="1">
      <c r="B30" s="1219" t="str">
        <f>+'11. Final Load Forecast'!B18</f>
        <v>General Service &lt; 50 kW</v>
      </c>
      <c r="C30" s="1220"/>
      <c r="D30" s="1220"/>
      <c r="E30" s="1220"/>
      <c r="F30" s="1220"/>
      <c r="G30" s="1220"/>
      <c r="H30" s="1221"/>
    </row>
    <row r="31" spans="2:30" ht="13.5" thickBot="1">
      <c r="B31" s="73" t="s">
        <v>33</v>
      </c>
      <c r="C31" s="464" t="s">
        <v>48</v>
      </c>
      <c r="D31" s="465" t="s">
        <v>61</v>
      </c>
      <c r="E31" s="466" t="s">
        <v>36</v>
      </c>
      <c r="F31" s="465" t="s">
        <v>61</v>
      </c>
      <c r="G31" s="466" t="s">
        <v>37</v>
      </c>
      <c r="H31" s="467" t="s">
        <v>61</v>
      </c>
    </row>
    <row r="32" spans="2:30">
      <c r="B32" s="74">
        <v>2003</v>
      </c>
      <c r="C32" s="462">
        <f>'11. Final Load Forecast'!$D$18</f>
        <v>1072.5</v>
      </c>
      <c r="D32" s="462"/>
      <c r="E32" s="462">
        <f>+'11. Final Load Forecast'!$D$19</f>
        <v>37629360.718589716</v>
      </c>
      <c r="F32" s="462"/>
      <c r="G32" s="462">
        <f>+'11. Final Load Forecast'!$D$20</f>
        <v>0</v>
      </c>
      <c r="H32" s="463"/>
    </row>
    <row r="33" spans="2:9">
      <c r="B33" s="75">
        <v>2004</v>
      </c>
      <c r="C33" s="86">
        <f>'11. Final Load Forecast'!$E$18</f>
        <v>1067</v>
      </c>
      <c r="D33" s="177">
        <f t="shared" ref="D33:D43" si="3">(C33-C32)/C32</f>
        <v>-5.1282051282051282E-3</v>
      </c>
      <c r="E33" s="86">
        <f>+'11. Final Load Forecast'!$E$19</f>
        <v>32014523.805142321</v>
      </c>
      <c r="F33" s="177">
        <f t="shared" ref="F33:F43" si="4">(E33-E32)/E32</f>
        <v>-0.14921425201554234</v>
      </c>
      <c r="G33" s="86">
        <f>+'11. Final Load Forecast'!$E$20</f>
        <v>0</v>
      </c>
      <c r="H33" s="470" t="e">
        <f t="shared" ref="H33:H43" si="5">(G33-G32)/G32</f>
        <v>#DIV/0!</v>
      </c>
    </row>
    <row r="34" spans="2:9">
      <c r="B34" s="75">
        <v>2005</v>
      </c>
      <c r="C34" s="86">
        <f>'11. Final Load Forecast'!$F$18</f>
        <v>1058</v>
      </c>
      <c r="D34" s="177">
        <f t="shared" si="3"/>
        <v>-8.4348641049671984E-3</v>
      </c>
      <c r="E34" s="86">
        <f>+'11. Final Load Forecast'!$F$19</f>
        <v>32367580.542212881</v>
      </c>
      <c r="F34" s="177">
        <f t="shared" si="4"/>
        <v>1.1028017759047562E-2</v>
      </c>
      <c r="G34" s="86">
        <f>+'11. Final Load Forecast'!$F$20</f>
        <v>0</v>
      </c>
      <c r="H34" s="470" t="e">
        <f t="shared" si="5"/>
        <v>#DIV/0!</v>
      </c>
    </row>
    <row r="35" spans="2:9">
      <c r="B35" s="75">
        <v>2006</v>
      </c>
      <c r="C35" s="86">
        <f>'11. Final Load Forecast'!$G$18</f>
        <v>1068.5</v>
      </c>
      <c r="D35" s="177">
        <f t="shared" si="3"/>
        <v>9.9243856332703207E-3</v>
      </c>
      <c r="E35" s="86">
        <f>+'11. Final Load Forecast'!$G$19</f>
        <v>31807450.286705617</v>
      </c>
      <c r="F35" s="177">
        <f t="shared" si="4"/>
        <v>-1.7305286528190092E-2</v>
      </c>
      <c r="G35" s="86">
        <f>+'11. Final Load Forecast'!$G$20</f>
        <v>0</v>
      </c>
      <c r="H35" s="470" t="e">
        <f t="shared" si="5"/>
        <v>#DIV/0!</v>
      </c>
    </row>
    <row r="36" spans="2:9">
      <c r="B36" s="76">
        <v>2007</v>
      </c>
      <c r="C36" s="86">
        <f>'11. Final Load Forecast'!$H$18</f>
        <v>1077.5</v>
      </c>
      <c r="D36" s="177">
        <f t="shared" si="3"/>
        <v>8.4230229293401973E-3</v>
      </c>
      <c r="E36" s="86">
        <f>+'11. Final Load Forecast'!$H$19</f>
        <v>32511938.679650381</v>
      </c>
      <c r="F36" s="177">
        <f t="shared" si="4"/>
        <v>2.2148533962787185E-2</v>
      </c>
      <c r="G36" s="86">
        <f>+'11. Final Load Forecast'!$H$20</f>
        <v>0</v>
      </c>
      <c r="H36" s="470" t="e">
        <f t="shared" si="5"/>
        <v>#DIV/0!</v>
      </c>
    </row>
    <row r="37" spans="2:9">
      <c r="B37" s="76">
        <v>2008</v>
      </c>
      <c r="C37" s="86">
        <f>'11. Final Load Forecast'!$I$18</f>
        <v>1082.5</v>
      </c>
      <c r="D37" s="177">
        <f t="shared" si="3"/>
        <v>4.6403712296983757E-3</v>
      </c>
      <c r="E37" s="86">
        <f>+'11. Final Load Forecast'!$I$19</f>
        <v>31736946.144515336</v>
      </c>
      <c r="F37" s="177">
        <f t="shared" si="4"/>
        <v>-2.3837167717719734E-2</v>
      </c>
      <c r="G37" s="86">
        <f>+'11. Final Load Forecast'!$I$20</f>
        <v>0</v>
      </c>
      <c r="H37" s="470" t="e">
        <f t="shared" si="5"/>
        <v>#DIV/0!</v>
      </c>
    </row>
    <row r="38" spans="2:9">
      <c r="B38" s="76">
        <v>2009</v>
      </c>
      <c r="C38" s="86">
        <f>'11. Final Load Forecast'!$J$18</f>
        <v>1097</v>
      </c>
      <c r="D38" s="177">
        <f t="shared" si="3"/>
        <v>1.3394919168591224E-2</v>
      </c>
      <c r="E38" s="86">
        <f>+'11. Final Load Forecast'!$J$19</f>
        <v>32374514.182592485</v>
      </c>
      <c r="F38" s="177">
        <f t="shared" si="4"/>
        <v>2.0089142640692659E-2</v>
      </c>
      <c r="G38" s="86">
        <f>+'11. Final Load Forecast'!$J$20</f>
        <v>0</v>
      </c>
      <c r="H38" s="470" t="e">
        <f t="shared" si="5"/>
        <v>#DIV/0!</v>
      </c>
    </row>
    <row r="39" spans="2:9">
      <c r="B39" s="76">
        <v>2010</v>
      </c>
      <c r="C39" s="86">
        <f>'11. Final Load Forecast'!$K$18</f>
        <v>1120</v>
      </c>
      <c r="D39" s="177">
        <f t="shared" si="3"/>
        <v>2.0966271649954422E-2</v>
      </c>
      <c r="E39" s="86">
        <f>+'11. Final Load Forecast'!$K$19</f>
        <v>35191711.415148593</v>
      </c>
      <c r="F39" s="177">
        <f t="shared" si="4"/>
        <v>8.701898093874387E-2</v>
      </c>
      <c r="G39" s="86">
        <f>+'11. Final Load Forecast'!$K$20</f>
        <v>0</v>
      </c>
      <c r="H39" s="470" t="e">
        <f t="shared" si="5"/>
        <v>#DIV/0!</v>
      </c>
    </row>
    <row r="40" spans="2:9">
      <c r="B40" s="76">
        <v>2011</v>
      </c>
      <c r="C40" s="86">
        <f>+'11. Final Load Forecast'!$L$18</f>
        <v>1131</v>
      </c>
      <c r="D40" s="177">
        <f t="shared" si="3"/>
        <v>9.8214285714285712E-3</v>
      </c>
      <c r="E40" s="86">
        <f>+'11. Final Load Forecast'!$L$19</f>
        <v>35397171.82917016</v>
      </c>
      <c r="F40" s="177">
        <f t="shared" si="4"/>
        <v>5.8383183357523273E-3</v>
      </c>
      <c r="G40" s="86">
        <f>+'11. Final Load Forecast'!$L$20</f>
        <v>0</v>
      </c>
      <c r="H40" s="470" t="e">
        <f t="shared" si="5"/>
        <v>#DIV/0!</v>
      </c>
    </row>
    <row r="41" spans="2:9">
      <c r="B41" s="76">
        <v>2012</v>
      </c>
      <c r="C41" s="86">
        <f>'11. Final Load Forecast'!$M$18</f>
        <v>1133.5</v>
      </c>
      <c r="D41" s="177">
        <f t="shared" si="3"/>
        <v>2.2104332449160036E-3</v>
      </c>
      <c r="E41" s="86">
        <f>+'11. Final Load Forecast'!$M$19</f>
        <v>33194524.124127503</v>
      </c>
      <c r="F41" s="177">
        <f t="shared" si="4"/>
        <v>-6.222665798479117E-2</v>
      </c>
      <c r="G41" s="86">
        <f>+'11. Final Load Forecast'!$M$20</f>
        <v>0</v>
      </c>
      <c r="H41" s="470" t="e">
        <f t="shared" si="5"/>
        <v>#DIV/0!</v>
      </c>
    </row>
    <row r="42" spans="2:9">
      <c r="B42" s="77">
        <v>2013</v>
      </c>
      <c r="C42" s="86">
        <f>'11. Final Load Forecast'!$N$18</f>
        <v>1140.4884269178044</v>
      </c>
      <c r="D42" s="178">
        <f t="shared" si="3"/>
        <v>6.1653523756545368E-3</v>
      </c>
      <c r="E42" s="86">
        <f>+'11. Final Load Forecast'!$N$19</f>
        <v>32872066.043990571</v>
      </c>
      <c r="F42" s="178">
        <f t="shared" si="4"/>
        <v>-9.7141949958714172E-3</v>
      </c>
      <c r="G42" s="86">
        <f>+'11. Final Load Forecast'!$N$20</f>
        <v>0</v>
      </c>
      <c r="H42" s="471" t="e">
        <f t="shared" si="5"/>
        <v>#DIV/0!</v>
      </c>
    </row>
    <row r="43" spans="2:9" ht="13.5" thickBot="1">
      <c r="B43" s="78">
        <v>2014</v>
      </c>
      <c r="C43" s="88">
        <f>'11. Final Load Forecast'!$O$18</f>
        <v>1147.5199399501087</v>
      </c>
      <c r="D43" s="179">
        <f t="shared" si="3"/>
        <v>6.1653523756545854E-3</v>
      </c>
      <c r="E43" s="88">
        <f>+'11. Final Load Forecast'!$O$19</f>
        <v>32535248.606514744</v>
      </c>
      <c r="F43" s="179">
        <f t="shared" si="4"/>
        <v>-1.0246311778063644E-2</v>
      </c>
      <c r="G43" s="88">
        <f>+'11. Final Load Forecast'!$O$20</f>
        <v>0</v>
      </c>
      <c r="H43" s="472" t="e">
        <f t="shared" si="5"/>
        <v>#DIV/0!</v>
      </c>
    </row>
    <row r="45" spans="2:9" ht="13.5" thickBot="1">
      <c r="C45" s="136"/>
      <c r="D45" s="136"/>
      <c r="E45" s="136"/>
      <c r="F45" s="136"/>
      <c r="G45" s="136"/>
      <c r="H45" s="136"/>
      <c r="I45" s="50"/>
    </row>
    <row r="46" spans="2:9" ht="13.5" thickBot="1">
      <c r="B46" s="1219" t="str">
        <f>+'11. Final Load Forecast'!B22</f>
        <v>General Service &gt; 50 kW - 2999 kW</v>
      </c>
      <c r="C46" s="1220"/>
      <c r="D46" s="1220"/>
      <c r="E46" s="1220"/>
      <c r="F46" s="1220"/>
      <c r="G46" s="1220"/>
      <c r="H46" s="1221"/>
    </row>
    <row r="47" spans="2:9" ht="13.5" thickBot="1">
      <c r="B47" s="73" t="s">
        <v>33</v>
      </c>
      <c r="C47" s="51" t="s">
        <v>48</v>
      </c>
      <c r="D47" s="52" t="s">
        <v>61</v>
      </c>
      <c r="E47" s="468" t="s">
        <v>36</v>
      </c>
      <c r="F47" s="52" t="s">
        <v>61</v>
      </c>
      <c r="G47" s="468" t="s">
        <v>37</v>
      </c>
      <c r="H47" s="469" t="s">
        <v>61</v>
      </c>
    </row>
    <row r="48" spans="2:9">
      <c r="B48" s="74">
        <v>2003</v>
      </c>
      <c r="C48" s="462">
        <f>'11. Final Load Forecast'!$D$22</f>
        <v>131.5</v>
      </c>
      <c r="D48" s="462"/>
      <c r="E48" s="462">
        <f>+'11. Final Load Forecast'!$D$23</f>
        <v>120834914</v>
      </c>
      <c r="F48" s="462"/>
      <c r="G48" s="462">
        <f>+'11. Final Load Forecast'!$D$24</f>
        <v>300129.30000000005</v>
      </c>
      <c r="H48" s="463"/>
    </row>
    <row r="49" spans="2:8">
      <c r="B49" s="75">
        <v>2004</v>
      </c>
      <c r="C49" s="86">
        <f>'11. Final Load Forecast'!$E$22</f>
        <v>137</v>
      </c>
      <c r="D49" s="177">
        <f t="shared" ref="D49:D59" si="6">(C49-C48)/C48</f>
        <v>4.1825095057034217E-2</v>
      </c>
      <c r="E49" s="86">
        <f>+'11. Final Load Forecast'!$E$23</f>
        <v>128532327</v>
      </c>
      <c r="F49" s="177">
        <f t="shared" ref="F49:F59" si="7">(E49-E48)/E48</f>
        <v>6.3701894967211209E-2</v>
      </c>
      <c r="G49" s="86">
        <f>+'11. Final Load Forecast'!$E$24</f>
        <v>322335</v>
      </c>
      <c r="H49" s="470">
        <f t="shared" ref="H49:H59" si="8">(G49-G48)/G48</f>
        <v>7.398711155491966E-2</v>
      </c>
    </row>
    <row r="50" spans="2:8">
      <c r="B50" s="75">
        <v>2005</v>
      </c>
      <c r="C50" s="86">
        <f>'11. Final Load Forecast'!$F$22</f>
        <v>141.5</v>
      </c>
      <c r="D50" s="177">
        <f t="shared" si="6"/>
        <v>3.2846715328467155E-2</v>
      </c>
      <c r="E50" s="86">
        <f>+'11. Final Load Forecast'!$F$23</f>
        <v>125354819</v>
      </c>
      <c r="F50" s="177">
        <f t="shared" si="7"/>
        <v>-2.472146948681634E-2</v>
      </c>
      <c r="G50" s="86">
        <f>+'11. Final Load Forecast'!$F$24</f>
        <v>323427</v>
      </c>
      <c r="H50" s="470">
        <f t="shared" si="8"/>
        <v>3.3877797943133695E-3</v>
      </c>
    </row>
    <row r="51" spans="2:8">
      <c r="B51" s="75">
        <v>2006</v>
      </c>
      <c r="C51" s="86">
        <f>'11. Final Load Forecast'!$G$22</f>
        <v>138</v>
      </c>
      <c r="D51" s="177">
        <f t="shared" si="6"/>
        <v>-2.4734982332155476E-2</v>
      </c>
      <c r="E51" s="86">
        <f>+'11. Final Load Forecast'!$G$23</f>
        <v>119336146</v>
      </c>
      <c r="F51" s="177">
        <f t="shared" si="7"/>
        <v>-4.8013096329388022E-2</v>
      </c>
      <c r="G51" s="86">
        <f>+'11. Final Load Forecast'!$G$24</f>
        <v>314352.19999999995</v>
      </c>
      <c r="H51" s="470">
        <f t="shared" si="8"/>
        <v>-2.8058263533966076E-2</v>
      </c>
    </row>
    <row r="52" spans="2:8">
      <c r="B52" s="76">
        <v>2007</v>
      </c>
      <c r="C52" s="86">
        <f>'11. Final Load Forecast'!$H$22</f>
        <v>134</v>
      </c>
      <c r="D52" s="177">
        <f t="shared" si="6"/>
        <v>-2.8985507246376812E-2</v>
      </c>
      <c r="E52" s="86">
        <f>+'11. Final Load Forecast'!$H$23</f>
        <v>115685946</v>
      </c>
      <c r="F52" s="177">
        <f t="shared" si="7"/>
        <v>-3.0587547213063174E-2</v>
      </c>
      <c r="G52" s="86">
        <f>+'11. Final Load Forecast'!$H$24</f>
        <v>306814.40000000002</v>
      </c>
      <c r="H52" s="470">
        <f t="shared" si="8"/>
        <v>-2.3978836477046864E-2</v>
      </c>
    </row>
    <row r="53" spans="2:8">
      <c r="B53" s="76">
        <v>2008</v>
      </c>
      <c r="C53" s="86">
        <f>+'11. Final Load Forecast'!$I$22</f>
        <v>134</v>
      </c>
      <c r="D53" s="177">
        <f t="shared" si="6"/>
        <v>0</v>
      </c>
      <c r="E53" s="86">
        <f>+'11. Final Load Forecast'!$I$23</f>
        <v>104065809</v>
      </c>
      <c r="F53" s="177">
        <f t="shared" si="7"/>
        <v>-0.1004455372651748</v>
      </c>
      <c r="G53" s="86">
        <f>+'11. Final Load Forecast'!$I$24</f>
        <v>305435</v>
      </c>
      <c r="H53" s="470">
        <f t="shared" si="8"/>
        <v>-4.4958776380770371E-3</v>
      </c>
    </row>
    <row r="54" spans="2:8">
      <c r="B54" s="76">
        <v>2009</v>
      </c>
      <c r="C54" s="86">
        <f>'11. Final Load Forecast'!$J$22</f>
        <v>130.5</v>
      </c>
      <c r="D54" s="177">
        <f t="shared" si="6"/>
        <v>-2.6119402985074626E-2</v>
      </c>
      <c r="E54" s="86">
        <f>+'11. Final Load Forecast'!$J$23</f>
        <v>101900559</v>
      </c>
      <c r="F54" s="177">
        <f t="shared" si="7"/>
        <v>-2.0806545596546509E-2</v>
      </c>
      <c r="G54" s="86">
        <f>+'11. Final Load Forecast'!$J$24</f>
        <v>292263</v>
      </c>
      <c r="H54" s="470">
        <f t="shared" si="8"/>
        <v>-4.3125378558449425E-2</v>
      </c>
    </row>
    <row r="55" spans="2:8">
      <c r="B55" s="76">
        <v>2010</v>
      </c>
      <c r="C55" s="86">
        <f>'11. Final Load Forecast'!$K$22</f>
        <v>120.5</v>
      </c>
      <c r="D55" s="177">
        <f t="shared" si="6"/>
        <v>-7.662835249042145E-2</v>
      </c>
      <c r="E55" s="86">
        <f>+'11. Final Load Forecast'!$K$23</f>
        <v>111495775.55</v>
      </c>
      <c r="F55" s="177">
        <f t="shared" si="7"/>
        <v>9.4162550668637615E-2</v>
      </c>
      <c r="G55" s="86">
        <f>+'11. Final Load Forecast'!$K$24</f>
        <v>297531.40000000002</v>
      </c>
      <c r="H55" s="470">
        <f t="shared" si="8"/>
        <v>1.8026229799872114E-2</v>
      </c>
    </row>
    <row r="56" spans="2:8">
      <c r="B56" s="76">
        <v>2011</v>
      </c>
      <c r="C56" s="86">
        <f>'11. Final Load Forecast'!$L$22</f>
        <v>114</v>
      </c>
      <c r="D56" s="177">
        <f t="shared" si="6"/>
        <v>-5.3941908713692949E-2</v>
      </c>
      <c r="E56" s="86">
        <f>+'11. Final Load Forecast'!$L$23</f>
        <v>115404710</v>
      </c>
      <c r="F56" s="177">
        <f t="shared" si="7"/>
        <v>3.5059036369024146E-2</v>
      </c>
      <c r="G56" s="86">
        <f>+'11. Final Load Forecast'!$L$24</f>
        <v>278379.43000000005</v>
      </c>
      <c r="H56" s="470">
        <f t="shared" si="8"/>
        <v>-6.4369575782589575E-2</v>
      </c>
    </row>
    <row r="57" spans="2:8">
      <c r="B57" s="76">
        <v>2012</v>
      </c>
      <c r="C57" s="86">
        <f>'11. Final Load Forecast'!$M$22</f>
        <v>109.5</v>
      </c>
      <c r="D57" s="177">
        <f t="shared" si="6"/>
        <v>-3.9473684210526314E-2</v>
      </c>
      <c r="E57" s="86">
        <f>+'11. Final Load Forecast'!$M$23</f>
        <v>106071560</v>
      </c>
      <c r="F57" s="177">
        <f t="shared" si="7"/>
        <v>-8.087321565991544E-2</v>
      </c>
      <c r="G57" s="86">
        <f>+'11. Final Load Forecast'!$M$24</f>
        <v>278617.41000000003</v>
      </c>
      <c r="H57" s="470">
        <f t="shared" si="8"/>
        <v>8.5487638220963858E-4</v>
      </c>
    </row>
    <row r="58" spans="2:8">
      <c r="B58" s="77">
        <v>2013</v>
      </c>
      <c r="C58" s="86">
        <f>'11. Final Load Forecast'!$N$22</f>
        <v>107.295002251903</v>
      </c>
      <c r="D58" s="178">
        <f t="shared" si="6"/>
        <v>-2.0136965736045662E-2</v>
      </c>
      <c r="E58" s="86">
        <f>+'11. Final Load Forecast'!$N$23</f>
        <v>105041160.18264371</v>
      </c>
      <c r="F58" s="178">
        <f t="shared" si="7"/>
        <v>-9.7141949958715456E-3</v>
      </c>
      <c r="G58" s="86">
        <f>+'11. Final Load Forecast'!$N$24</f>
        <v>276978.66050828708</v>
      </c>
      <c r="H58" s="471">
        <f t="shared" si="8"/>
        <v>-5.8817196373799879E-3</v>
      </c>
    </row>
    <row r="59" spans="2:8" ht="13.5" thickBot="1">
      <c r="B59" s="78">
        <v>2014</v>
      </c>
      <c r="C59" s="88">
        <f>'11. Final Load Forecast'!$O$22</f>
        <v>105.1344064679075</v>
      </c>
      <c r="D59" s="179">
        <f t="shared" si="6"/>
        <v>-2.0136965736045578E-2</v>
      </c>
      <c r="E59" s="88">
        <f>+'11. Final Load Forecast'!$O$23</f>
        <v>103964875.70588282</v>
      </c>
      <c r="F59" s="179">
        <f t="shared" si="7"/>
        <v>-1.0246311778063663E-2</v>
      </c>
      <c r="G59" s="88">
        <f>+'11. Final Load Forecast'!$O$24</f>
        <v>274140.6507968487</v>
      </c>
      <c r="H59" s="472">
        <f t="shared" si="8"/>
        <v>-1.024631177806375E-2</v>
      </c>
    </row>
    <row r="61" spans="2:8" ht="13.5" thickBot="1">
      <c r="B61" s="23"/>
      <c r="C61" s="25" t="s">
        <v>30</v>
      </c>
      <c r="D61" s="25"/>
      <c r="E61" s="25"/>
      <c r="F61" s="25"/>
      <c r="G61" s="25"/>
      <c r="H61" s="25"/>
    </row>
    <row r="62" spans="2:8" ht="13.5" thickBot="1">
      <c r="B62" s="1219" t="str">
        <f>+'11. Final Load Forecast'!B26</f>
        <v>Streetlighting</v>
      </c>
      <c r="C62" s="1220"/>
      <c r="D62" s="1220"/>
      <c r="E62" s="1220"/>
      <c r="F62" s="1220"/>
      <c r="G62" s="1220"/>
      <c r="H62" s="1221"/>
    </row>
    <row r="63" spans="2:8" ht="13.5" thickBot="1">
      <c r="B63" s="180" t="s">
        <v>33</v>
      </c>
      <c r="C63" s="51" t="s">
        <v>48</v>
      </c>
      <c r="D63" s="52" t="s">
        <v>61</v>
      </c>
      <c r="E63" s="468" t="s">
        <v>36</v>
      </c>
      <c r="F63" s="52" t="s">
        <v>61</v>
      </c>
      <c r="G63" s="468" t="s">
        <v>37</v>
      </c>
      <c r="H63" s="54"/>
    </row>
    <row r="64" spans="2:8">
      <c r="B64" s="74">
        <v>2003</v>
      </c>
      <c r="C64" s="462">
        <f>'11. Final Load Forecast'!$D$26</f>
        <v>2759</v>
      </c>
      <c r="D64" s="462"/>
      <c r="E64" s="462">
        <f>+'11. Final Load Forecast'!$D$27</f>
        <v>1222967</v>
      </c>
      <c r="F64" s="462"/>
      <c r="G64" s="462">
        <f>+'11. Final Load Forecast'!$D$28</f>
        <v>3321</v>
      </c>
      <c r="H64" s="463"/>
    </row>
    <row r="65" spans="2:8">
      <c r="B65" s="75">
        <v>2004</v>
      </c>
      <c r="C65" s="86">
        <f>'11. Final Load Forecast'!$E$26</f>
        <v>2802</v>
      </c>
      <c r="D65" s="177">
        <f t="shared" ref="D65:D75" si="9">(C65-C64)/C64</f>
        <v>1.5585357013410656E-2</v>
      </c>
      <c r="E65" s="86">
        <f>+'11. Final Load Forecast'!$E$27</f>
        <v>1222128</v>
      </c>
      <c r="F65" s="177">
        <f t="shared" ref="F65:F75" si="10">(E65-E64)/E64</f>
        <v>-6.8603649975837455E-4</v>
      </c>
      <c r="G65" s="86">
        <f>+'11. Final Load Forecast'!$E$28</f>
        <v>3340</v>
      </c>
      <c r="H65" s="470">
        <f t="shared" ref="H65:H75" si="11">(G65-G64)/G64</f>
        <v>5.7211683227943394E-3</v>
      </c>
    </row>
    <row r="66" spans="2:8">
      <c r="B66" s="75">
        <v>2005</v>
      </c>
      <c r="C66" s="86">
        <f>'11. Final Load Forecast'!$F$26</f>
        <v>2862</v>
      </c>
      <c r="D66" s="177">
        <f t="shared" si="9"/>
        <v>2.1413276231263382E-2</v>
      </c>
      <c r="E66" s="86">
        <f>+'11. Final Load Forecast'!$F$27</f>
        <v>1249953</v>
      </c>
      <c r="F66" s="177">
        <f t="shared" si="10"/>
        <v>2.2767664270845606E-2</v>
      </c>
      <c r="G66" s="86">
        <f>+'11. Final Load Forecast'!$F$28</f>
        <v>3386</v>
      </c>
      <c r="H66" s="470">
        <f t="shared" si="11"/>
        <v>1.3772455089820359E-2</v>
      </c>
    </row>
    <row r="67" spans="2:8">
      <c r="B67" s="75">
        <v>2006</v>
      </c>
      <c r="C67" s="86">
        <f>'11. Final Load Forecast'!$G$26</f>
        <v>2634</v>
      </c>
      <c r="D67" s="177">
        <f t="shared" si="9"/>
        <v>-7.9664570230607967E-2</v>
      </c>
      <c r="E67" s="86">
        <f>+'11. Final Load Forecast'!$G$27</f>
        <v>1258253</v>
      </c>
      <c r="F67" s="177">
        <f t="shared" si="10"/>
        <v>6.6402496733877197E-3</v>
      </c>
      <c r="G67" s="86">
        <f>+'11. Final Load Forecast'!$G$28</f>
        <v>3408.5999999999995</v>
      </c>
      <c r="H67" s="470">
        <f t="shared" si="11"/>
        <v>6.6745422327228162E-3</v>
      </c>
    </row>
    <row r="68" spans="2:8">
      <c r="B68" s="76">
        <v>2007</v>
      </c>
      <c r="C68" s="86">
        <f>+'11. Final Load Forecast'!$H$26</f>
        <v>2694</v>
      </c>
      <c r="D68" s="177">
        <f t="shared" si="9"/>
        <v>2.2779043280182234E-2</v>
      </c>
      <c r="E68" s="86">
        <f>+'11. Final Load Forecast'!$H$27</f>
        <v>1439933</v>
      </c>
      <c r="F68" s="177">
        <f t="shared" si="10"/>
        <v>0.1443906750073316</v>
      </c>
      <c r="G68" s="86">
        <f>+'11. Final Load Forecast'!$H$28</f>
        <v>3416</v>
      </c>
      <c r="H68" s="470">
        <f t="shared" si="11"/>
        <v>2.1709792876842536E-3</v>
      </c>
    </row>
    <row r="69" spans="2:8">
      <c r="B69" s="76">
        <v>2008</v>
      </c>
      <c r="C69" s="86">
        <f>+'11. Final Load Forecast'!$I$26</f>
        <v>2491</v>
      </c>
      <c r="D69" s="177">
        <f t="shared" si="9"/>
        <v>-7.5352635486265779E-2</v>
      </c>
      <c r="E69" s="86">
        <f>+'11. Final Load Forecast'!$I$26</f>
        <v>2491</v>
      </c>
      <c r="F69" s="177">
        <f t="shared" si="10"/>
        <v>-0.99827005839855054</v>
      </c>
      <c r="G69" s="86">
        <f>+'11. Final Load Forecast'!$I$28</f>
        <v>2916</v>
      </c>
      <c r="H69" s="470">
        <f t="shared" si="11"/>
        <v>-0.14637002341920374</v>
      </c>
    </row>
    <row r="70" spans="2:8">
      <c r="B70" s="76">
        <v>2009</v>
      </c>
      <c r="C70" s="86">
        <f>'11. Final Load Forecast'!$J$26</f>
        <v>2593</v>
      </c>
      <c r="D70" s="177">
        <f t="shared" si="9"/>
        <v>4.0947410678442396E-2</v>
      </c>
      <c r="E70" s="86">
        <f>+'11. Final Load Forecast'!$J$27</f>
        <v>1077264</v>
      </c>
      <c r="F70" s="177">
        <f t="shared" si="10"/>
        <v>431.46246487354477</v>
      </c>
      <c r="G70" s="86">
        <f>+'11. Final Load Forecast'!$J$28</f>
        <v>2916</v>
      </c>
      <c r="H70" s="470">
        <f t="shared" si="11"/>
        <v>0</v>
      </c>
    </row>
    <row r="71" spans="2:8">
      <c r="B71" s="76">
        <v>2010</v>
      </c>
      <c r="C71" s="86">
        <f>'11. Final Load Forecast'!$K$26</f>
        <v>2837.5</v>
      </c>
      <c r="D71" s="177">
        <f t="shared" si="9"/>
        <v>9.4292325491708448E-2</v>
      </c>
      <c r="E71" s="86">
        <f>+'11. Final Load Forecast'!$K$27</f>
        <v>1087264</v>
      </c>
      <c r="F71" s="177">
        <f t="shared" si="10"/>
        <v>9.2827756241738325E-3</v>
      </c>
      <c r="G71" s="86">
        <f>+'11. Final Load Forecast'!$K$28</f>
        <v>2916</v>
      </c>
      <c r="H71" s="470">
        <f t="shared" si="11"/>
        <v>0</v>
      </c>
    </row>
    <row r="72" spans="2:8">
      <c r="B72" s="76">
        <v>2011</v>
      </c>
      <c r="C72" s="86">
        <f>'11. Final Load Forecast'!$L$26</f>
        <v>3082</v>
      </c>
      <c r="D72" s="177">
        <f t="shared" si="9"/>
        <v>8.6167400881057274E-2</v>
      </c>
      <c r="E72" s="86">
        <f>+'11. Final Load Forecast'!$L$27</f>
        <v>1077264</v>
      </c>
      <c r="F72" s="177">
        <f t="shared" si="10"/>
        <v>-9.1973982399858722E-3</v>
      </c>
      <c r="G72" s="86">
        <f>+'11. Final Load Forecast'!$L$28</f>
        <v>2916</v>
      </c>
      <c r="H72" s="470">
        <f t="shared" si="11"/>
        <v>0</v>
      </c>
    </row>
    <row r="73" spans="2:8">
      <c r="B73" s="76">
        <v>2012</v>
      </c>
      <c r="C73" s="86">
        <f>'11. Final Load Forecast'!$M$26</f>
        <v>3082</v>
      </c>
      <c r="D73" s="177">
        <f t="shared" si="9"/>
        <v>0</v>
      </c>
      <c r="E73" s="86">
        <f>+'11. Final Load Forecast'!$M$27</f>
        <v>1080612</v>
      </c>
      <c r="F73" s="177">
        <f t="shared" si="10"/>
        <v>3.1078732789733992E-3</v>
      </c>
      <c r="G73" s="86">
        <f>+'11. Final Load Forecast'!$M$28</f>
        <v>2916</v>
      </c>
      <c r="H73" s="470">
        <f t="shared" si="11"/>
        <v>0</v>
      </c>
    </row>
    <row r="74" spans="2:8">
      <c r="B74" s="77">
        <v>2013</v>
      </c>
      <c r="C74" s="86">
        <f>'11. Final Load Forecast'!$N$26</f>
        <v>3120.1463166459635</v>
      </c>
      <c r="D74" s="178">
        <f t="shared" si="9"/>
        <v>1.2377130644374904E-2</v>
      </c>
      <c r="E74" s="86">
        <f>+'11. Final Load Forecast'!$N$27</f>
        <v>1070114.7243171213</v>
      </c>
      <c r="F74" s="178">
        <f t="shared" si="10"/>
        <v>-9.7141949958714884E-3</v>
      </c>
      <c r="G74" s="86">
        <f>+'11. Final Load Forecast'!$N$28</f>
        <v>2860.5569960852968</v>
      </c>
      <c r="H74" s="471">
        <f t="shared" si="11"/>
        <v>-1.9013375828087532E-2</v>
      </c>
    </row>
    <row r="75" spans="2:8" ht="13.5" thickBot="1">
      <c r="B75" s="78">
        <v>2014</v>
      </c>
      <c r="C75" s="88">
        <f>'11. Final Load Forecast'!$O$26</f>
        <v>3158.7647752366561</v>
      </c>
      <c r="D75" s="179">
        <f t="shared" si="9"/>
        <v>1.2377130644375029E-2</v>
      </c>
      <c r="E75" s="88">
        <f>+'11. Final Load Forecast'!$O$27</f>
        <v>1059149.9952134716</v>
      </c>
      <c r="F75" s="179">
        <f t="shared" si="10"/>
        <v>-1.0246311778063536E-2</v>
      </c>
      <c r="G75" s="88">
        <f>+'11. Final Load Forecast'!$O$28</f>
        <v>2831.246837244486</v>
      </c>
      <c r="H75" s="472">
        <f t="shared" si="11"/>
        <v>-1.0246311778063528E-2</v>
      </c>
    </row>
    <row r="77" spans="2:8" ht="13.5" thickBot="1">
      <c r="B77" s="50"/>
      <c r="C77" s="136"/>
      <c r="D77" s="136"/>
      <c r="E77" s="136"/>
      <c r="F77" s="50"/>
    </row>
    <row r="78" spans="2:8" ht="13.5" thickBot="1">
      <c r="B78" s="1219" t="str">
        <f>+'11. Final Load Forecast'!B30</f>
        <v>Sentinel Lighting</v>
      </c>
      <c r="C78" s="1220"/>
      <c r="D78" s="1220"/>
      <c r="E78" s="1220"/>
      <c r="F78" s="1220"/>
      <c r="G78" s="1220"/>
      <c r="H78" s="1221"/>
    </row>
    <row r="79" spans="2:8" ht="13.5" thickBot="1">
      <c r="B79" s="73" t="s">
        <v>33</v>
      </c>
      <c r="C79" s="51" t="s">
        <v>48</v>
      </c>
      <c r="D79" s="52" t="s">
        <v>61</v>
      </c>
      <c r="E79" s="468" t="s">
        <v>36</v>
      </c>
      <c r="F79" s="52" t="s">
        <v>61</v>
      </c>
      <c r="G79" s="468" t="s">
        <v>37</v>
      </c>
      <c r="H79" s="469" t="s">
        <v>61</v>
      </c>
    </row>
    <row r="80" spans="2:8">
      <c r="B80" s="74">
        <v>2003</v>
      </c>
      <c r="C80" s="462">
        <f>'11. Final Load Forecast'!$D$30</f>
        <v>53</v>
      </c>
      <c r="D80" s="462"/>
      <c r="E80" s="462">
        <f>+'11. Final Load Forecast'!$D$31</f>
        <v>43758</v>
      </c>
      <c r="F80" s="462"/>
      <c r="G80" s="462">
        <f>+'11. Final Load Forecast'!$D$32</f>
        <v>132</v>
      </c>
      <c r="H80" s="463"/>
    </row>
    <row r="81" spans="2:8">
      <c r="B81" s="75">
        <v>2004</v>
      </c>
      <c r="C81" s="86">
        <f>'11. Final Load Forecast'!$E$30</f>
        <v>54</v>
      </c>
      <c r="D81" s="177">
        <f t="shared" ref="D81:D91" si="12">(C81-C80)/C80</f>
        <v>1.8867924528301886E-2</v>
      </c>
      <c r="E81" s="86">
        <f>+'11. Final Load Forecast'!$E$31</f>
        <v>41938</v>
      </c>
      <c r="F81" s="177">
        <f t="shared" ref="F81:F91" si="13">(E81-E80)/E80</f>
        <v>-4.1592394533571005E-2</v>
      </c>
      <c r="G81" s="86">
        <f>+'11. Final Load Forecast'!$E$32</f>
        <v>132</v>
      </c>
      <c r="H81" s="470">
        <f t="shared" ref="H81:H91" si="14">(G81-G80)/G80</f>
        <v>0</v>
      </c>
    </row>
    <row r="82" spans="2:8">
      <c r="B82" s="75">
        <v>2005</v>
      </c>
      <c r="C82" s="86">
        <f>'11. Final Load Forecast'!$F$30</f>
        <v>54</v>
      </c>
      <c r="D82" s="177">
        <f t="shared" si="12"/>
        <v>0</v>
      </c>
      <c r="E82" s="86">
        <f>+'11. Final Load Forecast'!$F$31</f>
        <v>44355</v>
      </c>
      <c r="F82" s="177">
        <f t="shared" si="13"/>
        <v>5.7632695884400779E-2</v>
      </c>
      <c r="G82" s="86">
        <f>+'11. Final Load Forecast'!$F$32</f>
        <v>132</v>
      </c>
      <c r="H82" s="470">
        <f t="shared" si="14"/>
        <v>0</v>
      </c>
    </row>
    <row r="83" spans="2:8">
      <c r="B83" s="75">
        <v>2006</v>
      </c>
      <c r="C83" s="86">
        <f>'11. Final Load Forecast'!$G$30</f>
        <v>54</v>
      </c>
      <c r="D83" s="177">
        <f t="shared" si="12"/>
        <v>0</v>
      </c>
      <c r="E83" s="86">
        <f>+'11. Final Load Forecast'!$G$31</f>
        <v>42943</v>
      </c>
      <c r="F83" s="177">
        <f t="shared" si="13"/>
        <v>-3.1834066057941604E-2</v>
      </c>
      <c r="G83" s="86">
        <f>+'11. Final Load Forecast'!$G$32</f>
        <v>132</v>
      </c>
      <c r="H83" s="470">
        <f t="shared" si="14"/>
        <v>0</v>
      </c>
    </row>
    <row r="84" spans="2:8">
      <c r="B84" s="76">
        <v>2007</v>
      </c>
      <c r="C84" s="86">
        <f>'11. Final Load Forecast'!$H$30</f>
        <v>54</v>
      </c>
      <c r="D84" s="177">
        <f t="shared" si="12"/>
        <v>0</v>
      </c>
      <c r="E84" s="86">
        <f>+'11. Final Load Forecast'!$H$31</f>
        <v>43818</v>
      </c>
      <c r="F84" s="177">
        <f t="shared" si="13"/>
        <v>2.0375847053070349E-2</v>
      </c>
      <c r="G84" s="86">
        <f>+'11. Final Load Forecast'!$H$32</f>
        <v>132</v>
      </c>
      <c r="H84" s="470">
        <f t="shared" si="14"/>
        <v>0</v>
      </c>
    </row>
    <row r="85" spans="2:8">
      <c r="B85" s="76">
        <v>2008</v>
      </c>
      <c r="C85" s="86">
        <f>'11. Final Load Forecast'!$I$30</f>
        <v>48</v>
      </c>
      <c r="D85" s="177">
        <f t="shared" si="12"/>
        <v>-0.1111111111111111</v>
      </c>
      <c r="E85" s="86">
        <f>+'11. Final Load Forecast'!$I$31</f>
        <v>45385.920000000013</v>
      </c>
      <c r="F85" s="177">
        <f t="shared" si="13"/>
        <v>3.5782555114336867E-2</v>
      </c>
      <c r="G85" s="86">
        <f>+'11. Final Load Forecast'!$I$32</f>
        <v>132</v>
      </c>
      <c r="H85" s="470">
        <f t="shared" si="14"/>
        <v>0</v>
      </c>
    </row>
    <row r="86" spans="2:8">
      <c r="B86" s="76">
        <v>2009</v>
      </c>
      <c r="C86" s="86">
        <f>'11. Final Load Forecast'!$J$30</f>
        <v>48</v>
      </c>
      <c r="D86" s="177">
        <f t="shared" si="12"/>
        <v>0</v>
      </c>
      <c r="E86" s="86">
        <f>+'11. Final Load Forecast'!$J$31</f>
        <v>45385.920000000013</v>
      </c>
      <c r="F86" s="177">
        <f t="shared" si="13"/>
        <v>0</v>
      </c>
      <c r="G86" s="86">
        <f>+'11. Final Load Forecast'!$J$32</f>
        <v>132</v>
      </c>
      <c r="H86" s="470">
        <f t="shared" si="14"/>
        <v>0</v>
      </c>
    </row>
    <row r="87" spans="2:8">
      <c r="B87" s="76">
        <v>2010</v>
      </c>
      <c r="C87" s="86">
        <f>'11. Final Load Forecast'!$K$30</f>
        <v>47.5</v>
      </c>
      <c r="D87" s="177">
        <f t="shared" si="12"/>
        <v>-1.0416666666666666E-2</v>
      </c>
      <c r="E87" s="86">
        <f>+'11. Final Load Forecast'!$K$31</f>
        <v>44705.52</v>
      </c>
      <c r="F87" s="177">
        <f t="shared" si="13"/>
        <v>-1.4991433466590869E-2</v>
      </c>
      <c r="G87" s="86">
        <f>+'11. Final Load Forecast'!$K$32</f>
        <v>132</v>
      </c>
      <c r="H87" s="470">
        <f t="shared" si="14"/>
        <v>0</v>
      </c>
    </row>
    <row r="88" spans="2:8">
      <c r="B88" s="76">
        <v>2011</v>
      </c>
      <c r="C88" s="86">
        <f>'11. Final Load Forecast'!$L$30</f>
        <v>46.5</v>
      </c>
      <c r="D88" s="177">
        <f t="shared" si="12"/>
        <v>-2.1052631578947368E-2</v>
      </c>
      <c r="E88" s="86">
        <f>+'11. Final Load Forecast'!$L$31</f>
        <v>44341.919999999998</v>
      </c>
      <c r="F88" s="177">
        <f t="shared" si="13"/>
        <v>-8.1332238166561665E-3</v>
      </c>
      <c r="G88" s="86">
        <f>+'11. Final Load Forecast'!$L$32</f>
        <v>132</v>
      </c>
      <c r="H88" s="470">
        <f t="shared" si="14"/>
        <v>0</v>
      </c>
    </row>
    <row r="89" spans="2:8">
      <c r="B89" s="76">
        <v>2012</v>
      </c>
      <c r="C89" s="86">
        <f>'11. Final Load Forecast'!$M$30</f>
        <v>50</v>
      </c>
      <c r="D89" s="177">
        <f t="shared" si="12"/>
        <v>7.5268817204301078E-2</v>
      </c>
      <c r="E89" s="86">
        <f>+'11. Final Load Forecast'!$M$31</f>
        <v>44222.400000000009</v>
      </c>
      <c r="F89" s="177">
        <f t="shared" si="13"/>
        <v>-2.6954177897571762E-3</v>
      </c>
      <c r="G89" s="86">
        <f>+'11. Final Load Forecast'!$M$32</f>
        <v>132</v>
      </c>
      <c r="H89" s="470">
        <f t="shared" si="14"/>
        <v>0</v>
      </c>
    </row>
    <row r="90" spans="2:8">
      <c r="B90" s="77">
        <v>2013</v>
      </c>
      <c r="C90" s="86">
        <f>'11. Final Load Forecast'!$N$30</f>
        <v>49.677329507382098</v>
      </c>
      <c r="D90" s="178">
        <f t="shared" si="12"/>
        <v>-6.4534098523580498E-3</v>
      </c>
      <c r="E90" s="86">
        <f>+'11. Final Load Forecast'!$N$31</f>
        <v>43792.814983214579</v>
      </c>
      <c r="F90" s="178">
        <f t="shared" si="13"/>
        <v>-9.7141949958715387E-3</v>
      </c>
      <c r="G90" s="86">
        <f>+'11. Final Load Forecast'!$N$32</f>
        <v>131.19277964365381</v>
      </c>
      <c r="H90" s="471">
        <f t="shared" si="14"/>
        <v>-6.1153057298953982E-3</v>
      </c>
    </row>
    <row r="91" spans="2:8" ht="13.5" thickBot="1">
      <c r="B91" s="78">
        <v>2014</v>
      </c>
      <c r="C91" s="88">
        <f>'11. Final Load Forecast'!$O$30</f>
        <v>49.356741339700321</v>
      </c>
      <c r="D91" s="179">
        <f t="shared" si="12"/>
        <v>-6.4534098523580472E-3</v>
      </c>
      <c r="E91" s="88">
        <f>+'11. Final Load Forecast'!$O$31</f>
        <v>43344.100147257508</v>
      </c>
      <c r="F91" s="179">
        <f t="shared" si="13"/>
        <v>-1.0246311778063587E-2</v>
      </c>
      <c r="G91" s="88">
        <f>+'11. Final Load Forecast'!$O$32</f>
        <v>129.8485375203941</v>
      </c>
      <c r="H91" s="472">
        <f t="shared" si="14"/>
        <v>-1.0246311778063842E-2</v>
      </c>
    </row>
    <row r="93" spans="2:8" ht="13.5" thickBot="1"/>
    <row r="94" spans="2:8" ht="13.5" thickBot="1">
      <c r="B94" s="1219" t="str">
        <f>+'11. Final Load Forecast'!B34</f>
        <v>General Service 3000-4999 kW</v>
      </c>
      <c r="C94" s="1220"/>
      <c r="D94" s="1220"/>
      <c r="E94" s="1220"/>
      <c r="F94" s="1220"/>
      <c r="G94" s="1220"/>
      <c r="H94" s="1221"/>
    </row>
    <row r="95" spans="2:8" ht="13.5" thickBot="1">
      <c r="B95" s="73" t="s">
        <v>33</v>
      </c>
      <c r="C95" s="51" t="s">
        <v>48</v>
      </c>
      <c r="D95" s="52" t="s">
        <v>61</v>
      </c>
      <c r="E95" s="468" t="s">
        <v>36</v>
      </c>
      <c r="F95" s="52" t="s">
        <v>61</v>
      </c>
      <c r="G95" s="468" t="s">
        <v>37</v>
      </c>
      <c r="H95" s="469" t="s">
        <v>61</v>
      </c>
    </row>
    <row r="96" spans="2:8">
      <c r="B96" s="74">
        <v>2003</v>
      </c>
      <c r="C96" s="462">
        <f>'11. Final Load Forecast'!$D$34</f>
        <v>1</v>
      </c>
      <c r="D96" s="462"/>
      <c r="E96" s="462">
        <f>+'11. Final Load Forecast'!$D$35</f>
        <v>15051682</v>
      </c>
      <c r="F96" s="462"/>
      <c r="G96" s="462">
        <f>+'11. Final Load Forecast'!$D$36</f>
        <v>42335.9</v>
      </c>
      <c r="H96" s="463"/>
    </row>
    <row r="97" spans="2:8">
      <c r="B97" s="75">
        <v>2004</v>
      </c>
      <c r="C97" s="86">
        <f>'11. Final Load Forecast'!$E$34</f>
        <v>1</v>
      </c>
      <c r="D97" s="177">
        <f t="shared" ref="D97:D107" si="15">(C97-C96)/C96</f>
        <v>0</v>
      </c>
      <c r="E97" s="86">
        <f>+'11. Final Load Forecast'!$E$35</f>
        <v>15193348</v>
      </c>
      <c r="F97" s="177">
        <f t="shared" ref="F97:F107" si="16">(E97-E96)/E96</f>
        <v>9.4119713663894846E-3</v>
      </c>
      <c r="G97" s="86">
        <f>+'11. Final Load Forecast'!$E$36</f>
        <v>39662.6</v>
      </c>
      <c r="H97" s="470">
        <f t="shared" ref="H97:H107" si="17">(G97-G96)/G96</f>
        <v>-6.314499042184063E-2</v>
      </c>
    </row>
    <row r="98" spans="2:8">
      <c r="B98" s="75">
        <v>2005</v>
      </c>
      <c r="C98" s="86">
        <f>'11. Final Load Forecast'!$F$34</f>
        <v>1</v>
      </c>
      <c r="D98" s="177">
        <f t="shared" si="15"/>
        <v>0</v>
      </c>
      <c r="E98" s="86">
        <f>+'11. Final Load Forecast'!$F$35</f>
        <v>13952451</v>
      </c>
      <c r="F98" s="177">
        <f t="shared" si="16"/>
        <v>-8.1673703518144916E-2</v>
      </c>
      <c r="G98" s="86">
        <f>+'11. Final Load Forecast'!$F$36</f>
        <v>37942.600000000006</v>
      </c>
      <c r="H98" s="470">
        <f t="shared" si="17"/>
        <v>-4.3365790442381306E-2</v>
      </c>
    </row>
    <row r="99" spans="2:8">
      <c r="B99" s="75">
        <v>2006</v>
      </c>
      <c r="C99" s="86">
        <f>'11. Final Load Forecast'!$G$34</f>
        <v>1</v>
      </c>
      <c r="D99" s="177">
        <f t="shared" si="15"/>
        <v>0</v>
      </c>
      <c r="E99" s="86">
        <f>+'11. Final Load Forecast'!$G$35</f>
        <v>12584229</v>
      </c>
      <c r="F99" s="177">
        <f t="shared" si="16"/>
        <v>-9.8063200508641812E-2</v>
      </c>
      <c r="G99" s="86">
        <f>+'11. Final Load Forecast'!$G$36</f>
        <v>36603.599999999999</v>
      </c>
      <c r="H99" s="470">
        <f t="shared" si="17"/>
        <v>-3.5290148803719487E-2</v>
      </c>
    </row>
    <row r="100" spans="2:8">
      <c r="B100" s="76">
        <v>2007</v>
      </c>
      <c r="C100" s="86">
        <f>'11. Final Load Forecast'!$H$34</f>
        <v>1</v>
      </c>
      <c r="D100" s="177">
        <f t="shared" si="15"/>
        <v>0</v>
      </c>
      <c r="E100" s="86">
        <f>+'11. Final Load Forecast'!$H$35</f>
        <v>14943860</v>
      </c>
      <c r="F100" s="177">
        <f t="shared" si="16"/>
        <v>0.18750699784627251</v>
      </c>
      <c r="G100" s="86">
        <f>+'11. Final Load Forecast'!$H$36</f>
        <v>33867.5</v>
      </c>
      <c r="H100" s="470">
        <f t="shared" si="17"/>
        <v>-7.4749478193401706E-2</v>
      </c>
    </row>
    <row r="101" spans="2:8">
      <c r="B101" s="76">
        <v>2008</v>
      </c>
      <c r="C101" s="86">
        <f>'11. Final Load Forecast'!$I$34</f>
        <v>1</v>
      </c>
      <c r="D101" s="177">
        <f t="shared" si="15"/>
        <v>0</v>
      </c>
      <c r="E101" s="86">
        <f>+'11. Final Load Forecast'!$I$35</f>
        <v>15890466</v>
      </c>
      <c r="F101" s="177">
        <f t="shared" si="16"/>
        <v>6.3344142677996179E-2</v>
      </c>
      <c r="G101" s="86">
        <f>+'11. Final Load Forecast'!$I$36</f>
        <v>37224</v>
      </c>
      <c r="H101" s="470">
        <f t="shared" si="17"/>
        <v>9.9106813316601455E-2</v>
      </c>
    </row>
    <row r="102" spans="2:8">
      <c r="B102" s="76">
        <v>2009</v>
      </c>
      <c r="C102" s="86">
        <f>'11. Final Load Forecast'!$J$34</f>
        <v>1</v>
      </c>
      <c r="D102" s="177">
        <f t="shared" si="15"/>
        <v>0</v>
      </c>
      <c r="E102" s="86">
        <f>+'11. Final Load Forecast'!$J$35</f>
        <v>18956591</v>
      </c>
      <c r="F102" s="177">
        <f t="shared" si="16"/>
        <v>0.19295374975158061</v>
      </c>
      <c r="G102" s="86">
        <f>+'11. Final Load Forecast'!$J$36</f>
        <v>39385</v>
      </c>
      <c r="H102" s="470">
        <f t="shared" si="17"/>
        <v>5.8053943692241566E-2</v>
      </c>
    </row>
    <row r="103" spans="2:8">
      <c r="B103" s="76">
        <v>2010</v>
      </c>
      <c r="C103" s="86">
        <f>'11. Final Load Forecast'!$K$34</f>
        <v>1</v>
      </c>
      <c r="D103" s="177">
        <f t="shared" si="15"/>
        <v>0</v>
      </c>
      <c r="E103" s="86">
        <f>+'11. Final Load Forecast'!$K$35</f>
        <v>20169223</v>
      </c>
      <c r="F103" s="177">
        <f t="shared" si="16"/>
        <v>6.3968885544874607E-2</v>
      </c>
      <c r="G103" s="86">
        <f>+'11. Final Load Forecast'!$K$36</f>
        <v>42960.800000000003</v>
      </c>
      <c r="H103" s="470">
        <f t="shared" si="17"/>
        <v>9.0790910245017217E-2</v>
      </c>
    </row>
    <row r="104" spans="2:8">
      <c r="B104" s="76">
        <v>2011</v>
      </c>
      <c r="C104" s="86">
        <f>'11. Final Load Forecast'!$L$34</f>
        <v>1</v>
      </c>
      <c r="D104" s="177">
        <f t="shared" si="15"/>
        <v>0</v>
      </c>
      <c r="E104" s="86">
        <f>+'11. Final Load Forecast'!$L$35</f>
        <v>17917827</v>
      </c>
      <c r="F104" s="177">
        <f t="shared" si="16"/>
        <v>-0.11162532141173707</v>
      </c>
      <c r="G104" s="86">
        <f>+'11. Final Load Forecast'!$L$36</f>
        <v>38239.699999999997</v>
      </c>
      <c r="H104" s="470">
        <f t="shared" si="17"/>
        <v>-0.10989320496825025</v>
      </c>
    </row>
    <row r="105" spans="2:8">
      <c r="B105" s="76">
        <v>2012</v>
      </c>
      <c r="C105" s="86">
        <f>'11. Final Load Forecast'!$M$34</f>
        <v>1</v>
      </c>
      <c r="D105" s="177">
        <f t="shared" si="15"/>
        <v>0</v>
      </c>
      <c r="E105" s="86">
        <f>+'11. Final Load Forecast'!$M$35</f>
        <v>19292259</v>
      </c>
      <c r="F105" s="177">
        <f t="shared" si="16"/>
        <v>7.6707515928131242E-2</v>
      </c>
      <c r="G105" s="86">
        <f>+'11. Final Load Forecast'!$M$36</f>
        <v>41552.9</v>
      </c>
      <c r="H105" s="470">
        <f t="shared" si="17"/>
        <v>8.6642939144397177E-2</v>
      </c>
    </row>
    <row r="106" spans="2:8">
      <c r="B106" s="77">
        <v>2013</v>
      </c>
      <c r="C106" s="86">
        <f>'11. Final Load Forecast'!$N$34</f>
        <v>1</v>
      </c>
      <c r="D106" s="178">
        <f t="shared" si="15"/>
        <v>0</v>
      </c>
      <c r="E106" s="86">
        <f>+'11. Final Load Forecast'!$N$35</f>
        <v>19104850.234163143</v>
      </c>
      <c r="F106" s="178">
        <f t="shared" si="16"/>
        <v>-9.7141949958715178E-3</v>
      </c>
      <c r="G106" s="86">
        <f>+'11. Final Load Forecast'!$N$36</f>
        <v>46149.451117157194</v>
      </c>
      <c r="H106" s="471">
        <f t="shared" si="17"/>
        <v>0.11061926164376475</v>
      </c>
    </row>
    <row r="107" spans="2:8" ht="13.5" thickBot="1">
      <c r="B107" s="78">
        <v>2014</v>
      </c>
      <c r="C107" s="88">
        <f>'11. Final Load Forecast'!$O$34</f>
        <v>1</v>
      </c>
      <c r="D107" s="179">
        <f t="shared" si="15"/>
        <v>0</v>
      </c>
      <c r="E107" s="88">
        <f>+'11. Final Load Forecast'!$O$35</f>
        <v>18909095.982190695</v>
      </c>
      <c r="F107" s="179">
        <f t="shared" si="16"/>
        <v>-1.024631177806366E-2</v>
      </c>
      <c r="G107" s="88">
        <f>+'11. Final Load Forecast'!$O$36</f>
        <v>48547.095450313398</v>
      </c>
      <c r="H107" s="472">
        <f t="shared" si="17"/>
        <v>5.1953907903897492E-2</v>
      </c>
    </row>
    <row r="109" spans="2:8" ht="13.5" thickBot="1"/>
    <row r="110" spans="2:8" ht="13.5" thickBot="1">
      <c r="B110" s="1219" t="str">
        <f>+'11. Final Load Forecast'!B38</f>
        <v>Unmetered Scattered Load</v>
      </c>
      <c r="C110" s="1220"/>
      <c r="D110" s="1220"/>
      <c r="E110" s="1220"/>
      <c r="F110" s="1220"/>
      <c r="G110" s="1220"/>
      <c r="H110" s="1221"/>
    </row>
    <row r="111" spans="2:8" ht="13.5" thickBot="1">
      <c r="B111" s="73" t="s">
        <v>33</v>
      </c>
      <c r="C111" s="51" t="s">
        <v>48</v>
      </c>
      <c r="D111" s="52" t="s">
        <v>61</v>
      </c>
      <c r="E111" s="468" t="s">
        <v>36</v>
      </c>
      <c r="F111" s="52" t="s">
        <v>61</v>
      </c>
      <c r="G111" s="468" t="s">
        <v>37</v>
      </c>
      <c r="H111" s="469" t="s">
        <v>61</v>
      </c>
    </row>
    <row r="112" spans="2:8">
      <c r="B112" s="74">
        <v>2003</v>
      </c>
      <c r="C112" s="462">
        <f>'11. Final Load Forecast'!$D$39</f>
        <v>659574</v>
      </c>
      <c r="D112" s="462"/>
      <c r="E112" s="462">
        <f>+'11. Final Load Forecast'!$D$39</f>
        <v>659574</v>
      </c>
      <c r="F112" s="462"/>
      <c r="G112" s="463">
        <f>+'11. Final Load Forecast'!$D$40</f>
        <v>0</v>
      </c>
      <c r="H112" s="463"/>
    </row>
    <row r="113" spans="2:8">
      <c r="B113" s="75">
        <v>2004</v>
      </c>
      <c r="C113" s="86">
        <f>'11. Final Load Forecast'!$E$38</f>
        <v>94.5</v>
      </c>
      <c r="D113" s="177">
        <f t="shared" ref="D113:D123" si="18">(C113-C112)/C112</f>
        <v>-0.99985672570477313</v>
      </c>
      <c r="E113" s="86">
        <f>+'11. Final Load Forecast'!$E$39</f>
        <v>627467</v>
      </c>
      <c r="F113" s="177">
        <f t="shared" ref="F113:F123" si="19">(E113-E112)/E112</f>
        <v>-4.8678389384663436E-2</v>
      </c>
      <c r="G113" s="87">
        <f>+'11. Final Load Forecast'!$E$40</f>
        <v>0</v>
      </c>
      <c r="H113" s="470" t="e">
        <f t="shared" ref="H113:H123" si="20">(G113-G112)/G112</f>
        <v>#DIV/0!</v>
      </c>
    </row>
    <row r="114" spans="2:8">
      <c r="B114" s="75">
        <v>2005</v>
      </c>
      <c r="C114" s="86">
        <f>'11. Final Load Forecast'!$F$38</f>
        <v>93.5</v>
      </c>
      <c r="D114" s="177">
        <f t="shared" si="18"/>
        <v>-1.0582010582010581E-2</v>
      </c>
      <c r="E114" s="86">
        <f>+'11. Final Load Forecast'!$F$39</f>
        <v>668402</v>
      </c>
      <c r="F114" s="177">
        <f t="shared" si="19"/>
        <v>6.5238490629786108E-2</v>
      </c>
      <c r="G114" s="87">
        <f>+'11. Final Load Forecast'!$F$40</f>
        <v>0</v>
      </c>
      <c r="H114" s="470" t="e">
        <f t="shared" si="20"/>
        <v>#DIV/0!</v>
      </c>
    </row>
    <row r="115" spans="2:8">
      <c r="B115" s="75">
        <v>2006</v>
      </c>
      <c r="C115" s="86">
        <f>'11. Final Load Forecast'!$G$38</f>
        <v>93</v>
      </c>
      <c r="D115" s="177">
        <f t="shared" si="18"/>
        <v>-5.3475935828877002E-3</v>
      </c>
      <c r="E115" s="86">
        <f>+'11. Final Load Forecast'!$G$39</f>
        <v>555548</v>
      </c>
      <c r="F115" s="177">
        <f t="shared" si="19"/>
        <v>-0.16884150556102465</v>
      </c>
      <c r="G115" s="87">
        <f>+'11. Final Load Forecast'!$G$40</f>
        <v>0</v>
      </c>
      <c r="H115" s="470" t="e">
        <f t="shared" si="20"/>
        <v>#DIV/0!</v>
      </c>
    </row>
    <row r="116" spans="2:8">
      <c r="B116" s="76">
        <v>2007</v>
      </c>
      <c r="C116" s="86">
        <f>'11. Final Load Forecast'!$H$38</f>
        <v>90</v>
      </c>
      <c r="D116" s="177">
        <f t="shared" si="18"/>
        <v>-3.2258064516129031E-2</v>
      </c>
      <c r="E116" s="86">
        <f>+'11. Final Load Forecast'!$H$39</f>
        <v>602228</v>
      </c>
      <c r="F116" s="177">
        <f t="shared" si="19"/>
        <v>8.4025142741941297E-2</v>
      </c>
      <c r="G116" s="87">
        <f>+'11. Final Load Forecast'!$H$40</f>
        <v>0</v>
      </c>
      <c r="H116" s="470" t="e">
        <f t="shared" si="20"/>
        <v>#DIV/0!</v>
      </c>
    </row>
    <row r="117" spans="2:8">
      <c r="B117" s="76">
        <v>2008</v>
      </c>
      <c r="C117" s="86">
        <f>'11. Final Load Forecast'!$I$38</f>
        <v>85</v>
      </c>
      <c r="D117" s="177">
        <f t="shared" si="18"/>
        <v>-5.5555555555555552E-2</v>
      </c>
      <c r="E117" s="86">
        <f>+'11. Final Load Forecast'!$I$39</f>
        <v>613092</v>
      </c>
      <c r="F117" s="177">
        <f t="shared" si="19"/>
        <v>1.8039679324109804E-2</v>
      </c>
      <c r="G117" s="87">
        <f>+'11. Final Load Forecast'!$I$40</f>
        <v>0</v>
      </c>
      <c r="H117" s="470" t="e">
        <f t="shared" si="20"/>
        <v>#DIV/0!</v>
      </c>
    </row>
    <row r="118" spans="2:8">
      <c r="B118" s="76">
        <v>2009</v>
      </c>
      <c r="C118" s="86">
        <f>'11. Final Load Forecast'!$J$38</f>
        <v>84</v>
      </c>
      <c r="D118" s="177">
        <f t="shared" si="18"/>
        <v>-1.1764705882352941E-2</v>
      </c>
      <c r="E118" s="86">
        <f>+'11. Final Load Forecast'!$J$39</f>
        <v>615642</v>
      </c>
      <c r="F118" s="177">
        <f t="shared" si="19"/>
        <v>4.1592452682468533E-3</v>
      </c>
      <c r="G118" s="87">
        <f>+'11. Final Load Forecast'!$J$40</f>
        <v>0</v>
      </c>
      <c r="H118" s="470" t="e">
        <f t="shared" si="20"/>
        <v>#DIV/0!</v>
      </c>
    </row>
    <row r="119" spans="2:8">
      <c r="B119" s="76">
        <v>2010</v>
      </c>
      <c r="C119" s="86">
        <f>'11. Final Load Forecast'!$K$38</f>
        <v>84</v>
      </c>
      <c r="D119" s="177">
        <f t="shared" si="18"/>
        <v>0</v>
      </c>
      <c r="E119" s="86">
        <f>+'11. Final Load Forecast'!$K$39</f>
        <v>614016</v>
      </c>
      <c r="F119" s="177">
        <f t="shared" si="19"/>
        <v>-2.6411453409611431E-3</v>
      </c>
      <c r="G119" s="87">
        <f>+'11. Final Load Forecast'!$K$40</f>
        <v>0</v>
      </c>
      <c r="H119" s="470" t="e">
        <f t="shared" si="20"/>
        <v>#DIV/0!</v>
      </c>
    </row>
    <row r="120" spans="2:8">
      <c r="B120" s="76">
        <v>2011</v>
      </c>
      <c r="C120" s="86">
        <f>'11. Final Load Forecast'!$L$38</f>
        <v>83.5</v>
      </c>
      <c r="D120" s="177">
        <f t="shared" si="18"/>
        <v>-5.9523809523809521E-3</v>
      </c>
      <c r="E120" s="86">
        <f>+'11. Final Load Forecast'!$L$39</f>
        <v>613910</v>
      </c>
      <c r="F120" s="177">
        <f t="shared" si="19"/>
        <v>-1.7263393787784033E-4</v>
      </c>
      <c r="G120" s="87">
        <f>+'11. Final Load Forecast'!$L$40</f>
        <v>0</v>
      </c>
      <c r="H120" s="470" t="e">
        <f t="shared" si="20"/>
        <v>#DIV/0!</v>
      </c>
    </row>
    <row r="121" spans="2:8">
      <c r="B121" s="76">
        <v>2012</v>
      </c>
      <c r="C121" s="86">
        <f>'11. Final Load Forecast'!$M$38</f>
        <v>82.5</v>
      </c>
      <c r="D121" s="177">
        <f t="shared" si="18"/>
        <v>-1.1976047904191617E-2</v>
      </c>
      <c r="E121" s="86">
        <f>+'11. Final Load Forecast'!$M$39</f>
        <v>611429</v>
      </c>
      <c r="F121" s="177">
        <f t="shared" si="19"/>
        <v>-4.0413089866592825E-3</v>
      </c>
      <c r="G121" s="87">
        <f>+'11. Final Load Forecast'!$M$40</f>
        <v>0</v>
      </c>
      <c r="H121" s="470" t="e">
        <f t="shared" si="20"/>
        <v>#DIV/0!</v>
      </c>
    </row>
    <row r="122" spans="2:8">
      <c r="B122" s="77">
        <v>2013</v>
      </c>
      <c r="C122" s="86">
        <f>'11. Final Load Forecast'!$N$38</f>
        <v>81.122423571488355</v>
      </c>
      <c r="D122" s="178">
        <f t="shared" si="18"/>
        <v>-1.6697896103171458E-2</v>
      </c>
      <c r="E122" s="86">
        <f>+'11. Final Load Forecast'!$N$39</f>
        <v>605489.45946786925</v>
      </c>
      <c r="F122" s="178">
        <f t="shared" si="19"/>
        <v>-9.7141949958715543E-3</v>
      </c>
      <c r="G122" s="87">
        <f>+'11. Final Load Forecast'!$N$40</f>
        <v>0</v>
      </c>
      <c r="H122" s="471" t="e">
        <f t="shared" si="20"/>
        <v>#DIV/0!</v>
      </c>
    </row>
    <row r="123" spans="2:8" ht="13.5" thickBot="1">
      <c r="B123" s="78">
        <v>2014</v>
      </c>
      <c r="C123" s="88">
        <f>'11. Final Load Forecast'!$O$38</f>
        <v>79.767849771054173</v>
      </c>
      <c r="D123" s="179">
        <f t="shared" si="18"/>
        <v>-1.6697896103171479E-2</v>
      </c>
      <c r="E123" s="88">
        <f>+'11. Final Load Forecast'!$O$39</f>
        <v>599285.42568783031</v>
      </c>
      <c r="F123" s="179">
        <f t="shared" si="19"/>
        <v>-1.0246311778063514E-2</v>
      </c>
      <c r="G123" s="89">
        <f>+'11. Final Load Forecast'!$O$40</f>
        <v>0</v>
      </c>
      <c r="H123" s="472"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sheetPr>
  <dimension ref="B4:S82"/>
  <sheetViews>
    <sheetView workbookViewId="0">
      <selection activeCell="C14" sqref="C14"/>
    </sheetView>
  </sheetViews>
  <sheetFormatPr defaultRowHeight="12.75"/>
  <cols>
    <col min="1" max="1" width="9.33203125" style="768"/>
    <col min="2" max="2" width="17.1640625" style="768" bestFit="1" customWidth="1"/>
    <col min="3" max="3" width="28.33203125" style="768" customWidth="1"/>
    <col min="4" max="4" width="14" style="768" bestFit="1" customWidth="1"/>
    <col min="5" max="5" width="14.1640625" style="776" bestFit="1" customWidth="1"/>
    <col min="6" max="16384" width="9.33203125" style="768"/>
  </cols>
  <sheetData>
    <row r="4" spans="2:19" ht="31.5">
      <c r="B4" s="766" t="s">
        <v>33</v>
      </c>
      <c r="C4" s="767" t="s">
        <v>276</v>
      </c>
      <c r="S4" s="769" t="s">
        <v>277</v>
      </c>
    </row>
    <row r="5" spans="2:19" ht="15.75">
      <c r="B5" s="770">
        <v>2006</v>
      </c>
      <c r="C5" s="771"/>
      <c r="S5" s="772">
        <v>1</v>
      </c>
    </row>
    <row r="6" spans="2:19" ht="15.75">
      <c r="B6" s="770">
        <v>2007</v>
      </c>
      <c r="C6" s="771"/>
      <c r="S6" s="772">
        <v>2</v>
      </c>
    </row>
    <row r="7" spans="2:19" ht="15.75">
      <c r="B7" s="770">
        <v>2008</v>
      </c>
      <c r="C7" s="771"/>
      <c r="S7" s="772">
        <v>3</v>
      </c>
    </row>
    <row r="8" spans="2:19" ht="15.75">
      <c r="B8" s="770">
        <v>2009</v>
      </c>
      <c r="C8" s="771"/>
      <c r="S8" s="772">
        <v>4</v>
      </c>
    </row>
    <row r="9" spans="2:19" ht="15.75">
      <c r="B9" s="770">
        <v>2010</v>
      </c>
      <c r="C9" s="771"/>
      <c r="S9" s="772">
        <v>5</v>
      </c>
    </row>
    <row r="10" spans="2:19" ht="15.75">
      <c r="B10" s="770">
        <v>2011</v>
      </c>
      <c r="C10" s="771">
        <f>(1.4+0.1)*1000000</f>
        <v>1500000</v>
      </c>
      <c r="S10" s="772">
        <v>6</v>
      </c>
    </row>
    <row r="11" spans="2:19" ht="15.75">
      <c r="B11" s="770">
        <v>2012</v>
      </c>
      <c r="C11" s="771">
        <f>(1.4+0.7)*1000000</f>
        <v>2099999.9999999995</v>
      </c>
      <c r="S11" s="772">
        <v>7</v>
      </c>
    </row>
    <row r="12" spans="2:19" ht="15.75">
      <c r="B12" s="770">
        <v>2013</v>
      </c>
      <c r="C12" s="771">
        <f>(1.4+0.7+0.8+0.18)*1000000</f>
        <v>3079999.9999999995</v>
      </c>
      <c r="S12" s="772">
        <v>8</v>
      </c>
    </row>
    <row r="13" spans="2:19" ht="15.75">
      <c r="B13" s="770">
        <v>2014</v>
      </c>
      <c r="C13" s="771">
        <f>(1.3+0.7+0.8+1.2)*1000000</f>
        <v>4000000</v>
      </c>
      <c r="S13" s="772">
        <v>9</v>
      </c>
    </row>
    <row r="14" spans="2:19" ht="15.75">
      <c r="B14" s="773">
        <v>2015</v>
      </c>
      <c r="C14" s="771">
        <f>1.6*1000000</f>
        <v>1600000</v>
      </c>
      <c r="S14" s="772">
        <v>10</v>
      </c>
    </row>
    <row r="15" spans="2:19" ht="15.75">
      <c r="S15" s="772">
        <v>11</v>
      </c>
    </row>
    <row r="16" spans="2:19" ht="15.75">
      <c r="S16" s="772">
        <v>12</v>
      </c>
    </row>
    <row r="17" spans="2:19" ht="15.75">
      <c r="S17" s="774">
        <f>SUM(S5:S16)</f>
        <v>78</v>
      </c>
    </row>
    <row r="19" spans="2:19">
      <c r="B19" s="768" t="s">
        <v>278</v>
      </c>
      <c r="C19" s="776">
        <f>C10/S17</f>
        <v>19230.76923076923</v>
      </c>
      <c r="E19" s="776">
        <f>C19*1.0565</f>
        <v>20317.307692307691</v>
      </c>
    </row>
    <row r="20" spans="2:19">
      <c r="B20" s="768" t="s">
        <v>279</v>
      </c>
      <c r="C20" s="776">
        <f>C19*(S6/S5)</f>
        <v>38461.538461538461</v>
      </c>
      <c r="E20" s="776">
        <f t="shared" ref="E20:E82" si="0">C20*1.0565</f>
        <v>40634.615384615383</v>
      </c>
    </row>
    <row r="21" spans="2:19">
      <c r="B21" s="768" t="s">
        <v>280</v>
      </c>
      <c r="C21" s="776">
        <f t="shared" ref="C21:C30" si="1">C20*(S7/S6)</f>
        <v>57692.307692307688</v>
      </c>
      <c r="E21" s="776">
        <f t="shared" si="0"/>
        <v>60951.923076923071</v>
      </c>
    </row>
    <row r="22" spans="2:19">
      <c r="B22" s="768" t="s">
        <v>281</v>
      </c>
      <c r="C22" s="776">
        <f t="shared" si="1"/>
        <v>76923.076923076907</v>
      </c>
      <c r="E22" s="776">
        <f t="shared" si="0"/>
        <v>81269.230769230751</v>
      </c>
    </row>
    <row r="23" spans="2:19">
      <c r="B23" s="768" t="s">
        <v>282</v>
      </c>
      <c r="C23" s="776">
        <f t="shared" si="1"/>
        <v>96153.846153846127</v>
      </c>
      <c r="E23" s="776">
        <f t="shared" si="0"/>
        <v>101586.53846153844</v>
      </c>
    </row>
    <row r="24" spans="2:19">
      <c r="B24" s="768" t="s">
        <v>283</v>
      </c>
      <c r="C24" s="776">
        <f t="shared" si="1"/>
        <v>115384.61538461535</v>
      </c>
      <c r="E24" s="776">
        <f t="shared" si="0"/>
        <v>121903.84615384611</v>
      </c>
    </row>
    <row r="25" spans="2:19">
      <c r="B25" s="768" t="s">
        <v>285</v>
      </c>
      <c r="C25" s="776">
        <f t="shared" si="1"/>
        <v>134615.38461538457</v>
      </c>
      <c r="E25" s="776">
        <f t="shared" si="0"/>
        <v>142221.15384615379</v>
      </c>
    </row>
    <row r="26" spans="2:19">
      <c r="B26" s="768" t="s">
        <v>286</v>
      </c>
      <c r="C26" s="776">
        <f t="shared" si="1"/>
        <v>153846.15384615379</v>
      </c>
      <c r="E26" s="776">
        <f t="shared" si="0"/>
        <v>162538.46153846147</v>
      </c>
    </row>
    <row r="27" spans="2:19">
      <c r="B27" s="768" t="s">
        <v>287</v>
      </c>
      <c r="C27" s="776">
        <f t="shared" si="1"/>
        <v>173076.92307692301</v>
      </c>
      <c r="E27" s="776">
        <f t="shared" si="0"/>
        <v>182855.76923076916</v>
      </c>
    </row>
    <row r="28" spans="2:19">
      <c r="B28" s="768" t="s">
        <v>288</v>
      </c>
      <c r="C28" s="776">
        <f t="shared" si="1"/>
        <v>192307.69230769222</v>
      </c>
      <c r="E28" s="776">
        <f t="shared" si="0"/>
        <v>203173.07692307682</v>
      </c>
    </row>
    <row r="29" spans="2:19">
      <c r="B29" s="768" t="s">
        <v>289</v>
      </c>
      <c r="C29" s="776">
        <f t="shared" si="1"/>
        <v>211538.46153846147</v>
      </c>
      <c r="E29" s="776">
        <f t="shared" si="0"/>
        <v>223490.38461538454</v>
      </c>
    </row>
    <row r="30" spans="2:19">
      <c r="B30" s="768" t="s">
        <v>290</v>
      </c>
      <c r="C30" s="776">
        <f t="shared" si="1"/>
        <v>230769.23076923069</v>
      </c>
      <c r="D30" s="775">
        <f>SUM(C19:C30)</f>
        <v>1499999.9999999995</v>
      </c>
      <c r="E30" s="776">
        <f t="shared" si="0"/>
        <v>243807.69230769222</v>
      </c>
    </row>
    <row r="31" spans="2:19">
      <c r="C31" s="776"/>
    </row>
    <row r="32" spans="2:19">
      <c r="B32" s="768" t="s">
        <v>294</v>
      </c>
      <c r="C32" s="776">
        <f>C11/S17</f>
        <v>26923.076923076918</v>
      </c>
      <c r="E32" s="776">
        <f t="shared" si="0"/>
        <v>28444.230769230766</v>
      </c>
    </row>
    <row r="33" spans="2:5">
      <c r="B33" s="768" t="s">
        <v>295</v>
      </c>
      <c r="C33" s="776">
        <f>C32*(S6/S5)</f>
        <v>53846.153846153837</v>
      </c>
      <c r="E33" s="776">
        <f t="shared" si="0"/>
        <v>56888.461538461532</v>
      </c>
    </row>
    <row r="34" spans="2:5">
      <c r="B34" s="768" t="s">
        <v>296</v>
      </c>
      <c r="C34" s="776">
        <f>C33*(S7/S6)</f>
        <v>80769.230769230751</v>
      </c>
      <c r="E34" s="776">
        <f t="shared" si="0"/>
        <v>85332.692307692283</v>
      </c>
    </row>
    <row r="35" spans="2:5">
      <c r="B35" s="768" t="s">
        <v>297</v>
      </c>
      <c r="C35" s="776">
        <f t="shared" ref="C35:C43" si="2">C34*(S8/S7)</f>
        <v>107692.30769230766</v>
      </c>
      <c r="E35" s="776">
        <f t="shared" si="0"/>
        <v>113776.92307692303</v>
      </c>
    </row>
    <row r="36" spans="2:5">
      <c r="B36" s="768" t="s">
        <v>298</v>
      </c>
      <c r="C36" s="776">
        <f t="shared" si="2"/>
        <v>134615.38461538457</v>
      </c>
      <c r="E36" s="776">
        <f t="shared" si="0"/>
        <v>142221.15384615379</v>
      </c>
    </row>
    <row r="37" spans="2:5">
      <c r="B37" s="768" t="s">
        <v>299</v>
      </c>
      <c r="C37" s="776">
        <f t="shared" si="2"/>
        <v>161538.46153846147</v>
      </c>
      <c r="E37" s="776">
        <f t="shared" si="0"/>
        <v>170665.38461538454</v>
      </c>
    </row>
    <row r="38" spans="2:5">
      <c r="B38" s="768" t="s">
        <v>284</v>
      </c>
      <c r="C38" s="776">
        <f t="shared" si="2"/>
        <v>188461.53846153841</v>
      </c>
      <c r="E38" s="776">
        <f t="shared" si="0"/>
        <v>199109.61538461532</v>
      </c>
    </row>
    <row r="39" spans="2:5">
      <c r="B39" s="768" t="s">
        <v>300</v>
      </c>
      <c r="C39" s="776">
        <f t="shared" si="2"/>
        <v>215384.61538461532</v>
      </c>
      <c r="E39" s="776">
        <f t="shared" si="0"/>
        <v>227553.84615384607</v>
      </c>
    </row>
    <row r="40" spans="2:5">
      <c r="B40" s="768" t="s">
        <v>301</v>
      </c>
      <c r="C40" s="776">
        <f t="shared" si="2"/>
        <v>242307.69230769222</v>
      </c>
      <c r="E40" s="776">
        <f t="shared" si="0"/>
        <v>255998.07692307682</v>
      </c>
    </row>
    <row r="41" spans="2:5">
      <c r="B41" s="768" t="s">
        <v>302</v>
      </c>
      <c r="C41" s="776">
        <f t="shared" si="2"/>
        <v>269230.76923076913</v>
      </c>
      <c r="E41" s="776">
        <f t="shared" si="0"/>
        <v>284442.30769230757</v>
      </c>
    </row>
    <row r="42" spans="2:5">
      <c r="B42" s="768" t="s">
        <v>303</v>
      </c>
      <c r="C42" s="776">
        <f t="shared" si="2"/>
        <v>296153.84615384607</v>
      </c>
      <c r="E42" s="776">
        <f t="shared" si="0"/>
        <v>312886.53846153838</v>
      </c>
    </row>
    <row r="43" spans="2:5">
      <c r="B43" s="768" t="s">
        <v>291</v>
      </c>
      <c r="C43" s="776">
        <f t="shared" si="2"/>
        <v>323076.92307692295</v>
      </c>
      <c r="D43" s="775">
        <f>SUM(C32:C43)</f>
        <v>2099999.9999999991</v>
      </c>
      <c r="E43" s="776">
        <f t="shared" si="0"/>
        <v>341330.76923076907</v>
      </c>
    </row>
    <row r="45" spans="2:5">
      <c r="B45" s="768" t="s">
        <v>304</v>
      </c>
      <c r="C45" s="776">
        <f>C12/S17</f>
        <v>39487.179487179485</v>
      </c>
      <c r="E45" s="776">
        <f t="shared" si="0"/>
        <v>41718.205128205125</v>
      </c>
    </row>
    <row r="46" spans="2:5">
      <c r="B46" s="768" t="s">
        <v>305</v>
      </c>
      <c r="C46" s="776">
        <f>C45*(S6/S5)</f>
        <v>78974.358974358969</v>
      </c>
      <c r="E46" s="776">
        <f t="shared" si="0"/>
        <v>83436.41025641025</v>
      </c>
    </row>
    <row r="47" spans="2:5">
      <c r="B47" s="768" t="s">
        <v>306</v>
      </c>
      <c r="C47" s="776">
        <f t="shared" ref="C47:C56" si="3">C46*(S7/S6)</f>
        <v>118461.53846153845</v>
      </c>
      <c r="E47" s="776">
        <f t="shared" si="0"/>
        <v>125154.61538461538</v>
      </c>
    </row>
    <row r="48" spans="2:5">
      <c r="B48" s="768" t="s">
        <v>307</v>
      </c>
      <c r="C48" s="776">
        <f t="shared" si="3"/>
        <v>157948.71794871794</v>
      </c>
      <c r="E48" s="776">
        <f t="shared" si="0"/>
        <v>166872.8205128205</v>
      </c>
    </row>
    <row r="49" spans="2:5">
      <c r="B49" s="768" t="s">
        <v>308</v>
      </c>
      <c r="C49" s="776">
        <f t="shared" si="3"/>
        <v>197435.89743589744</v>
      </c>
      <c r="E49" s="776">
        <f t="shared" si="0"/>
        <v>208591.02564102566</v>
      </c>
    </row>
    <row r="50" spans="2:5">
      <c r="B50" s="768" t="s">
        <v>309</v>
      </c>
      <c r="C50" s="776">
        <f t="shared" si="3"/>
        <v>236923.07692307691</v>
      </c>
      <c r="E50" s="776">
        <f t="shared" si="0"/>
        <v>250309.23076923075</v>
      </c>
    </row>
    <row r="51" spans="2:5">
      <c r="B51" s="768" t="s">
        <v>310</v>
      </c>
      <c r="C51" s="776">
        <f t="shared" si="3"/>
        <v>276410.25641025644</v>
      </c>
      <c r="E51" s="776">
        <f t="shared" si="0"/>
        <v>292027.43589743593</v>
      </c>
    </row>
    <row r="52" spans="2:5">
      <c r="B52" s="768" t="s">
        <v>311</v>
      </c>
      <c r="C52" s="776">
        <f t="shared" si="3"/>
        <v>315897.43589743593</v>
      </c>
      <c r="E52" s="776">
        <f t="shared" si="0"/>
        <v>333745.64102564106</v>
      </c>
    </row>
    <row r="53" spans="2:5">
      <c r="B53" s="768" t="s">
        <v>312</v>
      </c>
      <c r="C53" s="776">
        <f t="shared" si="3"/>
        <v>355384.61538461543</v>
      </c>
      <c r="E53" s="776">
        <f t="shared" si="0"/>
        <v>375463.84615384619</v>
      </c>
    </row>
    <row r="54" spans="2:5">
      <c r="B54" s="768" t="s">
        <v>313</v>
      </c>
      <c r="C54" s="776">
        <f t="shared" si="3"/>
        <v>394871.79487179493</v>
      </c>
      <c r="E54" s="776">
        <f t="shared" si="0"/>
        <v>417182.05128205137</v>
      </c>
    </row>
    <row r="55" spans="2:5">
      <c r="B55" s="768" t="s">
        <v>314</v>
      </c>
      <c r="C55" s="776">
        <f t="shared" si="3"/>
        <v>434358.97435897449</v>
      </c>
      <c r="E55" s="776">
        <f t="shared" si="0"/>
        <v>458900.25641025655</v>
      </c>
    </row>
    <row r="56" spans="2:5">
      <c r="B56" s="768" t="s">
        <v>292</v>
      </c>
      <c r="C56" s="776">
        <f t="shared" si="3"/>
        <v>473846.15384615393</v>
      </c>
      <c r="D56" s="775">
        <f>SUM(C45:C56)</f>
        <v>3080000.0000000005</v>
      </c>
      <c r="E56" s="776">
        <f t="shared" si="0"/>
        <v>500618.46153846162</v>
      </c>
    </row>
    <row r="58" spans="2:5">
      <c r="B58" s="768" t="s">
        <v>315</v>
      </c>
      <c r="C58" s="776">
        <f>C13/S17</f>
        <v>51282.051282051281</v>
      </c>
      <c r="E58" s="776">
        <f t="shared" si="0"/>
        <v>54179.48717948718</v>
      </c>
    </row>
    <row r="59" spans="2:5">
      <c r="B59" s="768" t="s">
        <v>316</v>
      </c>
      <c r="C59" s="776">
        <f>C58*(S6/S5)</f>
        <v>102564.10256410256</v>
      </c>
      <c r="E59" s="776">
        <f t="shared" si="0"/>
        <v>108358.97435897436</v>
      </c>
    </row>
    <row r="60" spans="2:5">
      <c r="B60" s="768" t="s">
        <v>317</v>
      </c>
      <c r="C60" s="776">
        <f t="shared" ref="C60:C69" si="4">C59*(S7/S6)</f>
        <v>153846.15384615384</v>
      </c>
      <c r="E60" s="776">
        <f t="shared" si="0"/>
        <v>162538.46153846153</v>
      </c>
    </row>
    <row r="61" spans="2:5">
      <c r="B61" s="768" t="s">
        <v>318</v>
      </c>
      <c r="C61" s="776">
        <f t="shared" si="4"/>
        <v>205128.20512820513</v>
      </c>
      <c r="E61" s="776">
        <f t="shared" si="0"/>
        <v>216717.94871794872</v>
      </c>
    </row>
    <row r="62" spans="2:5">
      <c r="B62" s="768" t="s">
        <v>319</v>
      </c>
      <c r="C62" s="776">
        <f t="shared" si="4"/>
        <v>256410.25641025641</v>
      </c>
      <c r="E62" s="776">
        <f t="shared" si="0"/>
        <v>270897.43589743588</v>
      </c>
    </row>
    <row r="63" spans="2:5">
      <c r="B63" s="768" t="s">
        <v>320</v>
      </c>
      <c r="C63" s="776">
        <f t="shared" si="4"/>
        <v>307692.30769230769</v>
      </c>
      <c r="E63" s="776">
        <f t="shared" si="0"/>
        <v>325076.92307692306</v>
      </c>
    </row>
    <row r="64" spans="2:5">
      <c r="B64" s="768" t="s">
        <v>321</v>
      </c>
      <c r="C64" s="776">
        <f t="shared" si="4"/>
        <v>358974.358974359</v>
      </c>
      <c r="E64" s="776">
        <f t="shared" si="0"/>
        <v>379256.41025641031</v>
      </c>
    </row>
    <row r="65" spans="2:5">
      <c r="B65" s="768" t="s">
        <v>322</v>
      </c>
      <c r="C65" s="776">
        <f t="shared" si="4"/>
        <v>410256.41025641025</v>
      </c>
      <c r="E65" s="776">
        <f t="shared" si="0"/>
        <v>433435.89743589744</v>
      </c>
    </row>
    <row r="66" spans="2:5">
      <c r="B66" s="768" t="s">
        <v>323</v>
      </c>
      <c r="C66" s="776">
        <f t="shared" si="4"/>
        <v>461538.4615384615</v>
      </c>
      <c r="E66" s="776">
        <f t="shared" si="0"/>
        <v>487615.38461538457</v>
      </c>
    </row>
    <row r="67" spans="2:5">
      <c r="B67" s="768" t="s">
        <v>324</v>
      </c>
      <c r="C67" s="776">
        <f t="shared" si="4"/>
        <v>512820.51282051281</v>
      </c>
      <c r="E67" s="776">
        <f t="shared" si="0"/>
        <v>541794.87179487175</v>
      </c>
    </row>
    <row r="68" spans="2:5">
      <c r="B68" s="768" t="s">
        <v>325</v>
      </c>
      <c r="C68" s="776">
        <f t="shared" si="4"/>
        <v>564102.56410256412</v>
      </c>
      <c r="E68" s="776">
        <f t="shared" si="0"/>
        <v>595974.358974359</v>
      </c>
    </row>
    <row r="69" spans="2:5">
      <c r="B69" s="768" t="s">
        <v>293</v>
      </c>
      <c r="C69" s="776">
        <f t="shared" si="4"/>
        <v>615384.61538461538</v>
      </c>
      <c r="D69" s="775">
        <f>SUM(C58:C69)</f>
        <v>4000000.0000000005</v>
      </c>
      <c r="E69" s="776">
        <f t="shared" si="0"/>
        <v>650153.84615384613</v>
      </c>
    </row>
    <row r="71" spans="2:5">
      <c r="B71" s="768" t="s">
        <v>326</v>
      </c>
      <c r="C71" s="776">
        <f>C14/S17</f>
        <v>20512.820512820512</v>
      </c>
      <c r="E71" s="776">
        <f t="shared" si="0"/>
        <v>21671.794871794871</v>
      </c>
    </row>
    <row r="72" spans="2:5">
      <c r="B72" s="768" t="s">
        <v>327</v>
      </c>
      <c r="C72" s="776">
        <f>C71*(S6/S5)</f>
        <v>41025.641025641024</v>
      </c>
      <c r="E72" s="776">
        <f t="shared" si="0"/>
        <v>43343.589743589742</v>
      </c>
    </row>
    <row r="73" spans="2:5">
      <c r="B73" s="768" t="s">
        <v>328</v>
      </c>
      <c r="C73" s="776">
        <f t="shared" ref="C73:C82" si="5">C72*(S7/S6)</f>
        <v>61538.461538461532</v>
      </c>
      <c r="E73" s="776">
        <f t="shared" si="0"/>
        <v>65015.38461538461</v>
      </c>
    </row>
    <row r="74" spans="2:5">
      <c r="B74" s="768" t="s">
        <v>329</v>
      </c>
      <c r="C74" s="776">
        <f t="shared" si="5"/>
        <v>82051.282051282033</v>
      </c>
      <c r="E74" s="776">
        <f t="shared" si="0"/>
        <v>86687.17948717947</v>
      </c>
    </row>
    <row r="75" spans="2:5">
      <c r="B75" s="768" t="s">
        <v>330</v>
      </c>
      <c r="C75" s="776">
        <f t="shared" si="5"/>
        <v>102564.10256410253</v>
      </c>
      <c r="E75" s="776">
        <f t="shared" si="0"/>
        <v>108358.97435897433</v>
      </c>
    </row>
    <row r="76" spans="2:5">
      <c r="B76" s="768" t="s">
        <v>331</v>
      </c>
      <c r="C76" s="776">
        <f t="shared" si="5"/>
        <v>123076.92307692303</v>
      </c>
      <c r="E76" s="776">
        <f t="shared" si="0"/>
        <v>130030.76923076919</v>
      </c>
    </row>
    <row r="77" spans="2:5">
      <c r="B77" s="768" t="s">
        <v>332</v>
      </c>
      <c r="C77" s="776">
        <f t="shared" si="5"/>
        <v>143589.74358974354</v>
      </c>
      <c r="E77" s="776">
        <f t="shared" si="0"/>
        <v>151702.56410256404</v>
      </c>
    </row>
    <row r="78" spans="2:5">
      <c r="B78" s="768" t="s">
        <v>333</v>
      </c>
      <c r="C78" s="776">
        <f t="shared" si="5"/>
        <v>164102.56410256404</v>
      </c>
      <c r="E78" s="776">
        <f t="shared" si="0"/>
        <v>173374.35897435891</v>
      </c>
    </row>
    <row r="79" spans="2:5">
      <c r="B79" s="768" t="s">
        <v>334</v>
      </c>
      <c r="C79" s="776">
        <f t="shared" si="5"/>
        <v>184615.38461538454</v>
      </c>
      <c r="E79" s="776">
        <f t="shared" si="0"/>
        <v>195046.15384615376</v>
      </c>
    </row>
    <row r="80" spans="2:5">
      <c r="B80" s="768" t="s">
        <v>335</v>
      </c>
      <c r="C80" s="776">
        <f t="shared" si="5"/>
        <v>205128.20512820504</v>
      </c>
      <c r="E80" s="776">
        <f t="shared" si="0"/>
        <v>216717.94871794863</v>
      </c>
    </row>
    <row r="81" spans="2:5">
      <c r="B81" s="768" t="s">
        <v>336</v>
      </c>
      <c r="C81" s="776">
        <f t="shared" si="5"/>
        <v>225641.02564102557</v>
      </c>
      <c r="E81" s="776">
        <f t="shared" si="0"/>
        <v>238389.74358974351</v>
      </c>
    </row>
    <row r="82" spans="2:5">
      <c r="B82" s="768" t="s">
        <v>337</v>
      </c>
      <c r="C82" s="776">
        <f t="shared" si="5"/>
        <v>246153.84615384607</v>
      </c>
      <c r="D82" s="775">
        <f>SUM(C71:C82)</f>
        <v>1599999.9999999993</v>
      </c>
      <c r="E82" s="776">
        <f t="shared" si="0"/>
        <v>260061.53846153838</v>
      </c>
    </row>
  </sheetData>
  <pageMargins left="0.7" right="0.7" top="0.75" bottom="0.75" header="0.3" footer="0.3"/>
  <pageSetup orientation="portrait" horizontalDpi="4294967294" vertic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4:AC148"/>
  <sheetViews>
    <sheetView workbookViewId="0">
      <selection activeCell="B5" sqref="B5"/>
    </sheetView>
  </sheetViews>
  <sheetFormatPr defaultRowHeight="12.75"/>
  <cols>
    <col min="1" max="1" width="9.33203125" style="768"/>
    <col min="2" max="2" width="17.1640625" style="768" bestFit="1" customWidth="1"/>
    <col min="3" max="9" width="12.33203125" style="768" customWidth="1"/>
    <col min="10" max="10" width="12.33203125" style="776" customWidth="1"/>
    <col min="11" max="16" width="12.33203125" style="768" customWidth="1"/>
    <col min="17" max="23" width="9.33203125" style="768"/>
    <col min="24" max="24" width="13.33203125" style="768" bestFit="1" customWidth="1"/>
    <col min="25" max="25" width="9.33203125" style="768"/>
    <col min="26" max="26" width="13.33203125" style="768" bestFit="1" customWidth="1"/>
    <col min="27" max="16384" width="9.33203125" style="768"/>
  </cols>
  <sheetData>
    <row r="4" spans="1:12" ht="47.25">
      <c r="A4" s="766" t="s">
        <v>33</v>
      </c>
      <c r="B4" s="767" t="s">
        <v>276</v>
      </c>
      <c r="C4" s="824"/>
      <c r="D4" s="824"/>
      <c r="E4" s="824"/>
      <c r="F4" s="824"/>
      <c r="G4" s="824"/>
    </row>
    <row r="5" spans="1:12" ht="15.75">
      <c r="A5" s="770">
        <v>2006</v>
      </c>
      <c r="B5" s="771">
        <v>603990</v>
      </c>
      <c r="C5" s="825"/>
      <c r="D5" s="825"/>
      <c r="E5" s="825"/>
      <c r="F5" s="825"/>
      <c r="G5" s="825"/>
    </row>
    <row r="6" spans="1:12" ht="15.75">
      <c r="A6" s="770">
        <v>2007</v>
      </c>
      <c r="B6" s="771">
        <v>841748</v>
      </c>
      <c r="C6" s="825"/>
      <c r="D6" s="825"/>
      <c r="E6" s="825"/>
      <c r="F6" s="825"/>
      <c r="G6" s="825"/>
    </row>
    <row r="7" spans="1:12" ht="15.75">
      <c r="A7" s="770">
        <v>2008</v>
      </c>
      <c r="B7" s="771">
        <v>1062629</v>
      </c>
      <c r="C7" s="825"/>
      <c r="D7" s="825"/>
      <c r="E7" s="825"/>
      <c r="F7" s="825"/>
      <c r="G7" s="825"/>
    </row>
    <row r="8" spans="1:12" ht="15.75">
      <c r="A8" s="770">
        <v>2009</v>
      </c>
      <c r="B8" s="771">
        <v>1121716</v>
      </c>
      <c r="C8" s="825"/>
      <c r="D8" s="825"/>
      <c r="E8" s="825"/>
      <c r="F8" s="825"/>
      <c r="G8" s="825"/>
    </row>
    <row r="9" spans="1:12" ht="15.75">
      <c r="A9" s="770">
        <v>2010</v>
      </c>
      <c r="B9" s="771">
        <v>1990146</v>
      </c>
      <c r="C9" s="825"/>
      <c r="D9" s="825"/>
      <c r="E9" s="825"/>
      <c r="F9" s="825"/>
      <c r="G9" s="825"/>
    </row>
    <row r="10" spans="1:12" ht="15.75">
      <c r="A10" s="770">
        <v>2011</v>
      </c>
      <c r="B10" s="771">
        <v>1500000</v>
      </c>
      <c r="C10" s="826" t="s">
        <v>341</v>
      </c>
      <c r="D10" s="825"/>
      <c r="E10" s="825"/>
      <c r="F10" s="825"/>
      <c r="G10" s="825"/>
    </row>
    <row r="11" spans="1:12" ht="15.75">
      <c r="A11" s="770">
        <v>2012</v>
      </c>
      <c r="B11" s="771">
        <v>1200000</v>
      </c>
      <c r="C11" s="826" t="s">
        <v>341</v>
      </c>
      <c r="D11" s="825"/>
      <c r="E11" s="825"/>
      <c r="F11" s="825"/>
      <c r="G11" s="825"/>
    </row>
    <row r="12" spans="1:12" ht="15.75">
      <c r="A12" s="770">
        <v>2013</v>
      </c>
      <c r="B12" s="771">
        <v>3079999.9999999995</v>
      </c>
      <c r="C12" s="826" t="s">
        <v>341</v>
      </c>
      <c r="D12" s="825"/>
      <c r="E12" s="825"/>
      <c r="F12" s="825"/>
      <c r="G12" s="825"/>
    </row>
    <row r="13" spans="1:12" ht="15.75">
      <c r="A13" s="770">
        <v>2014</v>
      </c>
      <c r="B13" s="771">
        <v>4000000</v>
      </c>
      <c r="C13" s="826" t="s">
        <v>341</v>
      </c>
      <c r="D13" s="825"/>
      <c r="E13" s="825"/>
      <c r="F13" s="825"/>
      <c r="G13" s="825"/>
    </row>
    <row r="14" spans="1:12" ht="15.75">
      <c r="A14" s="773">
        <v>2015</v>
      </c>
      <c r="B14" s="771">
        <v>2299171</v>
      </c>
      <c r="C14" s="825"/>
      <c r="D14" s="825"/>
      <c r="E14" s="825"/>
      <c r="F14" s="825"/>
      <c r="G14" s="825"/>
    </row>
    <row r="16" spans="1:12" ht="15">
      <c r="C16" s="827">
        <v>2006</v>
      </c>
      <c r="D16" s="827">
        <v>2007</v>
      </c>
      <c r="E16" s="827">
        <v>2008</v>
      </c>
      <c r="F16" s="827">
        <v>2009</v>
      </c>
      <c r="G16" s="827">
        <v>2010</v>
      </c>
      <c r="H16" s="827">
        <v>2011</v>
      </c>
      <c r="I16" s="827">
        <v>2012</v>
      </c>
      <c r="J16" s="827">
        <v>2013</v>
      </c>
      <c r="K16" s="827">
        <v>2014</v>
      </c>
      <c r="L16" s="768">
        <v>2015</v>
      </c>
    </row>
    <row r="18" spans="3:11" ht="15">
      <c r="C18" s="828">
        <f>$B$5/12</f>
        <v>50332.5</v>
      </c>
      <c r="D18" s="828"/>
      <c r="E18" s="828"/>
      <c r="F18" s="828"/>
      <c r="G18" s="828"/>
      <c r="J18" s="828">
        <f>SUM(C18:G18)*1.0565</f>
        <v>53176.286249999997</v>
      </c>
      <c r="K18" s="828"/>
    </row>
    <row r="19" spans="3:11" ht="15">
      <c r="C19" s="828">
        <f t="shared" ref="C19:C29" si="0">$B$5/12</f>
        <v>50332.5</v>
      </c>
      <c r="D19" s="828"/>
      <c r="E19" s="828"/>
      <c r="F19" s="828"/>
      <c r="G19" s="828"/>
      <c r="J19" s="828">
        <f t="shared" ref="J19:J29" si="1">SUM(C19:G19)*1.0565</f>
        <v>53176.286249999997</v>
      </c>
      <c r="K19" s="828"/>
    </row>
    <row r="20" spans="3:11" ht="15">
      <c r="C20" s="828">
        <f t="shared" si="0"/>
        <v>50332.5</v>
      </c>
      <c r="D20" s="828"/>
      <c r="E20" s="828"/>
      <c r="F20" s="828"/>
      <c r="G20" s="828"/>
      <c r="J20" s="828">
        <f t="shared" si="1"/>
        <v>53176.286249999997</v>
      </c>
      <c r="K20" s="828"/>
    </row>
    <row r="21" spans="3:11" ht="15">
      <c r="C21" s="828">
        <f t="shared" si="0"/>
        <v>50332.5</v>
      </c>
      <c r="D21" s="828"/>
      <c r="E21" s="828"/>
      <c r="F21" s="828"/>
      <c r="G21" s="828"/>
      <c r="J21" s="828">
        <f t="shared" si="1"/>
        <v>53176.286249999997</v>
      </c>
      <c r="K21" s="828"/>
    </row>
    <row r="22" spans="3:11" ht="15">
      <c r="C22" s="828">
        <f t="shared" si="0"/>
        <v>50332.5</v>
      </c>
      <c r="D22" s="828"/>
      <c r="E22" s="828"/>
      <c r="F22" s="828"/>
      <c r="G22" s="828"/>
      <c r="J22" s="828">
        <f t="shared" si="1"/>
        <v>53176.286249999997</v>
      </c>
      <c r="K22" s="828"/>
    </row>
    <row r="23" spans="3:11" ht="15">
      <c r="C23" s="828">
        <f t="shared" si="0"/>
        <v>50332.5</v>
      </c>
      <c r="D23" s="828"/>
      <c r="E23" s="828"/>
      <c r="F23" s="828"/>
      <c r="G23" s="828"/>
      <c r="J23" s="828">
        <f t="shared" si="1"/>
        <v>53176.286249999997</v>
      </c>
      <c r="K23" s="828"/>
    </row>
    <row r="24" spans="3:11" ht="15">
      <c r="C24" s="828">
        <f t="shared" si="0"/>
        <v>50332.5</v>
      </c>
      <c r="D24" s="828"/>
      <c r="E24" s="828"/>
      <c r="F24" s="828"/>
      <c r="G24" s="828"/>
      <c r="J24" s="828">
        <f t="shared" si="1"/>
        <v>53176.286249999997</v>
      </c>
      <c r="K24" s="828"/>
    </row>
    <row r="25" spans="3:11" ht="15">
      <c r="C25" s="828">
        <f t="shared" si="0"/>
        <v>50332.5</v>
      </c>
      <c r="D25" s="828"/>
      <c r="E25" s="828"/>
      <c r="F25" s="828"/>
      <c r="G25" s="828"/>
      <c r="J25" s="828">
        <f t="shared" si="1"/>
        <v>53176.286249999997</v>
      </c>
      <c r="K25" s="828"/>
    </row>
    <row r="26" spans="3:11" ht="15">
      <c r="C26" s="828">
        <f t="shared" si="0"/>
        <v>50332.5</v>
      </c>
      <c r="D26" s="828"/>
      <c r="E26" s="828"/>
      <c r="F26" s="828"/>
      <c r="G26" s="828"/>
      <c r="J26" s="828">
        <f t="shared" si="1"/>
        <v>53176.286249999997</v>
      </c>
      <c r="K26" s="828"/>
    </row>
    <row r="27" spans="3:11" ht="15">
      <c r="C27" s="828">
        <f t="shared" si="0"/>
        <v>50332.5</v>
      </c>
      <c r="D27" s="828"/>
      <c r="E27" s="828"/>
      <c r="F27" s="828"/>
      <c r="G27" s="828"/>
      <c r="J27" s="828">
        <f t="shared" si="1"/>
        <v>53176.286249999997</v>
      </c>
      <c r="K27" s="828"/>
    </row>
    <row r="28" spans="3:11" ht="15">
      <c r="C28" s="828">
        <f t="shared" si="0"/>
        <v>50332.5</v>
      </c>
      <c r="D28" s="828"/>
      <c r="E28" s="828"/>
      <c r="F28" s="828"/>
      <c r="G28" s="828"/>
      <c r="J28" s="828">
        <f t="shared" si="1"/>
        <v>53176.286249999997</v>
      </c>
      <c r="K28" s="828"/>
    </row>
    <row r="29" spans="3:11" ht="15">
      <c r="C29" s="828">
        <f t="shared" si="0"/>
        <v>50332.5</v>
      </c>
      <c r="D29" s="828"/>
      <c r="E29" s="828"/>
      <c r="F29" s="828"/>
      <c r="G29" s="828"/>
      <c r="J29" s="828">
        <f t="shared" si="1"/>
        <v>53176.286249999997</v>
      </c>
      <c r="K29" s="828">
        <f>SUM(J18:J29)</f>
        <v>638115.43499999994</v>
      </c>
    </row>
    <row r="30" spans="3:11" ht="15">
      <c r="C30" s="828"/>
      <c r="D30" s="828"/>
      <c r="E30" s="828"/>
      <c r="F30" s="828"/>
      <c r="G30" s="828"/>
      <c r="J30" s="828"/>
      <c r="K30" s="828"/>
    </row>
    <row r="31" spans="3:11" ht="15">
      <c r="C31" s="828">
        <f>C18</f>
        <v>50332.5</v>
      </c>
      <c r="D31" s="828">
        <f>(B$6-B$5)/12</f>
        <v>19813.166666666668</v>
      </c>
      <c r="E31" s="828"/>
      <c r="F31" s="828"/>
      <c r="G31" s="828"/>
      <c r="J31" s="828">
        <f>SUM(C31:G31)*1.0565</f>
        <v>74108.896833333332</v>
      </c>
      <c r="K31" s="828"/>
    </row>
    <row r="32" spans="3:11" ht="15">
      <c r="C32" s="828">
        <f t="shared" ref="C32:C42" si="2">C19</f>
        <v>50332.5</v>
      </c>
      <c r="D32" s="828">
        <f t="shared" ref="D32:D42" si="3">(B$6-B$5)/12</f>
        <v>19813.166666666668</v>
      </c>
      <c r="E32" s="828"/>
      <c r="F32" s="828"/>
      <c r="G32" s="828"/>
      <c r="J32" s="828">
        <f t="shared" ref="J32:J42" si="4">SUM(C32:G32)*1.0565</f>
        <v>74108.896833333332</v>
      </c>
      <c r="K32" s="828"/>
    </row>
    <row r="33" spans="3:11" ht="15">
      <c r="C33" s="828">
        <f t="shared" si="2"/>
        <v>50332.5</v>
      </c>
      <c r="D33" s="828">
        <f t="shared" si="3"/>
        <v>19813.166666666668</v>
      </c>
      <c r="E33" s="828"/>
      <c r="F33" s="828"/>
      <c r="G33" s="828"/>
      <c r="J33" s="828">
        <f t="shared" si="4"/>
        <v>74108.896833333332</v>
      </c>
      <c r="K33" s="828"/>
    </row>
    <row r="34" spans="3:11" ht="15">
      <c r="C34" s="828">
        <f t="shared" si="2"/>
        <v>50332.5</v>
      </c>
      <c r="D34" s="828">
        <f t="shared" si="3"/>
        <v>19813.166666666668</v>
      </c>
      <c r="E34" s="828"/>
      <c r="F34" s="828"/>
      <c r="G34" s="828"/>
      <c r="J34" s="828">
        <f t="shared" si="4"/>
        <v>74108.896833333332</v>
      </c>
      <c r="K34" s="828"/>
    </row>
    <row r="35" spans="3:11" ht="15">
      <c r="C35" s="828">
        <f t="shared" si="2"/>
        <v>50332.5</v>
      </c>
      <c r="D35" s="828">
        <f t="shared" si="3"/>
        <v>19813.166666666668</v>
      </c>
      <c r="E35" s="828"/>
      <c r="F35" s="828"/>
      <c r="G35" s="828"/>
      <c r="J35" s="828">
        <f t="shared" si="4"/>
        <v>74108.896833333332</v>
      </c>
      <c r="K35" s="828"/>
    </row>
    <row r="36" spans="3:11" ht="15">
      <c r="C36" s="828">
        <f t="shared" si="2"/>
        <v>50332.5</v>
      </c>
      <c r="D36" s="828">
        <f t="shared" si="3"/>
        <v>19813.166666666668</v>
      </c>
      <c r="E36" s="828"/>
      <c r="F36" s="828"/>
      <c r="G36" s="828"/>
      <c r="J36" s="828">
        <f t="shared" si="4"/>
        <v>74108.896833333332</v>
      </c>
      <c r="K36" s="828"/>
    </row>
    <row r="37" spans="3:11" ht="15">
      <c r="C37" s="828">
        <f t="shared" si="2"/>
        <v>50332.5</v>
      </c>
      <c r="D37" s="828">
        <f t="shared" si="3"/>
        <v>19813.166666666668</v>
      </c>
      <c r="E37" s="828"/>
      <c r="F37" s="828"/>
      <c r="G37" s="828"/>
      <c r="J37" s="828">
        <f t="shared" si="4"/>
        <v>74108.896833333332</v>
      </c>
      <c r="K37" s="828"/>
    </row>
    <row r="38" spans="3:11" ht="15">
      <c r="C38" s="828">
        <f t="shared" si="2"/>
        <v>50332.5</v>
      </c>
      <c r="D38" s="828">
        <f t="shared" si="3"/>
        <v>19813.166666666668</v>
      </c>
      <c r="E38" s="828"/>
      <c r="F38" s="828"/>
      <c r="G38" s="828"/>
      <c r="J38" s="828">
        <f t="shared" si="4"/>
        <v>74108.896833333332</v>
      </c>
      <c r="K38" s="828"/>
    </row>
    <row r="39" spans="3:11" ht="15">
      <c r="C39" s="828">
        <f t="shared" si="2"/>
        <v>50332.5</v>
      </c>
      <c r="D39" s="828">
        <f t="shared" si="3"/>
        <v>19813.166666666668</v>
      </c>
      <c r="E39" s="828"/>
      <c r="F39" s="828"/>
      <c r="G39" s="828"/>
      <c r="J39" s="828">
        <f t="shared" si="4"/>
        <v>74108.896833333332</v>
      </c>
      <c r="K39" s="828"/>
    </row>
    <row r="40" spans="3:11" ht="15">
      <c r="C40" s="828">
        <f t="shared" si="2"/>
        <v>50332.5</v>
      </c>
      <c r="D40" s="828">
        <f t="shared" si="3"/>
        <v>19813.166666666668</v>
      </c>
      <c r="E40" s="828"/>
      <c r="F40" s="828"/>
      <c r="G40" s="828"/>
      <c r="J40" s="828">
        <f t="shared" si="4"/>
        <v>74108.896833333332</v>
      </c>
      <c r="K40" s="828"/>
    </row>
    <row r="41" spans="3:11" ht="15">
      <c r="C41" s="828">
        <f t="shared" si="2"/>
        <v>50332.5</v>
      </c>
      <c r="D41" s="828">
        <f t="shared" si="3"/>
        <v>19813.166666666668</v>
      </c>
      <c r="E41" s="828"/>
      <c r="F41" s="828"/>
      <c r="G41" s="828"/>
      <c r="J41" s="828">
        <f t="shared" si="4"/>
        <v>74108.896833333332</v>
      </c>
      <c r="K41" s="828"/>
    </row>
    <row r="42" spans="3:11" ht="15">
      <c r="C42" s="828">
        <f t="shared" si="2"/>
        <v>50332.5</v>
      </c>
      <c r="D42" s="828">
        <f t="shared" si="3"/>
        <v>19813.166666666668</v>
      </c>
      <c r="E42" s="828"/>
      <c r="F42" s="828"/>
      <c r="G42" s="828"/>
      <c r="J42" s="828">
        <f t="shared" si="4"/>
        <v>74108.896833333332</v>
      </c>
      <c r="K42" s="828">
        <f>SUM(J31:J42)</f>
        <v>889306.76199999976</v>
      </c>
    </row>
    <row r="43" spans="3:11" ht="15">
      <c r="C43" s="828"/>
      <c r="D43" s="828"/>
      <c r="E43" s="828"/>
      <c r="F43" s="828"/>
      <c r="G43" s="828"/>
      <c r="J43" s="828"/>
      <c r="K43" s="828"/>
    </row>
    <row r="44" spans="3:11" ht="15">
      <c r="C44" s="828">
        <f>C31</f>
        <v>50332.5</v>
      </c>
      <c r="D44" s="828">
        <f>(B$6-B$5)/12</f>
        <v>19813.166666666668</v>
      </c>
      <c r="E44" s="828">
        <f>(B$7-B$6)/12</f>
        <v>18406.75</v>
      </c>
      <c r="F44" s="828"/>
      <c r="G44" s="828"/>
      <c r="J44" s="828">
        <f>SUM(C44:G44)*1.0565</f>
        <v>93555.628208333335</v>
      </c>
      <c r="K44" s="828"/>
    </row>
    <row r="45" spans="3:11" ht="15">
      <c r="C45" s="828">
        <f t="shared" ref="C45:C55" si="5">C32</f>
        <v>50332.5</v>
      </c>
      <c r="D45" s="828">
        <f t="shared" ref="D45:D55" si="6">(B$6-B$5)/12</f>
        <v>19813.166666666668</v>
      </c>
      <c r="E45" s="828">
        <f t="shared" ref="E45:E55" si="7">(B$7-B$6)/12</f>
        <v>18406.75</v>
      </c>
      <c r="F45" s="828"/>
      <c r="G45" s="828"/>
      <c r="J45" s="828">
        <f t="shared" ref="J45:J55" si="8">SUM(C45:G45)*1.0565</f>
        <v>93555.628208333335</v>
      </c>
      <c r="K45" s="828"/>
    </row>
    <row r="46" spans="3:11" ht="15">
      <c r="C46" s="828">
        <f t="shared" si="5"/>
        <v>50332.5</v>
      </c>
      <c r="D46" s="828">
        <f t="shared" si="6"/>
        <v>19813.166666666668</v>
      </c>
      <c r="E46" s="828">
        <f t="shared" si="7"/>
        <v>18406.75</v>
      </c>
      <c r="F46" s="828"/>
      <c r="G46" s="828"/>
      <c r="J46" s="828">
        <f t="shared" si="8"/>
        <v>93555.628208333335</v>
      </c>
      <c r="K46" s="828"/>
    </row>
    <row r="47" spans="3:11" ht="15">
      <c r="C47" s="828">
        <f t="shared" si="5"/>
        <v>50332.5</v>
      </c>
      <c r="D47" s="828">
        <f t="shared" si="6"/>
        <v>19813.166666666668</v>
      </c>
      <c r="E47" s="828">
        <f t="shared" si="7"/>
        <v>18406.75</v>
      </c>
      <c r="F47" s="828"/>
      <c r="G47" s="828"/>
      <c r="J47" s="828">
        <f t="shared" si="8"/>
        <v>93555.628208333335</v>
      </c>
      <c r="K47" s="828"/>
    </row>
    <row r="48" spans="3:11" ht="15">
      <c r="C48" s="828">
        <f t="shared" si="5"/>
        <v>50332.5</v>
      </c>
      <c r="D48" s="828">
        <f t="shared" si="6"/>
        <v>19813.166666666668</v>
      </c>
      <c r="E48" s="828">
        <f t="shared" si="7"/>
        <v>18406.75</v>
      </c>
      <c r="F48" s="828"/>
      <c r="G48" s="828"/>
      <c r="J48" s="828">
        <f t="shared" si="8"/>
        <v>93555.628208333335</v>
      </c>
      <c r="K48" s="828"/>
    </row>
    <row r="49" spans="3:11" ht="15">
      <c r="C49" s="828">
        <f t="shared" si="5"/>
        <v>50332.5</v>
      </c>
      <c r="D49" s="828">
        <f t="shared" si="6"/>
        <v>19813.166666666668</v>
      </c>
      <c r="E49" s="828">
        <f t="shared" si="7"/>
        <v>18406.75</v>
      </c>
      <c r="F49" s="828"/>
      <c r="G49" s="828"/>
      <c r="J49" s="828">
        <f t="shared" si="8"/>
        <v>93555.628208333335</v>
      </c>
      <c r="K49" s="828"/>
    </row>
    <row r="50" spans="3:11" ht="15">
      <c r="C50" s="828">
        <f t="shared" si="5"/>
        <v>50332.5</v>
      </c>
      <c r="D50" s="828">
        <f t="shared" si="6"/>
        <v>19813.166666666668</v>
      </c>
      <c r="E50" s="828">
        <f t="shared" si="7"/>
        <v>18406.75</v>
      </c>
      <c r="F50" s="828"/>
      <c r="G50" s="828"/>
      <c r="J50" s="828">
        <f t="shared" si="8"/>
        <v>93555.628208333335</v>
      </c>
      <c r="K50" s="828"/>
    </row>
    <row r="51" spans="3:11" ht="15">
      <c r="C51" s="828">
        <f t="shared" si="5"/>
        <v>50332.5</v>
      </c>
      <c r="D51" s="828">
        <f t="shared" si="6"/>
        <v>19813.166666666668</v>
      </c>
      <c r="E51" s="828">
        <f t="shared" si="7"/>
        <v>18406.75</v>
      </c>
      <c r="F51" s="828"/>
      <c r="G51" s="828"/>
      <c r="J51" s="828">
        <f t="shared" si="8"/>
        <v>93555.628208333335</v>
      </c>
      <c r="K51" s="828"/>
    </row>
    <row r="52" spans="3:11" ht="15">
      <c r="C52" s="828">
        <f t="shared" si="5"/>
        <v>50332.5</v>
      </c>
      <c r="D52" s="828">
        <f t="shared" si="6"/>
        <v>19813.166666666668</v>
      </c>
      <c r="E52" s="828">
        <f t="shared" si="7"/>
        <v>18406.75</v>
      </c>
      <c r="F52" s="828"/>
      <c r="G52" s="828"/>
      <c r="J52" s="828">
        <f t="shared" si="8"/>
        <v>93555.628208333335</v>
      </c>
      <c r="K52" s="828"/>
    </row>
    <row r="53" spans="3:11" ht="15">
      <c r="C53" s="828">
        <f t="shared" si="5"/>
        <v>50332.5</v>
      </c>
      <c r="D53" s="828">
        <f t="shared" si="6"/>
        <v>19813.166666666668</v>
      </c>
      <c r="E53" s="828">
        <f t="shared" si="7"/>
        <v>18406.75</v>
      </c>
      <c r="F53" s="828"/>
      <c r="G53" s="828"/>
      <c r="J53" s="828">
        <f t="shared" si="8"/>
        <v>93555.628208333335</v>
      </c>
      <c r="K53" s="828"/>
    </row>
    <row r="54" spans="3:11" ht="15">
      <c r="C54" s="828">
        <f t="shared" si="5"/>
        <v>50332.5</v>
      </c>
      <c r="D54" s="828">
        <f t="shared" si="6"/>
        <v>19813.166666666668</v>
      </c>
      <c r="E54" s="828">
        <f t="shared" si="7"/>
        <v>18406.75</v>
      </c>
      <c r="F54" s="828"/>
      <c r="G54" s="828"/>
      <c r="J54" s="828">
        <f t="shared" si="8"/>
        <v>93555.628208333335</v>
      </c>
      <c r="K54" s="828"/>
    </row>
    <row r="55" spans="3:11" ht="15">
      <c r="C55" s="828">
        <f t="shared" si="5"/>
        <v>50332.5</v>
      </c>
      <c r="D55" s="828">
        <f t="shared" si="6"/>
        <v>19813.166666666668</v>
      </c>
      <c r="E55" s="828">
        <f t="shared" si="7"/>
        <v>18406.75</v>
      </c>
      <c r="F55" s="828"/>
      <c r="G55" s="828"/>
      <c r="J55" s="828">
        <f t="shared" si="8"/>
        <v>93555.628208333335</v>
      </c>
      <c r="K55" s="828">
        <f>SUM(J44:J55)</f>
        <v>1122667.5385000003</v>
      </c>
    </row>
    <row r="56" spans="3:11" ht="15">
      <c r="C56" s="828"/>
      <c r="D56" s="828"/>
      <c r="E56" s="828"/>
      <c r="F56" s="828"/>
      <c r="G56" s="828"/>
      <c r="J56" s="828"/>
      <c r="K56" s="828"/>
    </row>
    <row r="57" spans="3:11" ht="15">
      <c r="C57" s="828">
        <f>C44</f>
        <v>50332.5</v>
      </c>
      <c r="D57" s="828">
        <f>(B$6-B$5)/12</f>
        <v>19813.166666666668</v>
      </c>
      <c r="E57" s="828">
        <f>(B$7-B$6)/12</f>
        <v>18406.75</v>
      </c>
      <c r="F57" s="828">
        <f>(B$8-B$7)/12</f>
        <v>4923.916666666667</v>
      </c>
      <c r="G57" s="828"/>
      <c r="J57" s="828">
        <f>SUM(C57:G57)*1.0565</f>
        <v>98757.746166666679</v>
      </c>
      <c r="K57" s="828"/>
    </row>
    <row r="58" spans="3:11" ht="15">
      <c r="C58" s="828">
        <f t="shared" ref="C58:C68" si="9">C45</f>
        <v>50332.5</v>
      </c>
      <c r="D58" s="828">
        <f t="shared" ref="D58:D68" si="10">(B$6-B$5)/12</f>
        <v>19813.166666666668</v>
      </c>
      <c r="E58" s="828">
        <f t="shared" ref="E58:E68" si="11">(B$7-B$6)/12</f>
        <v>18406.75</v>
      </c>
      <c r="F58" s="828">
        <f t="shared" ref="F58:F68" si="12">(B$8-B$7)/12</f>
        <v>4923.916666666667</v>
      </c>
      <c r="G58" s="828"/>
      <c r="J58" s="828">
        <f t="shared" ref="J58:J68" si="13">SUM(C58:G58)*1.0565</f>
        <v>98757.746166666679</v>
      </c>
      <c r="K58" s="828"/>
    </row>
    <row r="59" spans="3:11" ht="15">
      <c r="C59" s="828">
        <f t="shared" si="9"/>
        <v>50332.5</v>
      </c>
      <c r="D59" s="828">
        <f t="shared" si="10"/>
        <v>19813.166666666668</v>
      </c>
      <c r="E59" s="828">
        <f t="shared" si="11"/>
        <v>18406.75</v>
      </c>
      <c r="F59" s="828">
        <f t="shared" si="12"/>
        <v>4923.916666666667</v>
      </c>
      <c r="G59" s="828"/>
      <c r="J59" s="828">
        <f t="shared" si="13"/>
        <v>98757.746166666679</v>
      </c>
      <c r="K59" s="828"/>
    </row>
    <row r="60" spans="3:11" ht="15">
      <c r="C60" s="828">
        <f t="shared" si="9"/>
        <v>50332.5</v>
      </c>
      <c r="D60" s="828">
        <f t="shared" si="10"/>
        <v>19813.166666666668</v>
      </c>
      <c r="E60" s="828">
        <f t="shared" si="11"/>
        <v>18406.75</v>
      </c>
      <c r="F60" s="828">
        <f t="shared" si="12"/>
        <v>4923.916666666667</v>
      </c>
      <c r="G60" s="828"/>
      <c r="J60" s="828">
        <f t="shared" si="13"/>
        <v>98757.746166666679</v>
      </c>
      <c r="K60" s="828"/>
    </row>
    <row r="61" spans="3:11" ht="15">
      <c r="C61" s="828">
        <f t="shared" si="9"/>
        <v>50332.5</v>
      </c>
      <c r="D61" s="828">
        <f t="shared" si="10"/>
        <v>19813.166666666668</v>
      </c>
      <c r="E61" s="828">
        <f t="shared" si="11"/>
        <v>18406.75</v>
      </c>
      <c r="F61" s="828">
        <f t="shared" si="12"/>
        <v>4923.916666666667</v>
      </c>
      <c r="G61" s="828"/>
      <c r="J61" s="828">
        <f t="shared" si="13"/>
        <v>98757.746166666679</v>
      </c>
      <c r="K61" s="828"/>
    </row>
    <row r="62" spans="3:11" ht="15">
      <c r="C62" s="828">
        <f t="shared" si="9"/>
        <v>50332.5</v>
      </c>
      <c r="D62" s="828">
        <f t="shared" si="10"/>
        <v>19813.166666666668</v>
      </c>
      <c r="E62" s="828">
        <f t="shared" si="11"/>
        <v>18406.75</v>
      </c>
      <c r="F62" s="828">
        <f t="shared" si="12"/>
        <v>4923.916666666667</v>
      </c>
      <c r="G62" s="828"/>
      <c r="J62" s="828">
        <f t="shared" si="13"/>
        <v>98757.746166666679</v>
      </c>
      <c r="K62" s="828"/>
    </row>
    <row r="63" spans="3:11" ht="15">
      <c r="C63" s="828">
        <f t="shared" si="9"/>
        <v>50332.5</v>
      </c>
      <c r="D63" s="828">
        <f t="shared" si="10"/>
        <v>19813.166666666668</v>
      </c>
      <c r="E63" s="828">
        <f t="shared" si="11"/>
        <v>18406.75</v>
      </c>
      <c r="F63" s="828">
        <f t="shared" si="12"/>
        <v>4923.916666666667</v>
      </c>
      <c r="G63" s="828"/>
      <c r="J63" s="828">
        <f t="shared" si="13"/>
        <v>98757.746166666679</v>
      </c>
      <c r="K63" s="828"/>
    </row>
    <row r="64" spans="3:11" ht="15">
      <c r="C64" s="828">
        <f t="shared" si="9"/>
        <v>50332.5</v>
      </c>
      <c r="D64" s="828">
        <f t="shared" si="10"/>
        <v>19813.166666666668</v>
      </c>
      <c r="E64" s="828">
        <f t="shared" si="11"/>
        <v>18406.75</v>
      </c>
      <c r="F64" s="828">
        <f t="shared" si="12"/>
        <v>4923.916666666667</v>
      </c>
      <c r="G64" s="828"/>
      <c r="J64" s="828">
        <f t="shared" si="13"/>
        <v>98757.746166666679</v>
      </c>
      <c r="K64" s="828"/>
    </row>
    <row r="65" spans="3:29" ht="15">
      <c r="C65" s="828">
        <f t="shared" si="9"/>
        <v>50332.5</v>
      </c>
      <c r="D65" s="828">
        <f t="shared" si="10"/>
        <v>19813.166666666668</v>
      </c>
      <c r="E65" s="828">
        <f t="shared" si="11"/>
        <v>18406.75</v>
      </c>
      <c r="F65" s="828">
        <f t="shared" si="12"/>
        <v>4923.916666666667</v>
      </c>
      <c r="G65" s="828"/>
      <c r="J65" s="828">
        <f t="shared" si="13"/>
        <v>98757.746166666679</v>
      </c>
      <c r="K65" s="828"/>
    </row>
    <row r="66" spans="3:29" ht="15">
      <c r="C66" s="828">
        <f t="shared" si="9"/>
        <v>50332.5</v>
      </c>
      <c r="D66" s="828">
        <f t="shared" si="10"/>
        <v>19813.166666666668</v>
      </c>
      <c r="E66" s="828">
        <f t="shared" si="11"/>
        <v>18406.75</v>
      </c>
      <c r="F66" s="828">
        <f t="shared" si="12"/>
        <v>4923.916666666667</v>
      </c>
      <c r="G66" s="828"/>
      <c r="J66" s="828">
        <f t="shared" si="13"/>
        <v>98757.746166666679</v>
      </c>
      <c r="K66" s="828"/>
    </row>
    <row r="67" spans="3:29" ht="15">
      <c r="C67" s="828">
        <f t="shared" si="9"/>
        <v>50332.5</v>
      </c>
      <c r="D67" s="828">
        <f t="shared" si="10"/>
        <v>19813.166666666668</v>
      </c>
      <c r="E67" s="828">
        <f t="shared" si="11"/>
        <v>18406.75</v>
      </c>
      <c r="F67" s="828">
        <f t="shared" si="12"/>
        <v>4923.916666666667</v>
      </c>
      <c r="G67" s="828"/>
      <c r="J67" s="828">
        <f t="shared" si="13"/>
        <v>98757.746166666679</v>
      </c>
      <c r="K67" s="828"/>
    </row>
    <row r="68" spans="3:29" ht="15">
      <c r="C68" s="828">
        <f t="shared" si="9"/>
        <v>50332.5</v>
      </c>
      <c r="D68" s="828">
        <f t="shared" si="10"/>
        <v>19813.166666666668</v>
      </c>
      <c r="E68" s="828">
        <f t="shared" si="11"/>
        <v>18406.75</v>
      </c>
      <c r="F68" s="828">
        <f t="shared" si="12"/>
        <v>4923.916666666667</v>
      </c>
      <c r="G68" s="828"/>
      <c r="J68" s="828">
        <f t="shared" si="13"/>
        <v>98757.746166666679</v>
      </c>
      <c r="K68" s="828">
        <f>SUM(J57:J68)</f>
        <v>1185092.9540000004</v>
      </c>
    </row>
    <row r="69" spans="3:29">
      <c r="J69" s="768"/>
    </row>
    <row r="70" spans="3:29" ht="15">
      <c r="C70" s="828">
        <f>C57</f>
        <v>50332.5</v>
      </c>
      <c r="D70" s="828">
        <f>(B$6-B$5)/12</f>
        <v>19813.166666666668</v>
      </c>
      <c r="E70" s="828">
        <f>(B$7-B$6)/12</f>
        <v>18406.75</v>
      </c>
      <c r="F70" s="828">
        <f>(B$8-B$7)/12</f>
        <v>4923.916666666667</v>
      </c>
      <c r="G70" s="828">
        <f>(B$9-B$8)/12</f>
        <v>72369.166666666672</v>
      </c>
      <c r="J70" s="828">
        <f>SUM(C70:G70)*1.0565</f>
        <v>175215.77075</v>
      </c>
      <c r="K70" s="828"/>
      <c r="V70" s="827"/>
      <c r="Y70" s="829"/>
      <c r="Z70" s="828"/>
    </row>
    <row r="71" spans="3:29" ht="15">
      <c r="C71" s="828">
        <f t="shared" ref="C71:C81" si="14">C58</f>
        <v>50332.5</v>
      </c>
      <c r="D71" s="828">
        <f t="shared" ref="D71:D81" si="15">(B$6-B$5)/12</f>
        <v>19813.166666666668</v>
      </c>
      <c r="E71" s="828">
        <f t="shared" ref="E71:E81" si="16">(B$7-B$6)/12</f>
        <v>18406.75</v>
      </c>
      <c r="F71" s="828">
        <f t="shared" ref="F71:F81" si="17">(B$8-B$7)/12</f>
        <v>4923.916666666667</v>
      </c>
      <c r="G71" s="828">
        <f t="shared" ref="G71:G81" si="18">(B$9-B$8)/12</f>
        <v>72369.166666666672</v>
      </c>
      <c r="J71" s="828">
        <f t="shared" ref="J71:J81" si="19">SUM(C71:G71)*1.0565</f>
        <v>175215.77075</v>
      </c>
      <c r="K71" s="828"/>
      <c r="R71" s="828"/>
      <c r="S71" s="828"/>
      <c r="T71" s="828"/>
      <c r="U71" s="828"/>
      <c r="V71" s="828"/>
      <c r="Y71" s="828"/>
      <c r="Z71" s="828"/>
    </row>
    <row r="72" spans="3:29" ht="15">
      <c r="C72" s="828">
        <f t="shared" si="14"/>
        <v>50332.5</v>
      </c>
      <c r="D72" s="828">
        <f t="shared" si="15"/>
        <v>19813.166666666668</v>
      </c>
      <c r="E72" s="828">
        <f t="shared" si="16"/>
        <v>18406.75</v>
      </c>
      <c r="F72" s="828">
        <f t="shared" si="17"/>
        <v>4923.916666666667</v>
      </c>
      <c r="G72" s="828">
        <f t="shared" si="18"/>
        <v>72369.166666666672</v>
      </c>
      <c r="J72" s="828">
        <f t="shared" si="19"/>
        <v>175215.77075</v>
      </c>
      <c r="K72" s="828"/>
      <c r="R72" s="828"/>
      <c r="S72" s="828"/>
      <c r="T72" s="828"/>
      <c r="U72" s="828"/>
      <c r="V72" s="828"/>
      <c r="Y72" s="828"/>
      <c r="Z72" s="828"/>
    </row>
    <row r="73" spans="3:29" ht="15">
      <c r="C73" s="828">
        <f t="shared" si="14"/>
        <v>50332.5</v>
      </c>
      <c r="D73" s="828">
        <f t="shared" si="15"/>
        <v>19813.166666666668</v>
      </c>
      <c r="E73" s="828">
        <f t="shared" si="16"/>
        <v>18406.75</v>
      </c>
      <c r="F73" s="828">
        <f t="shared" si="17"/>
        <v>4923.916666666667</v>
      </c>
      <c r="G73" s="828">
        <f t="shared" si="18"/>
        <v>72369.166666666672</v>
      </c>
      <c r="J73" s="828">
        <f t="shared" si="19"/>
        <v>175215.77075</v>
      </c>
      <c r="K73" s="828"/>
      <c r="R73" s="828"/>
      <c r="S73" s="828"/>
      <c r="T73" s="828"/>
      <c r="U73" s="828"/>
      <c r="V73" s="828"/>
      <c r="Y73" s="828"/>
      <c r="Z73" s="828"/>
    </row>
    <row r="74" spans="3:29" ht="15.75">
      <c r="C74" s="828">
        <f t="shared" si="14"/>
        <v>50332.5</v>
      </c>
      <c r="D74" s="828">
        <f t="shared" si="15"/>
        <v>19813.166666666668</v>
      </c>
      <c r="E74" s="828">
        <f t="shared" si="16"/>
        <v>18406.75</v>
      </c>
      <c r="F74" s="828">
        <f t="shared" si="17"/>
        <v>4923.916666666667</v>
      </c>
      <c r="G74" s="828">
        <f t="shared" si="18"/>
        <v>72369.166666666672</v>
      </c>
      <c r="J74" s="828">
        <f t="shared" si="19"/>
        <v>175215.77075</v>
      </c>
      <c r="K74" s="828"/>
      <c r="R74" s="828"/>
      <c r="S74" s="828"/>
      <c r="T74" s="828"/>
      <c r="U74" s="828"/>
      <c r="V74" s="828"/>
      <c r="Y74" s="828"/>
      <c r="Z74" s="828"/>
      <c r="AC74" s="830"/>
    </row>
    <row r="75" spans="3:29" ht="15.75">
      <c r="C75" s="828">
        <f t="shared" si="14"/>
        <v>50332.5</v>
      </c>
      <c r="D75" s="828">
        <f t="shared" si="15"/>
        <v>19813.166666666668</v>
      </c>
      <c r="E75" s="828">
        <f t="shared" si="16"/>
        <v>18406.75</v>
      </c>
      <c r="F75" s="828">
        <f t="shared" si="17"/>
        <v>4923.916666666667</v>
      </c>
      <c r="G75" s="828">
        <f t="shared" si="18"/>
        <v>72369.166666666672</v>
      </c>
      <c r="J75" s="828">
        <f t="shared" si="19"/>
        <v>175215.77075</v>
      </c>
      <c r="K75" s="828"/>
      <c r="R75" s="828"/>
      <c r="S75" s="828"/>
      <c r="T75" s="828"/>
      <c r="U75" s="828"/>
      <c r="V75" s="828"/>
      <c r="Y75" s="828"/>
      <c r="Z75" s="828"/>
      <c r="AC75" s="830"/>
    </row>
    <row r="76" spans="3:29" ht="15.75">
      <c r="C76" s="828">
        <f t="shared" si="14"/>
        <v>50332.5</v>
      </c>
      <c r="D76" s="828">
        <f t="shared" si="15"/>
        <v>19813.166666666668</v>
      </c>
      <c r="E76" s="828">
        <f t="shared" si="16"/>
        <v>18406.75</v>
      </c>
      <c r="F76" s="828">
        <f t="shared" si="17"/>
        <v>4923.916666666667</v>
      </c>
      <c r="G76" s="828">
        <f t="shared" si="18"/>
        <v>72369.166666666672</v>
      </c>
      <c r="J76" s="828">
        <f t="shared" si="19"/>
        <v>175215.77075</v>
      </c>
      <c r="K76" s="828"/>
      <c r="R76" s="828"/>
      <c r="S76" s="828"/>
      <c r="T76" s="828"/>
      <c r="U76" s="828"/>
      <c r="V76" s="828"/>
      <c r="Y76" s="828"/>
      <c r="Z76" s="828"/>
      <c r="AC76" s="830"/>
    </row>
    <row r="77" spans="3:29" ht="15.75">
      <c r="C77" s="828">
        <f t="shared" si="14"/>
        <v>50332.5</v>
      </c>
      <c r="D77" s="828">
        <f t="shared" si="15"/>
        <v>19813.166666666668</v>
      </c>
      <c r="E77" s="828">
        <f t="shared" si="16"/>
        <v>18406.75</v>
      </c>
      <c r="F77" s="828">
        <f t="shared" si="17"/>
        <v>4923.916666666667</v>
      </c>
      <c r="G77" s="828">
        <f t="shared" si="18"/>
        <v>72369.166666666672</v>
      </c>
      <c r="J77" s="828">
        <f t="shared" si="19"/>
        <v>175215.77075</v>
      </c>
      <c r="K77" s="828"/>
      <c r="R77" s="828"/>
      <c r="S77" s="828"/>
      <c r="T77" s="828"/>
      <c r="U77" s="828"/>
      <c r="V77" s="828"/>
      <c r="Y77" s="828"/>
      <c r="Z77" s="828"/>
      <c r="AC77" s="830"/>
    </row>
    <row r="78" spans="3:29" ht="15.75">
      <c r="C78" s="828">
        <f t="shared" si="14"/>
        <v>50332.5</v>
      </c>
      <c r="D78" s="828">
        <f t="shared" si="15"/>
        <v>19813.166666666668</v>
      </c>
      <c r="E78" s="828">
        <f t="shared" si="16"/>
        <v>18406.75</v>
      </c>
      <c r="F78" s="828">
        <f t="shared" si="17"/>
        <v>4923.916666666667</v>
      </c>
      <c r="G78" s="828">
        <f t="shared" si="18"/>
        <v>72369.166666666672</v>
      </c>
      <c r="J78" s="828">
        <f t="shared" si="19"/>
        <v>175215.77075</v>
      </c>
      <c r="K78" s="828"/>
      <c r="R78" s="828"/>
      <c r="S78" s="828"/>
      <c r="T78" s="828"/>
      <c r="U78" s="828"/>
      <c r="V78" s="828"/>
      <c r="Y78" s="828"/>
      <c r="Z78" s="828"/>
      <c r="AC78" s="830"/>
    </row>
    <row r="79" spans="3:29" ht="15.75">
      <c r="C79" s="828">
        <f t="shared" si="14"/>
        <v>50332.5</v>
      </c>
      <c r="D79" s="828">
        <f t="shared" si="15"/>
        <v>19813.166666666668</v>
      </c>
      <c r="E79" s="828">
        <f t="shared" si="16"/>
        <v>18406.75</v>
      </c>
      <c r="F79" s="828">
        <f t="shared" si="17"/>
        <v>4923.916666666667</v>
      </c>
      <c r="G79" s="828">
        <f t="shared" si="18"/>
        <v>72369.166666666672</v>
      </c>
      <c r="J79" s="828">
        <f t="shared" si="19"/>
        <v>175215.77075</v>
      </c>
      <c r="K79" s="828"/>
      <c r="R79" s="828"/>
      <c r="S79" s="828"/>
      <c r="T79" s="828"/>
      <c r="U79" s="828"/>
      <c r="V79" s="828"/>
      <c r="Y79" s="828"/>
      <c r="Z79" s="828"/>
      <c r="AC79" s="830"/>
    </row>
    <row r="80" spans="3:29" ht="15.75">
      <c r="C80" s="828">
        <f t="shared" si="14"/>
        <v>50332.5</v>
      </c>
      <c r="D80" s="828">
        <f t="shared" si="15"/>
        <v>19813.166666666668</v>
      </c>
      <c r="E80" s="828">
        <f t="shared" si="16"/>
        <v>18406.75</v>
      </c>
      <c r="F80" s="828">
        <f t="shared" si="17"/>
        <v>4923.916666666667</v>
      </c>
      <c r="G80" s="828">
        <f t="shared" si="18"/>
        <v>72369.166666666672</v>
      </c>
      <c r="J80" s="828">
        <f t="shared" si="19"/>
        <v>175215.77075</v>
      </c>
      <c r="K80" s="828"/>
      <c r="R80" s="828"/>
      <c r="S80" s="828"/>
      <c r="T80" s="828"/>
      <c r="U80" s="828"/>
      <c r="V80" s="828"/>
      <c r="Y80" s="828"/>
      <c r="Z80" s="828"/>
      <c r="AC80" s="830"/>
    </row>
    <row r="81" spans="3:29" ht="15.75">
      <c r="C81" s="828">
        <f t="shared" si="14"/>
        <v>50332.5</v>
      </c>
      <c r="D81" s="828">
        <f t="shared" si="15"/>
        <v>19813.166666666668</v>
      </c>
      <c r="E81" s="828">
        <f t="shared" si="16"/>
        <v>18406.75</v>
      </c>
      <c r="F81" s="828">
        <f t="shared" si="17"/>
        <v>4923.916666666667</v>
      </c>
      <c r="G81" s="828">
        <f t="shared" si="18"/>
        <v>72369.166666666672</v>
      </c>
      <c r="J81" s="828">
        <f t="shared" si="19"/>
        <v>175215.77075</v>
      </c>
      <c r="K81" s="828">
        <f>SUM(J70:J81)</f>
        <v>2102589.2489999994</v>
      </c>
      <c r="R81" s="828"/>
      <c r="S81" s="828"/>
      <c r="T81" s="828"/>
      <c r="U81" s="828"/>
      <c r="V81" s="828"/>
      <c r="Y81" s="828"/>
      <c r="Z81" s="828"/>
      <c r="AC81" s="830"/>
    </row>
    <row r="82" spans="3:29" ht="15.75">
      <c r="E82" s="776"/>
      <c r="J82" s="768"/>
      <c r="R82" s="828"/>
      <c r="S82" s="828"/>
      <c r="T82" s="828"/>
      <c r="U82" s="828"/>
      <c r="V82" s="828"/>
      <c r="Y82" s="828"/>
      <c r="Z82" s="828"/>
      <c r="AC82" s="830"/>
    </row>
    <row r="83" spans="3:29" ht="15.75">
      <c r="AC83" s="830"/>
    </row>
    <row r="84" spans="3:29" ht="15">
      <c r="J84" s="768"/>
      <c r="V84" s="827"/>
      <c r="Y84" s="829"/>
      <c r="Z84" s="828"/>
    </row>
    <row r="85" spans="3:29" ht="15">
      <c r="H85" s="828">
        <v>125000</v>
      </c>
      <c r="I85" s="828"/>
      <c r="J85" s="828"/>
      <c r="K85" s="828"/>
      <c r="L85" s="828"/>
      <c r="O85" s="828">
        <f>SUM(H85:L85)*1.0565</f>
        <v>132062.5</v>
      </c>
      <c r="P85" s="828"/>
    </row>
    <row r="86" spans="3:29" ht="15">
      <c r="H86" s="828">
        <v>125000</v>
      </c>
      <c r="I86" s="828"/>
      <c r="J86" s="828"/>
      <c r="K86" s="828"/>
      <c r="L86" s="828"/>
      <c r="O86" s="828">
        <f t="shared" ref="O86:O95" si="20">SUM(H86:L86)*1.0565</f>
        <v>132062.5</v>
      </c>
      <c r="P86" s="828"/>
    </row>
    <row r="87" spans="3:29" ht="15">
      <c r="H87" s="828">
        <v>125000</v>
      </c>
      <c r="I87" s="828"/>
      <c r="J87" s="828"/>
      <c r="K87" s="828"/>
      <c r="L87" s="828"/>
      <c r="O87" s="828">
        <f t="shared" si="20"/>
        <v>132062.5</v>
      </c>
      <c r="P87" s="828"/>
    </row>
    <row r="88" spans="3:29" ht="15">
      <c r="H88" s="828">
        <v>125000</v>
      </c>
      <c r="I88" s="828"/>
      <c r="J88" s="828"/>
      <c r="K88" s="828"/>
      <c r="L88" s="828"/>
      <c r="O88" s="828">
        <f t="shared" si="20"/>
        <v>132062.5</v>
      </c>
      <c r="P88" s="828"/>
    </row>
    <row r="89" spans="3:29" ht="15">
      <c r="H89" s="828">
        <v>125000</v>
      </c>
      <c r="I89" s="828"/>
      <c r="J89" s="828"/>
      <c r="K89" s="828"/>
      <c r="L89" s="828"/>
      <c r="O89" s="828">
        <f t="shared" si="20"/>
        <v>132062.5</v>
      </c>
      <c r="P89" s="828"/>
    </row>
    <row r="90" spans="3:29" ht="15">
      <c r="H90" s="828">
        <v>125000</v>
      </c>
      <c r="I90" s="828"/>
      <c r="J90" s="828"/>
      <c r="K90" s="828"/>
      <c r="L90" s="828"/>
      <c r="O90" s="828">
        <f t="shared" si="20"/>
        <v>132062.5</v>
      </c>
      <c r="P90" s="828"/>
    </row>
    <row r="91" spans="3:29" ht="15">
      <c r="H91" s="828">
        <v>125000</v>
      </c>
      <c r="I91" s="828"/>
      <c r="J91" s="828"/>
      <c r="K91" s="828"/>
      <c r="L91" s="828"/>
      <c r="O91" s="828">
        <f t="shared" si="20"/>
        <v>132062.5</v>
      </c>
      <c r="P91" s="828"/>
    </row>
    <row r="92" spans="3:29" ht="15">
      <c r="H92" s="828">
        <v>125000</v>
      </c>
      <c r="I92" s="828"/>
      <c r="J92" s="828"/>
      <c r="K92" s="828"/>
      <c r="L92" s="828"/>
      <c r="O92" s="828">
        <f t="shared" si="20"/>
        <v>132062.5</v>
      </c>
      <c r="P92" s="828"/>
    </row>
    <row r="93" spans="3:29" ht="15">
      <c r="H93" s="828">
        <v>125000</v>
      </c>
      <c r="I93" s="828"/>
      <c r="J93" s="828"/>
      <c r="K93" s="828"/>
      <c r="L93" s="828"/>
      <c r="O93" s="828">
        <f t="shared" si="20"/>
        <v>132062.5</v>
      </c>
      <c r="P93" s="828"/>
    </row>
    <row r="94" spans="3:29" ht="15">
      <c r="H94" s="828">
        <v>125000</v>
      </c>
      <c r="I94" s="828"/>
      <c r="J94" s="828"/>
      <c r="K94" s="828"/>
      <c r="L94" s="828"/>
      <c r="O94" s="828">
        <f t="shared" si="20"/>
        <v>132062.5</v>
      </c>
      <c r="P94" s="828"/>
    </row>
    <row r="95" spans="3:29" ht="15">
      <c r="H95" s="828">
        <v>125000</v>
      </c>
      <c r="I95" s="828"/>
      <c r="J95" s="828"/>
      <c r="K95" s="828"/>
      <c r="L95" s="828"/>
      <c r="O95" s="828">
        <f t="shared" si="20"/>
        <v>132062.5</v>
      </c>
      <c r="P95" s="828"/>
    </row>
    <row r="96" spans="3:29" ht="15">
      <c r="H96" s="828">
        <v>125000</v>
      </c>
      <c r="I96" s="828"/>
      <c r="J96" s="828"/>
      <c r="K96" s="828"/>
      <c r="L96" s="828"/>
      <c r="O96" s="828">
        <f>SUM(H96:L96)*1.0565</f>
        <v>132062.5</v>
      </c>
      <c r="P96" s="828">
        <f>SUM(O85:O96)</f>
        <v>1584750</v>
      </c>
    </row>
    <row r="97" spans="8:16" ht="15">
      <c r="H97" s="828"/>
      <c r="I97" s="828"/>
      <c r="J97" s="828"/>
      <c r="K97" s="828"/>
      <c r="L97" s="828"/>
      <c r="O97" s="828"/>
      <c r="P97" s="828"/>
    </row>
    <row r="98" spans="8:16" ht="15">
      <c r="H98" s="828">
        <v>125000</v>
      </c>
      <c r="I98" s="828">
        <v>50000</v>
      </c>
      <c r="J98" s="828"/>
      <c r="K98" s="828"/>
      <c r="L98" s="828"/>
      <c r="O98" s="828">
        <f>SUM(H98:L98)*1.0565</f>
        <v>184887.5</v>
      </c>
      <c r="P98" s="828"/>
    </row>
    <row r="99" spans="8:16" ht="15">
      <c r="H99" s="828">
        <v>125000</v>
      </c>
      <c r="I99" s="828">
        <v>50000</v>
      </c>
      <c r="J99" s="828"/>
      <c r="K99" s="828"/>
      <c r="L99" s="828"/>
      <c r="O99" s="828">
        <f t="shared" ref="O99:O109" si="21">SUM(H99:L99)*1.0565</f>
        <v>184887.5</v>
      </c>
      <c r="P99" s="828"/>
    </row>
    <row r="100" spans="8:16" ht="15">
      <c r="H100" s="828">
        <v>125000</v>
      </c>
      <c r="I100" s="828">
        <v>50000</v>
      </c>
      <c r="J100" s="828"/>
      <c r="K100" s="828"/>
      <c r="L100" s="828"/>
      <c r="O100" s="828">
        <f t="shared" si="21"/>
        <v>184887.5</v>
      </c>
      <c r="P100" s="828"/>
    </row>
    <row r="101" spans="8:16" ht="15">
      <c r="H101" s="828">
        <v>125000</v>
      </c>
      <c r="I101" s="828">
        <v>50000</v>
      </c>
      <c r="J101" s="828"/>
      <c r="K101" s="828"/>
      <c r="L101" s="828"/>
      <c r="O101" s="828">
        <f t="shared" si="21"/>
        <v>184887.5</v>
      </c>
      <c r="P101" s="828"/>
    </row>
    <row r="102" spans="8:16" ht="15">
      <c r="H102" s="828">
        <v>125000</v>
      </c>
      <c r="I102" s="828">
        <v>50000</v>
      </c>
      <c r="J102" s="828"/>
      <c r="K102" s="828"/>
      <c r="L102" s="828"/>
      <c r="O102" s="828">
        <f t="shared" si="21"/>
        <v>184887.5</v>
      </c>
      <c r="P102" s="828"/>
    </row>
    <row r="103" spans="8:16" ht="15">
      <c r="H103" s="828">
        <v>125000</v>
      </c>
      <c r="I103" s="828">
        <v>50000</v>
      </c>
      <c r="J103" s="828"/>
      <c r="K103" s="828"/>
      <c r="L103" s="828"/>
      <c r="O103" s="828">
        <f t="shared" si="21"/>
        <v>184887.5</v>
      </c>
      <c r="P103" s="828"/>
    </row>
    <row r="104" spans="8:16" ht="15">
      <c r="H104" s="828">
        <v>125000</v>
      </c>
      <c r="I104" s="828">
        <v>50000</v>
      </c>
      <c r="J104" s="828"/>
      <c r="K104" s="828"/>
      <c r="L104" s="828"/>
      <c r="O104" s="828">
        <f t="shared" si="21"/>
        <v>184887.5</v>
      </c>
      <c r="P104" s="828"/>
    </row>
    <row r="105" spans="8:16" ht="15">
      <c r="H105" s="828">
        <v>125000</v>
      </c>
      <c r="I105" s="828">
        <v>50000</v>
      </c>
      <c r="J105" s="828"/>
      <c r="K105" s="828"/>
      <c r="L105" s="828"/>
      <c r="O105" s="828">
        <f t="shared" si="21"/>
        <v>184887.5</v>
      </c>
      <c r="P105" s="828"/>
    </row>
    <row r="106" spans="8:16" ht="15">
      <c r="H106" s="828">
        <v>125000</v>
      </c>
      <c r="I106" s="828">
        <v>50000</v>
      </c>
      <c r="J106" s="828"/>
      <c r="K106" s="828"/>
      <c r="L106" s="828"/>
      <c r="O106" s="828">
        <f t="shared" si="21"/>
        <v>184887.5</v>
      </c>
      <c r="P106" s="828"/>
    </row>
    <row r="107" spans="8:16" ht="15">
      <c r="H107" s="828">
        <v>125000</v>
      </c>
      <c r="I107" s="828">
        <v>50000</v>
      </c>
      <c r="J107" s="828"/>
      <c r="K107" s="828"/>
      <c r="L107" s="828"/>
      <c r="O107" s="828">
        <f t="shared" si="21"/>
        <v>184887.5</v>
      </c>
      <c r="P107" s="828"/>
    </row>
    <row r="108" spans="8:16" ht="15">
      <c r="H108" s="828">
        <v>125000</v>
      </c>
      <c r="I108" s="828">
        <v>50000</v>
      </c>
      <c r="J108" s="828"/>
      <c r="K108" s="828"/>
      <c r="L108" s="828"/>
      <c r="O108" s="828">
        <f t="shared" si="21"/>
        <v>184887.5</v>
      </c>
      <c r="P108" s="828"/>
    </row>
    <row r="109" spans="8:16" ht="15">
      <c r="H109" s="828">
        <v>125000</v>
      </c>
      <c r="I109" s="828">
        <v>50000</v>
      </c>
      <c r="J109" s="828"/>
      <c r="K109" s="828"/>
      <c r="L109" s="828"/>
      <c r="O109" s="828">
        <f t="shared" si="21"/>
        <v>184887.5</v>
      </c>
      <c r="P109" s="828">
        <f>SUM(O98:O109)</f>
        <v>2218650</v>
      </c>
    </row>
    <row r="110" spans="8:16" ht="15">
      <c r="H110" s="828"/>
      <c r="I110" s="828"/>
      <c r="J110" s="828"/>
      <c r="K110" s="828"/>
      <c r="L110" s="828"/>
      <c r="O110" s="828"/>
      <c r="P110" s="828"/>
    </row>
    <row r="111" spans="8:16" ht="15">
      <c r="H111" s="828">
        <v>125000</v>
      </c>
      <c r="I111" s="828">
        <v>50000</v>
      </c>
      <c r="J111" s="828">
        <v>81666</v>
      </c>
      <c r="K111" s="828"/>
      <c r="L111" s="828"/>
      <c r="O111" s="828">
        <f>SUM(H111:L111)*1.0565</f>
        <v>271167.62900000002</v>
      </c>
      <c r="P111" s="828"/>
    </row>
    <row r="112" spans="8:16" ht="15">
      <c r="H112" s="828">
        <v>125000</v>
      </c>
      <c r="I112" s="828">
        <v>50000</v>
      </c>
      <c r="J112" s="828">
        <v>81666</v>
      </c>
      <c r="K112" s="828"/>
      <c r="L112" s="828"/>
      <c r="O112" s="828">
        <f t="shared" ref="O112:O122" si="22">SUM(H112:L112)*1.0565</f>
        <v>271167.62900000002</v>
      </c>
      <c r="P112" s="828"/>
    </row>
    <row r="113" spans="8:16" ht="15">
      <c r="H113" s="828">
        <v>125000</v>
      </c>
      <c r="I113" s="828">
        <v>50000</v>
      </c>
      <c r="J113" s="828">
        <v>81666</v>
      </c>
      <c r="K113" s="828"/>
      <c r="L113" s="828"/>
      <c r="O113" s="828">
        <f t="shared" si="22"/>
        <v>271167.62900000002</v>
      </c>
      <c r="P113" s="828"/>
    </row>
    <row r="114" spans="8:16" ht="15">
      <c r="H114" s="828">
        <v>125000</v>
      </c>
      <c r="I114" s="828">
        <v>50000</v>
      </c>
      <c r="J114" s="828">
        <v>81666</v>
      </c>
      <c r="K114" s="828"/>
      <c r="L114" s="828"/>
      <c r="O114" s="828">
        <f t="shared" si="22"/>
        <v>271167.62900000002</v>
      </c>
      <c r="P114" s="828"/>
    </row>
    <row r="115" spans="8:16" ht="15">
      <c r="H115" s="828">
        <v>125000</v>
      </c>
      <c r="I115" s="828">
        <v>50000</v>
      </c>
      <c r="J115" s="828">
        <v>81666</v>
      </c>
      <c r="K115" s="828"/>
      <c r="L115" s="828"/>
      <c r="O115" s="828">
        <f t="shared" si="22"/>
        <v>271167.62900000002</v>
      </c>
      <c r="P115" s="828"/>
    </row>
    <row r="116" spans="8:16" ht="15">
      <c r="H116" s="828">
        <v>125000</v>
      </c>
      <c r="I116" s="828">
        <v>50000</v>
      </c>
      <c r="J116" s="828">
        <v>81666</v>
      </c>
      <c r="K116" s="828"/>
      <c r="L116" s="828"/>
      <c r="O116" s="828">
        <f t="shared" si="22"/>
        <v>271167.62900000002</v>
      </c>
      <c r="P116" s="828"/>
    </row>
    <row r="117" spans="8:16" ht="15">
      <c r="H117" s="828">
        <v>125000</v>
      </c>
      <c r="I117" s="828">
        <v>50000</v>
      </c>
      <c r="J117" s="828">
        <v>81666</v>
      </c>
      <c r="K117" s="828"/>
      <c r="L117" s="828"/>
      <c r="O117" s="828">
        <f t="shared" si="22"/>
        <v>271167.62900000002</v>
      </c>
      <c r="P117" s="828"/>
    </row>
    <row r="118" spans="8:16" ht="15">
      <c r="H118" s="828">
        <v>125000</v>
      </c>
      <c r="I118" s="828">
        <v>50000</v>
      </c>
      <c r="J118" s="828">
        <v>81666</v>
      </c>
      <c r="K118" s="828"/>
      <c r="L118" s="828"/>
      <c r="O118" s="828">
        <f t="shared" si="22"/>
        <v>271167.62900000002</v>
      </c>
      <c r="P118" s="828"/>
    </row>
    <row r="119" spans="8:16" ht="15">
      <c r="H119" s="828">
        <v>125000</v>
      </c>
      <c r="I119" s="828">
        <v>50000</v>
      </c>
      <c r="J119" s="828">
        <v>81666</v>
      </c>
      <c r="K119" s="828"/>
      <c r="L119" s="828"/>
      <c r="O119" s="828">
        <f t="shared" si="22"/>
        <v>271167.62900000002</v>
      </c>
      <c r="P119" s="828"/>
    </row>
    <row r="120" spans="8:16" ht="15">
      <c r="H120" s="828">
        <v>125000</v>
      </c>
      <c r="I120" s="828">
        <v>50000</v>
      </c>
      <c r="J120" s="828">
        <v>81666</v>
      </c>
      <c r="K120" s="828"/>
      <c r="L120" s="828"/>
      <c r="O120" s="828">
        <f t="shared" si="22"/>
        <v>271167.62900000002</v>
      </c>
      <c r="P120" s="828"/>
    </row>
    <row r="121" spans="8:16" ht="15">
      <c r="H121" s="828">
        <v>125000</v>
      </c>
      <c r="I121" s="828">
        <v>50000</v>
      </c>
      <c r="J121" s="828">
        <v>81666</v>
      </c>
      <c r="K121" s="828"/>
      <c r="L121" s="828"/>
      <c r="O121" s="828">
        <f t="shared" si="22"/>
        <v>271167.62900000002</v>
      </c>
      <c r="P121" s="828"/>
    </row>
    <row r="122" spans="8:16" ht="15">
      <c r="H122" s="828">
        <v>125000</v>
      </c>
      <c r="I122" s="828">
        <v>50000</v>
      </c>
      <c r="J122" s="828">
        <v>81666</v>
      </c>
      <c r="K122" s="828"/>
      <c r="L122" s="828"/>
      <c r="O122" s="828">
        <f t="shared" si="22"/>
        <v>271167.62900000002</v>
      </c>
      <c r="P122" s="828">
        <f>SUM(O111:O122)</f>
        <v>3254011.5480000009</v>
      </c>
    </row>
    <row r="123" spans="8:16" ht="15">
      <c r="H123" s="828"/>
      <c r="I123" s="828"/>
      <c r="J123" s="828"/>
      <c r="K123" s="828"/>
      <c r="L123" s="828"/>
      <c r="O123" s="828"/>
      <c r="P123" s="828"/>
    </row>
    <row r="124" spans="8:16" ht="15">
      <c r="H124" s="828">
        <v>125000</v>
      </c>
      <c r="I124" s="828">
        <v>50000</v>
      </c>
      <c r="J124" s="828">
        <v>81666</v>
      </c>
      <c r="K124" s="828">
        <v>76666</v>
      </c>
      <c r="L124" s="828"/>
      <c r="O124" s="828">
        <f>SUM(H124:L124)*1.0565</f>
        <v>352165.25799999997</v>
      </c>
      <c r="P124" s="828"/>
    </row>
    <row r="125" spans="8:16" ht="15">
      <c r="H125" s="828">
        <v>125000</v>
      </c>
      <c r="I125" s="828">
        <v>50000</v>
      </c>
      <c r="J125" s="828">
        <v>81666</v>
      </c>
      <c r="K125" s="828">
        <v>76666</v>
      </c>
      <c r="L125" s="828"/>
      <c r="O125" s="828">
        <f t="shared" ref="O125:O135" si="23">SUM(H125:L125)*1.0565</f>
        <v>352165.25799999997</v>
      </c>
      <c r="P125" s="828"/>
    </row>
    <row r="126" spans="8:16" ht="15">
      <c r="H126" s="828">
        <v>125000</v>
      </c>
      <c r="I126" s="828">
        <v>50000</v>
      </c>
      <c r="J126" s="828">
        <v>81666</v>
      </c>
      <c r="K126" s="828">
        <v>76666</v>
      </c>
      <c r="L126" s="828"/>
      <c r="O126" s="828">
        <f t="shared" si="23"/>
        <v>352165.25799999997</v>
      </c>
      <c r="P126" s="828"/>
    </row>
    <row r="127" spans="8:16" ht="15">
      <c r="H127" s="828">
        <v>125000</v>
      </c>
      <c r="I127" s="828">
        <v>50000</v>
      </c>
      <c r="J127" s="828">
        <v>81666</v>
      </c>
      <c r="K127" s="828">
        <v>76666</v>
      </c>
      <c r="L127" s="828"/>
      <c r="O127" s="828">
        <f t="shared" si="23"/>
        <v>352165.25799999997</v>
      </c>
      <c r="P127" s="828"/>
    </row>
    <row r="128" spans="8:16" ht="15">
      <c r="H128" s="828">
        <v>125000</v>
      </c>
      <c r="I128" s="828">
        <v>50000</v>
      </c>
      <c r="J128" s="828">
        <v>81666</v>
      </c>
      <c r="K128" s="828">
        <v>76666</v>
      </c>
      <c r="L128" s="828"/>
      <c r="O128" s="828">
        <f t="shared" si="23"/>
        <v>352165.25799999997</v>
      </c>
      <c r="P128" s="828"/>
    </row>
    <row r="129" spans="8:16" ht="15">
      <c r="H129" s="828">
        <v>125000</v>
      </c>
      <c r="I129" s="828">
        <v>50000</v>
      </c>
      <c r="J129" s="828">
        <v>81666</v>
      </c>
      <c r="K129" s="828">
        <v>76666</v>
      </c>
      <c r="L129" s="828"/>
      <c r="O129" s="828">
        <f t="shared" si="23"/>
        <v>352165.25799999997</v>
      </c>
      <c r="P129" s="828"/>
    </row>
    <row r="130" spans="8:16" ht="15">
      <c r="H130" s="828">
        <v>125000</v>
      </c>
      <c r="I130" s="828">
        <v>50000</v>
      </c>
      <c r="J130" s="828">
        <v>81666</v>
      </c>
      <c r="K130" s="828">
        <v>76666</v>
      </c>
      <c r="L130" s="828"/>
      <c r="O130" s="828">
        <f t="shared" si="23"/>
        <v>352165.25799999997</v>
      </c>
      <c r="P130" s="828"/>
    </row>
    <row r="131" spans="8:16" ht="15">
      <c r="H131" s="828">
        <v>125000</v>
      </c>
      <c r="I131" s="828">
        <v>50000</v>
      </c>
      <c r="J131" s="828">
        <v>81666</v>
      </c>
      <c r="K131" s="828">
        <v>76666</v>
      </c>
      <c r="L131" s="828"/>
      <c r="O131" s="828">
        <f t="shared" si="23"/>
        <v>352165.25799999997</v>
      </c>
      <c r="P131" s="828"/>
    </row>
    <row r="132" spans="8:16" ht="15">
      <c r="H132" s="828">
        <v>125000</v>
      </c>
      <c r="I132" s="828">
        <v>50000</v>
      </c>
      <c r="J132" s="828">
        <v>81666</v>
      </c>
      <c r="K132" s="828">
        <v>76666</v>
      </c>
      <c r="L132" s="828"/>
      <c r="O132" s="828">
        <f t="shared" si="23"/>
        <v>352165.25799999997</v>
      </c>
      <c r="P132" s="828"/>
    </row>
    <row r="133" spans="8:16" ht="15">
      <c r="H133" s="828">
        <v>125000</v>
      </c>
      <c r="I133" s="828">
        <v>50000</v>
      </c>
      <c r="J133" s="828">
        <v>81666</v>
      </c>
      <c r="K133" s="828">
        <v>76666</v>
      </c>
      <c r="L133" s="828"/>
      <c r="O133" s="828">
        <f t="shared" si="23"/>
        <v>352165.25799999997</v>
      </c>
      <c r="P133" s="828"/>
    </row>
    <row r="134" spans="8:16" ht="15">
      <c r="H134" s="828">
        <v>125000</v>
      </c>
      <c r="I134" s="828">
        <v>50000</v>
      </c>
      <c r="J134" s="828">
        <v>81666</v>
      </c>
      <c r="K134" s="828">
        <v>76666</v>
      </c>
      <c r="L134" s="828"/>
      <c r="O134" s="828">
        <f t="shared" si="23"/>
        <v>352165.25799999997</v>
      </c>
      <c r="P134" s="828"/>
    </row>
    <row r="135" spans="8:16" ht="15">
      <c r="H135" s="828">
        <v>125000</v>
      </c>
      <c r="I135" s="828">
        <v>50000</v>
      </c>
      <c r="J135" s="828">
        <v>81666</v>
      </c>
      <c r="K135" s="828">
        <v>76666</v>
      </c>
      <c r="L135" s="828"/>
      <c r="O135" s="828">
        <f t="shared" si="23"/>
        <v>352165.25799999997</v>
      </c>
      <c r="P135" s="828">
        <f>SUM(O124:O135)</f>
        <v>4225983.0959999999</v>
      </c>
    </row>
    <row r="136" spans="8:16">
      <c r="J136" s="768"/>
    </row>
    <row r="137" spans="8:16" ht="15">
      <c r="H137" s="828"/>
      <c r="I137" s="828"/>
      <c r="J137" s="828"/>
      <c r="K137" s="828"/>
      <c r="L137" s="828">
        <v>191597.58</v>
      </c>
      <c r="O137" s="828">
        <f>SUM(H137:L137)*1.0565</f>
        <v>202422.84326999998</v>
      </c>
      <c r="P137" s="828"/>
    </row>
    <row r="138" spans="8:16" ht="15">
      <c r="H138" s="828"/>
      <c r="I138" s="828"/>
      <c r="J138" s="828"/>
      <c r="K138" s="828"/>
      <c r="L138" s="828">
        <v>191597.58</v>
      </c>
      <c r="O138" s="828">
        <f t="shared" ref="O138:O148" si="24">SUM(H138:L138)*1.0565</f>
        <v>202422.84326999998</v>
      </c>
      <c r="P138" s="828"/>
    </row>
    <row r="139" spans="8:16" ht="15">
      <c r="H139" s="828"/>
      <c r="I139" s="828"/>
      <c r="J139" s="828"/>
      <c r="K139" s="828"/>
      <c r="L139" s="828">
        <v>191597.58</v>
      </c>
      <c r="O139" s="828">
        <f t="shared" si="24"/>
        <v>202422.84326999998</v>
      </c>
      <c r="P139" s="828"/>
    </row>
    <row r="140" spans="8:16" ht="15">
      <c r="H140" s="828"/>
      <c r="I140" s="828"/>
      <c r="J140" s="828"/>
      <c r="K140" s="828"/>
      <c r="L140" s="828">
        <v>191597.58</v>
      </c>
      <c r="O140" s="828">
        <f t="shared" si="24"/>
        <v>202422.84326999998</v>
      </c>
      <c r="P140" s="828"/>
    </row>
    <row r="141" spans="8:16" ht="15">
      <c r="H141" s="828"/>
      <c r="I141" s="828"/>
      <c r="J141" s="828"/>
      <c r="K141" s="828"/>
      <c r="L141" s="828">
        <v>191597.58</v>
      </c>
      <c r="O141" s="828">
        <f t="shared" si="24"/>
        <v>202422.84326999998</v>
      </c>
      <c r="P141" s="828"/>
    </row>
    <row r="142" spans="8:16" ht="15">
      <c r="H142" s="828"/>
      <c r="I142" s="828"/>
      <c r="J142" s="828"/>
      <c r="K142" s="828"/>
      <c r="L142" s="828">
        <v>191597.58</v>
      </c>
      <c r="O142" s="828">
        <f t="shared" si="24"/>
        <v>202422.84326999998</v>
      </c>
      <c r="P142" s="828"/>
    </row>
    <row r="143" spans="8:16" ht="15">
      <c r="H143" s="828"/>
      <c r="I143" s="828"/>
      <c r="J143" s="828"/>
      <c r="K143" s="828"/>
      <c r="L143" s="828">
        <v>191597.58</v>
      </c>
      <c r="O143" s="828">
        <f t="shared" si="24"/>
        <v>202422.84326999998</v>
      </c>
      <c r="P143" s="828"/>
    </row>
    <row r="144" spans="8:16" ht="15">
      <c r="H144" s="828"/>
      <c r="I144" s="828"/>
      <c r="J144" s="828"/>
      <c r="K144" s="828"/>
      <c r="L144" s="828">
        <v>191597.58</v>
      </c>
      <c r="O144" s="828">
        <f t="shared" si="24"/>
        <v>202422.84326999998</v>
      </c>
      <c r="P144" s="828"/>
    </row>
    <row r="145" spans="8:16" ht="15">
      <c r="H145" s="828"/>
      <c r="I145" s="828"/>
      <c r="J145" s="828"/>
      <c r="K145" s="828"/>
      <c r="L145" s="828">
        <v>191597.58</v>
      </c>
      <c r="O145" s="828">
        <f t="shared" si="24"/>
        <v>202422.84326999998</v>
      </c>
      <c r="P145" s="828"/>
    </row>
    <row r="146" spans="8:16" ht="15">
      <c r="H146" s="828"/>
      <c r="I146" s="828"/>
      <c r="J146" s="828"/>
      <c r="K146" s="828"/>
      <c r="L146" s="828">
        <v>191597.58</v>
      </c>
      <c r="O146" s="828">
        <f t="shared" si="24"/>
        <v>202422.84326999998</v>
      </c>
      <c r="P146" s="828"/>
    </row>
    <row r="147" spans="8:16" ht="15">
      <c r="H147" s="828"/>
      <c r="I147" s="828"/>
      <c r="J147" s="828"/>
      <c r="K147" s="828"/>
      <c r="L147" s="828">
        <v>191597.58</v>
      </c>
      <c r="O147" s="828">
        <f t="shared" si="24"/>
        <v>202422.84326999998</v>
      </c>
      <c r="P147" s="828"/>
    </row>
    <row r="148" spans="8:16" ht="15">
      <c r="H148" s="828"/>
      <c r="I148" s="828"/>
      <c r="J148" s="828"/>
      <c r="K148" s="828"/>
      <c r="L148" s="828">
        <v>191597.58</v>
      </c>
      <c r="O148" s="828">
        <f t="shared" si="24"/>
        <v>202422.84326999998</v>
      </c>
      <c r="P148" s="828">
        <f>SUM(O137:O148)</f>
        <v>2429074.1192400004</v>
      </c>
    </row>
  </sheetData>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M36"/>
  <sheetViews>
    <sheetView showGridLines="0" zoomScaleNormal="100" workbookViewId="0">
      <selection activeCell="B39" sqref="B39"/>
    </sheetView>
  </sheetViews>
  <sheetFormatPr defaultRowHeight="12.75"/>
  <cols>
    <col min="1" max="1" width="13.6640625" customWidth="1"/>
    <col min="2" max="2" width="68.6640625" customWidth="1"/>
    <col min="3" max="3" width="25.1640625" customWidth="1"/>
    <col min="4" max="4" width="29.5" style="127" customWidth="1"/>
    <col min="5" max="5" width="4.83203125" style="127" customWidth="1"/>
    <col min="6" max="6" width="12" style="127" customWidth="1"/>
    <col min="7" max="7" width="18" customWidth="1"/>
    <col min="9" max="9" width="14.83203125" bestFit="1" customWidth="1"/>
    <col min="10" max="10" width="2.1640625" bestFit="1" customWidth="1"/>
  </cols>
  <sheetData>
    <row r="1" spans="1:13" s="514" customFormat="1">
      <c r="A1" s="694" t="s">
        <v>257</v>
      </c>
    </row>
    <row r="2" spans="1:13" s="514" customFormat="1"/>
    <row r="3" spans="1:13" s="514" customFormat="1"/>
    <row r="4" spans="1:13" s="514" customFormat="1"/>
    <row r="5" spans="1:13" s="514" customFormat="1"/>
    <row r="6" spans="1:13" s="514" customFormat="1"/>
    <row r="7" spans="1:13" s="514" customFormat="1"/>
    <row r="8" spans="1:13" s="514" customFormat="1"/>
    <row r="9" spans="1:13" s="514" customFormat="1"/>
    <row r="10" spans="1:13" ht="12.75" customHeight="1">
      <c r="B10" s="1065"/>
      <c r="C10" s="1065"/>
      <c r="D10" s="1065"/>
      <c r="E10" s="1065"/>
      <c r="F10" s="1065"/>
      <c r="G10" s="1065"/>
      <c r="H10" s="1065"/>
      <c r="I10" s="1065"/>
      <c r="J10" s="495"/>
      <c r="K10" s="495"/>
      <c r="L10" s="495"/>
      <c r="M10" s="495"/>
    </row>
    <row r="11" spans="1:13" ht="23.25">
      <c r="B11" s="1066" t="s">
        <v>147</v>
      </c>
      <c r="C11" s="1066"/>
      <c r="D11" s="153"/>
      <c r="E11"/>
      <c r="F11" s="128"/>
      <c r="G11" s="128"/>
      <c r="H11" s="128"/>
    </row>
    <row r="12" spans="1:13" ht="18.75" thickBot="1">
      <c r="C12" s="128"/>
      <c r="D12" s="128"/>
      <c r="E12" s="128"/>
      <c r="F12" s="128"/>
      <c r="G12" s="128"/>
      <c r="H12" s="128"/>
      <c r="I12" s="128"/>
      <c r="J12" s="128"/>
    </row>
    <row r="13" spans="1:13" ht="72" customHeight="1">
      <c r="B13" s="679" t="s">
        <v>95</v>
      </c>
      <c r="C13" s="680" t="s">
        <v>125</v>
      </c>
      <c r="D13" s="681" t="s">
        <v>126</v>
      </c>
      <c r="E13"/>
      <c r="F13"/>
    </row>
    <row r="14" spans="1:13">
      <c r="B14" s="675" t="s">
        <v>6</v>
      </c>
      <c r="C14" s="700" t="s">
        <v>124</v>
      </c>
      <c r="D14" s="701" t="s">
        <v>127</v>
      </c>
      <c r="F14" s="1067" t="s">
        <v>169</v>
      </c>
      <c r="G14" s="1067"/>
      <c r="I14" s="496" t="s">
        <v>36</v>
      </c>
    </row>
    <row r="15" spans="1:13">
      <c r="B15" s="675" t="s">
        <v>96</v>
      </c>
      <c r="C15" s="700" t="s">
        <v>124</v>
      </c>
      <c r="D15" s="701" t="s">
        <v>127</v>
      </c>
      <c r="E15" s="674"/>
      <c r="F15" s="1067"/>
      <c r="G15" s="1067"/>
      <c r="I15" s="496" t="s">
        <v>36</v>
      </c>
    </row>
    <row r="16" spans="1:13">
      <c r="B16" s="675" t="s">
        <v>103</v>
      </c>
      <c r="C16" s="700" t="s">
        <v>124</v>
      </c>
      <c r="D16" s="701" t="s">
        <v>42</v>
      </c>
      <c r="E16" s="674"/>
      <c r="F16" s="1067"/>
      <c r="G16" s="1067"/>
      <c r="I16" s="496" t="s">
        <v>36</v>
      </c>
    </row>
    <row r="17" spans="2:9" ht="13.5" thickBot="1">
      <c r="B17" s="676"/>
      <c r="C17" s="702" t="s">
        <v>127</v>
      </c>
      <c r="D17" s="703" t="s">
        <v>127</v>
      </c>
      <c r="E17" s="674"/>
      <c r="F17" s="1067"/>
      <c r="G17" s="1067"/>
    </row>
    <row r="18" spans="2:9" ht="13.5" customHeight="1">
      <c r="B18" s="677" t="s">
        <v>263</v>
      </c>
      <c r="C18" s="704" t="s">
        <v>124</v>
      </c>
      <c r="D18" s="705" t="s">
        <v>42</v>
      </c>
      <c r="E18"/>
      <c r="F18" s="1068" t="s">
        <v>170</v>
      </c>
      <c r="G18" s="1068"/>
      <c r="I18" s="496" t="s">
        <v>37</v>
      </c>
    </row>
    <row r="19" spans="2:9">
      <c r="B19" s="678" t="s">
        <v>102</v>
      </c>
      <c r="C19" s="700" t="s">
        <v>42</v>
      </c>
      <c r="D19" s="701" t="s">
        <v>42</v>
      </c>
      <c r="E19"/>
      <c r="F19" s="1068"/>
      <c r="G19" s="1068"/>
      <c r="I19" s="496" t="s">
        <v>37</v>
      </c>
    </row>
    <row r="20" spans="2:9" ht="13.5" thickBot="1">
      <c r="B20" s="682" t="s">
        <v>85</v>
      </c>
      <c r="C20" s="706" t="s">
        <v>42</v>
      </c>
      <c r="D20" s="707" t="s">
        <v>42</v>
      </c>
      <c r="E20"/>
      <c r="F20" s="1068"/>
      <c r="G20" s="1068"/>
      <c r="I20" s="496" t="s">
        <v>37</v>
      </c>
    </row>
    <row r="21" spans="2:9" ht="13.5" thickBot="1">
      <c r="B21" s="683" t="s">
        <v>262</v>
      </c>
      <c r="C21" s="708" t="s">
        <v>42</v>
      </c>
      <c r="D21" s="709" t="s">
        <v>42</v>
      </c>
      <c r="E21"/>
      <c r="F21" s="489"/>
      <c r="G21" s="489"/>
      <c r="I21" s="496" t="s">
        <v>37</v>
      </c>
    </row>
    <row r="22" spans="2:9" hidden="1">
      <c r="B22" s="486" t="s">
        <v>104</v>
      </c>
      <c r="C22" s="487" t="s">
        <v>127</v>
      </c>
      <c r="D22" s="488" t="s">
        <v>127</v>
      </c>
      <c r="E22"/>
      <c r="F22"/>
    </row>
    <row r="23" spans="2:9" ht="13.5" hidden="1" thickBot="1">
      <c r="B23" s="276" t="s">
        <v>104</v>
      </c>
      <c r="C23" s="274" t="s">
        <v>127</v>
      </c>
      <c r="D23" s="275" t="s">
        <v>127</v>
      </c>
      <c r="E23"/>
      <c r="F23"/>
    </row>
    <row r="24" spans="2:9">
      <c r="D24"/>
      <c r="E24"/>
      <c r="F24"/>
    </row>
    <row r="25" spans="2:9">
      <c r="D25"/>
      <c r="E25"/>
      <c r="F25"/>
    </row>
    <row r="26" spans="2:9">
      <c r="D26"/>
      <c r="E26"/>
      <c r="F26"/>
    </row>
    <row r="27" spans="2:9">
      <c r="D27"/>
      <c r="E27"/>
      <c r="F27"/>
    </row>
    <row r="28" spans="2:9">
      <c r="D28"/>
      <c r="E28"/>
      <c r="F28"/>
    </row>
    <row r="29" spans="2:9">
      <c r="D29"/>
      <c r="E29"/>
      <c r="F29"/>
    </row>
    <row r="30" spans="2:9">
      <c r="D30"/>
      <c r="E30"/>
      <c r="F30"/>
    </row>
    <row r="31" spans="2:9">
      <c r="D31"/>
      <c r="E31"/>
      <c r="F31"/>
    </row>
    <row r="32" spans="2:9">
      <c r="D32"/>
      <c r="E32"/>
      <c r="F32"/>
    </row>
    <row r="33" spans="3:6">
      <c r="D33"/>
      <c r="E33"/>
      <c r="F33"/>
    </row>
    <row r="34" spans="3:6">
      <c r="D34"/>
      <c r="E34"/>
      <c r="F34"/>
    </row>
    <row r="35" spans="3:6">
      <c r="D35"/>
      <c r="E35"/>
      <c r="F35"/>
    </row>
    <row r="36" spans="3:6">
      <c r="C36" s="127"/>
      <c r="F36"/>
    </row>
  </sheetData>
  <mergeCells count="4">
    <mergeCell ref="B11:C11"/>
    <mergeCell ref="F14:G17"/>
    <mergeCell ref="F18:G20"/>
    <mergeCell ref="B10:I10"/>
  </mergeCells>
  <dataValidations count="1">
    <dataValidation type="list" allowBlank="1" showInputMessage="1" showErrorMessage="1" sqref="C14:D23" xr:uid="{00000000-0002-0000-0100-000000000000}">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F121"/>
  <sheetViews>
    <sheetView topLeftCell="A76" workbookViewId="0">
      <selection activeCell="A2" sqref="A2"/>
    </sheetView>
  </sheetViews>
  <sheetFormatPr defaultRowHeight="12.75"/>
  <cols>
    <col min="1" max="1" width="28.6640625" style="979" bestFit="1" customWidth="1"/>
    <col min="2" max="3" width="9.33203125" style="979"/>
    <col min="4" max="4" width="25" style="979" bestFit="1" customWidth="1"/>
    <col min="5" max="5" width="15.5" style="979" bestFit="1" customWidth="1"/>
    <col min="6" max="6" width="21.6640625" style="979" bestFit="1" customWidth="1"/>
  </cols>
  <sheetData>
    <row r="1" spans="1:6">
      <c r="A1" s="979" t="s">
        <v>121</v>
      </c>
      <c r="B1" s="979" t="s">
        <v>1</v>
      </c>
      <c r="C1" s="979" t="s">
        <v>2</v>
      </c>
      <c r="D1" s="979" t="s">
        <v>238</v>
      </c>
      <c r="E1" s="979" t="s">
        <v>162</v>
      </c>
      <c r="F1" s="979" t="s">
        <v>384</v>
      </c>
    </row>
    <row r="2" spans="1:6">
      <c r="A2" s="979">
        <v>22404004.5</v>
      </c>
      <c r="B2" s="979">
        <v>589</v>
      </c>
      <c r="C2" s="979">
        <v>0</v>
      </c>
      <c r="D2" s="979">
        <v>31</v>
      </c>
      <c r="E2" s="979">
        <v>134.25</v>
      </c>
      <c r="F2" s="979">
        <v>336</v>
      </c>
    </row>
    <row r="3" spans="1:6">
      <c r="A3" s="979">
        <v>20546999.5</v>
      </c>
      <c r="B3" s="979">
        <v>627.20000000000005</v>
      </c>
      <c r="C3" s="979">
        <v>0</v>
      </c>
      <c r="D3" s="979">
        <v>28</v>
      </c>
      <c r="E3" s="979">
        <v>134.56</v>
      </c>
      <c r="F3" s="979">
        <v>320</v>
      </c>
    </row>
    <row r="4" spans="1:6">
      <c r="A4" s="979">
        <v>21603564.5</v>
      </c>
      <c r="B4" s="979">
        <v>564.4</v>
      </c>
      <c r="C4" s="979">
        <v>0</v>
      </c>
      <c r="D4" s="979">
        <v>31</v>
      </c>
      <c r="E4" s="979">
        <v>134.81</v>
      </c>
      <c r="F4" s="979">
        <v>368</v>
      </c>
    </row>
    <row r="5" spans="1:6">
      <c r="A5" s="979">
        <v>18509759.5</v>
      </c>
      <c r="B5" s="979">
        <v>342.6</v>
      </c>
      <c r="C5" s="979">
        <v>0</v>
      </c>
      <c r="D5" s="979">
        <v>30</v>
      </c>
      <c r="E5" s="979">
        <v>135.08000000000001</v>
      </c>
      <c r="F5" s="979">
        <v>304</v>
      </c>
    </row>
    <row r="6" spans="1:6">
      <c r="A6" s="979">
        <v>18650938.5</v>
      </c>
      <c r="B6" s="979">
        <v>192.1</v>
      </c>
      <c r="C6" s="979">
        <v>6.3</v>
      </c>
      <c r="D6" s="979">
        <v>31</v>
      </c>
      <c r="E6" s="979">
        <v>135.36000000000001</v>
      </c>
      <c r="F6" s="979">
        <v>352</v>
      </c>
    </row>
    <row r="7" spans="1:6">
      <c r="A7" s="979">
        <v>19270016.5</v>
      </c>
      <c r="B7" s="979">
        <v>40.1</v>
      </c>
      <c r="C7" s="979">
        <v>18</v>
      </c>
      <c r="D7" s="979">
        <v>30</v>
      </c>
      <c r="E7" s="979">
        <v>135.63999999999999</v>
      </c>
      <c r="F7" s="979">
        <v>352</v>
      </c>
    </row>
    <row r="8" spans="1:6">
      <c r="A8" s="979">
        <v>20893410.5</v>
      </c>
      <c r="B8" s="979">
        <v>5.9</v>
      </c>
      <c r="C8" s="979">
        <v>86.9</v>
      </c>
      <c r="D8" s="979">
        <v>31</v>
      </c>
      <c r="E8" s="979">
        <v>135.91999999999999</v>
      </c>
      <c r="F8" s="979">
        <v>320</v>
      </c>
    </row>
    <row r="9" spans="1:6">
      <c r="A9" s="979">
        <v>20423515.5</v>
      </c>
      <c r="B9" s="979">
        <v>6.7</v>
      </c>
      <c r="C9" s="979">
        <v>56.4</v>
      </c>
      <c r="D9" s="979">
        <v>31</v>
      </c>
      <c r="E9" s="979">
        <v>136.19999999999999</v>
      </c>
      <c r="F9" s="979">
        <v>352</v>
      </c>
    </row>
    <row r="10" spans="1:6">
      <c r="A10" s="979">
        <v>18366955.5</v>
      </c>
      <c r="B10" s="979">
        <v>103.3</v>
      </c>
      <c r="C10" s="979">
        <v>1.3</v>
      </c>
      <c r="D10" s="979">
        <v>30</v>
      </c>
      <c r="E10" s="979">
        <v>136.47999999999999</v>
      </c>
      <c r="F10" s="979">
        <v>320</v>
      </c>
    </row>
    <row r="11" spans="1:6">
      <c r="A11" s="979">
        <v>19565590.5</v>
      </c>
      <c r="B11" s="979">
        <v>296.39999999999998</v>
      </c>
      <c r="C11" s="979">
        <v>0</v>
      </c>
      <c r="D11" s="979">
        <v>31</v>
      </c>
      <c r="E11" s="979">
        <v>136.76</v>
      </c>
      <c r="F11" s="979">
        <v>336</v>
      </c>
    </row>
    <row r="12" spans="1:6">
      <c r="A12" s="979">
        <v>19970895.5</v>
      </c>
      <c r="B12" s="979">
        <v>390.9</v>
      </c>
      <c r="C12" s="979">
        <v>0</v>
      </c>
      <c r="D12" s="979">
        <v>30</v>
      </c>
      <c r="E12" s="979">
        <v>137.04</v>
      </c>
      <c r="F12" s="979">
        <v>352</v>
      </c>
    </row>
    <row r="13" spans="1:6">
      <c r="A13" s="979">
        <v>21086007.5</v>
      </c>
      <c r="B13" s="979">
        <v>505.5</v>
      </c>
      <c r="C13" s="979">
        <v>0</v>
      </c>
      <c r="D13" s="979">
        <v>31</v>
      </c>
      <c r="E13" s="979">
        <v>137.33000000000001</v>
      </c>
      <c r="F13" s="979">
        <v>304</v>
      </c>
    </row>
    <row r="14" spans="1:6">
      <c r="A14" s="979">
        <v>23263035.856666669</v>
      </c>
      <c r="B14" s="979">
        <v>669.3</v>
      </c>
      <c r="C14" s="979">
        <v>0</v>
      </c>
      <c r="D14" s="979">
        <v>31</v>
      </c>
      <c r="E14" s="979">
        <v>137.59</v>
      </c>
      <c r="F14" s="979">
        <v>352</v>
      </c>
    </row>
    <row r="15" spans="1:6">
      <c r="A15" s="979">
        <v>22122803.276666667</v>
      </c>
      <c r="B15" s="979">
        <v>728.2</v>
      </c>
      <c r="C15" s="979">
        <v>0</v>
      </c>
      <c r="D15" s="979">
        <v>28</v>
      </c>
      <c r="E15" s="979">
        <v>137.85</v>
      </c>
      <c r="F15" s="979">
        <v>320</v>
      </c>
    </row>
    <row r="16" spans="1:6">
      <c r="A16" s="979">
        <v>22310248.716666669</v>
      </c>
      <c r="B16" s="979">
        <v>578.29999999999995</v>
      </c>
      <c r="C16" s="979">
        <v>0</v>
      </c>
      <c r="D16" s="979">
        <v>31</v>
      </c>
      <c r="E16" s="979">
        <v>138.11000000000001</v>
      </c>
      <c r="F16" s="979">
        <v>352</v>
      </c>
    </row>
    <row r="17" spans="1:6">
      <c r="A17" s="979">
        <v>19419254.516666669</v>
      </c>
      <c r="B17" s="979">
        <v>401</v>
      </c>
      <c r="C17" s="979">
        <v>0</v>
      </c>
      <c r="D17" s="979">
        <v>30</v>
      </c>
      <c r="E17" s="979">
        <v>138.37</v>
      </c>
      <c r="F17" s="979">
        <v>320</v>
      </c>
    </row>
    <row r="18" spans="1:6">
      <c r="A18" s="979">
        <v>18453754.446666669</v>
      </c>
      <c r="B18" s="979">
        <v>208.1</v>
      </c>
      <c r="C18" s="979">
        <v>0</v>
      </c>
      <c r="D18" s="979">
        <v>31</v>
      </c>
      <c r="E18" s="979">
        <v>138.63</v>
      </c>
      <c r="F18" s="979">
        <v>352</v>
      </c>
    </row>
    <row r="19" spans="1:6">
      <c r="A19" s="979">
        <v>19870793.476666667</v>
      </c>
      <c r="B19" s="979">
        <v>45.4</v>
      </c>
      <c r="C19" s="979">
        <v>19.899999999999999</v>
      </c>
      <c r="D19" s="979">
        <v>30</v>
      </c>
      <c r="E19" s="979">
        <v>138.9</v>
      </c>
      <c r="F19" s="979">
        <v>336</v>
      </c>
    </row>
    <row r="20" spans="1:6">
      <c r="A20" s="979">
        <v>19876287.066666666</v>
      </c>
      <c r="B20" s="979">
        <v>22.4</v>
      </c>
      <c r="C20" s="979">
        <v>45.3</v>
      </c>
      <c r="D20" s="979">
        <v>31</v>
      </c>
      <c r="E20" s="979">
        <v>139.16</v>
      </c>
      <c r="F20" s="979">
        <v>336</v>
      </c>
    </row>
    <row r="21" spans="1:6">
      <c r="A21" s="979">
        <v>21572513.67666667</v>
      </c>
      <c r="B21" s="979">
        <v>12.1</v>
      </c>
      <c r="C21" s="979">
        <v>91.5</v>
      </c>
      <c r="D21" s="979">
        <v>31</v>
      </c>
      <c r="E21" s="979">
        <v>139.41999999999999</v>
      </c>
      <c r="F21" s="979">
        <v>352</v>
      </c>
    </row>
    <row r="22" spans="1:6">
      <c r="A22" s="979">
        <v>19366307.366666667</v>
      </c>
      <c r="B22" s="979">
        <v>61.8</v>
      </c>
      <c r="C22" s="979">
        <v>17.899999999999999</v>
      </c>
      <c r="D22" s="979">
        <v>30</v>
      </c>
      <c r="E22" s="979">
        <v>139.69</v>
      </c>
      <c r="F22" s="979">
        <v>304</v>
      </c>
    </row>
    <row r="23" spans="1:6">
      <c r="A23" s="979">
        <v>19761145.846666668</v>
      </c>
      <c r="B23" s="979">
        <v>165.8</v>
      </c>
      <c r="C23" s="979">
        <v>4.0999999999999996</v>
      </c>
      <c r="D23" s="979">
        <v>31</v>
      </c>
      <c r="E23" s="979">
        <v>139.94999999999999</v>
      </c>
      <c r="F23" s="979">
        <v>352</v>
      </c>
    </row>
    <row r="24" spans="1:6">
      <c r="A24" s="979">
        <v>20982441.576666668</v>
      </c>
      <c r="B24" s="979">
        <v>441.5</v>
      </c>
      <c r="C24" s="979">
        <v>0</v>
      </c>
      <c r="D24" s="979">
        <v>30</v>
      </c>
      <c r="E24" s="979">
        <v>140.22</v>
      </c>
      <c r="F24" s="979">
        <v>352</v>
      </c>
    </row>
    <row r="25" spans="1:6">
      <c r="A25" s="979">
        <v>22526215.526666667</v>
      </c>
      <c r="B25" s="979">
        <v>648.29999999999995</v>
      </c>
      <c r="C25" s="979">
        <v>0</v>
      </c>
      <c r="D25" s="979">
        <v>31</v>
      </c>
      <c r="E25" s="979">
        <v>140.47999999999999</v>
      </c>
      <c r="F25" s="979">
        <v>304</v>
      </c>
    </row>
    <row r="26" spans="1:6">
      <c r="A26" s="979">
        <v>22678315.416666668</v>
      </c>
      <c r="B26" s="979">
        <v>633.29999999999995</v>
      </c>
      <c r="C26" s="979">
        <v>0</v>
      </c>
      <c r="D26" s="979">
        <v>31</v>
      </c>
      <c r="E26" s="979">
        <v>140.43</v>
      </c>
      <c r="F26" s="979">
        <v>352</v>
      </c>
    </row>
    <row r="27" spans="1:6">
      <c r="A27" s="979">
        <v>21688745.416666668</v>
      </c>
      <c r="B27" s="979">
        <v>660.6</v>
      </c>
      <c r="C27" s="979">
        <v>0</v>
      </c>
      <c r="D27" s="979">
        <v>29</v>
      </c>
      <c r="E27" s="979">
        <v>140.37</v>
      </c>
      <c r="F27" s="979">
        <v>320</v>
      </c>
    </row>
    <row r="28" spans="1:6">
      <c r="A28" s="979">
        <v>21936437.416666668</v>
      </c>
      <c r="B28" s="979">
        <v>632.29999999999995</v>
      </c>
      <c r="C28" s="979">
        <v>0</v>
      </c>
      <c r="D28" s="979">
        <v>31</v>
      </c>
      <c r="E28" s="979">
        <v>140.31</v>
      </c>
      <c r="F28" s="979">
        <v>304</v>
      </c>
    </row>
    <row r="29" spans="1:6">
      <c r="A29" s="979">
        <v>18720787.416666668</v>
      </c>
      <c r="B29" s="979">
        <v>326.3</v>
      </c>
      <c r="C29" s="979">
        <v>0</v>
      </c>
      <c r="D29" s="979">
        <v>30</v>
      </c>
      <c r="E29" s="979">
        <v>140.25</v>
      </c>
      <c r="F29" s="979">
        <v>352</v>
      </c>
    </row>
    <row r="30" spans="1:6">
      <c r="A30" s="979">
        <v>18219265.416666668</v>
      </c>
      <c r="B30" s="979">
        <v>253.6</v>
      </c>
      <c r="C30" s="979">
        <v>0</v>
      </c>
      <c r="D30" s="979">
        <v>31</v>
      </c>
      <c r="E30" s="979">
        <v>140.19</v>
      </c>
      <c r="F30" s="979">
        <v>336</v>
      </c>
    </row>
    <row r="31" spans="1:6">
      <c r="A31" s="979">
        <v>19075341.416666668</v>
      </c>
      <c r="B31" s="979">
        <v>71</v>
      </c>
      <c r="C31" s="979">
        <v>2.6</v>
      </c>
      <c r="D31" s="979">
        <v>30</v>
      </c>
      <c r="E31" s="979">
        <v>140.13</v>
      </c>
      <c r="F31" s="979">
        <v>336</v>
      </c>
    </row>
    <row r="32" spans="1:6">
      <c r="A32" s="979">
        <v>20611782.416666668</v>
      </c>
      <c r="B32" s="979">
        <v>9.4</v>
      </c>
      <c r="C32" s="979">
        <v>50.9</v>
      </c>
      <c r="D32" s="979">
        <v>31</v>
      </c>
      <c r="E32" s="979">
        <v>140.07</v>
      </c>
      <c r="F32" s="979">
        <v>352</v>
      </c>
    </row>
    <row r="33" spans="1:6">
      <c r="A33" s="979">
        <v>19642579.416666668</v>
      </c>
      <c r="B33" s="979">
        <v>15.2</v>
      </c>
      <c r="C33" s="979">
        <v>40.4</v>
      </c>
      <c r="D33" s="979">
        <v>31</v>
      </c>
      <c r="E33" s="979">
        <v>140.02000000000001</v>
      </c>
      <c r="F33" s="979">
        <v>320</v>
      </c>
    </row>
    <row r="34" spans="1:6">
      <c r="A34" s="979">
        <v>19072953.416666668</v>
      </c>
      <c r="B34" s="979">
        <v>73.5</v>
      </c>
      <c r="C34" s="979">
        <v>16.2</v>
      </c>
      <c r="D34" s="979">
        <v>30</v>
      </c>
      <c r="E34" s="979">
        <v>139.96</v>
      </c>
      <c r="F34" s="979">
        <v>336</v>
      </c>
    </row>
    <row r="35" spans="1:6">
      <c r="A35" s="979">
        <v>19221673.416666668</v>
      </c>
      <c r="B35" s="979">
        <v>288.10000000000002</v>
      </c>
      <c r="C35" s="979">
        <v>0</v>
      </c>
      <c r="D35" s="979">
        <v>31</v>
      </c>
      <c r="E35" s="979">
        <v>139.9</v>
      </c>
      <c r="F35" s="979">
        <v>352</v>
      </c>
    </row>
    <row r="36" spans="1:6">
      <c r="A36" s="979">
        <v>19789977.416666668</v>
      </c>
      <c r="B36" s="979">
        <v>459</v>
      </c>
      <c r="C36" s="979">
        <v>0</v>
      </c>
      <c r="D36" s="979">
        <v>30</v>
      </c>
      <c r="E36" s="979">
        <v>139.84</v>
      </c>
      <c r="F36" s="979">
        <v>304</v>
      </c>
    </row>
    <row r="37" spans="1:6">
      <c r="A37" s="979">
        <v>21912478.416666668</v>
      </c>
      <c r="B37" s="979">
        <v>652.5</v>
      </c>
      <c r="C37" s="979">
        <v>0</v>
      </c>
      <c r="D37" s="979">
        <v>31</v>
      </c>
      <c r="E37" s="979">
        <v>139.78</v>
      </c>
      <c r="F37" s="979">
        <v>336</v>
      </c>
    </row>
    <row r="38" spans="1:6">
      <c r="A38" s="979">
        <v>23634185.333333332</v>
      </c>
      <c r="B38" s="979">
        <v>823.9</v>
      </c>
      <c r="C38" s="979">
        <v>0</v>
      </c>
      <c r="D38" s="979">
        <v>31</v>
      </c>
      <c r="E38" s="979">
        <v>139.38</v>
      </c>
      <c r="F38" s="979">
        <v>336</v>
      </c>
    </row>
    <row r="39" spans="1:6">
      <c r="A39" s="979">
        <v>20114354.333333332</v>
      </c>
      <c r="B39" s="979">
        <v>608.5</v>
      </c>
      <c r="C39" s="979">
        <v>0</v>
      </c>
      <c r="D39" s="979">
        <v>28</v>
      </c>
      <c r="E39" s="979">
        <v>138.97999999999999</v>
      </c>
      <c r="F39" s="979">
        <v>304</v>
      </c>
    </row>
    <row r="40" spans="1:6">
      <c r="A40" s="979">
        <v>21006762.333333332</v>
      </c>
      <c r="B40" s="979">
        <v>568.1</v>
      </c>
      <c r="C40" s="979">
        <v>0</v>
      </c>
      <c r="D40" s="979">
        <v>31</v>
      </c>
      <c r="E40" s="979">
        <v>138.58000000000001</v>
      </c>
      <c r="F40" s="979">
        <v>352</v>
      </c>
    </row>
    <row r="41" spans="1:6">
      <c r="A41" s="979">
        <v>18552680.333333332</v>
      </c>
      <c r="B41" s="979">
        <v>345.4</v>
      </c>
      <c r="C41" s="979">
        <v>0</v>
      </c>
      <c r="D41" s="979">
        <v>30</v>
      </c>
      <c r="E41" s="979">
        <v>138.18</v>
      </c>
      <c r="F41" s="979">
        <v>320</v>
      </c>
    </row>
    <row r="42" spans="1:6">
      <c r="A42" s="979">
        <v>17667453.333333332</v>
      </c>
      <c r="B42" s="979">
        <v>231.1</v>
      </c>
      <c r="C42" s="979">
        <v>0</v>
      </c>
      <c r="D42" s="979">
        <v>31</v>
      </c>
      <c r="E42" s="979">
        <v>137.78</v>
      </c>
      <c r="F42" s="979">
        <v>320</v>
      </c>
    </row>
    <row r="43" spans="1:6">
      <c r="A43" s="979">
        <v>18520599.333333332</v>
      </c>
      <c r="B43" s="979">
        <v>86.1</v>
      </c>
      <c r="C43" s="979">
        <v>12.1</v>
      </c>
      <c r="D43" s="979">
        <v>30</v>
      </c>
      <c r="E43" s="979">
        <v>137.38</v>
      </c>
      <c r="F43" s="979">
        <v>352</v>
      </c>
    </row>
    <row r="44" spans="1:6">
      <c r="A44" s="979">
        <v>19081602.333333332</v>
      </c>
      <c r="B44" s="979">
        <v>41.5</v>
      </c>
      <c r="C44" s="979">
        <v>18.2</v>
      </c>
      <c r="D44" s="979">
        <v>31</v>
      </c>
      <c r="E44" s="979">
        <v>136.99</v>
      </c>
      <c r="F44" s="979">
        <v>352</v>
      </c>
    </row>
    <row r="45" spans="1:6">
      <c r="A45" s="979">
        <v>20481416.333333332</v>
      </c>
      <c r="B45" s="979">
        <v>15.7</v>
      </c>
      <c r="C45" s="979">
        <v>58.6</v>
      </c>
      <c r="D45" s="979">
        <v>31</v>
      </c>
      <c r="E45" s="979">
        <v>136.59</v>
      </c>
      <c r="F45" s="979">
        <v>320</v>
      </c>
    </row>
    <row r="46" spans="1:6">
      <c r="A46" s="979">
        <v>18500238.333333332</v>
      </c>
      <c r="B46" s="979">
        <v>70.099999999999994</v>
      </c>
      <c r="C46" s="979">
        <v>11.6</v>
      </c>
      <c r="D46" s="979">
        <v>30</v>
      </c>
      <c r="E46" s="979">
        <v>136.19999999999999</v>
      </c>
      <c r="F46" s="979">
        <v>336</v>
      </c>
    </row>
    <row r="47" spans="1:6">
      <c r="A47" s="979">
        <v>19270519.333333332</v>
      </c>
      <c r="B47" s="979">
        <v>313.3</v>
      </c>
      <c r="C47" s="979">
        <v>0</v>
      </c>
      <c r="D47" s="979">
        <v>31</v>
      </c>
      <c r="E47" s="979">
        <v>135.81</v>
      </c>
      <c r="F47" s="979">
        <v>336</v>
      </c>
    </row>
    <row r="48" spans="1:6">
      <c r="A48" s="979">
        <v>19112299.333333332</v>
      </c>
      <c r="B48" s="979">
        <v>361</v>
      </c>
      <c r="C48" s="979">
        <v>0</v>
      </c>
      <c r="D48" s="979">
        <v>30</v>
      </c>
      <c r="E48" s="979">
        <v>135.41999999999999</v>
      </c>
      <c r="F48" s="979">
        <v>320</v>
      </c>
    </row>
    <row r="49" spans="1:6">
      <c r="A49" s="979">
        <v>21706405.333333332</v>
      </c>
      <c r="B49" s="979">
        <v>638.6</v>
      </c>
      <c r="C49" s="979">
        <v>0</v>
      </c>
      <c r="D49" s="979">
        <v>31</v>
      </c>
      <c r="E49" s="979">
        <v>135.03</v>
      </c>
      <c r="F49" s="979">
        <v>352</v>
      </c>
    </row>
    <row r="50" spans="1:6">
      <c r="A50" s="979">
        <v>23694448.690000001</v>
      </c>
      <c r="B50" s="979">
        <v>718</v>
      </c>
      <c r="C50" s="979">
        <v>0</v>
      </c>
      <c r="D50" s="979">
        <v>31</v>
      </c>
      <c r="E50" s="979">
        <v>135.33000000000001</v>
      </c>
      <c r="F50" s="979">
        <v>320</v>
      </c>
    </row>
    <row r="51" spans="1:6">
      <c r="A51" s="979">
        <v>21061737.829999998</v>
      </c>
      <c r="B51" s="979">
        <v>597.20000000000005</v>
      </c>
      <c r="C51" s="979">
        <v>0</v>
      </c>
      <c r="D51" s="979">
        <v>28</v>
      </c>
      <c r="E51" s="979">
        <v>135.63</v>
      </c>
      <c r="F51" s="979">
        <v>304</v>
      </c>
    </row>
    <row r="52" spans="1:6">
      <c r="A52" s="979">
        <v>20976822.399999999</v>
      </c>
      <c r="B52" s="979">
        <v>450.7</v>
      </c>
      <c r="C52" s="979">
        <v>0</v>
      </c>
      <c r="D52" s="979">
        <v>31</v>
      </c>
      <c r="E52" s="979">
        <v>135.93</v>
      </c>
      <c r="F52" s="979">
        <v>368</v>
      </c>
    </row>
    <row r="53" spans="1:6">
      <c r="A53" s="979">
        <v>18330807.390000001</v>
      </c>
      <c r="B53" s="979">
        <v>262.7</v>
      </c>
      <c r="C53" s="979">
        <v>0</v>
      </c>
      <c r="D53" s="979">
        <v>30</v>
      </c>
      <c r="E53" s="979">
        <v>136.22999999999999</v>
      </c>
      <c r="F53" s="979">
        <v>320</v>
      </c>
    </row>
    <row r="54" spans="1:6">
      <c r="A54" s="979">
        <v>19167726.239999998</v>
      </c>
      <c r="B54" s="979">
        <v>160.4</v>
      </c>
      <c r="C54" s="979">
        <v>9.1</v>
      </c>
      <c r="D54" s="979">
        <v>31</v>
      </c>
      <c r="E54" s="979">
        <v>136.54</v>
      </c>
      <c r="F54" s="979">
        <v>320</v>
      </c>
    </row>
    <row r="55" spans="1:6">
      <c r="A55" s="979">
        <v>19708199.850000001</v>
      </c>
      <c r="B55" s="979">
        <v>37.9</v>
      </c>
      <c r="C55" s="979">
        <v>15.7</v>
      </c>
      <c r="D55" s="979">
        <v>30</v>
      </c>
      <c r="E55" s="979">
        <v>136.84</v>
      </c>
      <c r="F55" s="979">
        <v>352</v>
      </c>
    </row>
    <row r="56" spans="1:6">
      <c r="A56" s="979">
        <v>21635423.210000001</v>
      </c>
      <c r="B56" s="979">
        <v>5.0999999999999996</v>
      </c>
      <c r="C56" s="979">
        <v>90.2</v>
      </c>
      <c r="D56" s="979">
        <v>31</v>
      </c>
      <c r="E56" s="979">
        <v>137.13999999999999</v>
      </c>
      <c r="F56" s="979">
        <v>336</v>
      </c>
    </row>
    <row r="57" spans="1:6">
      <c r="A57" s="979">
        <v>21440979.350000001</v>
      </c>
      <c r="B57" s="979">
        <v>6</v>
      </c>
      <c r="C57" s="979">
        <v>80.7</v>
      </c>
      <c r="D57" s="979">
        <v>31</v>
      </c>
      <c r="E57" s="979">
        <v>137.44999999999999</v>
      </c>
      <c r="F57" s="979">
        <v>336</v>
      </c>
    </row>
    <row r="58" spans="1:6">
      <c r="A58" s="979">
        <v>18394319.789999999</v>
      </c>
      <c r="B58" s="979">
        <v>99.9</v>
      </c>
      <c r="C58" s="979">
        <v>14.4</v>
      </c>
      <c r="D58" s="979">
        <v>30</v>
      </c>
      <c r="E58" s="979">
        <v>137.75</v>
      </c>
      <c r="F58" s="979">
        <v>336</v>
      </c>
    </row>
    <row r="59" spans="1:6">
      <c r="A59" s="979">
        <v>18844909.489999998</v>
      </c>
      <c r="B59" s="979">
        <v>265.5</v>
      </c>
      <c r="C59" s="979">
        <v>0</v>
      </c>
      <c r="D59" s="979">
        <v>31</v>
      </c>
      <c r="E59" s="979">
        <v>138.06</v>
      </c>
      <c r="F59" s="979">
        <v>320</v>
      </c>
    </row>
    <row r="60" spans="1:6">
      <c r="A60" s="979">
        <v>20263057.899999999</v>
      </c>
      <c r="B60" s="979">
        <v>412.1</v>
      </c>
      <c r="C60" s="979">
        <v>0</v>
      </c>
      <c r="D60" s="979">
        <v>30</v>
      </c>
      <c r="E60" s="979">
        <v>138.37</v>
      </c>
      <c r="F60" s="979">
        <v>336</v>
      </c>
    </row>
    <row r="61" spans="1:6">
      <c r="A61" s="979">
        <v>23015104.420000002</v>
      </c>
      <c r="B61" s="979">
        <v>676.5</v>
      </c>
      <c r="C61" s="979">
        <v>0</v>
      </c>
      <c r="D61" s="979">
        <v>31</v>
      </c>
      <c r="E61" s="979">
        <v>138.66999999999999</v>
      </c>
      <c r="F61" s="979">
        <v>368</v>
      </c>
    </row>
    <row r="62" spans="1:6">
      <c r="A62" s="979">
        <v>23877747</v>
      </c>
      <c r="B62" s="979">
        <v>789.5</v>
      </c>
      <c r="C62" s="979">
        <v>0</v>
      </c>
      <c r="D62" s="979">
        <v>31</v>
      </c>
      <c r="E62" s="979">
        <v>139</v>
      </c>
      <c r="F62" s="979">
        <v>352</v>
      </c>
    </row>
    <row r="63" spans="1:6">
      <c r="A63" s="979">
        <v>21529124.850000001</v>
      </c>
      <c r="B63" s="979">
        <v>648.9</v>
      </c>
      <c r="C63" s="979">
        <v>0</v>
      </c>
      <c r="D63" s="979">
        <v>28</v>
      </c>
      <c r="E63" s="979">
        <v>139.30000000000001</v>
      </c>
      <c r="F63" s="979">
        <v>320</v>
      </c>
    </row>
    <row r="64" spans="1:6">
      <c r="A64" s="979">
        <v>22332875.100000001</v>
      </c>
      <c r="B64" s="979">
        <v>574.5</v>
      </c>
      <c r="C64" s="979">
        <v>0</v>
      </c>
      <c r="D64" s="979">
        <v>31</v>
      </c>
      <c r="E64" s="979">
        <v>139.6</v>
      </c>
      <c r="F64" s="979">
        <v>352</v>
      </c>
    </row>
    <row r="65" spans="1:6">
      <c r="A65" s="979">
        <v>19449486.73</v>
      </c>
      <c r="B65" s="979">
        <v>372.4</v>
      </c>
      <c r="C65" s="979">
        <v>0</v>
      </c>
      <c r="D65" s="979">
        <v>30</v>
      </c>
      <c r="E65" s="979">
        <v>139.9</v>
      </c>
      <c r="F65" s="979">
        <v>320</v>
      </c>
    </row>
    <row r="66" spans="1:6">
      <c r="A66" s="979">
        <v>18827035.5</v>
      </c>
      <c r="B66" s="979">
        <v>177.6</v>
      </c>
      <c r="C66" s="979">
        <v>0.1</v>
      </c>
      <c r="D66" s="979">
        <v>31</v>
      </c>
      <c r="E66" s="979">
        <v>140.19999999999999</v>
      </c>
      <c r="F66" s="979">
        <v>352</v>
      </c>
    </row>
    <row r="67" spans="1:6">
      <c r="A67" s="979">
        <v>19056168.690000001</v>
      </c>
      <c r="B67" s="979">
        <v>64</v>
      </c>
      <c r="C67" s="979">
        <v>14.7</v>
      </c>
      <c r="D67" s="979">
        <v>30</v>
      </c>
      <c r="E67" s="979">
        <v>140.5</v>
      </c>
      <c r="F67" s="979">
        <v>336</v>
      </c>
    </row>
    <row r="68" spans="1:6">
      <c r="A68" s="979">
        <v>21639457.829999998</v>
      </c>
      <c r="B68" s="979">
        <v>8.4</v>
      </c>
      <c r="C68" s="979">
        <v>91.3</v>
      </c>
      <c r="D68" s="979">
        <v>31</v>
      </c>
      <c r="E68" s="979">
        <v>140.80000000000001</v>
      </c>
      <c r="F68" s="979">
        <v>336</v>
      </c>
    </row>
    <row r="69" spans="1:6">
      <c r="A69" s="979">
        <v>21148276.449999999</v>
      </c>
      <c r="B69" s="979">
        <v>9.1</v>
      </c>
      <c r="C69" s="979">
        <v>57.5</v>
      </c>
      <c r="D69" s="979">
        <v>31</v>
      </c>
      <c r="E69" s="979">
        <v>141.1</v>
      </c>
      <c r="F69" s="979">
        <v>352</v>
      </c>
    </row>
    <row r="70" spans="1:6">
      <c r="A70" s="979">
        <v>19420828.600000001</v>
      </c>
      <c r="B70" s="979">
        <v>59.7</v>
      </c>
      <c r="C70" s="979">
        <v>21.4</v>
      </c>
      <c r="D70" s="979">
        <v>30</v>
      </c>
      <c r="E70" s="979">
        <v>141.4</v>
      </c>
      <c r="F70" s="979">
        <v>304</v>
      </c>
    </row>
    <row r="71" spans="1:6">
      <c r="A71" s="979">
        <v>19432117.91</v>
      </c>
      <c r="B71" s="979">
        <v>244.3</v>
      </c>
      <c r="C71" s="979">
        <v>0</v>
      </c>
      <c r="D71" s="979">
        <v>31</v>
      </c>
      <c r="E71" s="979">
        <v>141.69999999999999</v>
      </c>
      <c r="F71" s="979">
        <v>352</v>
      </c>
    </row>
    <row r="72" spans="1:6">
      <c r="A72" s="979">
        <v>20062461.84</v>
      </c>
      <c r="B72" s="979">
        <v>360.3</v>
      </c>
      <c r="C72" s="979">
        <v>0</v>
      </c>
      <c r="D72" s="979">
        <v>30</v>
      </c>
      <c r="E72" s="979">
        <v>142</v>
      </c>
      <c r="F72" s="979">
        <v>352</v>
      </c>
    </row>
    <row r="73" spans="1:6">
      <c r="A73" s="979">
        <v>21741352.239999998</v>
      </c>
      <c r="B73" s="979">
        <v>546.20000000000005</v>
      </c>
      <c r="C73" s="979">
        <v>0</v>
      </c>
      <c r="D73" s="979">
        <v>31</v>
      </c>
      <c r="E73" s="979">
        <v>142.30000000000001</v>
      </c>
      <c r="F73" s="979">
        <v>304</v>
      </c>
    </row>
    <row r="74" spans="1:6">
      <c r="A74" s="979">
        <v>23372838.59</v>
      </c>
      <c r="B74" s="979">
        <v>633</v>
      </c>
      <c r="C74" s="979">
        <v>0</v>
      </c>
      <c r="D74" s="979">
        <v>31</v>
      </c>
      <c r="E74" s="979">
        <v>142.6</v>
      </c>
      <c r="F74" s="979">
        <v>352</v>
      </c>
    </row>
    <row r="75" spans="1:6">
      <c r="A75" s="979">
        <v>21362474.239999998</v>
      </c>
      <c r="B75" s="979">
        <v>539.6</v>
      </c>
      <c r="C75" s="979">
        <v>0</v>
      </c>
      <c r="D75" s="979">
        <v>29</v>
      </c>
      <c r="E75" s="979">
        <v>142.9</v>
      </c>
      <c r="F75" s="979">
        <v>320</v>
      </c>
    </row>
    <row r="76" spans="1:6">
      <c r="A76" s="979">
        <v>20943120.559999999</v>
      </c>
      <c r="B76" s="979">
        <v>425.1</v>
      </c>
      <c r="C76" s="979">
        <v>0</v>
      </c>
      <c r="D76" s="979">
        <v>31</v>
      </c>
      <c r="E76" s="979">
        <v>143.19999999999999</v>
      </c>
      <c r="F76" s="979">
        <v>304</v>
      </c>
    </row>
    <row r="77" spans="1:6">
      <c r="A77" s="979">
        <v>18935308.100000001</v>
      </c>
      <c r="B77" s="979">
        <v>355.6</v>
      </c>
      <c r="C77" s="979">
        <v>0</v>
      </c>
      <c r="D77" s="979">
        <v>30</v>
      </c>
      <c r="E77" s="979">
        <v>143.5</v>
      </c>
      <c r="F77" s="979">
        <v>352</v>
      </c>
    </row>
    <row r="78" spans="1:6">
      <c r="A78" s="979">
        <v>19186849.48</v>
      </c>
      <c r="B78" s="979">
        <v>136</v>
      </c>
      <c r="C78" s="979">
        <v>5.6</v>
      </c>
      <c r="D78" s="979">
        <v>31</v>
      </c>
      <c r="E78" s="979">
        <v>143.80000000000001</v>
      </c>
      <c r="F78" s="979">
        <v>336</v>
      </c>
    </row>
    <row r="79" spans="1:6">
      <c r="A79" s="979">
        <v>20085412.879999999</v>
      </c>
      <c r="B79" s="979">
        <v>36.6</v>
      </c>
      <c r="C79" s="979">
        <v>39.299999999999997</v>
      </c>
      <c r="D79" s="979">
        <v>30</v>
      </c>
      <c r="E79" s="979">
        <v>144.11000000000001</v>
      </c>
      <c r="F79" s="979">
        <v>336</v>
      </c>
    </row>
    <row r="80" spans="1:6">
      <c r="A80" s="979">
        <v>22646763.27</v>
      </c>
      <c r="B80" s="979">
        <v>0</v>
      </c>
      <c r="C80" s="979">
        <v>120.3</v>
      </c>
      <c r="D80" s="979">
        <v>31</v>
      </c>
      <c r="E80" s="979">
        <v>144.4</v>
      </c>
      <c r="F80" s="979">
        <v>352</v>
      </c>
    </row>
    <row r="81" spans="1:6">
      <c r="A81" s="979">
        <v>21997461.120000001</v>
      </c>
      <c r="B81" s="979">
        <v>7.3</v>
      </c>
      <c r="C81" s="979">
        <v>74.2</v>
      </c>
      <c r="D81" s="979">
        <v>31</v>
      </c>
      <c r="E81" s="979">
        <v>144.69999999999999</v>
      </c>
      <c r="F81" s="979">
        <v>320</v>
      </c>
    </row>
    <row r="82" spans="1:6">
      <c r="A82" s="979">
        <v>19505017.719999999</v>
      </c>
      <c r="B82" s="979">
        <v>87.5</v>
      </c>
      <c r="C82" s="979">
        <v>18.2</v>
      </c>
      <c r="D82" s="979">
        <v>30</v>
      </c>
      <c r="E82" s="979">
        <v>145</v>
      </c>
      <c r="F82" s="979">
        <v>336</v>
      </c>
    </row>
    <row r="83" spans="1:6">
      <c r="A83" s="979">
        <v>19988314.059999999</v>
      </c>
      <c r="B83" s="979">
        <v>245.1</v>
      </c>
      <c r="C83" s="979">
        <v>0</v>
      </c>
      <c r="D83" s="979">
        <v>31</v>
      </c>
      <c r="E83" s="979">
        <v>145.4</v>
      </c>
      <c r="F83" s="979">
        <v>352</v>
      </c>
    </row>
    <row r="84" spans="1:6">
      <c r="A84" s="979">
        <v>20765703.350000001</v>
      </c>
      <c r="B84" s="979">
        <v>449.4</v>
      </c>
      <c r="C84" s="979">
        <v>0</v>
      </c>
      <c r="D84" s="979">
        <v>30</v>
      </c>
      <c r="E84" s="979">
        <v>145.69999999999999</v>
      </c>
      <c r="F84" s="979">
        <v>304</v>
      </c>
    </row>
    <row r="85" spans="1:6">
      <c r="A85" s="979">
        <v>21236488.199999999</v>
      </c>
      <c r="B85" s="979">
        <v>535.79999999999995</v>
      </c>
      <c r="C85" s="979">
        <v>0</v>
      </c>
      <c r="D85" s="979">
        <v>31</v>
      </c>
      <c r="E85" s="979">
        <v>146</v>
      </c>
      <c r="F85" s="979">
        <v>336</v>
      </c>
    </row>
    <row r="86" spans="1:6">
      <c r="A86" s="979">
        <v>23555444.810000002</v>
      </c>
      <c r="B86" s="979">
        <v>649.6</v>
      </c>
      <c r="C86" s="979">
        <v>0</v>
      </c>
      <c r="D86" s="979">
        <v>31</v>
      </c>
      <c r="E86" s="979">
        <v>145</v>
      </c>
      <c r="F86" s="979">
        <v>352</v>
      </c>
    </row>
    <row r="87" spans="1:6">
      <c r="A87" s="979">
        <v>21280130.440000001</v>
      </c>
      <c r="B87" s="979">
        <v>633.29999999999995</v>
      </c>
      <c r="C87" s="979">
        <v>0</v>
      </c>
      <c r="D87" s="979">
        <v>28</v>
      </c>
      <c r="E87" s="979">
        <v>145.1</v>
      </c>
      <c r="F87" s="979">
        <v>304</v>
      </c>
    </row>
    <row r="88" spans="1:6">
      <c r="A88" s="979">
        <v>21664291.949999999</v>
      </c>
      <c r="B88" s="979">
        <v>556.1</v>
      </c>
      <c r="C88" s="979">
        <v>0</v>
      </c>
      <c r="D88" s="979">
        <v>31</v>
      </c>
      <c r="E88" s="979">
        <v>145.30000000000001</v>
      </c>
      <c r="F88" s="979">
        <v>320</v>
      </c>
    </row>
    <row r="89" spans="1:6">
      <c r="A89" s="979">
        <v>19882269.370000001</v>
      </c>
      <c r="B89" s="979">
        <v>383.6</v>
      </c>
      <c r="C89" s="979">
        <v>0</v>
      </c>
      <c r="D89" s="979">
        <v>30</v>
      </c>
      <c r="E89" s="979">
        <v>145.5</v>
      </c>
      <c r="F89" s="979">
        <v>352</v>
      </c>
    </row>
    <row r="90" spans="1:6">
      <c r="A90" s="979">
        <v>18693103.279999997</v>
      </c>
      <c r="B90" s="979">
        <v>171.6</v>
      </c>
      <c r="C90" s="979">
        <v>0.1</v>
      </c>
      <c r="D90" s="979">
        <v>31</v>
      </c>
      <c r="E90" s="979">
        <v>145.6</v>
      </c>
      <c r="F90" s="979">
        <v>352</v>
      </c>
    </row>
    <row r="91" spans="1:6">
      <c r="A91" s="979">
        <v>18825517.07</v>
      </c>
      <c r="B91" s="979">
        <v>67.099999999999994</v>
      </c>
      <c r="C91" s="979">
        <v>13.3</v>
      </c>
      <c r="D91" s="979">
        <v>30</v>
      </c>
      <c r="E91" s="979">
        <v>145.80000000000001</v>
      </c>
      <c r="F91" s="979">
        <v>320</v>
      </c>
    </row>
    <row r="92" spans="1:6">
      <c r="A92" s="979">
        <v>21730807.150000002</v>
      </c>
      <c r="B92" s="979">
        <v>9.3000000000000007</v>
      </c>
      <c r="C92" s="979">
        <v>72</v>
      </c>
      <c r="D92" s="979">
        <v>31</v>
      </c>
      <c r="E92" s="979">
        <v>145.9</v>
      </c>
      <c r="F92" s="979">
        <v>352</v>
      </c>
    </row>
    <row r="93" spans="1:6">
      <c r="A93" s="979">
        <v>20077913.210000001</v>
      </c>
      <c r="B93" s="979">
        <v>18.5</v>
      </c>
      <c r="C93" s="979">
        <v>40.6</v>
      </c>
      <c r="D93" s="979">
        <v>31</v>
      </c>
      <c r="E93" s="979">
        <v>146.1</v>
      </c>
      <c r="F93" s="979">
        <v>336</v>
      </c>
    </row>
    <row r="94" spans="1:6">
      <c r="A94" s="979">
        <v>18262553.309999999</v>
      </c>
      <c r="B94" s="979">
        <v>110.4</v>
      </c>
      <c r="C94" s="979">
        <v>14.5</v>
      </c>
      <c r="D94" s="979">
        <v>30</v>
      </c>
      <c r="E94" s="979">
        <v>146.19999999999999</v>
      </c>
      <c r="F94" s="979">
        <v>320</v>
      </c>
    </row>
    <row r="95" spans="1:6">
      <c r="A95" s="979">
        <v>19084802.25</v>
      </c>
      <c r="B95" s="979">
        <v>202.2</v>
      </c>
      <c r="C95" s="979">
        <v>0</v>
      </c>
      <c r="D95" s="979">
        <v>31</v>
      </c>
      <c r="E95" s="979">
        <v>146.4</v>
      </c>
      <c r="F95" s="979">
        <v>352</v>
      </c>
    </row>
    <row r="96" spans="1:6">
      <c r="A96" s="979">
        <v>20416515.760000002</v>
      </c>
      <c r="B96" s="979">
        <v>481.9</v>
      </c>
      <c r="C96" s="979">
        <v>0</v>
      </c>
      <c r="D96" s="979">
        <v>30</v>
      </c>
      <c r="E96" s="979">
        <v>146.6</v>
      </c>
      <c r="F96" s="979">
        <v>336</v>
      </c>
    </row>
    <row r="97" spans="1:6">
      <c r="A97" s="979">
        <v>22519249.73</v>
      </c>
      <c r="B97" s="979">
        <v>683.9</v>
      </c>
      <c r="C97" s="979">
        <v>0</v>
      </c>
      <c r="D97" s="979">
        <v>31</v>
      </c>
      <c r="E97" s="979">
        <v>146.69999999999999</v>
      </c>
      <c r="F97" s="979">
        <v>320</v>
      </c>
    </row>
    <row r="98" spans="1:6">
      <c r="A98" s="979">
        <v>24321993.449999999</v>
      </c>
      <c r="B98" s="979">
        <v>792.3</v>
      </c>
      <c r="C98" s="979">
        <v>0</v>
      </c>
      <c r="D98" s="979">
        <v>31</v>
      </c>
      <c r="E98" s="979">
        <v>146.9</v>
      </c>
      <c r="F98" s="979">
        <v>352</v>
      </c>
    </row>
    <row r="99" spans="1:6">
      <c r="A99" s="979">
        <v>21217602.400000002</v>
      </c>
      <c r="B99" s="979">
        <v>714.7</v>
      </c>
      <c r="C99" s="979">
        <v>0</v>
      </c>
      <c r="D99" s="979">
        <v>28</v>
      </c>
      <c r="E99" s="979">
        <v>147.19999999999999</v>
      </c>
      <c r="F99" s="979">
        <v>304</v>
      </c>
    </row>
    <row r="100" spans="1:6">
      <c r="A100" s="979">
        <v>22344867.739999998</v>
      </c>
      <c r="B100" s="979">
        <v>692.7</v>
      </c>
      <c r="C100" s="979">
        <v>0</v>
      </c>
      <c r="D100" s="979">
        <v>31</v>
      </c>
      <c r="E100" s="979">
        <v>147.4</v>
      </c>
      <c r="F100" s="979">
        <v>336</v>
      </c>
    </row>
    <row r="101" spans="1:6">
      <c r="A101" s="979">
        <v>19184574.609999999</v>
      </c>
      <c r="B101" s="979">
        <v>394.2</v>
      </c>
      <c r="C101" s="979">
        <v>0</v>
      </c>
      <c r="D101" s="979">
        <v>30</v>
      </c>
      <c r="E101" s="979">
        <v>147.6</v>
      </c>
      <c r="F101" s="979">
        <v>336</v>
      </c>
    </row>
    <row r="102" spans="1:6">
      <c r="A102" s="979">
        <v>18205639.57</v>
      </c>
      <c r="B102" s="979">
        <v>218.9</v>
      </c>
      <c r="C102" s="979">
        <v>0</v>
      </c>
      <c r="D102" s="979">
        <v>31</v>
      </c>
      <c r="E102" s="979">
        <v>147.9</v>
      </c>
      <c r="F102" s="979">
        <v>336</v>
      </c>
    </row>
    <row r="103" spans="1:6">
      <c r="A103" s="979">
        <v>18528946.189999998</v>
      </c>
      <c r="B103" s="979">
        <v>61.9</v>
      </c>
      <c r="C103" s="979">
        <v>17.5</v>
      </c>
      <c r="D103" s="979">
        <v>30</v>
      </c>
      <c r="E103" s="979">
        <v>148.1</v>
      </c>
      <c r="F103" s="979">
        <v>336</v>
      </c>
    </row>
    <row r="104" spans="1:6">
      <c r="A104" s="979">
        <v>19648644.039999999</v>
      </c>
      <c r="B104" s="979">
        <v>36.9</v>
      </c>
      <c r="C104" s="979">
        <v>18.8</v>
      </c>
      <c r="D104" s="979">
        <v>31</v>
      </c>
      <c r="E104" s="979">
        <v>148.30000000000001</v>
      </c>
      <c r="F104" s="979">
        <v>352</v>
      </c>
    </row>
    <row r="105" spans="1:6">
      <c r="A105" s="979">
        <v>19379281.68</v>
      </c>
      <c r="B105" s="979">
        <v>26.9</v>
      </c>
      <c r="C105" s="979">
        <v>33.299999999999997</v>
      </c>
      <c r="D105" s="979">
        <v>31</v>
      </c>
      <c r="E105" s="979">
        <v>148.6</v>
      </c>
      <c r="F105" s="979">
        <v>320</v>
      </c>
    </row>
    <row r="106" spans="1:6">
      <c r="A106" s="979">
        <v>18756760.289999999</v>
      </c>
      <c r="B106" s="979">
        <v>97.3</v>
      </c>
      <c r="C106" s="979">
        <v>10.1</v>
      </c>
      <c r="D106" s="979">
        <v>30</v>
      </c>
      <c r="E106" s="979">
        <v>148.80000000000001</v>
      </c>
      <c r="F106" s="979">
        <v>336</v>
      </c>
    </row>
    <row r="107" spans="1:6">
      <c r="A107" s="979">
        <v>18950286.890000001</v>
      </c>
      <c r="B107" s="979">
        <v>231.4</v>
      </c>
      <c r="C107" s="979">
        <v>0</v>
      </c>
      <c r="D107" s="979">
        <v>31</v>
      </c>
      <c r="E107" s="979">
        <v>149</v>
      </c>
      <c r="F107" s="979">
        <v>352</v>
      </c>
    </row>
    <row r="108" spans="1:6">
      <c r="A108" s="979">
        <v>20242048.669999998</v>
      </c>
      <c r="B108" s="979">
        <v>473.2</v>
      </c>
      <c r="C108" s="979">
        <v>0</v>
      </c>
      <c r="D108" s="979">
        <v>30</v>
      </c>
      <c r="E108" s="979">
        <v>149.30000000000001</v>
      </c>
      <c r="F108" s="979">
        <v>320</v>
      </c>
    </row>
    <row r="109" spans="1:6">
      <c r="A109" s="979">
        <v>21528601.859999999</v>
      </c>
      <c r="B109" s="979">
        <v>519.4</v>
      </c>
      <c r="C109" s="979">
        <v>0</v>
      </c>
      <c r="D109" s="979">
        <v>31</v>
      </c>
      <c r="E109" s="979">
        <v>149.5</v>
      </c>
      <c r="F109" s="979">
        <v>336</v>
      </c>
    </row>
    <row r="110" spans="1:6">
      <c r="A110" s="979">
        <v>23631526.710000001</v>
      </c>
      <c r="B110" s="979">
        <v>759.2</v>
      </c>
      <c r="C110" s="979">
        <v>0</v>
      </c>
      <c r="D110" s="979">
        <v>31</v>
      </c>
      <c r="E110" s="979">
        <v>140.05333333333337</v>
      </c>
      <c r="F110" s="979">
        <v>344.88888888888891</v>
      </c>
    </row>
    <row r="111" spans="1:6">
      <c r="A111" s="979">
        <v>21934470.369999997</v>
      </c>
      <c r="B111" s="979">
        <v>842.5</v>
      </c>
      <c r="C111" s="979">
        <v>0</v>
      </c>
      <c r="D111" s="979">
        <v>28</v>
      </c>
      <c r="E111" s="979">
        <v>140.21</v>
      </c>
      <c r="F111" s="979">
        <v>312.88888888888891</v>
      </c>
    </row>
    <row r="112" spans="1:6">
      <c r="A112" s="979">
        <v>21850991.98</v>
      </c>
      <c r="B112" s="979">
        <v>639.70000000000005</v>
      </c>
      <c r="C112" s="979">
        <v>0</v>
      </c>
      <c r="D112" s="979">
        <v>31</v>
      </c>
      <c r="E112" s="979">
        <v>140.36000000000001</v>
      </c>
      <c r="F112" s="979">
        <v>339.55555555555554</v>
      </c>
    </row>
    <row r="113" spans="1:6">
      <c r="A113" s="979">
        <v>18824866.359999996</v>
      </c>
      <c r="B113" s="979">
        <v>351</v>
      </c>
      <c r="C113" s="979">
        <v>0</v>
      </c>
      <c r="D113" s="979">
        <v>30</v>
      </c>
      <c r="E113" s="979">
        <v>140.51222222222225</v>
      </c>
      <c r="F113" s="979">
        <v>330.66666666666669</v>
      </c>
    </row>
    <row r="114" spans="1:6">
      <c r="A114" s="979">
        <v>17884682.900000002</v>
      </c>
      <c r="B114" s="979">
        <v>183.4</v>
      </c>
      <c r="C114" s="979">
        <v>0</v>
      </c>
      <c r="D114" s="979">
        <v>31</v>
      </c>
      <c r="E114" s="979">
        <v>140.66666666666666</v>
      </c>
      <c r="F114" s="979">
        <v>339.55555555555554</v>
      </c>
    </row>
    <row r="115" spans="1:6">
      <c r="A115" s="979">
        <v>18218072.450000003</v>
      </c>
      <c r="B115" s="979">
        <v>88.3</v>
      </c>
      <c r="C115" s="979">
        <v>5.6</v>
      </c>
      <c r="D115" s="979">
        <v>30</v>
      </c>
      <c r="E115" s="979">
        <v>140.82222222222219</v>
      </c>
      <c r="F115" s="979">
        <v>339.55555555555554</v>
      </c>
    </row>
    <row r="116" spans="1:6">
      <c r="A116" s="979">
        <v>20364169.599999998</v>
      </c>
      <c r="B116" s="979">
        <v>36.9</v>
      </c>
      <c r="C116" s="979">
        <v>37</v>
      </c>
      <c r="D116" s="979">
        <v>31</v>
      </c>
      <c r="E116" s="979">
        <v>140.96444444444444</v>
      </c>
      <c r="F116" s="979">
        <v>343.11111111111109</v>
      </c>
    </row>
    <row r="117" spans="1:6">
      <c r="A117" s="979">
        <v>20206535.339999996</v>
      </c>
      <c r="B117" s="979">
        <v>12.9</v>
      </c>
      <c r="C117" s="979">
        <v>44.7</v>
      </c>
      <c r="D117" s="979">
        <v>31</v>
      </c>
      <c r="E117" s="979">
        <v>141.1311111111111</v>
      </c>
      <c r="F117" s="979">
        <v>334.22222222222223</v>
      </c>
    </row>
    <row r="118" spans="1:6">
      <c r="A118" s="979">
        <v>19803403.150000002</v>
      </c>
      <c r="B118" s="979">
        <v>43.1</v>
      </c>
      <c r="C118" s="979">
        <v>41.7</v>
      </c>
      <c r="D118" s="979">
        <v>30</v>
      </c>
      <c r="E118" s="979">
        <v>141.27555555555554</v>
      </c>
      <c r="F118" s="979">
        <v>325.33333333333331</v>
      </c>
    </row>
    <row r="119" spans="1:6">
      <c r="A119" s="979">
        <v>18730911.199999999</v>
      </c>
      <c r="B119" s="979">
        <v>271.10000000000002</v>
      </c>
      <c r="C119" s="979">
        <v>0</v>
      </c>
      <c r="D119" s="979">
        <v>31</v>
      </c>
      <c r="E119" s="979">
        <v>141.44222222222223</v>
      </c>
      <c r="F119" s="979">
        <v>344.88888888888891</v>
      </c>
    </row>
    <row r="120" spans="1:6">
      <c r="A120" s="979">
        <v>18936963.709999997</v>
      </c>
      <c r="B120" s="979">
        <v>349.8</v>
      </c>
      <c r="C120" s="979">
        <v>0</v>
      </c>
      <c r="D120" s="979">
        <v>30</v>
      </c>
      <c r="E120" s="979">
        <v>141.60999999999999</v>
      </c>
      <c r="F120" s="979">
        <v>330.66666666666669</v>
      </c>
    </row>
    <row r="121" spans="1:6">
      <c r="A121" s="979">
        <v>19623452.75</v>
      </c>
      <c r="B121" s="979">
        <v>430.8</v>
      </c>
      <c r="C121" s="979">
        <v>0</v>
      </c>
      <c r="D121" s="979">
        <v>31</v>
      </c>
      <c r="E121" s="979">
        <v>141.75444444444443</v>
      </c>
      <c r="F121" s="979">
        <v>328.88888888888891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I22"/>
  <sheetViews>
    <sheetView workbookViewId="0">
      <selection activeCell="K29" sqref="K29"/>
    </sheetView>
  </sheetViews>
  <sheetFormatPr defaultRowHeight="12.75"/>
  <cols>
    <col min="1" max="1" width="25" bestFit="1" customWidth="1"/>
    <col min="2" max="2" width="12.5" bestFit="1" customWidth="1"/>
    <col min="3" max="3" width="16" bestFit="1" customWidth="1"/>
    <col min="4" max="5" width="12.5" bestFit="1" customWidth="1"/>
    <col min="6" max="6" width="15.1640625" bestFit="1" customWidth="1"/>
    <col min="7" max="7" width="12.1640625" bestFit="1" customWidth="1"/>
    <col min="8" max="9" width="14" bestFit="1" customWidth="1"/>
  </cols>
  <sheetData>
    <row r="1" spans="1:9">
      <c r="A1" t="s">
        <v>155</v>
      </c>
    </row>
    <row r="2" spans="1:9" ht="13.5" thickBot="1"/>
    <row r="3" spans="1:9">
      <c r="A3" s="526" t="s">
        <v>7</v>
      </c>
      <c r="B3" s="526"/>
    </row>
    <row r="4" spans="1:9">
      <c r="A4" s="523" t="s">
        <v>8</v>
      </c>
      <c r="B4" s="523">
        <v>0.92104554019220786</v>
      </c>
    </row>
    <row r="5" spans="1:9">
      <c r="A5" s="523" t="s">
        <v>9</v>
      </c>
      <c r="B5" s="523">
        <v>0.84832488710795595</v>
      </c>
    </row>
    <row r="6" spans="1:9">
      <c r="A6" s="523" t="s">
        <v>10</v>
      </c>
      <c r="B6" s="523">
        <v>0.84167246987584876</v>
      </c>
    </row>
    <row r="7" spans="1:9">
      <c r="A7" s="523" t="s">
        <v>11</v>
      </c>
      <c r="B7" s="523">
        <v>626174.13713731489</v>
      </c>
    </row>
    <row r="8" spans="1:9" ht="13.5" thickBot="1">
      <c r="A8" s="524" t="s">
        <v>12</v>
      </c>
      <c r="B8" s="524">
        <v>120</v>
      </c>
    </row>
    <row r="10" spans="1:9" ht="13.5" thickBot="1">
      <c r="A10" t="s">
        <v>13</v>
      </c>
    </row>
    <row r="11" spans="1:9">
      <c r="A11" s="525"/>
      <c r="B11" s="525" t="s">
        <v>18</v>
      </c>
      <c r="C11" s="525" t="s">
        <v>19</v>
      </c>
      <c r="D11" s="525" t="s">
        <v>20</v>
      </c>
      <c r="E11" s="525" t="s">
        <v>21</v>
      </c>
      <c r="F11" s="525" t="s">
        <v>22</v>
      </c>
    </row>
    <row r="12" spans="1:9">
      <c r="A12" s="523" t="s">
        <v>14</v>
      </c>
      <c r="B12" s="523">
        <v>5</v>
      </c>
      <c r="C12" s="523">
        <v>250001712996337.09</v>
      </c>
      <c r="D12" s="523">
        <v>50000342599267.422</v>
      </c>
      <c r="E12" s="523">
        <v>127.52129902700702</v>
      </c>
      <c r="F12" s="523">
        <v>5.3859733531567439E-45</v>
      </c>
    </row>
    <row r="13" spans="1:9">
      <c r="A13" s="523" t="s">
        <v>15</v>
      </c>
      <c r="B13" s="523">
        <v>114</v>
      </c>
      <c r="C13" s="523">
        <v>44698721702241.344</v>
      </c>
      <c r="D13" s="523">
        <v>392094050019.66089</v>
      </c>
      <c r="E13" s="523"/>
      <c r="F13" s="523"/>
    </row>
    <row r="14" spans="1:9" ht="13.5" thickBot="1">
      <c r="A14" s="524" t="s">
        <v>16</v>
      </c>
      <c r="B14" s="524">
        <v>119</v>
      </c>
      <c r="C14" s="524">
        <v>294700434698578.44</v>
      </c>
      <c r="D14" s="524"/>
      <c r="E14" s="524"/>
      <c r="F14" s="524"/>
    </row>
    <row r="15" spans="1:9" ht="13.5" thickBot="1"/>
    <row r="16" spans="1:9">
      <c r="A16" s="525"/>
      <c r="B16" s="525" t="s">
        <v>23</v>
      </c>
      <c r="C16" s="525" t="s">
        <v>11</v>
      </c>
      <c r="D16" s="525" t="s">
        <v>24</v>
      </c>
      <c r="E16" s="525" t="s">
        <v>25</v>
      </c>
      <c r="F16" s="525" t="s">
        <v>26</v>
      </c>
      <c r="G16" s="525" t="s">
        <v>27</v>
      </c>
      <c r="H16" s="525" t="s">
        <v>28</v>
      </c>
      <c r="I16" s="525" t="s">
        <v>29</v>
      </c>
    </row>
    <row r="17" spans="1:9">
      <c r="A17" s="523" t="s">
        <v>17</v>
      </c>
      <c r="B17" s="523">
        <v>2882209.5563763352</v>
      </c>
      <c r="C17" s="523">
        <v>2952410.5525323176</v>
      </c>
      <c r="D17" s="523">
        <v>0.97622248162750602</v>
      </c>
      <c r="E17" s="523">
        <v>0.33102124940496813</v>
      </c>
      <c r="F17" s="523">
        <v>-2966493.0086528379</v>
      </c>
      <c r="G17" s="523">
        <v>8730912.1214055084</v>
      </c>
      <c r="H17" s="523">
        <v>-2966493.0086528379</v>
      </c>
      <c r="I17" s="523">
        <v>8730912.1214055084</v>
      </c>
    </row>
    <row r="18" spans="1:9">
      <c r="A18" s="523" t="s">
        <v>1</v>
      </c>
      <c r="B18" s="523">
        <v>7250.6745142130212</v>
      </c>
      <c r="C18" s="523">
        <v>290.86965005911617</v>
      </c>
      <c r="D18" s="523">
        <v>24.927573271186592</v>
      </c>
      <c r="E18" s="523">
        <v>5.7636765934651728E-48</v>
      </c>
      <c r="F18" s="523">
        <v>6674.4639777309785</v>
      </c>
      <c r="G18" s="523">
        <v>7826.8850506950639</v>
      </c>
      <c r="H18" s="523">
        <v>6674.4639777309785</v>
      </c>
      <c r="I18" s="523">
        <v>7826.8850506950639</v>
      </c>
    </row>
    <row r="19" spans="1:9">
      <c r="A19" s="523" t="s">
        <v>2</v>
      </c>
      <c r="B19" s="523">
        <v>49963.283561568511</v>
      </c>
      <c r="C19" s="523">
        <v>2964.9248260961012</v>
      </c>
      <c r="D19" s="523">
        <v>16.851450371291492</v>
      </c>
      <c r="E19" s="523">
        <v>9.9164228300933697E-33</v>
      </c>
      <c r="F19" s="523">
        <v>44089.790316994717</v>
      </c>
      <c r="G19" s="523">
        <v>55836.776806142305</v>
      </c>
      <c r="H19" s="523">
        <v>44089.790316994717</v>
      </c>
      <c r="I19" s="523">
        <v>55836.776806142305</v>
      </c>
    </row>
    <row r="20" spans="1:9">
      <c r="A20" s="523" t="s">
        <v>238</v>
      </c>
      <c r="B20" s="523">
        <v>299926.33490339137</v>
      </c>
      <c r="C20" s="523">
        <v>79506.161992607827</v>
      </c>
      <c r="D20" s="523">
        <v>3.7723659070762006</v>
      </c>
      <c r="E20" s="523">
        <v>2.5814188983811675E-4</v>
      </c>
      <c r="F20" s="523">
        <v>142425.24035441424</v>
      </c>
      <c r="G20" s="523">
        <v>457427.42945236852</v>
      </c>
      <c r="H20" s="523">
        <v>142425.24035441424</v>
      </c>
      <c r="I20" s="523">
        <v>457427.42945236852</v>
      </c>
    </row>
    <row r="21" spans="1:9">
      <c r="A21" s="523" t="s">
        <v>162</v>
      </c>
      <c r="B21" s="523">
        <v>16687.02869642953</v>
      </c>
      <c r="C21" s="523">
        <v>14464.633089832329</v>
      </c>
      <c r="D21" s="523">
        <v>1.153643413752361</v>
      </c>
      <c r="E21" s="523">
        <v>0.25105933523898027</v>
      </c>
      <c r="F21" s="523">
        <v>-11967.298047575074</v>
      </c>
      <c r="G21" s="523">
        <v>45341.355440434134</v>
      </c>
      <c r="H21" s="523">
        <v>-11967.298047575074</v>
      </c>
      <c r="I21" s="523">
        <v>45341.355440434134</v>
      </c>
    </row>
    <row r="22" spans="1:9" ht="13.5" thickBot="1">
      <c r="A22" s="524" t="s">
        <v>384</v>
      </c>
      <c r="B22" s="524">
        <v>8966.5168647145365</v>
      </c>
      <c r="C22" s="524">
        <v>3801.4142874593222</v>
      </c>
      <c r="D22" s="524">
        <v>2.3587318262822952</v>
      </c>
      <c r="E22" s="524">
        <v>2.0039651347650449E-2</v>
      </c>
      <c r="F22" s="524">
        <v>1435.9444398422293</v>
      </c>
      <c r="G22" s="524">
        <v>16497.089289586846</v>
      </c>
      <c r="H22" s="524">
        <v>1435.9444398422293</v>
      </c>
      <c r="I22" s="524">
        <v>16497.089289586846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AG174"/>
  <sheetViews>
    <sheetView showGridLines="0" topLeftCell="I4" zoomScale="92" zoomScaleNormal="92" workbookViewId="0">
      <pane ySplit="17" topLeftCell="A39" activePane="bottomLeft" state="frozen"/>
      <selection activeCell="A4" sqref="A4"/>
      <selection pane="bottomLeft" activeCell="A85" sqref="A85:A108"/>
    </sheetView>
  </sheetViews>
  <sheetFormatPr defaultRowHeight="12.75"/>
  <cols>
    <col min="1" max="1" width="13.6640625" style="23" customWidth="1"/>
    <col min="2" max="2" width="18" style="23" customWidth="1"/>
    <col min="3" max="3" width="16.83203125" style="25" customWidth="1"/>
    <col min="4" max="4" width="14.1640625" style="25" customWidth="1"/>
    <col min="5" max="5" width="14.1640625" style="24" customWidth="1"/>
    <col min="6" max="6" width="14.1640625" style="25" customWidth="1"/>
    <col min="7" max="7" width="14.1640625" style="24" customWidth="1"/>
    <col min="8" max="8" width="14.1640625" style="25" customWidth="1"/>
    <col min="9" max="9" width="15.1640625" style="24" customWidth="1"/>
    <col min="10" max="10" width="14.1640625" style="24" customWidth="1"/>
    <col min="11" max="11" width="13.33203125" style="24" bestFit="1" customWidth="1"/>
    <col min="12" max="13" width="14.1640625" style="25" customWidth="1"/>
    <col min="14" max="14" width="14.1640625" style="24" customWidth="1"/>
    <col min="15" max="16" width="14.1640625" style="25" customWidth="1"/>
    <col min="17" max="17" width="14.1640625" style="24" customWidth="1"/>
    <col min="18" max="19" width="14.1640625" style="25" customWidth="1"/>
    <col min="20" max="20" width="14.1640625" style="24" customWidth="1"/>
    <col min="21" max="21" width="13.5" style="25" customWidth="1"/>
    <col min="22" max="22" width="13.5" style="515" customWidth="1"/>
    <col min="23" max="23" width="13.5" style="24" customWidth="1"/>
    <col min="24" max="27" width="13.5" style="23" customWidth="1"/>
    <col min="28" max="28" width="12.83203125" style="23" bestFit="1" customWidth="1"/>
    <col min="29" max="29" width="14" style="23" bestFit="1" customWidth="1"/>
    <col min="30" max="31" width="9.33203125" style="23"/>
    <col min="32" max="32" width="10.5" style="23" bestFit="1" customWidth="1"/>
    <col min="33" max="33" width="12.5" style="23" bestFit="1" customWidth="1"/>
    <col min="34" max="16384" width="9.33203125" style="23"/>
  </cols>
  <sheetData>
    <row r="1" spans="1:23" s="514" customFormat="1">
      <c r="A1" s="694" t="s">
        <v>257</v>
      </c>
    </row>
    <row r="2" spans="1:23" s="514" customFormat="1"/>
    <row r="3" spans="1:23" s="514" customFormat="1"/>
    <row r="4" spans="1:23" s="514" customFormat="1"/>
    <row r="5" spans="1:23" s="514" customFormat="1"/>
    <row r="6" spans="1:23" s="514" customFormat="1"/>
    <row r="7" spans="1:23" s="514" customFormat="1"/>
    <row r="8" spans="1:23" s="514" customFormat="1"/>
    <row r="9" spans="1:23" s="514" customFormat="1"/>
    <row r="10" spans="1:23" customFormat="1" ht="12.75" customHeight="1">
      <c r="B10" s="1065"/>
      <c r="C10" s="1065"/>
      <c r="D10" s="1065"/>
      <c r="E10" s="1065"/>
      <c r="F10" s="1065"/>
      <c r="G10" s="1065"/>
      <c r="H10" s="1065"/>
      <c r="I10" s="1065"/>
      <c r="J10" s="495"/>
      <c r="K10" s="495"/>
      <c r="L10" s="495"/>
      <c r="M10" s="495"/>
    </row>
    <row r="11" spans="1:23" s="1" customFormat="1" ht="23.25">
      <c r="A11"/>
      <c r="B11" s="124" t="s">
        <v>99</v>
      </c>
      <c r="D11" s="44"/>
      <c r="E11" s="44"/>
      <c r="F11" s="44"/>
      <c r="G11" s="44"/>
      <c r="L11" s="44"/>
      <c r="N11" s="44"/>
      <c r="O11" s="44"/>
      <c r="Q11" s="44"/>
      <c r="V11" s="514"/>
    </row>
    <row r="12" spans="1:23" ht="15">
      <c r="B12" s="49" t="s">
        <v>63</v>
      </c>
      <c r="C12" s="23"/>
      <c r="D12" s="90"/>
      <c r="E12" s="90"/>
      <c r="F12" s="90"/>
      <c r="G12" s="90"/>
      <c r="H12"/>
      <c r="L12" s="90"/>
      <c r="M12" s="90"/>
      <c r="N12" s="90"/>
      <c r="O12" s="90"/>
      <c r="P12" s="90"/>
      <c r="Q12" s="90"/>
      <c r="R12" s="90"/>
      <c r="T12" s="515"/>
      <c r="U12" s="24"/>
      <c r="V12" s="23"/>
      <c r="W12" s="23"/>
    </row>
    <row r="13" spans="1:23" ht="14.25">
      <c r="B13" s="91" t="s">
        <v>67</v>
      </c>
      <c r="C13" s="23"/>
      <c r="D13" s="91"/>
      <c r="E13" s="91"/>
      <c r="F13" s="91"/>
      <c r="G13" s="90"/>
      <c r="L13" s="90"/>
      <c r="M13" s="90"/>
      <c r="N13" s="90"/>
      <c r="O13" s="90"/>
      <c r="P13" s="90"/>
      <c r="Q13" s="90"/>
      <c r="R13" s="90"/>
      <c r="T13" s="515"/>
      <c r="U13" s="24"/>
      <c r="V13" s="23"/>
      <c r="W13" s="23"/>
    </row>
    <row r="14" spans="1:23" ht="14.25">
      <c r="B14" s="91" t="s">
        <v>66</v>
      </c>
      <c r="C14" s="23"/>
      <c r="D14" s="91"/>
      <c r="E14" s="91"/>
      <c r="F14" s="91"/>
      <c r="G14" s="90"/>
      <c r="L14" s="90"/>
      <c r="M14" s="90"/>
      <c r="N14" s="90"/>
      <c r="O14" s="90"/>
      <c r="P14" s="90"/>
      <c r="Q14" s="90"/>
      <c r="R14" s="90"/>
      <c r="S14" s="90"/>
      <c r="T14" s="90"/>
    </row>
    <row r="15" spans="1:23" ht="14.25">
      <c r="B15" s="91" t="s">
        <v>68</v>
      </c>
      <c r="C15" s="23"/>
      <c r="D15" s="91"/>
      <c r="E15" s="91"/>
      <c r="F15" s="91"/>
      <c r="G15" s="90"/>
      <c r="L15" s="90"/>
      <c r="M15" s="90"/>
      <c r="N15" s="90"/>
      <c r="O15" s="90"/>
      <c r="P15" s="90"/>
      <c r="Q15" s="90"/>
      <c r="R15" s="90"/>
      <c r="S15" s="90"/>
      <c r="T15" s="90"/>
    </row>
    <row r="16" spans="1:23" ht="14.25">
      <c r="B16" s="91" t="s">
        <v>65</v>
      </c>
      <c r="C16" s="23"/>
      <c r="D16" s="91"/>
      <c r="E16" s="91"/>
      <c r="F16" s="91"/>
      <c r="G16" s="90"/>
      <c r="L16" s="90"/>
      <c r="M16" s="90"/>
      <c r="N16" s="90"/>
      <c r="O16" s="90"/>
      <c r="P16" s="90"/>
      <c r="Q16" s="90"/>
      <c r="R16" s="90"/>
      <c r="S16" s="90"/>
      <c r="T16" s="90"/>
    </row>
    <row r="17" spans="2:31" ht="14.25">
      <c r="C17" s="91"/>
      <c r="D17" s="91"/>
      <c r="E17" s="91"/>
      <c r="F17" s="91"/>
      <c r="G17" s="90"/>
      <c r="L17" s="90"/>
      <c r="M17" s="90"/>
      <c r="N17" s="90"/>
      <c r="O17" s="90"/>
      <c r="P17" s="90"/>
      <c r="Q17" s="90"/>
      <c r="R17" s="90"/>
      <c r="S17" s="90"/>
      <c r="T17" s="90"/>
    </row>
    <row r="18" spans="2:31" ht="15">
      <c r="B18" s="92" t="s">
        <v>64</v>
      </c>
      <c r="C18" s="23"/>
      <c r="D18" s="92"/>
      <c r="E18" s="91"/>
      <c r="F18" s="91"/>
      <c r="G18" s="90"/>
      <c r="L18" s="90"/>
      <c r="M18" s="90"/>
      <c r="N18" s="90"/>
      <c r="O18" s="90"/>
      <c r="P18" s="90"/>
      <c r="Q18" s="90"/>
      <c r="R18" s="90"/>
      <c r="S18" s="90"/>
      <c r="T18" s="90"/>
    </row>
    <row r="19" spans="2:31" ht="13.5" thickBot="1"/>
    <row r="20" spans="2:31" ht="12.75" customHeight="1">
      <c r="B20" s="26"/>
      <c r="C20" s="26"/>
      <c r="D20" s="1078" t="str">
        <f>'2. Customer Classes'!B14</f>
        <v>Residential</v>
      </c>
      <c r="E20" s="1079"/>
      <c r="F20" s="1078" t="str">
        <f>'2. Customer Classes'!B15</f>
        <v>General Service &lt; 50 kW</v>
      </c>
      <c r="G20" s="1079"/>
      <c r="H20" s="1081" t="str">
        <f>+'2. Customer Classes'!B16</f>
        <v>Unmetered Scattered Load</v>
      </c>
      <c r="I20" s="1082"/>
      <c r="J20" s="1083">
        <f>+'2. Customer Classes'!B17</f>
        <v>0</v>
      </c>
      <c r="K20" s="1073"/>
      <c r="L20" s="1078" t="str">
        <f>'2. Customer Classes'!B18</f>
        <v>General Service &gt; 50 kW - 2999 kW</v>
      </c>
      <c r="M20" s="1080"/>
      <c r="N20" s="1079"/>
      <c r="O20" s="1069" t="str">
        <f>'2. Customer Classes'!B19</f>
        <v>Streetlighting</v>
      </c>
      <c r="P20" s="1070"/>
      <c r="Q20" s="1071"/>
      <c r="R20" s="1069" t="str">
        <f>'2. Customer Classes'!B20</f>
        <v>Sentinel Lighting</v>
      </c>
      <c r="S20" s="1070"/>
      <c r="T20" s="1071"/>
      <c r="U20" s="1072" t="str">
        <f>'2. Customer Classes'!B21</f>
        <v>General Service 3000-4999 kW</v>
      </c>
      <c r="V20" s="1076"/>
      <c r="W20" s="1073"/>
      <c r="X20" s="1072" t="str">
        <f>'2. Customer Classes'!B22</f>
        <v>other</v>
      </c>
      <c r="Y20" s="1073"/>
      <c r="Z20" s="1072" t="str">
        <f>'2. Customer Classes'!B23</f>
        <v>other</v>
      </c>
      <c r="AA20" s="1073"/>
    </row>
    <row r="21" spans="2:31" ht="12.75" customHeight="1">
      <c r="B21" s="156"/>
      <c r="C21" s="156"/>
      <c r="D21" s="1074" t="s">
        <v>119</v>
      </c>
      <c r="E21" s="1075"/>
      <c r="F21" s="1074" t="s">
        <v>119</v>
      </c>
      <c r="G21" s="1075"/>
      <c r="H21" s="1074" t="s">
        <v>119</v>
      </c>
      <c r="I21" s="1075"/>
      <c r="J21" s="1074" t="s">
        <v>119</v>
      </c>
      <c r="K21" s="1075"/>
      <c r="L21" s="1074" t="s">
        <v>119</v>
      </c>
      <c r="M21" s="1077"/>
      <c r="N21" s="1075"/>
      <c r="O21" s="1074" t="s">
        <v>119</v>
      </c>
      <c r="P21" s="1077"/>
      <c r="Q21" s="1075"/>
      <c r="R21" s="1074" t="s">
        <v>119</v>
      </c>
      <c r="S21" s="1077"/>
      <c r="T21" s="1075"/>
      <c r="U21" s="1074" t="s">
        <v>119</v>
      </c>
      <c r="V21" s="1077"/>
      <c r="W21" s="1075"/>
      <c r="X21" s="1074" t="s">
        <v>119</v>
      </c>
      <c r="Y21" s="1075"/>
      <c r="Z21" s="1074" t="s">
        <v>119</v>
      </c>
      <c r="AA21" s="1075"/>
    </row>
    <row r="22" spans="2:31">
      <c r="B22" s="27"/>
      <c r="C22" s="27"/>
      <c r="D22" s="28"/>
      <c r="E22" s="29" t="s">
        <v>35</v>
      </c>
      <c r="F22" s="28"/>
      <c r="G22" s="29" t="s">
        <v>35</v>
      </c>
      <c r="H22" s="28"/>
      <c r="I22" s="29" t="s">
        <v>35</v>
      </c>
      <c r="J22" s="28"/>
      <c r="K22" s="29" t="s">
        <v>35</v>
      </c>
      <c r="L22" s="28"/>
      <c r="M22" s="15"/>
      <c r="N22" s="29" t="s">
        <v>35</v>
      </c>
      <c r="O22" s="28"/>
      <c r="P22" s="15"/>
      <c r="Q22" s="29" t="s">
        <v>35</v>
      </c>
      <c r="R22" s="28"/>
      <c r="S22" s="15"/>
      <c r="T22" s="29" t="s">
        <v>35</v>
      </c>
      <c r="U22" s="28"/>
      <c r="V22" s="498"/>
      <c r="W22" s="29" t="s">
        <v>35</v>
      </c>
      <c r="X22" s="28"/>
      <c r="Y22" s="29" t="s">
        <v>35</v>
      </c>
      <c r="Z22" s="28"/>
      <c r="AA22" s="29" t="s">
        <v>35</v>
      </c>
    </row>
    <row r="23" spans="2:31" ht="13.5" thickBot="1">
      <c r="B23" s="30"/>
      <c r="C23" s="30"/>
      <c r="D23" s="31" t="s">
        <v>36</v>
      </c>
      <c r="E23" s="32" t="s">
        <v>0</v>
      </c>
      <c r="F23" s="31" t="s">
        <v>36</v>
      </c>
      <c r="G23" s="32" t="s">
        <v>0</v>
      </c>
      <c r="H23" s="33" t="s">
        <v>36</v>
      </c>
      <c r="I23" s="34" t="s">
        <v>0</v>
      </c>
      <c r="J23" s="33" t="s">
        <v>36</v>
      </c>
      <c r="K23" s="34" t="s">
        <v>0</v>
      </c>
      <c r="L23" s="31" t="s">
        <v>36</v>
      </c>
      <c r="M23" s="17" t="s">
        <v>37</v>
      </c>
      <c r="N23" s="32" t="s">
        <v>0</v>
      </c>
      <c r="O23" s="31" t="s">
        <v>36</v>
      </c>
      <c r="P23" s="17" t="s">
        <v>37</v>
      </c>
      <c r="Q23" s="32" t="s">
        <v>0</v>
      </c>
      <c r="R23" s="31" t="s">
        <v>36</v>
      </c>
      <c r="S23" s="17" t="s">
        <v>37</v>
      </c>
      <c r="T23" s="32" t="s">
        <v>0</v>
      </c>
      <c r="U23" s="33" t="s">
        <v>36</v>
      </c>
      <c r="V23" s="516" t="s">
        <v>37</v>
      </c>
      <c r="W23" s="34" t="s">
        <v>0</v>
      </c>
      <c r="X23" s="33" t="s">
        <v>36</v>
      </c>
      <c r="Y23" s="34" t="s">
        <v>0</v>
      </c>
      <c r="Z23" s="33" t="s">
        <v>36</v>
      </c>
      <c r="AA23" s="34" t="s">
        <v>0</v>
      </c>
    </row>
    <row r="24" spans="2:31" ht="15.75" customHeight="1" thickBot="1">
      <c r="B24" s="26" t="s">
        <v>33</v>
      </c>
      <c r="C24" s="26" t="s">
        <v>105</v>
      </c>
      <c r="D24" s="270"/>
      <c r="E24" s="271"/>
      <c r="F24" s="270"/>
      <c r="G24" s="271"/>
      <c r="H24" s="272"/>
      <c r="I24" s="271"/>
      <c r="J24" s="272"/>
      <c r="K24" s="271"/>
      <c r="L24" s="270"/>
      <c r="M24" s="273"/>
      <c r="N24" s="271"/>
      <c r="O24" s="270"/>
      <c r="P24" s="273"/>
      <c r="Q24" s="271"/>
      <c r="R24" s="270"/>
      <c r="S24" s="273"/>
      <c r="T24" s="271"/>
      <c r="U24" s="36"/>
      <c r="V24" s="517"/>
      <c r="W24" s="35"/>
      <c r="X24" s="36"/>
      <c r="Y24" s="35"/>
      <c r="Z24" s="36"/>
      <c r="AA24" s="35"/>
    </row>
    <row r="25" spans="2:31">
      <c r="B25" s="157">
        <f>'1. LDC Info'!$F$27-11</f>
        <v>2011</v>
      </c>
      <c r="C25" s="37" t="s">
        <v>110</v>
      </c>
      <c r="D25" s="502">
        <v>6554103</v>
      </c>
      <c r="E25" s="519">
        <v>8369</v>
      </c>
      <c r="F25" s="502">
        <v>2776298</v>
      </c>
      <c r="G25" s="519">
        <v>1069</v>
      </c>
      <c r="H25" s="521">
        <v>54656</v>
      </c>
      <c r="I25" s="519">
        <v>97</v>
      </c>
      <c r="J25" s="521"/>
      <c r="K25" s="519"/>
      <c r="L25" s="502">
        <v>8708269</v>
      </c>
      <c r="M25" s="520">
        <v>24695.4</v>
      </c>
      <c r="N25" s="519">
        <v>131</v>
      </c>
      <c r="O25" s="502">
        <v>129576</v>
      </c>
      <c r="P25" s="520">
        <v>274</v>
      </c>
      <c r="Q25" s="519">
        <v>2759</v>
      </c>
      <c r="R25" s="521">
        <v>4513</v>
      </c>
      <c r="S25" s="520">
        <v>11</v>
      </c>
      <c r="T25" s="519">
        <v>53</v>
      </c>
      <c r="U25" s="521">
        <v>1321427</v>
      </c>
      <c r="V25" s="520">
        <v>3614</v>
      </c>
      <c r="W25" s="519">
        <v>1</v>
      </c>
      <c r="X25" s="211"/>
      <c r="Y25" s="209"/>
      <c r="Z25" s="211"/>
      <c r="AA25" s="38"/>
      <c r="AC25" s="795"/>
      <c r="AE25" s="795">
        <f>E25+G25+N25</f>
        <v>9569</v>
      </c>
    </row>
    <row r="26" spans="2:31">
      <c r="B26" s="157">
        <f>'1. LDC Info'!$F$27-11</f>
        <v>2011</v>
      </c>
      <c r="C26" s="37" t="s">
        <v>111</v>
      </c>
      <c r="D26" s="502">
        <v>7713927</v>
      </c>
      <c r="E26" s="519">
        <v>8372</v>
      </c>
      <c r="F26" s="502">
        <v>4052117</v>
      </c>
      <c r="G26" s="519">
        <v>1069</v>
      </c>
      <c r="H26" s="521">
        <v>55176</v>
      </c>
      <c r="I26" s="519">
        <v>97</v>
      </c>
      <c r="J26" s="521"/>
      <c r="K26" s="519"/>
      <c r="L26" s="502">
        <v>11771518</v>
      </c>
      <c r="M26" s="520">
        <v>24772</v>
      </c>
      <c r="N26" s="519">
        <v>130</v>
      </c>
      <c r="O26" s="502">
        <v>128708</v>
      </c>
      <c r="P26" s="520">
        <v>277</v>
      </c>
      <c r="Q26" s="519">
        <v>2759</v>
      </c>
      <c r="R26" s="521">
        <v>2939</v>
      </c>
      <c r="S26" s="520">
        <v>11</v>
      </c>
      <c r="T26" s="519">
        <v>53</v>
      </c>
      <c r="U26" s="521">
        <v>1448905</v>
      </c>
      <c r="V26" s="520">
        <v>3706</v>
      </c>
      <c r="W26" s="519">
        <v>1</v>
      </c>
      <c r="X26" s="211"/>
      <c r="Y26" s="209"/>
      <c r="Z26" s="211"/>
      <c r="AA26" s="38"/>
      <c r="AE26" s="795">
        <f t="shared" ref="AE26:AE89" si="0">E26+G26+N26</f>
        <v>9571</v>
      </c>
    </row>
    <row r="27" spans="2:31">
      <c r="B27" s="157">
        <f>'1. LDC Info'!$F$27-11</f>
        <v>2011</v>
      </c>
      <c r="C27" s="37" t="s">
        <v>112</v>
      </c>
      <c r="D27" s="502">
        <v>8556772</v>
      </c>
      <c r="E27" s="519">
        <v>8375</v>
      </c>
      <c r="F27" s="502">
        <v>3559983</v>
      </c>
      <c r="G27" s="519">
        <v>1074</v>
      </c>
      <c r="H27" s="521">
        <v>55520</v>
      </c>
      <c r="I27" s="519">
        <v>96</v>
      </c>
      <c r="J27" s="521"/>
      <c r="K27" s="519"/>
      <c r="L27" s="502">
        <v>10361108</v>
      </c>
      <c r="M27" s="520">
        <v>25054.5</v>
      </c>
      <c r="N27" s="519">
        <v>130</v>
      </c>
      <c r="O27" s="502">
        <v>106564</v>
      </c>
      <c r="P27" s="520">
        <v>277</v>
      </c>
      <c r="Q27" s="519">
        <v>2759</v>
      </c>
      <c r="R27" s="521">
        <v>4096</v>
      </c>
      <c r="S27" s="520">
        <v>11</v>
      </c>
      <c r="T27" s="519">
        <v>53</v>
      </c>
      <c r="U27" s="521">
        <v>1450616</v>
      </c>
      <c r="V27" s="520">
        <v>3723</v>
      </c>
      <c r="W27" s="519">
        <v>1</v>
      </c>
      <c r="X27" s="211"/>
      <c r="Y27" s="209"/>
      <c r="Z27" s="211"/>
      <c r="AA27" s="38"/>
      <c r="AE27" s="795">
        <f t="shared" si="0"/>
        <v>9579</v>
      </c>
    </row>
    <row r="28" spans="2:31">
      <c r="B28" s="157">
        <f>'1. LDC Info'!$F$27-11</f>
        <v>2011</v>
      </c>
      <c r="C28" s="37" t="s">
        <v>113</v>
      </c>
      <c r="D28" s="502">
        <v>6453981</v>
      </c>
      <c r="E28" s="519">
        <v>8394</v>
      </c>
      <c r="F28" s="502">
        <v>2785413</v>
      </c>
      <c r="G28" s="519">
        <v>1075</v>
      </c>
      <c r="H28" s="521">
        <v>56040</v>
      </c>
      <c r="I28" s="519">
        <v>96</v>
      </c>
      <c r="J28" s="521"/>
      <c r="K28" s="519"/>
      <c r="L28" s="502">
        <v>9718344</v>
      </c>
      <c r="M28" s="520">
        <v>24418.400000000001</v>
      </c>
      <c r="N28" s="519">
        <v>130</v>
      </c>
      <c r="O28" s="502">
        <v>107256</v>
      </c>
      <c r="P28" s="520">
        <v>277</v>
      </c>
      <c r="Q28" s="519">
        <v>2759</v>
      </c>
      <c r="R28" s="521">
        <v>2939</v>
      </c>
      <c r="S28" s="520">
        <v>11</v>
      </c>
      <c r="T28" s="519">
        <v>53</v>
      </c>
      <c r="U28" s="521">
        <v>2054608</v>
      </c>
      <c r="V28" s="520">
        <v>4375.8999999999996</v>
      </c>
      <c r="W28" s="519">
        <v>1</v>
      </c>
      <c r="X28" s="211"/>
      <c r="Y28" s="209"/>
      <c r="Z28" s="211"/>
      <c r="AA28" s="38"/>
      <c r="AE28" s="795">
        <f t="shared" si="0"/>
        <v>9599</v>
      </c>
    </row>
    <row r="29" spans="2:31">
      <c r="B29" s="157">
        <f>'1. LDC Info'!$F$27-11</f>
        <v>2011</v>
      </c>
      <c r="C29" s="37" t="s">
        <v>114</v>
      </c>
      <c r="D29" s="502">
        <v>6122592</v>
      </c>
      <c r="E29" s="519">
        <v>8401</v>
      </c>
      <c r="F29" s="502">
        <v>3468546</v>
      </c>
      <c r="G29" s="519">
        <v>1076</v>
      </c>
      <c r="H29" s="521">
        <v>55520</v>
      </c>
      <c r="I29" s="519">
        <v>96</v>
      </c>
      <c r="J29" s="521"/>
      <c r="K29" s="519"/>
      <c r="L29" s="502">
        <v>10134569</v>
      </c>
      <c r="M29" s="520">
        <v>24605.5</v>
      </c>
      <c r="N29" s="519">
        <v>130</v>
      </c>
      <c r="O29" s="502">
        <v>91341</v>
      </c>
      <c r="P29" s="520">
        <v>277</v>
      </c>
      <c r="Q29" s="519">
        <v>2759</v>
      </c>
      <c r="R29" s="521">
        <v>4369</v>
      </c>
      <c r="S29" s="520">
        <v>11</v>
      </c>
      <c r="T29" s="519">
        <v>53</v>
      </c>
      <c r="U29" s="521">
        <v>1789131</v>
      </c>
      <c r="V29" s="520">
        <v>4405.2</v>
      </c>
      <c r="W29" s="519">
        <v>1</v>
      </c>
      <c r="X29" s="211"/>
      <c r="Y29" s="209"/>
      <c r="Z29" s="211"/>
      <c r="AA29" s="38"/>
      <c r="AE29" s="795">
        <f t="shared" si="0"/>
        <v>9607</v>
      </c>
    </row>
    <row r="30" spans="2:31">
      <c r="B30" s="157">
        <f>'1. LDC Info'!$F$27-11</f>
        <v>2011</v>
      </c>
      <c r="C30" s="37" t="s">
        <v>115</v>
      </c>
      <c r="D30" s="502">
        <v>5185840</v>
      </c>
      <c r="E30" s="519">
        <v>8401</v>
      </c>
      <c r="F30" s="502">
        <v>2706200</v>
      </c>
      <c r="G30" s="519">
        <v>1075</v>
      </c>
      <c r="H30" s="521">
        <v>56040</v>
      </c>
      <c r="I30" s="519">
        <v>96</v>
      </c>
      <c r="J30" s="521"/>
      <c r="K30" s="519"/>
      <c r="L30" s="502">
        <v>9488200</v>
      </c>
      <c r="M30" s="520">
        <v>25134.2</v>
      </c>
      <c r="N30" s="519">
        <v>129</v>
      </c>
      <c r="O30" s="502">
        <v>83660</v>
      </c>
      <c r="P30" s="520">
        <v>277</v>
      </c>
      <c r="Q30" s="519">
        <v>2759</v>
      </c>
      <c r="R30" s="521">
        <v>2803</v>
      </c>
      <c r="S30" s="520">
        <v>11</v>
      </c>
      <c r="T30" s="519">
        <v>53</v>
      </c>
      <c r="U30" s="521">
        <v>1582482</v>
      </c>
      <c r="V30" s="520">
        <v>4255</v>
      </c>
      <c r="W30" s="519">
        <v>1</v>
      </c>
      <c r="X30" s="211"/>
      <c r="Y30" s="209"/>
      <c r="Z30" s="211"/>
      <c r="AA30" s="38"/>
      <c r="AE30" s="795">
        <f t="shared" si="0"/>
        <v>9605</v>
      </c>
    </row>
    <row r="31" spans="2:31">
      <c r="B31" s="157">
        <f>'1. LDC Info'!$F$27-11</f>
        <v>2011</v>
      </c>
      <c r="C31" s="37" t="s">
        <v>116</v>
      </c>
      <c r="D31" s="502">
        <v>4973050</v>
      </c>
      <c r="E31" s="519">
        <v>8416</v>
      </c>
      <c r="F31" s="502">
        <v>3090189</v>
      </c>
      <c r="G31" s="519">
        <v>1075</v>
      </c>
      <c r="H31" s="521">
        <v>55520</v>
      </c>
      <c r="I31" s="519">
        <v>96</v>
      </c>
      <c r="J31" s="521"/>
      <c r="K31" s="519"/>
      <c r="L31" s="502">
        <v>9812363</v>
      </c>
      <c r="M31" s="520">
        <v>25620.699999999997</v>
      </c>
      <c r="N31" s="519">
        <v>129</v>
      </c>
      <c r="O31" s="502">
        <v>74734</v>
      </c>
      <c r="P31" s="520">
        <v>277</v>
      </c>
      <c r="Q31" s="519">
        <v>2759</v>
      </c>
      <c r="R31" s="521">
        <v>4814</v>
      </c>
      <c r="S31" s="520">
        <v>11</v>
      </c>
      <c r="T31" s="519">
        <v>53</v>
      </c>
      <c r="U31" s="521">
        <v>1133216</v>
      </c>
      <c r="V31" s="520">
        <v>3445.1</v>
      </c>
      <c r="W31" s="519">
        <v>1</v>
      </c>
      <c r="X31" s="211"/>
      <c r="Y31" s="209"/>
      <c r="Z31" s="211"/>
      <c r="AA31" s="38"/>
      <c r="AE31" s="795">
        <f t="shared" si="0"/>
        <v>9620</v>
      </c>
    </row>
    <row r="32" spans="2:31">
      <c r="B32" s="157">
        <f>'1. LDC Info'!$F$27-11</f>
        <v>2011</v>
      </c>
      <c r="C32" s="37" t="s">
        <v>117</v>
      </c>
      <c r="D32" s="502">
        <v>5077797</v>
      </c>
      <c r="E32" s="519">
        <v>8430</v>
      </c>
      <c r="F32" s="502">
        <v>3461820</v>
      </c>
      <c r="G32" s="519">
        <v>1074</v>
      </c>
      <c r="H32" s="521">
        <v>56040</v>
      </c>
      <c r="I32" s="519">
        <v>95</v>
      </c>
      <c r="J32" s="521"/>
      <c r="K32" s="519"/>
      <c r="L32" s="502">
        <v>10255976</v>
      </c>
      <c r="M32" s="520">
        <v>25728.1</v>
      </c>
      <c r="N32" s="519">
        <v>129</v>
      </c>
      <c r="O32" s="502">
        <v>79369</v>
      </c>
      <c r="P32" s="520">
        <v>277</v>
      </c>
      <c r="Q32" s="519">
        <v>2759</v>
      </c>
      <c r="R32" s="521">
        <v>2945</v>
      </c>
      <c r="S32" s="520">
        <v>11</v>
      </c>
      <c r="T32" s="519">
        <v>53</v>
      </c>
      <c r="U32" s="521">
        <v>917248</v>
      </c>
      <c r="V32" s="520">
        <v>3612.9</v>
      </c>
      <c r="W32" s="519">
        <v>1</v>
      </c>
      <c r="X32" s="211"/>
      <c r="Y32" s="209"/>
      <c r="Z32" s="211"/>
      <c r="AA32" s="38"/>
      <c r="AE32" s="795">
        <f t="shared" si="0"/>
        <v>9633</v>
      </c>
    </row>
    <row r="33" spans="2:31">
      <c r="B33" s="157">
        <f>'1. LDC Info'!$F$27-11</f>
        <v>2011</v>
      </c>
      <c r="C33" s="37" t="s">
        <v>107</v>
      </c>
      <c r="D33" s="502">
        <v>5415807</v>
      </c>
      <c r="E33" s="519">
        <v>8437</v>
      </c>
      <c r="F33" s="502">
        <v>2944776</v>
      </c>
      <c r="G33" s="519">
        <v>1072</v>
      </c>
      <c r="H33" s="521">
        <v>1156</v>
      </c>
      <c r="I33" s="519">
        <v>95</v>
      </c>
      <c r="J33" s="521"/>
      <c r="K33" s="519"/>
      <c r="L33" s="502">
        <v>9847716</v>
      </c>
      <c r="M33" s="520">
        <v>25651.5</v>
      </c>
      <c r="N33" s="519">
        <v>130</v>
      </c>
      <c r="O33" s="502">
        <v>90095</v>
      </c>
      <c r="P33" s="520">
        <v>277</v>
      </c>
      <c r="Q33" s="519">
        <v>2759</v>
      </c>
      <c r="R33" s="521">
        <v>3818</v>
      </c>
      <c r="S33" s="520">
        <v>11</v>
      </c>
      <c r="T33" s="519">
        <v>53</v>
      </c>
      <c r="U33" s="521">
        <v>995920</v>
      </c>
      <c r="V33" s="520">
        <v>3602.9</v>
      </c>
      <c r="W33" s="519">
        <v>1</v>
      </c>
      <c r="X33" s="211"/>
      <c r="Y33" s="209"/>
      <c r="Z33" s="211"/>
      <c r="AA33" s="38"/>
      <c r="AE33" s="795">
        <f t="shared" si="0"/>
        <v>9639</v>
      </c>
    </row>
    <row r="34" spans="2:31">
      <c r="B34" s="157">
        <f>'1. LDC Info'!$F$27-11</f>
        <v>2011</v>
      </c>
      <c r="C34" s="37" t="s">
        <v>108</v>
      </c>
      <c r="D34" s="502">
        <v>6292561</v>
      </c>
      <c r="E34" s="519">
        <v>8442</v>
      </c>
      <c r="F34" s="502">
        <v>3729962</v>
      </c>
      <c r="G34" s="519">
        <v>1074</v>
      </c>
      <c r="H34" s="521">
        <v>108380</v>
      </c>
      <c r="I34" s="519">
        <v>95</v>
      </c>
      <c r="J34" s="521"/>
      <c r="K34" s="519"/>
      <c r="L34" s="502">
        <v>10772286</v>
      </c>
      <c r="M34" s="520">
        <v>25963.1</v>
      </c>
      <c r="N34" s="519">
        <v>131</v>
      </c>
      <c r="O34" s="502">
        <v>97569</v>
      </c>
      <c r="P34" s="520">
        <v>277</v>
      </c>
      <c r="Q34" s="519">
        <v>2759</v>
      </c>
      <c r="R34" s="521">
        <v>3350</v>
      </c>
      <c r="S34" s="520">
        <v>11</v>
      </c>
      <c r="T34" s="519">
        <v>53</v>
      </c>
      <c r="U34" s="521">
        <v>881375</v>
      </c>
      <c r="V34" s="520">
        <v>2888.9</v>
      </c>
      <c r="W34" s="519">
        <v>1</v>
      </c>
      <c r="X34" s="211"/>
      <c r="Y34" s="209"/>
      <c r="Z34" s="211"/>
      <c r="AA34" s="38"/>
      <c r="AE34" s="795">
        <f t="shared" si="0"/>
        <v>9647</v>
      </c>
    </row>
    <row r="35" spans="2:31">
      <c r="B35" s="157">
        <f>'1. LDC Info'!$F$27-11</f>
        <v>2011</v>
      </c>
      <c r="C35" s="37" t="s">
        <v>109</v>
      </c>
      <c r="D35" s="502">
        <v>5956185</v>
      </c>
      <c r="E35" s="519">
        <v>8447</v>
      </c>
      <c r="F35" s="502">
        <v>3262189</v>
      </c>
      <c r="G35" s="519">
        <v>1075</v>
      </c>
      <c r="H35" s="521">
        <v>53023</v>
      </c>
      <c r="I35" s="519">
        <v>95</v>
      </c>
      <c r="J35" s="521"/>
      <c r="K35" s="519"/>
      <c r="L35" s="502">
        <v>9677006</v>
      </c>
      <c r="M35" s="520">
        <v>24796.400000000001</v>
      </c>
      <c r="N35" s="519">
        <v>131</v>
      </c>
      <c r="O35" s="502">
        <v>113692</v>
      </c>
      <c r="P35" s="520">
        <v>277</v>
      </c>
      <c r="Q35" s="519">
        <v>2759</v>
      </c>
      <c r="R35" s="521">
        <v>4233</v>
      </c>
      <c r="S35" s="520">
        <v>11</v>
      </c>
      <c r="T35" s="519">
        <v>53</v>
      </c>
      <c r="U35" s="521">
        <v>775755</v>
      </c>
      <c r="V35" s="520">
        <v>2587.6999999999998</v>
      </c>
      <c r="W35" s="519">
        <v>1</v>
      </c>
      <c r="X35" s="211"/>
      <c r="Y35" s="209"/>
      <c r="Z35" s="211"/>
      <c r="AA35" s="38"/>
      <c r="AE35" s="795">
        <f t="shared" si="0"/>
        <v>9653</v>
      </c>
    </row>
    <row r="36" spans="2:31">
      <c r="B36" s="157">
        <f>'1. LDC Info'!$F$27-11</f>
        <v>2011</v>
      </c>
      <c r="C36" s="37" t="s">
        <v>106</v>
      </c>
      <c r="D36" s="502">
        <v>4869502</v>
      </c>
      <c r="E36" s="519">
        <v>8481</v>
      </c>
      <c r="F36" s="502">
        <v>2966207</v>
      </c>
      <c r="G36" s="519">
        <v>1076</v>
      </c>
      <c r="H36" s="521">
        <v>52503</v>
      </c>
      <c r="I36" s="519">
        <v>95</v>
      </c>
      <c r="J36" s="521"/>
      <c r="K36" s="519"/>
      <c r="L36" s="502">
        <v>10287559</v>
      </c>
      <c r="M36" s="520">
        <v>23689.5</v>
      </c>
      <c r="N36" s="519">
        <v>132</v>
      </c>
      <c r="O36" s="502">
        <v>120403</v>
      </c>
      <c r="P36" s="520">
        <v>277</v>
      </c>
      <c r="Q36" s="519">
        <v>2759</v>
      </c>
      <c r="R36" s="521">
        <v>2939</v>
      </c>
      <c r="S36" s="520">
        <v>11</v>
      </c>
      <c r="T36" s="519">
        <v>53</v>
      </c>
      <c r="U36" s="521">
        <v>700999</v>
      </c>
      <c r="V36" s="520">
        <v>2119.3000000000002</v>
      </c>
      <c r="W36" s="519">
        <v>1</v>
      </c>
      <c r="X36" s="211"/>
      <c r="Y36" s="209"/>
      <c r="Z36" s="211"/>
      <c r="AA36" s="38"/>
      <c r="AE36" s="795">
        <f t="shared" si="0"/>
        <v>9689</v>
      </c>
    </row>
    <row r="37" spans="2:31">
      <c r="B37" s="157">
        <f>'1. LDC Info'!$F$27-10</f>
        <v>2012</v>
      </c>
      <c r="C37" s="37" t="s">
        <v>110</v>
      </c>
      <c r="D37" s="502">
        <v>6216544</v>
      </c>
      <c r="E37" s="519">
        <v>8475</v>
      </c>
      <c r="F37" s="502">
        <v>2269581</v>
      </c>
      <c r="G37" s="519">
        <v>1077</v>
      </c>
      <c r="H37" s="522">
        <v>53023</v>
      </c>
      <c r="I37" s="519">
        <v>95</v>
      </c>
      <c r="J37" s="522"/>
      <c r="K37" s="519"/>
      <c r="L37" s="502">
        <v>8294749</v>
      </c>
      <c r="M37" s="520">
        <v>24139</v>
      </c>
      <c r="N37" s="519">
        <v>134</v>
      </c>
      <c r="O37" s="502">
        <v>130852</v>
      </c>
      <c r="P37" s="520">
        <v>277</v>
      </c>
      <c r="Q37" s="519">
        <v>2759</v>
      </c>
      <c r="R37" s="521">
        <v>4198</v>
      </c>
      <c r="S37" s="520">
        <v>11</v>
      </c>
      <c r="T37" s="519">
        <v>54</v>
      </c>
      <c r="U37" s="522">
        <v>814703</v>
      </c>
      <c r="V37" s="520">
        <v>3118.8</v>
      </c>
      <c r="W37" s="519">
        <v>1</v>
      </c>
      <c r="X37" s="211"/>
      <c r="Y37" s="209"/>
      <c r="Z37" s="211"/>
      <c r="AA37" s="38"/>
      <c r="AE37" s="795">
        <f t="shared" si="0"/>
        <v>9686</v>
      </c>
    </row>
    <row r="38" spans="2:31">
      <c r="B38" s="157">
        <f>'1. LDC Info'!$F$27-10</f>
        <v>2012</v>
      </c>
      <c r="C38" s="37" t="s">
        <v>111</v>
      </c>
      <c r="D38" s="502">
        <v>6436875</v>
      </c>
      <c r="E38" s="519">
        <v>8479</v>
      </c>
      <c r="F38" s="502">
        <v>3492604</v>
      </c>
      <c r="G38" s="519">
        <v>1073</v>
      </c>
      <c r="H38" s="522">
        <v>53023</v>
      </c>
      <c r="I38" s="519">
        <v>92</v>
      </c>
      <c r="J38" s="522"/>
      <c r="K38" s="519"/>
      <c r="L38" s="502">
        <v>13129611</v>
      </c>
      <c r="M38" s="520">
        <v>28323</v>
      </c>
      <c r="N38" s="519">
        <v>134</v>
      </c>
      <c r="O38" s="502">
        <v>128708</v>
      </c>
      <c r="P38" s="520">
        <v>277</v>
      </c>
      <c r="Q38" s="519">
        <v>2759</v>
      </c>
      <c r="R38" s="521">
        <v>2905</v>
      </c>
      <c r="S38" s="520">
        <v>11</v>
      </c>
      <c r="T38" s="519">
        <v>54</v>
      </c>
      <c r="U38" s="522">
        <v>1388461</v>
      </c>
      <c r="V38" s="520">
        <v>3422.2</v>
      </c>
      <c r="W38" s="519">
        <v>1</v>
      </c>
      <c r="X38" s="211"/>
      <c r="Y38" s="209"/>
      <c r="Z38" s="211"/>
      <c r="AA38" s="38"/>
      <c r="AE38" s="795">
        <f t="shared" si="0"/>
        <v>9686</v>
      </c>
    </row>
    <row r="39" spans="2:31">
      <c r="B39" s="157">
        <f>'1. LDC Info'!$F$27-10</f>
        <v>2012</v>
      </c>
      <c r="C39" s="37" t="s">
        <v>112</v>
      </c>
      <c r="D39" s="502">
        <v>7529265</v>
      </c>
      <c r="E39" s="519">
        <v>8487</v>
      </c>
      <c r="F39" s="502">
        <v>3236548</v>
      </c>
      <c r="G39" s="519">
        <v>1075</v>
      </c>
      <c r="H39" s="522">
        <v>52503</v>
      </c>
      <c r="I39" s="519">
        <v>94</v>
      </c>
      <c r="J39" s="522"/>
      <c r="K39" s="519"/>
      <c r="L39" s="502">
        <v>10820247</v>
      </c>
      <c r="M39" s="520">
        <v>26598</v>
      </c>
      <c r="N39" s="519">
        <v>136</v>
      </c>
      <c r="O39" s="502">
        <v>110370</v>
      </c>
      <c r="P39" s="520">
        <v>277</v>
      </c>
      <c r="Q39" s="519">
        <v>2759</v>
      </c>
      <c r="R39" s="521">
        <v>4198</v>
      </c>
      <c r="S39" s="520">
        <v>11</v>
      </c>
      <c r="T39" s="519">
        <v>54</v>
      </c>
      <c r="U39" s="522">
        <v>1616316</v>
      </c>
      <c r="V39" s="520">
        <v>3595.6</v>
      </c>
      <c r="W39" s="519">
        <v>1</v>
      </c>
      <c r="X39" s="211"/>
      <c r="Y39" s="209"/>
      <c r="Z39" s="211"/>
      <c r="AA39" s="38"/>
      <c r="AE39" s="795">
        <f t="shared" si="0"/>
        <v>9698</v>
      </c>
    </row>
    <row r="40" spans="2:31">
      <c r="B40" s="157">
        <f>'1. LDC Info'!$F$27-10</f>
        <v>2012</v>
      </c>
      <c r="C40" s="37" t="s">
        <v>113</v>
      </c>
      <c r="D40" s="502">
        <v>6336198</v>
      </c>
      <c r="E40" s="519">
        <v>8505</v>
      </c>
      <c r="F40" s="502">
        <v>2773186</v>
      </c>
      <c r="G40" s="519">
        <v>1076</v>
      </c>
      <c r="H40" s="522">
        <v>53023</v>
      </c>
      <c r="I40" s="519">
        <v>94</v>
      </c>
      <c r="J40" s="522"/>
      <c r="K40" s="519"/>
      <c r="L40" s="502">
        <v>10622442</v>
      </c>
      <c r="M40" s="520">
        <v>26504</v>
      </c>
      <c r="N40" s="519">
        <v>136</v>
      </c>
      <c r="O40" s="502">
        <v>107256</v>
      </c>
      <c r="P40" s="520">
        <v>277</v>
      </c>
      <c r="Q40" s="519">
        <v>2759</v>
      </c>
      <c r="R40" s="521">
        <v>2905</v>
      </c>
      <c r="S40" s="520">
        <v>11</v>
      </c>
      <c r="T40" s="519">
        <v>54</v>
      </c>
      <c r="U40" s="522">
        <v>1750524</v>
      </c>
      <c r="V40" s="520">
        <v>3859.9</v>
      </c>
      <c r="W40" s="519">
        <v>1</v>
      </c>
      <c r="X40" s="211"/>
      <c r="Y40" s="209"/>
      <c r="Z40" s="211"/>
      <c r="AA40" s="38"/>
      <c r="AE40" s="795">
        <f t="shared" si="0"/>
        <v>9717</v>
      </c>
    </row>
    <row r="41" spans="2:31">
      <c r="B41" s="157">
        <f>'1. LDC Info'!$F$27-10</f>
        <v>2012</v>
      </c>
      <c r="C41" s="37" t="s">
        <v>114</v>
      </c>
      <c r="D41" s="502">
        <v>5500261</v>
      </c>
      <c r="E41" s="519">
        <v>8508</v>
      </c>
      <c r="F41" s="502">
        <v>2604582</v>
      </c>
      <c r="G41" s="519">
        <v>1077</v>
      </c>
      <c r="H41" s="522">
        <v>52503</v>
      </c>
      <c r="I41" s="519">
        <v>94</v>
      </c>
      <c r="J41" s="522"/>
      <c r="K41" s="519"/>
      <c r="L41" s="502">
        <v>9633098</v>
      </c>
      <c r="M41" s="520">
        <v>25262</v>
      </c>
      <c r="N41" s="519">
        <v>136</v>
      </c>
      <c r="O41" s="502">
        <v>91341</v>
      </c>
      <c r="P41" s="520">
        <v>277</v>
      </c>
      <c r="Q41" s="519">
        <v>2759</v>
      </c>
      <c r="R41" s="521">
        <v>3754</v>
      </c>
      <c r="S41" s="520">
        <v>11</v>
      </c>
      <c r="T41" s="519">
        <v>54</v>
      </c>
      <c r="U41" s="522">
        <v>1543861</v>
      </c>
      <c r="V41" s="520">
        <v>3570.5</v>
      </c>
      <c r="W41" s="519">
        <v>1</v>
      </c>
      <c r="X41" s="211"/>
      <c r="Y41" s="209"/>
      <c r="Z41" s="211"/>
      <c r="AA41" s="38"/>
      <c r="AE41" s="795">
        <f t="shared" si="0"/>
        <v>9721</v>
      </c>
    </row>
    <row r="42" spans="2:31">
      <c r="B42" s="157">
        <f>'1. LDC Info'!$F$27-10</f>
        <v>2012</v>
      </c>
      <c r="C42" s="37" t="s">
        <v>115</v>
      </c>
      <c r="D42" s="502">
        <v>5696737</v>
      </c>
      <c r="E42" s="519">
        <v>8515</v>
      </c>
      <c r="F42" s="502">
        <v>2752139</v>
      </c>
      <c r="G42" s="519">
        <v>1071</v>
      </c>
      <c r="H42" s="522">
        <v>53023</v>
      </c>
      <c r="I42" s="519">
        <v>94</v>
      </c>
      <c r="J42" s="522"/>
      <c r="K42" s="519"/>
      <c r="L42" s="502">
        <v>10661158</v>
      </c>
      <c r="M42" s="520">
        <v>28164</v>
      </c>
      <c r="N42" s="519">
        <v>136</v>
      </c>
      <c r="O42" s="502">
        <v>82035</v>
      </c>
      <c r="P42" s="520">
        <v>277</v>
      </c>
      <c r="Q42" s="519">
        <v>2805</v>
      </c>
      <c r="R42" s="521">
        <v>3213</v>
      </c>
      <c r="S42" s="520">
        <v>11</v>
      </c>
      <c r="T42" s="519">
        <v>54</v>
      </c>
      <c r="U42" s="522">
        <v>1442834</v>
      </c>
      <c r="V42" s="520">
        <v>3454.2</v>
      </c>
      <c r="W42" s="519">
        <v>1</v>
      </c>
      <c r="X42" s="211"/>
      <c r="Y42" s="209"/>
      <c r="Z42" s="211"/>
      <c r="AA42" s="38"/>
      <c r="AE42" s="795">
        <f t="shared" si="0"/>
        <v>9722</v>
      </c>
    </row>
    <row r="43" spans="2:31">
      <c r="B43" s="157">
        <f>'1. LDC Info'!$F$27-10</f>
        <v>2012</v>
      </c>
      <c r="C43" s="37" t="s">
        <v>116</v>
      </c>
      <c r="D43" s="502">
        <v>5153043</v>
      </c>
      <c r="E43" s="519">
        <v>8526</v>
      </c>
      <c r="F43" s="502">
        <v>2797420</v>
      </c>
      <c r="G43" s="519">
        <v>1071</v>
      </c>
      <c r="H43" s="522">
        <v>52503</v>
      </c>
      <c r="I43" s="519">
        <v>94</v>
      </c>
      <c r="J43" s="522"/>
      <c r="K43" s="519"/>
      <c r="L43" s="502">
        <v>10529491</v>
      </c>
      <c r="M43" s="520">
        <v>27471</v>
      </c>
      <c r="N43" s="519">
        <v>137</v>
      </c>
      <c r="O43" s="502">
        <v>75156</v>
      </c>
      <c r="P43" s="520">
        <v>278</v>
      </c>
      <c r="Q43" s="519">
        <v>2805</v>
      </c>
      <c r="R43" s="521">
        <v>4335</v>
      </c>
      <c r="S43" s="520">
        <v>11</v>
      </c>
      <c r="T43" s="519">
        <v>54</v>
      </c>
      <c r="U43" s="522">
        <v>1273812</v>
      </c>
      <c r="V43" s="520">
        <v>3185.8</v>
      </c>
      <c r="W43" s="519">
        <v>1</v>
      </c>
      <c r="X43" s="211"/>
      <c r="Y43" s="209"/>
      <c r="Z43" s="211"/>
      <c r="AA43" s="38"/>
      <c r="AE43" s="795">
        <f t="shared" si="0"/>
        <v>9734</v>
      </c>
    </row>
    <row r="44" spans="2:31">
      <c r="B44" s="157">
        <f>'1. LDC Info'!$F$27-10</f>
        <v>2012</v>
      </c>
      <c r="C44" s="37" t="s">
        <v>117</v>
      </c>
      <c r="D44" s="502">
        <v>5791711</v>
      </c>
      <c r="E44" s="519">
        <v>8547</v>
      </c>
      <c r="F44" s="502">
        <v>2689392</v>
      </c>
      <c r="G44" s="519">
        <v>1071</v>
      </c>
      <c r="H44" s="522">
        <v>53023</v>
      </c>
      <c r="I44" s="519">
        <v>94</v>
      </c>
      <c r="J44" s="522"/>
      <c r="K44" s="519"/>
      <c r="L44" s="502">
        <v>10810375</v>
      </c>
      <c r="M44" s="520">
        <v>27608</v>
      </c>
      <c r="N44" s="519">
        <v>140</v>
      </c>
      <c r="O44" s="502">
        <v>78570</v>
      </c>
      <c r="P44" s="520">
        <v>280</v>
      </c>
      <c r="Q44" s="519">
        <v>2805</v>
      </c>
      <c r="R44" s="521">
        <v>2905</v>
      </c>
      <c r="S44" s="520">
        <v>11</v>
      </c>
      <c r="T44" s="519">
        <v>54</v>
      </c>
      <c r="U44" s="522">
        <v>1331320</v>
      </c>
      <c r="V44" s="520">
        <v>3360.6</v>
      </c>
      <c r="W44" s="519">
        <v>1</v>
      </c>
      <c r="X44" s="211"/>
      <c r="Y44" s="209"/>
      <c r="Z44" s="211"/>
      <c r="AA44" s="38"/>
      <c r="AE44" s="795">
        <f t="shared" si="0"/>
        <v>9758</v>
      </c>
    </row>
    <row r="45" spans="2:31">
      <c r="B45" s="157">
        <f>'1. LDC Info'!$F$27-10</f>
        <v>2012</v>
      </c>
      <c r="C45" s="37" t="s">
        <v>107</v>
      </c>
      <c r="D45" s="502">
        <v>6067565</v>
      </c>
      <c r="E45" s="519">
        <v>8557</v>
      </c>
      <c r="F45" s="502">
        <v>3183887</v>
      </c>
      <c r="G45" s="519">
        <v>1071</v>
      </c>
      <c r="H45" s="522">
        <v>1206</v>
      </c>
      <c r="I45" s="519">
        <v>93</v>
      </c>
      <c r="J45" s="522"/>
      <c r="K45" s="519"/>
      <c r="L45" s="502">
        <v>11858807</v>
      </c>
      <c r="M45" s="520">
        <v>28229</v>
      </c>
      <c r="N45" s="519">
        <v>140</v>
      </c>
      <c r="O45" s="502">
        <v>83127</v>
      </c>
      <c r="P45" s="520">
        <v>280</v>
      </c>
      <c r="Q45" s="519">
        <v>2816</v>
      </c>
      <c r="R45" s="521">
        <v>4130</v>
      </c>
      <c r="S45" s="520">
        <v>11</v>
      </c>
      <c r="T45" s="519">
        <v>54</v>
      </c>
      <c r="U45" s="522">
        <v>1035915</v>
      </c>
      <c r="V45" s="520">
        <v>3614.9</v>
      </c>
      <c r="W45" s="519">
        <v>1</v>
      </c>
      <c r="X45" s="211"/>
      <c r="Y45" s="209"/>
      <c r="Z45" s="211"/>
      <c r="AA45" s="38"/>
      <c r="AE45" s="795">
        <f t="shared" si="0"/>
        <v>9768</v>
      </c>
    </row>
    <row r="46" spans="2:31">
      <c r="B46" s="157">
        <f>'1. LDC Info'!$F$27-10</f>
        <v>2012</v>
      </c>
      <c r="C46" s="37" t="s">
        <v>108</v>
      </c>
      <c r="D46" s="502">
        <v>6218895</v>
      </c>
      <c r="E46" s="519">
        <v>8556</v>
      </c>
      <c r="F46" s="502">
        <v>2276693</v>
      </c>
      <c r="G46" s="519">
        <v>1058</v>
      </c>
      <c r="H46" s="522">
        <v>101730</v>
      </c>
      <c r="I46" s="519">
        <v>94</v>
      </c>
      <c r="J46" s="522"/>
      <c r="K46" s="519"/>
      <c r="L46" s="502">
        <v>10187763</v>
      </c>
      <c r="M46" s="520">
        <v>26574</v>
      </c>
      <c r="N46" s="519">
        <v>138</v>
      </c>
      <c r="O46" s="502">
        <v>98466</v>
      </c>
      <c r="P46" s="520">
        <v>280</v>
      </c>
      <c r="Q46" s="519">
        <v>2816</v>
      </c>
      <c r="R46" s="521">
        <v>2529</v>
      </c>
      <c r="S46" s="520">
        <v>11</v>
      </c>
      <c r="T46" s="519">
        <v>54</v>
      </c>
      <c r="U46" s="522">
        <v>977779</v>
      </c>
      <c r="V46" s="520">
        <v>3298.2</v>
      </c>
      <c r="W46" s="519">
        <v>1</v>
      </c>
      <c r="X46" s="211"/>
      <c r="Y46" s="209"/>
      <c r="Z46" s="211"/>
      <c r="AA46" s="38"/>
      <c r="AE46" s="795">
        <f t="shared" si="0"/>
        <v>9752</v>
      </c>
    </row>
    <row r="47" spans="2:31">
      <c r="B47" s="157">
        <f>'1. LDC Info'!$F$27-10</f>
        <v>2012</v>
      </c>
      <c r="C47" s="37" t="s">
        <v>109</v>
      </c>
      <c r="D47" s="502">
        <v>5216085</v>
      </c>
      <c r="E47" s="519">
        <v>8555</v>
      </c>
      <c r="F47" s="502">
        <v>2471177</v>
      </c>
      <c r="G47" s="519">
        <v>1057</v>
      </c>
      <c r="H47" s="522">
        <v>51183</v>
      </c>
      <c r="I47" s="519">
        <v>94</v>
      </c>
      <c r="J47" s="522"/>
      <c r="K47" s="519"/>
      <c r="L47" s="502">
        <v>11173996</v>
      </c>
      <c r="M47" s="520">
        <v>28947</v>
      </c>
      <c r="N47" s="519">
        <v>139</v>
      </c>
      <c r="O47" s="502">
        <v>114737</v>
      </c>
      <c r="P47" s="520">
        <v>280</v>
      </c>
      <c r="Q47" s="519">
        <v>2845</v>
      </c>
      <c r="R47" s="521">
        <v>4575</v>
      </c>
      <c r="S47" s="520">
        <v>11</v>
      </c>
      <c r="T47" s="519">
        <v>54</v>
      </c>
      <c r="U47" s="522">
        <v>1111452</v>
      </c>
      <c r="V47" s="520">
        <v>2743.1</v>
      </c>
      <c r="W47" s="519">
        <v>1</v>
      </c>
      <c r="X47" s="211"/>
      <c r="Y47" s="209"/>
      <c r="Z47" s="211"/>
      <c r="AA47" s="38"/>
      <c r="AE47" s="795">
        <f t="shared" si="0"/>
        <v>9751</v>
      </c>
    </row>
    <row r="48" spans="2:31">
      <c r="B48" s="157">
        <f>'1. LDC Info'!$F$27-10</f>
        <v>2012</v>
      </c>
      <c r="C48" s="37" t="s">
        <v>106</v>
      </c>
      <c r="D48" s="502">
        <v>4747092</v>
      </c>
      <c r="E48" s="519">
        <v>8575</v>
      </c>
      <c r="F48" s="502">
        <v>2626865</v>
      </c>
      <c r="G48" s="519">
        <v>1057</v>
      </c>
      <c r="H48" s="521">
        <v>50724</v>
      </c>
      <c r="I48" s="519">
        <v>94</v>
      </c>
      <c r="J48" s="521"/>
      <c r="K48" s="519"/>
      <c r="L48" s="502">
        <v>10810590</v>
      </c>
      <c r="M48" s="520">
        <v>24516</v>
      </c>
      <c r="N48" s="519">
        <v>140</v>
      </c>
      <c r="O48" s="502">
        <v>121510</v>
      </c>
      <c r="P48" s="520">
        <v>280</v>
      </c>
      <c r="Q48" s="519">
        <v>2845</v>
      </c>
      <c r="R48" s="521">
        <v>2291</v>
      </c>
      <c r="S48" s="520">
        <v>11</v>
      </c>
      <c r="T48" s="519">
        <v>54</v>
      </c>
      <c r="U48" s="521">
        <v>906371</v>
      </c>
      <c r="V48" s="520">
        <v>2438.8000000000002</v>
      </c>
      <c r="W48" s="519">
        <v>1</v>
      </c>
      <c r="X48" s="211"/>
      <c r="Y48" s="209"/>
      <c r="Z48" s="211"/>
      <c r="AA48" s="38"/>
      <c r="AE48" s="795">
        <f t="shared" si="0"/>
        <v>9772</v>
      </c>
    </row>
    <row r="49" spans="2:31">
      <c r="B49" s="157">
        <f>'1. LDC Info'!$F$27-9</f>
        <v>2013</v>
      </c>
      <c r="C49" s="37" t="s">
        <v>110</v>
      </c>
      <c r="D49" s="502">
        <v>7215795</v>
      </c>
      <c r="E49" s="519">
        <v>8583</v>
      </c>
      <c r="F49" s="502">
        <v>2724360</v>
      </c>
      <c r="G49" s="519">
        <v>1057</v>
      </c>
      <c r="H49" s="522">
        <v>52212</v>
      </c>
      <c r="I49" s="519">
        <v>94</v>
      </c>
      <c r="J49" s="522"/>
      <c r="K49" s="519"/>
      <c r="L49" s="502">
        <v>9523660</v>
      </c>
      <c r="M49" s="520">
        <v>28369</v>
      </c>
      <c r="N49" s="519">
        <v>140</v>
      </c>
      <c r="O49" s="502">
        <v>133315</v>
      </c>
      <c r="P49" s="520">
        <v>281</v>
      </c>
      <c r="Q49" s="519">
        <v>2845</v>
      </c>
      <c r="R49" s="521">
        <v>5511</v>
      </c>
      <c r="S49" s="520">
        <v>11</v>
      </c>
      <c r="T49" s="519">
        <v>54</v>
      </c>
      <c r="U49" s="522">
        <v>876367</v>
      </c>
      <c r="V49" s="520">
        <v>2983</v>
      </c>
      <c r="W49" s="519">
        <v>1</v>
      </c>
      <c r="X49" s="211"/>
      <c r="Y49" s="209"/>
      <c r="Z49" s="211"/>
      <c r="AA49" s="38"/>
      <c r="AE49" s="795">
        <f t="shared" si="0"/>
        <v>9780</v>
      </c>
    </row>
    <row r="50" spans="2:31">
      <c r="B50" s="157">
        <f>'1. LDC Info'!$F$27-9</f>
        <v>2013</v>
      </c>
      <c r="C50" s="37" t="s">
        <v>111</v>
      </c>
      <c r="D50" s="502">
        <v>6452035</v>
      </c>
      <c r="E50" s="519">
        <v>8596</v>
      </c>
      <c r="F50" s="502">
        <v>3073929</v>
      </c>
      <c r="G50" s="519">
        <v>1055</v>
      </c>
      <c r="H50" s="522">
        <v>50597</v>
      </c>
      <c r="I50" s="519">
        <v>94</v>
      </c>
      <c r="J50" s="522"/>
      <c r="K50" s="519"/>
      <c r="L50" s="502">
        <v>12148846</v>
      </c>
      <c r="M50" s="520">
        <v>26210</v>
      </c>
      <c r="N50" s="519">
        <v>141</v>
      </c>
      <c r="O50" s="502">
        <v>131130</v>
      </c>
      <c r="P50" s="520">
        <v>281</v>
      </c>
      <c r="Q50" s="519">
        <v>2845</v>
      </c>
      <c r="R50" s="521">
        <v>1895</v>
      </c>
      <c r="S50" s="520">
        <v>11</v>
      </c>
      <c r="T50" s="519">
        <v>54</v>
      </c>
      <c r="U50" s="522">
        <v>1162232</v>
      </c>
      <c r="V50" s="520">
        <v>2891</v>
      </c>
      <c r="W50" s="519">
        <v>1</v>
      </c>
      <c r="X50" s="211"/>
      <c r="Y50" s="209"/>
      <c r="Z50" s="211"/>
      <c r="AA50" s="38"/>
      <c r="AE50" s="795">
        <f t="shared" si="0"/>
        <v>9792</v>
      </c>
    </row>
    <row r="51" spans="2:31">
      <c r="B51" s="157">
        <f>'1. LDC Info'!$F$27-9</f>
        <v>2013</v>
      </c>
      <c r="C51" s="37" t="s">
        <v>112</v>
      </c>
      <c r="D51" s="502">
        <v>7899287</v>
      </c>
      <c r="E51" s="519">
        <v>8598</v>
      </c>
      <c r="F51" s="502">
        <v>3344576</v>
      </c>
      <c r="G51" s="519">
        <v>1056</v>
      </c>
      <c r="H51" s="522">
        <v>52389</v>
      </c>
      <c r="I51" s="519">
        <v>94</v>
      </c>
      <c r="J51" s="522"/>
      <c r="K51" s="519"/>
      <c r="L51" s="502">
        <v>10545274</v>
      </c>
      <c r="M51" s="520">
        <v>26649</v>
      </c>
      <c r="N51" s="519">
        <v>142</v>
      </c>
      <c r="O51" s="502">
        <v>108570</v>
      </c>
      <c r="P51" s="520">
        <v>281</v>
      </c>
      <c r="Q51" s="519">
        <v>2845</v>
      </c>
      <c r="R51" s="521">
        <v>4917</v>
      </c>
      <c r="S51" s="520">
        <v>11</v>
      </c>
      <c r="T51" s="519">
        <v>54</v>
      </c>
      <c r="U51" s="522">
        <v>1310293</v>
      </c>
      <c r="V51" s="520">
        <v>3249</v>
      </c>
      <c r="W51" s="519">
        <v>1</v>
      </c>
      <c r="X51" s="211"/>
      <c r="Y51" s="209"/>
      <c r="Z51" s="211"/>
      <c r="AA51" s="38"/>
      <c r="AE51" s="795">
        <f t="shared" si="0"/>
        <v>9796</v>
      </c>
    </row>
    <row r="52" spans="2:31">
      <c r="B52" s="157">
        <f>'1. LDC Info'!$F$27-9</f>
        <v>2013</v>
      </c>
      <c r="C52" s="37" t="s">
        <v>113</v>
      </c>
      <c r="D52" s="502">
        <v>7434536</v>
      </c>
      <c r="E52" s="519">
        <v>8600</v>
      </c>
      <c r="F52" s="502">
        <v>2899058</v>
      </c>
      <c r="G52" s="519">
        <v>1062</v>
      </c>
      <c r="H52" s="522">
        <v>51753</v>
      </c>
      <c r="I52" s="519">
        <v>94</v>
      </c>
      <c r="J52" s="522"/>
      <c r="K52" s="519"/>
      <c r="L52" s="502">
        <v>11209418</v>
      </c>
      <c r="M52" s="520">
        <v>27103</v>
      </c>
      <c r="N52" s="519">
        <v>142</v>
      </c>
      <c r="O52" s="502">
        <v>109275</v>
      </c>
      <c r="P52" s="520">
        <v>281</v>
      </c>
      <c r="Q52" s="519">
        <v>2845</v>
      </c>
      <c r="R52" s="521">
        <v>3460</v>
      </c>
      <c r="S52" s="520">
        <v>11</v>
      </c>
      <c r="T52" s="519">
        <v>54</v>
      </c>
      <c r="U52" s="522">
        <v>1463064</v>
      </c>
      <c r="V52" s="520">
        <v>3670</v>
      </c>
      <c r="W52" s="519">
        <v>1</v>
      </c>
      <c r="X52" s="211"/>
      <c r="Y52" s="209"/>
      <c r="Z52" s="211"/>
      <c r="AA52" s="38"/>
      <c r="AE52" s="795">
        <f t="shared" si="0"/>
        <v>9804</v>
      </c>
    </row>
    <row r="53" spans="2:31">
      <c r="B53" s="157">
        <f>'1. LDC Info'!$F$27-9</f>
        <v>2013</v>
      </c>
      <c r="C53" s="37" t="s">
        <v>114</v>
      </c>
      <c r="D53" s="502">
        <v>5596371</v>
      </c>
      <c r="E53" s="519">
        <v>8616</v>
      </c>
      <c r="F53" s="502">
        <v>2788522</v>
      </c>
      <c r="G53" s="519">
        <v>1063</v>
      </c>
      <c r="H53" s="522">
        <v>51233</v>
      </c>
      <c r="I53" s="519">
        <v>94</v>
      </c>
      <c r="J53" s="522"/>
      <c r="K53" s="519"/>
      <c r="L53" s="502">
        <v>10154179</v>
      </c>
      <c r="M53" s="520">
        <v>26991</v>
      </c>
      <c r="N53" s="519">
        <v>141</v>
      </c>
      <c r="O53" s="502">
        <v>93061</v>
      </c>
      <c r="P53" s="520">
        <v>282</v>
      </c>
      <c r="Q53" s="519">
        <v>2845</v>
      </c>
      <c r="R53" s="521">
        <v>3644</v>
      </c>
      <c r="S53" s="520">
        <v>11</v>
      </c>
      <c r="T53" s="519">
        <v>54</v>
      </c>
      <c r="U53" s="522">
        <v>1628637</v>
      </c>
      <c r="V53" s="520">
        <v>4047.2</v>
      </c>
      <c r="W53" s="519">
        <v>1</v>
      </c>
      <c r="X53" s="211"/>
      <c r="Y53" s="209"/>
      <c r="Z53" s="211"/>
      <c r="AA53" s="38"/>
      <c r="AE53" s="795">
        <f t="shared" si="0"/>
        <v>9820</v>
      </c>
    </row>
    <row r="54" spans="2:31">
      <c r="B54" s="157">
        <f>'1. LDC Info'!$F$27-9</f>
        <v>2013</v>
      </c>
      <c r="C54" s="37" t="s">
        <v>115</v>
      </c>
      <c r="D54" s="502">
        <v>5941064</v>
      </c>
      <c r="E54" s="519">
        <v>8623</v>
      </c>
      <c r="F54" s="502">
        <v>2434525</v>
      </c>
      <c r="G54" s="519">
        <v>1069</v>
      </c>
      <c r="H54" s="522">
        <v>51753</v>
      </c>
      <c r="I54" s="519">
        <v>94</v>
      </c>
      <c r="J54" s="522"/>
      <c r="K54" s="519"/>
      <c r="L54" s="502">
        <v>10331894</v>
      </c>
      <c r="M54" s="520">
        <v>26991</v>
      </c>
      <c r="N54" s="519">
        <v>140</v>
      </c>
      <c r="O54" s="502">
        <v>85234</v>
      </c>
      <c r="P54" s="520">
        <v>282</v>
      </c>
      <c r="Q54" s="519">
        <v>2845</v>
      </c>
      <c r="R54" s="521">
        <v>3323</v>
      </c>
      <c r="S54" s="520">
        <v>11</v>
      </c>
      <c r="T54" s="519">
        <v>54</v>
      </c>
      <c r="U54" s="522">
        <v>1349184</v>
      </c>
      <c r="V54" s="520">
        <v>3272.2</v>
      </c>
      <c r="W54" s="519">
        <v>1</v>
      </c>
      <c r="X54" s="211"/>
      <c r="Y54" s="209"/>
      <c r="Z54" s="211"/>
      <c r="AA54" s="38"/>
      <c r="AE54" s="795">
        <f t="shared" si="0"/>
        <v>9832</v>
      </c>
    </row>
    <row r="55" spans="2:31">
      <c r="B55" s="157">
        <f>'1. LDC Info'!$F$27-9</f>
        <v>2013</v>
      </c>
      <c r="C55" s="37" t="s">
        <v>116</v>
      </c>
      <c r="D55" s="502">
        <v>5194618</v>
      </c>
      <c r="E55" s="519">
        <v>8633</v>
      </c>
      <c r="F55" s="502">
        <v>2581608</v>
      </c>
      <c r="G55" s="519">
        <v>1068</v>
      </c>
      <c r="H55" s="522">
        <v>51233</v>
      </c>
      <c r="I55" s="519">
        <v>94</v>
      </c>
      <c r="J55" s="522"/>
      <c r="K55" s="519"/>
      <c r="L55" s="502">
        <v>9916819</v>
      </c>
      <c r="M55" s="520">
        <v>27092</v>
      </c>
      <c r="N55" s="519">
        <v>140</v>
      </c>
      <c r="O55" s="502">
        <v>76141</v>
      </c>
      <c r="P55" s="520">
        <v>282</v>
      </c>
      <c r="Q55" s="519">
        <v>2859</v>
      </c>
      <c r="R55" s="521">
        <v>3849</v>
      </c>
      <c r="S55" s="520">
        <v>11</v>
      </c>
      <c r="T55" s="519">
        <v>54</v>
      </c>
      <c r="U55" s="522">
        <v>1313308</v>
      </c>
      <c r="V55" s="520">
        <v>3404.4</v>
      </c>
      <c r="W55" s="519">
        <v>1</v>
      </c>
      <c r="X55" s="211"/>
      <c r="Y55" s="209"/>
      <c r="Z55" s="211"/>
      <c r="AA55" s="38"/>
      <c r="AE55" s="795">
        <f t="shared" si="0"/>
        <v>9841</v>
      </c>
    </row>
    <row r="56" spans="2:31">
      <c r="B56" s="157">
        <f>'1. LDC Info'!$F$27-9</f>
        <v>2013</v>
      </c>
      <c r="C56" s="37" t="s">
        <v>117</v>
      </c>
      <c r="D56" s="502">
        <v>5843791</v>
      </c>
      <c r="E56" s="519">
        <v>8632</v>
      </c>
      <c r="F56" s="502">
        <v>2703537</v>
      </c>
      <c r="G56" s="519">
        <v>1068</v>
      </c>
      <c r="H56" s="522">
        <v>51753</v>
      </c>
      <c r="I56" s="519">
        <v>93</v>
      </c>
      <c r="J56" s="522"/>
      <c r="K56" s="519"/>
      <c r="L56" s="502">
        <v>11160487</v>
      </c>
      <c r="M56" s="520">
        <v>27993</v>
      </c>
      <c r="N56" s="519">
        <v>140</v>
      </c>
      <c r="O56" s="502">
        <v>81154</v>
      </c>
      <c r="P56" s="520">
        <v>282</v>
      </c>
      <c r="Q56" s="519">
        <v>2859</v>
      </c>
      <c r="R56" s="521">
        <v>3391</v>
      </c>
      <c r="S56" s="520">
        <v>11</v>
      </c>
      <c r="T56" s="519">
        <v>54</v>
      </c>
      <c r="U56" s="522">
        <v>1077980</v>
      </c>
      <c r="V56" s="520">
        <v>3039.7</v>
      </c>
      <c r="W56" s="519">
        <v>1</v>
      </c>
      <c r="X56" s="211"/>
      <c r="Y56" s="209"/>
      <c r="Z56" s="211"/>
      <c r="AA56" s="38"/>
      <c r="AE56" s="795">
        <f t="shared" si="0"/>
        <v>9840</v>
      </c>
    </row>
    <row r="57" spans="2:31">
      <c r="B57" s="157">
        <f>'1. LDC Info'!$F$27-9</f>
        <v>2013</v>
      </c>
      <c r="C57" s="37" t="s">
        <v>107</v>
      </c>
      <c r="D57" s="502">
        <v>5442302</v>
      </c>
      <c r="E57" s="519">
        <v>8664</v>
      </c>
      <c r="F57" s="502">
        <v>2707029</v>
      </c>
      <c r="G57" s="519">
        <v>1067</v>
      </c>
      <c r="H57" s="522">
        <v>51233</v>
      </c>
      <c r="I57" s="519">
        <v>94</v>
      </c>
      <c r="J57" s="522"/>
      <c r="K57" s="519"/>
      <c r="L57" s="502">
        <v>9949866</v>
      </c>
      <c r="M57" s="520">
        <v>26910</v>
      </c>
      <c r="N57" s="519">
        <v>141</v>
      </c>
      <c r="O57" s="502">
        <v>92121</v>
      </c>
      <c r="P57" s="520">
        <v>283</v>
      </c>
      <c r="Q57" s="519">
        <v>2859</v>
      </c>
      <c r="R57" s="521">
        <v>3699</v>
      </c>
      <c r="S57" s="520">
        <v>11</v>
      </c>
      <c r="T57" s="519">
        <v>54</v>
      </c>
      <c r="U57" s="522">
        <v>660137</v>
      </c>
      <c r="V57" s="520">
        <v>2754.1</v>
      </c>
      <c r="W57" s="519">
        <v>1</v>
      </c>
      <c r="X57" s="211"/>
      <c r="Y57" s="209"/>
      <c r="Z57" s="211"/>
      <c r="AA57" s="38"/>
      <c r="AE57" s="795">
        <f t="shared" si="0"/>
        <v>9872</v>
      </c>
    </row>
    <row r="58" spans="2:31">
      <c r="B58" s="157">
        <f>'1. LDC Info'!$F$27-9</f>
        <v>2013</v>
      </c>
      <c r="C58" s="37" t="s">
        <v>108</v>
      </c>
      <c r="D58" s="502">
        <v>6126576</v>
      </c>
      <c r="E58" s="519">
        <v>8672</v>
      </c>
      <c r="F58" s="502">
        <v>2551889</v>
      </c>
      <c r="G58" s="519">
        <v>1069</v>
      </c>
      <c r="H58" s="522">
        <v>51753</v>
      </c>
      <c r="I58" s="519">
        <v>93</v>
      </c>
      <c r="J58" s="522"/>
      <c r="K58" s="519"/>
      <c r="L58" s="502">
        <v>9688002</v>
      </c>
      <c r="M58" s="520">
        <v>26798</v>
      </c>
      <c r="N58" s="519">
        <v>141</v>
      </c>
      <c r="O58" s="502">
        <v>99763</v>
      </c>
      <c r="P58" s="520">
        <v>283</v>
      </c>
      <c r="Q58" s="519">
        <v>2859</v>
      </c>
      <c r="R58" s="521">
        <v>3494</v>
      </c>
      <c r="S58" s="520">
        <v>11</v>
      </c>
      <c r="T58" s="519">
        <v>54</v>
      </c>
      <c r="U58" s="522">
        <v>831390</v>
      </c>
      <c r="V58" s="520">
        <v>2952.5</v>
      </c>
      <c r="W58" s="519">
        <v>1</v>
      </c>
      <c r="X58" s="211"/>
      <c r="Y58" s="209"/>
      <c r="Z58" s="211"/>
      <c r="AA58" s="38"/>
      <c r="AE58" s="795">
        <f t="shared" si="0"/>
        <v>9882</v>
      </c>
    </row>
    <row r="59" spans="2:31">
      <c r="B59" s="157">
        <f>'1. LDC Info'!$F$27-9</f>
        <v>2013</v>
      </c>
      <c r="C59" s="37" t="s">
        <v>109</v>
      </c>
      <c r="D59" s="502">
        <v>4754810</v>
      </c>
      <c r="E59" s="519">
        <v>8713</v>
      </c>
      <c r="F59" s="502">
        <v>2306488</v>
      </c>
      <c r="G59" s="519">
        <v>1070</v>
      </c>
      <c r="H59" s="522">
        <v>51183</v>
      </c>
      <c r="I59" s="519">
        <v>93</v>
      </c>
      <c r="J59" s="522"/>
      <c r="K59" s="519"/>
      <c r="L59" s="502">
        <v>9797603</v>
      </c>
      <c r="M59" s="520">
        <v>25923</v>
      </c>
      <c r="N59" s="519">
        <v>142</v>
      </c>
      <c r="O59" s="502">
        <v>116248</v>
      </c>
      <c r="P59" s="520">
        <v>283</v>
      </c>
      <c r="Q59" s="519">
        <v>2873</v>
      </c>
      <c r="R59" s="521">
        <v>3678</v>
      </c>
      <c r="S59" s="520">
        <v>11</v>
      </c>
      <c r="T59" s="519">
        <v>54</v>
      </c>
      <c r="U59" s="522">
        <v>1194974</v>
      </c>
      <c r="V59" s="520">
        <v>2880.7</v>
      </c>
      <c r="W59" s="519">
        <v>1</v>
      </c>
      <c r="X59" s="211"/>
      <c r="Y59" s="209"/>
      <c r="Z59" s="211"/>
      <c r="AA59" s="38"/>
      <c r="AE59" s="795">
        <f t="shared" si="0"/>
        <v>9925</v>
      </c>
    </row>
    <row r="60" spans="2:31">
      <c r="B60" s="157">
        <f>'1. LDC Info'!$F$27-9</f>
        <v>2013</v>
      </c>
      <c r="C60" s="37" t="s">
        <v>106</v>
      </c>
      <c r="D60" s="502">
        <v>5486115</v>
      </c>
      <c r="E60" s="519">
        <v>8671</v>
      </c>
      <c r="F60" s="502">
        <v>2797400</v>
      </c>
      <c r="G60" s="519">
        <v>1059</v>
      </c>
      <c r="H60" s="521">
        <v>101310</v>
      </c>
      <c r="I60" s="519">
        <v>93</v>
      </c>
      <c r="J60" s="521"/>
      <c r="K60" s="519"/>
      <c r="L60" s="502">
        <v>10928771</v>
      </c>
      <c r="M60" s="520">
        <v>26398</v>
      </c>
      <c r="N60" s="519">
        <v>143</v>
      </c>
      <c r="O60" s="502">
        <v>123941</v>
      </c>
      <c r="P60" s="520">
        <v>285</v>
      </c>
      <c r="Q60" s="519">
        <v>2879</v>
      </c>
      <c r="R60" s="521">
        <v>3494</v>
      </c>
      <c r="S60" s="520">
        <v>11</v>
      </c>
      <c r="T60" s="519">
        <v>54</v>
      </c>
      <c r="U60" s="521">
        <v>1084885</v>
      </c>
      <c r="V60" s="520">
        <v>2798.8</v>
      </c>
      <c r="W60" s="519">
        <v>1</v>
      </c>
      <c r="X60" s="211"/>
      <c r="Y60" s="209"/>
      <c r="Z60" s="211"/>
      <c r="AA60" s="38"/>
      <c r="AE60" s="795">
        <f t="shared" si="0"/>
        <v>9873</v>
      </c>
    </row>
    <row r="61" spans="2:31">
      <c r="B61" s="157">
        <f>'1. LDC Info'!$F$27-8</f>
        <v>2014</v>
      </c>
      <c r="C61" s="37" t="s">
        <v>110</v>
      </c>
      <c r="D61" s="502">
        <v>8499854</v>
      </c>
      <c r="E61" s="519">
        <v>8681</v>
      </c>
      <c r="F61" s="521">
        <v>2710757</v>
      </c>
      <c r="G61" s="519">
        <v>1060</v>
      </c>
      <c r="H61" s="522">
        <v>51753</v>
      </c>
      <c r="I61" s="519">
        <v>93</v>
      </c>
      <c r="J61" s="522"/>
      <c r="K61" s="519"/>
      <c r="L61" s="502">
        <v>8910571</v>
      </c>
      <c r="M61" s="520">
        <v>28369.399999999998</v>
      </c>
      <c r="N61" s="519">
        <v>142</v>
      </c>
      <c r="O61" s="502">
        <v>134488</v>
      </c>
      <c r="P61" s="520">
        <v>282.10000000000002</v>
      </c>
      <c r="Q61" s="519">
        <v>2574</v>
      </c>
      <c r="R61" s="521">
        <v>4054</v>
      </c>
      <c r="S61" s="520">
        <v>11</v>
      </c>
      <c r="T61" s="519">
        <v>54</v>
      </c>
      <c r="U61" s="522">
        <v>915522</v>
      </c>
      <c r="V61" s="520">
        <v>2983.9</v>
      </c>
      <c r="W61" s="519">
        <v>1</v>
      </c>
      <c r="X61" s="211"/>
      <c r="Y61" s="209"/>
      <c r="Z61" s="211"/>
      <c r="AA61" s="38"/>
      <c r="AE61" s="795">
        <f t="shared" si="0"/>
        <v>9883</v>
      </c>
    </row>
    <row r="62" spans="2:31">
      <c r="B62" s="157">
        <f>'1. LDC Info'!$F$27-8</f>
        <v>2014</v>
      </c>
      <c r="C62" s="37" t="s">
        <v>111</v>
      </c>
      <c r="D62" s="502">
        <v>5952715</v>
      </c>
      <c r="E62" s="519">
        <v>8686</v>
      </c>
      <c r="F62" s="521">
        <v>3954631</v>
      </c>
      <c r="G62" s="519">
        <v>1064</v>
      </c>
      <c r="H62" s="522">
        <v>51233</v>
      </c>
      <c r="I62" s="519">
        <v>94</v>
      </c>
      <c r="J62" s="522"/>
      <c r="K62" s="519"/>
      <c r="L62" s="502">
        <v>12063116</v>
      </c>
      <c r="M62" s="520">
        <v>26169.5</v>
      </c>
      <c r="N62" s="519">
        <v>142</v>
      </c>
      <c r="O62" s="502">
        <v>132283</v>
      </c>
      <c r="P62" s="520">
        <v>284.5</v>
      </c>
      <c r="Q62" s="519">
        <v>2574</v>
      </c>
      <c r="R62" s="521">
        <v>3049</v>
      </c>
      <c r="S62" s="520">
        <v>11</v>
      </c>
      <c r="T62" s="519">
        <v>54</v>
      </c>
      <c r="U62" s="522">
        <v>438012</v>
      </c>
      <c r="V62" s="520">
        <v>2535.6999999999998</v>
      </c>
      <c r="W62" s="519">
        <v>1</v>
      </c>
      <c r="X62" s="211"/>
      <c r="Y62" s="209"/>
      <c r="Z62" s="211"/>
      <c r="AA62" s="38"/>
      <c r="AE62" s="795">
        <f t="shared" si="0"/>
        <v>9892</v>
      </c>
    </row>
    <row r="63" spans="2:31">
      <c r="B63" s="157">
        <f>'1. LDC Info'!$F$27-8</f>
        <v>2014</v>
      </c>
      <c r="C63" s="37" t="s">
        <v>112</v>
      </c>
      <c r="D63" s="502">
        <v>10141471</v>
      </c>
      <c r="E63" s="519">
        <v>8699</v>
      </c>
      <c r="F63" s="521">
        <v>3290393</v>
      </c>
      <c r="G63" s="519">
        <v>1058</v>
      </c>
      <c r="H63" s="522">
        <v>52196</v>
      </c>
      <c r="I63" s="519">
        <v>94</v>
      </c>
      <c r="J63" s="522"/>
      <c r="K63" s="519"/>
      <c r="L63" s="502">
        <v>9805890</v>
      </c>
      <c r="M63" s="520">
        <v>26495.1</v>
      </c>
      <c r="N63" s="519">
        <v>147</v>
      </c>
      <c r="O63" s="502">
        <v>109525</v>
      </c>
      <c r="P63" s="520">
        <v>284.5</v>
      </c>
      <c r="Q63" s="519">
        <v>2694</v>
      </c>
      <c r="R63" s="521">
        <v>4054</v>
      </c>
      <c r="S63" s="520">
        <v>11</v>
      </c>
      <c r="T63" s="519">
        <v>54</v>
      </c>
      <c r="U63" s="522">
        <v>1078714</v>
      </c>
      <c r="V63" s="520">
        <v>3643</v>
      </c>
      <c r="W63" s="519">
        <v>1</v>
      </c>
      <c r="X63" s="211"/>
      <c r="Y63" s="209"/>
      <c r="Z63" s="211"/>
      <c r="AA63" s="38"/>
      <c r="AE63" s="795">
        <f t="shared" si="0"/>
        <v>9904</v>
      </c>
    </row>
    <row r="64" spans="2:31">
      <c r="B64" s="157">
        <f>'1. LDC Info'!$F$27-8</f>
        <v>2014</v>
      </c>
      <c r="C64" s="37" t="s">
        <v>113</v>
      </c>
      <c r="D64" s="502">
        <v>5396445</v>
      </c>
      <c r="E64" s="519">
        <v>8721</v>
      </c>
      <c r="F64" s="521">
        <v>2755815</v>
      </c>
      <c r="G64" s="519">
        <v>1060</v>
      </c>
      <c r="H64" s="522">
        <v>0</v>
      </c>
      <c r="I64" s="519">
        <v>94</v>
      </c>
      <c r="J64" s="522"/>
      <c r="K64" s="519"/>
      <c r="L64" s="502">
        <v>10199613</v>
      </c>
      <c r="M64" s="520">
        <v>26001</v>
      </c>
      <c r="N64" s="519">
        <v>147</v>
      </c>
      <c r="O64" s="502">
        <v>110235</v>
      </c>
      <c r="P64" s="520">
        <v>284</v>
      </c>
      <c r="Q64" s="519">
        <v>2694</v>
      </c>
      <c r="R64" s="521">
        <v>3118</v>
      </c>
      <c r="S64" s="520">
        <v>11</v>
      </c>
      <c r="T64" s="519">
        <v>54</v>
      </c>
      <c r="U64" s="522">
        <v>1401922</v>
      </c>
      <c r="V64" s="520">
        <v>3933</v>
      </c>
      <c r="W64" s="519">
        <v>1</v>
      </c>
      <c r="X64" s="211"/>
      <c r="Y64" s="209"/>
      <c r="Z64" s="211"/>
      <c r="AA64" s="38"/>
      <c r="AE64" s="795">
        <f t="shared" si="0"/>
        <v>9928</v>
      </c>
    </row>
    <row r="65" spans="2:31">
      <c r="B65" s="157">
        <f>'1. LDC Info'!$F$27-8</f>
        <v>2014</v>
      </c>
      <c r="C65" s="37" t="s">
        <v>114</v>
      </c>
      <c r="D65" s="502">
        <v>6318305</v>
      </c>
      <c r="E65" s="519">
        <v>8731</v>
      </c>
      <c r="F65" s="521">
        <v>2528537</v>
      </c>
      <c r="G65" s="519">
        <v>1059</v>
      </c>
      <c r="H65" s="522">
        <v>50337</v>
      </c>
      <c r="I65" s="519">
        <v>94</v>
      </c>
      <c r="J65" s="522"/>
      <c r="K65" s="519"/>
      <c r="L65" s="502">
        <v>9770455</v>
      </c>
      <c r="M65" s="520">
        <v>25350.5</v>
      </c>
      <c r="N65" s="519">
        <v>146</v>
      </c>
      <c r="O65" s="502">
        <v>93879</v>
      </c>
      <c r="P65" s="520">
        <v>284</v>
      </c>
      <c r="Q65" s="519">
        <v>2694</v>
      </c>
      <c r="R65" s="521">
        <v>3712</v>
      </c>
      <c r="S65" s="520">
        <v>11</v>
      </c>
      <c r="T65" s="519">
        <v>54</v>
      </c>
      <c r="U65" s="522">
        <v>1025400</v>
      </c>
      <c r="V65" s="520">
        <v>3014.5</v>
      </c>
      <c r="W65" s="519">
        <v>1</v>
      </c>
      <c r="X65" s="211"/>
      <c r="Y65" s="209"/>
      <c r="Z65" s="211"/>
      <c r="AA65" s="38"/>
      <c r="AE65" s="795">
        <f t="shared" si="0"/>
        <v>9936</v>
      </c>
    </row>
    <row r="66" spans="2:31">
      <c r="B66" s="157">
        <f>'1. LDC Info'!$F$27-8</f>
        <v>2014</v>
      </c>
      <c r="C66" s="37" t="s">
        <v>115</v>
      </c>
      <c r="D66" s="502">
        <v>5690246</v>
      </c>
      <c r="E66" s="519">
        <v>8753</v>
      </c>
      <c r="F66" s="521">
        <v>2179249</v>
      </c>
      <c r="G66" s="519">
        <v>1058</v>
      </c>
      <c r="H66" s="522">
        <v>1156</v>
      </c>
      <c r="I66" s="519">
        <v>94</v>
      </c>
      <c r="J66" s="522"/>
      <c r="K66" s="519"/>
      <c r="L66" s="502">
        <v>9427178</v>
      </c>
      <c r="M66" s="520">
        <v>25549.9</v>
      </c>
      <c r="N66" s="519">
        <v>146</v>
      </c>
      <c r="O66" s="502">
        <v>85984</v>
      </c>
      <c r="P66" s="520">
        <v>284.3</v>
      </c>
      <c r="Q66" s="519">
        <v>2694</v>
      </c>
      <c r="R66" s="521">
        <v>3254</v>
      </c>
      <c r="S66" s="520">
        <v>11</v>
      </c>
      <c r="T66" s="519">
        <v>54</v>
      </c>
      <c r="U66" s="522">
        <v>1025578</v>
      </c>
      <c r="V66" s="520">
        <v>3205.5</v>
      </c>
      <c r="W66" s="519">
        <v>1</v>
      </c>
      <c r="X66" s="211"/>
      <c r="Y66" s="209"/>
      <c r="Z66" s="211"/>
      <c r="AA66" s="38"/>
      <c r="AE66" s="795">
        <f t="shared" si="0"/>
        <v>9957</v>
      </c>
    </row>
    <row r="67" spans="2:31">
      <c r="B67" s="157">
        <f>'1. LDC Info'!$F$27-8</f>
        <v>2014</v>
      </c>
      <c r="C67" s="37" t="s">
        <v>116</v>
      </c>
      <c r="D67" s="502">
        <v>6110502</v>
      </c>
      <c r="E67" s="519">
        <v>8763</v>
      </c>
      <c r="F67" s="521">
        <v>2405406</v>
      </c>
      <c r="G67" s="519">
        <v>1059</v>
      </c>
      <c r="H67" s="522">
        <v>98998</v>
      </c>
      <c r="I67" s="519">
        <v>93</v>
      </c>
      <c r="J67" s="522"/>
      <c r="K67" s="519"/>
      <c r="L67" s="502">
        <v>10324790</v>
      </c>
      <c r="M67" s="520">
        <v>26198</v>
      </c>
      <c r="N67" s="519">
        <v>146</v>
      </c>
      <c r="O67" s="502">
        <v>76810</v>
      </c>
      <c r="P67" s="520">
        <v>284</v>
      </c>
      <c r="Q67" s="519">
        <v>2694</v>
      </c>
      <c r="R67" s="521">
        <v>4123</v>
      </c>
      <c r="S67" s="520">
        <v>11</v>
      </c>
      <c r="T67" s="519">
        <v>54</v>
      </c>
      <c r="U67" s="522">
        <v>1099006</v>
      </c>
      <c r="V67" s="520">
        <v>3325</v>
      </c>
      <c r="W67" s="519">
        <v>1</v>
      </c>
      <c r="X67" s="211"/>
      <c r="Y67" s="209"/>
      <c r="Z67" s="211"/>
      <c r="AA67" s="38"/>
      <c r="AE67" s="795">
        <f t="shared" si="0"/>
        <v>9968</v>
      </c>
    </row>
    <row r="68" spans="2:31">
      <c r="B68" s="157">
        <f>'1. LDC Info'!$F$27-8</f>
        <v>2014</v>
      </c>
      <c r="C68" s="37" t="s">
        <v>117</v>
      </c>
      <c r="D68" s="502">
        <v>4298701</v>
      </c>
      <c r="E68" s="519">
        <v>8764</v>
      </c>
      <c r="F68" s="521">
        <v>2335834</v>
      </c>
      <c r="G68" s="519">
        <v>1061</v>
      </c>
      <c r="H68" s="522">
        <v>49767</v>
      </c>
      <c r="I68" s="519">
        <v>93</v>
      </c>
      <c r="J68" s="522"/>
      <c r="K68" s="519"/>
      <c r="L68" s="502">
        <v>9727460</v>
      </c>
      <c r="M68" s="520">
        <v>26099.1</v>
      </c>
      <c r="N68" s="519">
        <v>146</v>
      </c>
      <c r="O68" s="502">
        <v>81574</v>
      </c>
      <c r="P68" s="520">
        <v>284.5</v>
      </c>
      <c r="Q68" s="519">
        <v>2694</v>
      </c>
      <c r="R68" s="521">
        <v>3118</v>
      </c>
      <c r="S68" s="520">
        <v>11</v>
      </c>
      <c r="T68" s="519">
        <v>54</v>
      </c>
      <c r="U68" s="522">
        <v>1007626</v>
      </c>
      <c r="V68" s="520">
        <v>3410.7</v>
      </c>
      <c r="W68" s="519">
        <v>1</v>
      </c>
      <c r="X68" s="211"/>
      <c r="Y68" s="209"/>
      <c r="Z68" s="211"/>
      <c r="AA68" s="38"/>
      <c r="AE68" s="795">
        <f t="shared" si="0"/>
        <v>9971</v>
      </c>
    </row>
    <row r="69" spans="2:31">
      <c r="B69" s="157">
        <f>'1. LDC Info'!$F$27-8</f>
        <v>2014</v>
      </c>
      <c r="C69" s="37" t="s">
        <v>107</v>
      </c>
      <c r="D69" s="502">
        <v>6463714</v>
      </c>
      <c r="E69" s="519">
        <v>8820</v>
      </c>
      <c r="F69" s="521">
        <v>2334190</v>
      </c>
      <c r="G69" s="519">
        <v>1062</v>
      </c>
      <c r="H69" s="522">
        <v>50287</v>
      </c>
      <c r="I69" s="519">
        <v>93</v>
      </c>
      <c r="J69" s="522"/>
      <c r="K69" s="519"/>
      <c r="L69" s="502">
        <v>9386422</v>
      </c>
      <c r="M69" s="520">
        <v>25997.8</v>
      </c>
      <c r="N69" s="519">
        <v>146</v>
      </c>
      <c r="O69" s="502">
        <v>92597</v>
      </c>
      <c r="P69" s="520">
        <v>284.2</v>
      </c>
      <c r="Q69" s="519">
        <v>2694</v>
      </c>
      <c r="R69" s="521">
        <v>3986</v>
      </c>
      <c r="S69" s="520">
        <v>11</v>
      </c>
      <c r="T69" s="519">
        <v>54</v>
      </c>
      <c r="U69" s="522">
        <v>931167</v>
      </c>
      <c r="V69" s="520">
        <v>3309.6</v>
      </c>
      <c r="W69" s="519">
        <v>1</v>
      </c>
      <c r="X69" s="211"/>
      <c r="Y69" s="209"/>
      <c r="Z69" s="211"/>
      <c r="AA69" s="38"/>
      <c r="AE69" s="795">
        <f t="shared" si="0"/>
        <v>10028</v>
      </c>
    </row>
    <row r="70" spans="2:31">
      <c r="B70" s="157">
        <f>'1. LDC Info'!$F$27-8</f>
        <v>2014</v>
      </c>
      <c r="C70" s="37" t="s">
        <v>108</v>
      </c>
      <c r="D70" s="502">
        <v>4113551</v>
      </c>
      <c r="E70" s="519">
        <v>8828</v>
      </c>
      <c r="F70" s="521">
        <v>2148423</v>
      </c>
      <c r="G70" s="519">
        <v>1076</v>
      </c>
      <c r="H70" s="522">
        <v>49767</v>
      </c>
      <c r="I70" s="519">
        <v>93</v>
      </c>
      <c r="J70" s="522"/>
      <c r="K70" s="519"/>
      <c r="L70" s="502">
        <v>10772608</v>
      </c>
      <c r="M70" s="520">
        <v>26997.800000000003</v>
      </c>
      <c r="N70" s="519">
        <v>136</v>
      </c>
      <c r="O70" s="502">
        <v>100280</v>
      </c>
      <c r="P70" s="520">
        <v>284.5</v>
      </c>
      <c r="Q70" s="519">
        <v>2694</v>
      </c>
      <c r="R70" s="521">
        <v>3111</v>
      </c>
      <c r="S70" s="520">
        <v>11</v>
      </c>
      <c r="T70" s="519">
        <v>54</v>
      </c>
      <c r="U70" s="522">
        <v>1247089</v>
      </c>
      <c r="V70" s="520">
        <v>1561.3</v>
      </c>
      <c r="W70" s="519">
        <v>1</v>
      </c>
      <c r="X70" s="211"/>
      <c r="Y70" s="209"/>
      <c r="Z70" s="211"/>
      <c r="AA70" s="38"/>
      <c r="AE70" s="795">
        <f t="shared" si="0"/>
        <v>10040</v>
      </c>
    </row>
    <row r="71" spans="2:31">
      <c r="B71" s="157">
        <f>'1. LDC Info'!$F$27-8</f>
        <v>2014</v>
      </c>
      <c r="C71" s="37" t="s">
        <v>109</v>
      </c>
      <c r="D71" s="502">
        <v>6361738</v>
      </c>
      <c r="E71" s="519">
        <v>8831</v>
      </c>
      <c r="F71" s="521">
        <v>2324461</v>
      </c>
      <c r="G71" s="519">
        <v>1075</v>
      </c>
      <c r="H71" s="522">
        <v>50287</v>
      </c>
      <c r="I71" s="519">
        <v>93</v>
      </c>
      <c r="J71" s="522"/>
      <c r="K71" s="519"/>
      <c r="L71" s="502">
        <v>9406996</v>
      </c>
      <c r="M71" s="520">
        <v>25733.1</v>
      </c>
      <c r="N71" s="519">
        <v>135</v>
      </c>
      <c r="O71" s="502">
        <v>116850</v>
      </c>
      <c r="P71" s="520">
        <v>284</v>
      </c>
      <c r="Q71" s="519">
        <v>2694</v>
      </c>
      <c r="R71" s="521">
        <v>4125</v>
      </c>
      <c r="S71" s="520">
        <v>11</v>
      </c>
      <c r="T71" s="519">
        <v>54</v>
      </c>
      <c r="U71" s="522">
        <v>1185114</v>
      </c>
      <c r="V71" s="520">
        <v>3048.4</v>
      </c>
      <c r="W71" s="519">
        <v>1</v>
      </c>
      <c r="X71" s="211"/>
      <c r="Y71" s="209"/>
      <c r="Z71" s="211"/>
      <c r="AA71" s="38"/>
      <c r="AB71" s="795"/>
      <c r="AE71" s="795">
        <f t="shared" si="0"/>
        <v>10041</v>
      </c>
    </row>
    <row r="72" spans="2:31">
      <c r="B72" s="157">
        <f>'1. LDC Info'!$F$27-8</f>
        <v>2014</v>
      </c>
      <c r="C72" s="37" t="s">
        <v>106</v>
      </c>
      <c r="D72" s="502">
        <v>4252969</v>
      </c>
      <c r="E72" s="519">
        <v>8840</v>
      </c>
      <c r="F72" s="502">
        <v>2533006</v>
      </c>
      <c r="G72" s="519">
        <v>1077</v>
      </c>
      <c r="H72" s="521">
        <v>49767</v>
      </c>
      <c r="I72" s="519">
        <v>93</v>
      </c>
      <c r="J72" s="521"/>
      <c r="K72" s="519"/>
      <c r="L72" s="502">
        <v>9541047</v>
      </c>
      <c r="M72" s="520">
        <v>25391</v>
      </c>
      <c r="N72" s="519">
        <v>134</v>
      </c>
      <c r="O72" s="502">
        <v>123748</v>
      </c>
      <c r="P72" s="520">
        <v>284</v>
      </c>
      <c r="Q72" s="519">
        <v>2694</v>
      </c>
      <c r="R72" s="521">
        <v>3239</v>
      </c>
      <c r="S72" s="520">
        <v>11</v>
      </c>
      <c r="T72" s="519">
        <v>54</v>
      </c>
      <c r="U72" s="521">
        <v>1229079</v>
      </c>
      <c r="V72" s="520">
        <v>2633</v>
      </c>
      <c r="W72" s="519">
        <v>1</v>
      </c>
      <c r="X72" s="211"/>
      <c r="Y72" s="209"/>
      <c r="Z72" s="211"/>
      <c r="AA72" s="38"/>
      <c r="AB72" s="795"/>
      <c r="AE72" s="795">
        <f t="shared" si="0"/>
        <v>10051</v>
      </c>
    </row>
    <row r="73" spans="2:31">
      <c r="B73" s="157">
        <f>'1. LDC Info'!$F$27-7</f>
        <v>2015</v>
      </c>
      <c r="C73" s="37" t="s">
        <v>110</v>
      </c>
      <c r="D73" s="502">
        <v>7983857</v>
      </c>
      <c r="E73" s="519">
        <v>8844</v>
      </c>
      <c r="F73" s="521">
        <v>2673831</v>
      </c>
      <c r="G73" s="519">
        <v>1075</v>
      </c>
      <c r="H73" s="522">
        <v>50287</v>
      </c>
      <c r="I73" s="519">
        <v>93</v>
      </c>
      <c r="J73" s="522"/>
      <c r="K73" s="519"/>
      <c r="L73" s="502">
        <v>8536713</v>
      </c>
      <c r="M73" s="520">
        <v>25821.4</v>
      </c>
      <c r="N73" s="519">
        <v>134</v>
      </c>
      <c r="O73" s="502">
        <v>134488</v>
      </c>
      <c r="P73" s="520">
        <v>285</v>
      </c>
      <c r="Q73" s="519">
        <v>2694</v>
      </c>
      <c r="R73" s="521">
        <v>4118</v>
      </c>
      <c r="S73" s="520">
        <v>11</v>
      </c>
      <c r="T73" s="519">
        <v>54</v>
      </c>
      <c r="U73" s="522">
        <v>908190</v>
      </c>
      <c r="V73" s="520">
        <v>2590.9</v>
      </c>
      <c r="W73" s="519">
        <v>1</v>
      </c>
      <c r="X73" s="211"/>
      <c r="Y73" s="209"/>
      <c r="Z73" s="211"/>
      <c r="AA73" s="38"/>
      <c r="AB73" s="795">
        <f>D73+F73+H73+L73+O73+R73+U73</f>
        <v>20291484</v>
      </c>
      <c r="AE73" s="795">
        <f t="shared" si="0"/>
        <v>10053</v>
      </c>
    </row>
    <row r="74" spans="2:31">
      <c r="B74" s="157">
        <f>'1. LDC Info'!$F$27-7</f>
        <v>2015</v>
      </c>
      <c r="C74" s="37" t="s">
        <v>111</v>
      </c>
      <c r="D74" s="502">
        <v>5647769</v>
      </c>
      <c r="E74" s="519">
        <v>8846</v>
      </c>
      <c r="F74" s="521">
        <v>3188691</v>
      </c>
      <c r="G74" s="519">
        <v>1075</v>
      </c>
      <c r="H74" s="522">
        <v>49767</v>
      </c>
      <c r="I74" s="519">
        <v>93</v>
      </c>
      <c r="J74" s="522"/>
      <c r="K74" s="519"/>
      <c r="L74" s="502">
        <v>11690166</v>
      </c>
      <c r="M74" s="520">
        <v>24723.300000000003</v>
      </c>
      <c r="N74" s="519">
        <v>133</v>
      </c>
      <c r="O74" s="502">
        <v>132283</v>
      </c>
      <c r="P74" s="520">
        <v>285</v>
      </c>
      <c r="Q74" s="519">
        <v>2694</v>
      </c>
      <c r="R74" s="521">
        <v>2938</v>
      </c>
      <c r="S74" s="520">
        <v>11</v>
      </c>
      <c r="T74" s="519">
        <v>54</v>
      </c>
      <c r="U74" s="522">
        <v>1126355</v>
      </c>
      <c r="V74" s="520">
        <v>2542</v>
      </c>
      <c r="W74" s="519">
        <v>1</v>
      </c>
      <c r="X74" s="211"/>
      <c r="Y74" s="209"/>
      <c r="Z74" s="211"/>
      <c r="AA74" s="38"/>
      <c r="AB74" s="795">
        <f t="shared" ref="AB74:AB137" si="1">D74+F74+H74+L74+O74+R74+U74</f>
        <v>21837969</v>
      </c>
      <c r="AE74" s="795">
        <f t="shared" si="0"/>
        <v>10054</v>
      </c>
    </row>
    <row r="75" spans="2:31">
      <c r="B75" s="157">
        <f>'1. LDC Info'!$F$27-7</f>
        <v>2015</v>
      </c>
      <c r="C75" s="37" t="s">
        <v>112</v>
      </c>
      <c r="D75" s="502">
        <v>9873655</v>
      </c>
      <c r="E75" s="519">
        <v>8846</v>
      </c>
      <c r="F75" s="521">
        <v>3426960</v>
      </c>
      <c r="G75" s="519">
        <v>1077</v>
      </c>
      <c r="H75" s="522">
        <v>50287</v>
      </c>
      <c r="I75" s="519">
        <v>93</v>
      </c>
      <c r="J75" s="522"/>
      <c r="K75" s="519"/>
      <c r="L75" s="502">
        <v>10195523</v>
      </c>
      <c r="M75" s="520">
        <v>27367.599999999999</v>
      </c>
      <c r="N75" s="519">
        <v>133</v>
      </c>
      <c r="O75" s="502">
        <v>109525</v>
      </c>
      <c r="P75" s="520">
        <v>285</v>
      </c>
      <c r="Q75" s="519">
        <v>2694</v>
      </c>
      <c r="R75" s="521">
        <v>4729</v>
      </c>
      <c r="S75" s="520">
        <v>11</v>
      </c>
      <c r="T75" s="519">
        <v>54</v>
      </c>
      <c r="U75" s="522">
        <v>1416587</v>
      </c>
      <c r="V75" s="520">
        <v>3188.9</v>
      </c>
      <c r="W75" s="519">
        <v>1</v>
      </c>
      <c r="X75" s="211"/>
      <c r="Y75" s="209"/>
      <c r="Z75" s="211"/>
      <c r="AA75" s="38"/>
      <c r="AB75" s="795">
        <f t="shared" si="1"/>
        <v>25077266</v>
      </c>
      <c r="AE75" s="795">
        <f t="shared" si="0"/>
        <v>10056</v>
      </c>
    </row>
    <row r="76" spans="2:31">
      <c r="B76" s="157">
        <f>'1. LDC Info'!$F$27-7</f>
        <v>2015</v>
      </c>
      <c r="C76" s="37" t="s">
        <v>113</v>
      </c>
      <c r="D76" s="502">
        <v>5375350</v>
      </c>
      <c r="E76" s="519">
        <v>8851</v>
      </c>
      <c r="F76" s="521">
        <v>2807741</v>
      </c>
      <c r="G76" s="519">
        <v>1078</v>
      </c>
      <c r="H76" s="522">
        <v>49767</v>
      </c>
      <c r="I76" s="519">
        <v>93</v>
      </c>
      <c r="J76" s="522"/>
      <c r="K76" s="519"/>
      <c r="L76" s="502">
        <v>10708681</v>
      </c>
      <c r="M76" s="520">
        <v>25435</v>
      </c>
      <c r="N76" s="519">
        <v>133</v>
      </c>
      <c r="O76" s="502">
        <v>110235</v>
      </c>
      <c r="P76" s="520">
        <v>285</v>
      </c>
      <c r="Q76" s="519">
        <v>2694</v>
      </c>
      <c r="R76" s="521">
        <v>3245</v>
      </c>
      <c r="S76" s="520">
        <v>11</v>
      </c>
      <c r="T76" s="519">
        <v>54</v>
      </c>
      <c r="U76" s="522">
        <v>1460074</v>
      </c>
      <c r="V76" s="520">
        <v>2825.5</v>
      </c>
      <c r="W76" s="519">
        <v>1</v>
      </c>
      <c r="X76" s="211"/>
      <c r="Y76" s="209"/>
      <c r="Z76" s="211"/>
      <c r="AA76" s="38"/>
      <c r="AB76" s="795">
        <f t="shared" si="1"/>
        <v>20515093</v>
      </c>
      <c r="AE76" s="795">
        <f t="shared" si="0"/>
        <v>10062</v>
      </c>
    </row>
    <row r="77" spans="2:31">
      <c r="B77" s="157">
        <f>'1. LDC Info'!$F$27-7</f>
        <v>2015</v>
      </c>
      <c r="C77" s="37" t="s">
        <v>114</v>
      </c>
      <c r="D77" s="502">
        <v>6314665</v>
      </c>
      <c r="E77" s="519">
        <v>8859</v>
      </c>
      <c r="F77" s="521">
        <v>2407875</v>
      </c>
      <c r="G77" s="519">
        <v>1078</v>
      </c>
      <c r="H77" s="522">
        <v>50287</v>
      </c>
      <c r="I77" s="519">
        <v>93</v>
      </c>
      <c r="J77" s="522"/>
      <c r="K77" s="519"/>
      <c r="L77" s="502">
        <v>8797111</v>
      </c>
      <c r="M77" s="520">
        <v>23972</v>
      </c>
      <c r="N77" s="519">
        <v>133</v>
      </c>
      <c r="O77" s="502">
        <v>93879</v>
      </c>
      <c r="P77" s="520">
        <v>285</v>
      </c>
      <c r="Q77" s="519">
        <v>2694</v>
      </c>
      <c r="R77" s="521">
        <v>3464</v>
      </c>
      <c r="S77" s="520">
        <v>11</v>
      </c>
      <c r="T77" s="519">
        <v>54</v>
      </c>
      <c r="U77" s="522">
        <v>1453204</v>
      </c>
      <c r="V77" s="520">
        <v>3136</v>
      </c>
      <c r="W77" s="519">
        <v>1</v>
      </c>
      <c r="X77" s="211"/>
      <c r="Y77" s="209"/>
      <c r="Z77" s="211"/>
      <c r="AA77" s="38"/>
      <c r="AB77" s="795">
        <f t="shared" si="1"/>
        <v>19120485</v>
      </c>
      <c r="AE77" s="795">
        <f t="shared" si="0"/>
        <v>10070</v>
      </c>
    </row>
    <row r="78" spans="2:31">
      <c r="B78" s="157">
        <f>'1. LDC Info'!$F$27-7</f>
        <v>2015</v>
      </c>
      <c r="C78" s="37" t="s">
        <v>115</v>
      </c>
      <c r="D78" s="502">
        <v>5361913</v>
      </c>
      <c r="E78" s="519">
        <v>8866</v>
      </c>
      <c r="F78" s="521">
        <v>2276196</v>
      </c>
      <c r="G78" s="519">
        <v>1079</v>
      </c>
      <c r="H78" s="522">
        <v>49767</v>
      </c>
      <c r="I78" s="519">
        <v>93</v>
      </c>
      <c r="J78" s="522"/>
      <c r="K78" s="519"/>
      <c r="L78" s="502">
        <v>8996620</v>
      </c>
      <c r="M78" s="520">
        <v>22601.1</v>
      </c>
      <c r="N78" s="519">
        <v>133</v>
      </c>
      <c r="O78" s="502">
        <v>74057</v>
      </c>
      <c r="P78" s="520">
        <v>285</v>
      </c>
      <c r="Q78" s="519">
        <v>2694</v>
      </c>
      <c r="R78" s="521">
        <v>3622</v>
      </c>
      <c r="S78" s="520">
        <v>11</v>
      </c>
      <c r="T78" s="519">
        <v>54</v>
      </c>
      <c r="U78" s="522">
        <v>1474656</v>
      </c>
      <c r="V78" s="520">
        <v>3023.2</v>
      </c>
      <c r="W78" s="519">
        <v>1</v>
      </c>
      <c r="X78" s="211"/>
      <c r="Y78" s="209"/>
      <c r="Z78" s="211"/>
      <c r="AA78" s="38"/>
      <c r="AB78" s="795">
        <f t="shared" si="1"/>
        <v>18236831</v>
      </c>
      <c r="AE78" s="795">
        <f t="shared" si="0"/>
        <v>10078</v>
      </c>
    </row>
    <row r="79" spans="2:31">
      <c r="B79" s="157">
        <f>'1. LDC Info'!$F$27-7</f>
        <v>2015</v>
      </c>
      <c r="C79" s="37" t="s">
        <v>116</v>
      </c>
      <c r="D79" s="502">
        <v>6122342</v>
      </c>
      <c r="E79" s="519">
        <v>8878</v>
      </c>
      <c r="F79" s="521">
        <v>2403361</v>
      </c>
      <c r="G79" s="519">
        <v>1076</v>
      </c>
      <c r="H79" s="522">
        <v>50287</v>
      </c>
      <c r="I79" s="519">
        <v>88</v>
      </c>
      <c r="J79" s="522"/>
      <c r="K79" s="519"/>
      <c r="L79" s="502">
        <v>10089856</v>
      </c>
      <c r="M79" s="520">
        <v>27652</v>
      </c>
      <c r="N79" s="519">
        <v>134</v>
      </c>
      <c r="O79" s="502">
        <v>140213</v>
      </c>
      <c r="P79" s="520">
        <v>490</v>
      </c>
      <c r="Q79" s="519">
        <v>2694</v>
      </c>
      <c r="R79" s="521">
        <v>4123</v>
      </c>
      <c r="S79" s="520">
        <v>11</v>
      </c>
      <c r="T79" s="519">
        <v>54</v>
      </c>
      <c r="U79" s="522">
        <v>1564420</v>
      </c>
      <c r="V79" s="520">
        <v>3197</v>
      </c>
      <c r="W79" s="519">
        <v>1</v>
      </c>
      <c r="X79" s="211"/>
      <c r="Y79" s="209"/>
      <c r="Z79" s="211"/>
      <c r="AA79" s="38"/>
      <c r="AB79" s="795">
        <f t="shared" si="1"/>
        <v>20374602</v>
      </c>
      <c r="AE79" s="795">
        <f t="shared" si="0"/>
        <v>10088</v>
      </c>
    </row>
    <row r="80" spans="2:31">
      <c r="B80" s="157">
        <f>'1. LDC Info'!$F$27-7</f>
        <v>2015</v>
      </c>
      <c r="C80" s="37" t="s">
        <v>117</v>
      </c>
      <c r="D80" s="502">
        <v>4285619</v>
      </c>
      <c r="E80" s="519">
        <v>8894</v>
      </c>
      <c r="F80" s="521">
        <v>2406570</v>
      </c>
      <c r="G80" s="519">
        <v>1079</v>
      </c>
      <c r="H80" s="522">
        <v>49767</v>
      </c>
      <c r="I80" s="519">
        <v>88</v>
      </c>
      <c r="J80" s="522"/>
      <c r="K80" s="519"/>
      <c r="L80" s="502">
        <v>9287748</v>
      </c>
      <c r="M80" s="520">
        <v>25782</v>
      </c>
      <c r="N80" s="519">
        <v>134</v>
      </c>
      <c r="O80" s="502">
        <v>112086</v>
      </c>
      <c r="P80" s="520">
        <v>244</v>
      </c>
      <c r="Q80" s="519">
        <v>2694</v>
      </c>
      <c r="R80" s="521">
        <v>3118</v>
      </c>
      <c r="S80" s="520">
        <v>11</v>
      </c>
      <c r="T80" s="519">
        <v>54</v>
      </c>
      <c r="U80" s="522">
        <v>1300702</v>
      </c>
      <c r="V80" s="520">
        <v>3116</v>
      </c>
      <c r="W80" s="519">
        <v>1</v>
      </c>
      <c r="X80" s="211"/>
      <c r="Y80" s="209"/>
      <c r="Z80" s="211"/>
      <c r="AA80" s="38"/>
      <c r="AB80" s="795">
        <f t="shared" si="1"/>
        <v>17445610</v>
      </c>
      <c r="AE80" s="795">
        <f t="shared" si="0"/>
        <v>10107</v>
      </c>
    </row>
    <row r="81" spans="1:33">
      <c r="B81" s="157">
        <f>'1. LDC Info'!$F$27-7</f>
        <v>2015</v>
      </c>
      <c r="C81" s="37" t="s">
        <v>107</v>
      </c>
      <c r="D81" s="502">
        <v>6881853</v>
      </c>
      <c r="E81" s="519">
        <v>8909</v>
      </c>
      <c r="F81" s="521">
        <v>2720874</v>
      </c>
      <c r="G81" s="519">
        <v>1080</v>
      </c>
      <c r="H81" s="522">
        <v>50287</v>
      </c>
      <c r="I81" s="519">
        <v>88</v>
      </c>
      <c r="J81" s="522"/>
      <c r="K81" s="519"/>
      <c r="L81" s="502">
        <v>9836391</v>
      </c>
      <c r="M81" s="520">
        <v>26577</v>
      </c>
      <c r="N81" s="519">
        <v>134</v>
      </c>
      <c r="O81" s="502">
        <v>121027</v>
      </c>
      <c r="P81" s="520">
        <v>243</v>
      </c>
      <c r="Q81" s="519">
        <v>2694</v>
      </c>
      <c r="R81" s="521">
        <v>3986</v>
      </c>
      <c r="S81" s="520">
        <v>11</v>
      </c>
      <c r="T81" s="519">
        <v>54</v>
      </c>
      <c r="U81" s="522">
        <v>1115527</v>
      </c>
      <c r="V81" s="520">
        <v>2918</v>
      </c>
      <c r="W81" s="519">
        <v>1</v>
      </c>
      <c r="X81" s="211"/>
      <c r="Y81" s="209"/>
      <c r="Z81" s="211"/>
      <c r="AA81" s="38"/>
      <c r="AB81" s="795">
        <f t="shared" si="1"/>
        <v>20729945</v>
      </c>
      <c r="AE81" s="795">
        <f t="shared" si="0"/>
        <v>10123</v>
      </c>
    </row>
    <row r="82" spans="1:33">
      <c r="B82" s="157">
        <f>'1. LDC Info'!$F$27-7</f>
        <v>2015</v>
      </c>
      <c r="C82" s="37" t="s">
        <v>108</v>
      </c>
      <c r="D82" s="502">
        <v>6929454</v>
      </c>
      <c r="E82" s="519">
        <v>8916</v>
      </c>
      <c r="F82" s="521">
        <v>2752906</v>
      </c>
      <c r="G82" s="519">
        <v>1080</v>
      </c>
      <c r="H82" s="522">
        <v>50287</v>
      </c>
      <c r="I82" s="519">
        <v>86</v>
      </c>
      <c r="J82" s="522"/>
      <c r="K82" s="519"/>
      <c r="L82" s="502">
        <v>10241675</v>
      </c>
      <c r="M82" s="520">
        <v>26926</v>
      </c>
      <c r="N82" s="519">
        <v>134</v>
      </c>
      <c r="O82" s="502">
        <v>126896</v>
      </c>
      <c r="P82" s="520">
        <v>243</v>
      </c>
      <c r="Q82" s="519">
        <v>2694</v>
      </c>
      <c r="R82" s="521">
        <v>3111</v>
      </c>
      <c r="S82" s="520">
        <v>11</v>
      </c>
      <c r="T82" s="519">
        <v>54</v>
      </c>
      <c r="U82" s="522">
        <v>1243106</v>
      </c>
      <c r="V82" s="520">
        <v>2824</v>
      </c>
      <c r="W82" s="519">
        <v>1</v>
      </c>
      <c r="X82" s="211"/>
      <c r="Y82" s="209"/>
      <c r="Z82" s="211"/>
      <c r="AA82" s="38"/>
      <c r="AB82" s="795">
        <f t="shared" si="1"/>
        <v>21347435</v>
      </c>
      <c r="AE82" s="795">
        <f t="shared" si="0"/>
        <v>10130</v>
      </c>
    </row>
    <row r="83" spans="1:33">
      <c r="B83" s="157">
        <f>'1. LDC Info'!$F$27-7</f>
        <v>2015</v>
      </c>
      <c r="C83" s="37" t="s">
        <v>109</v>
      </c>
      <c r="D83" s="502">
        <v>6543106</v>
      </c>
      <c r="E83" s="519">
        <v>8918</v>
      </c>
      <c r="F83" s="521">
        <v>2340561</v>
      </c>
      <c r="G83" s="519">
        <v>1081</v>
      </c>
      <c r="H83" s="522">
        <v>50287</v>
      </c>
      <c r="I83" s="519">
        <v>86</v>
      </c>
      <c r="J83" s="522"/>
      <c r="K83" s="519"/>
      <c r="L83" s="502">
        <v>8413185</v>
      </c>
      <c r="M83" s="520">
        <v>24731</v>
      </c>
      <c r="N83" s="519">
        <v>134</v>
      </c>
      <c r="O83" s="502">
        <v>139555</v>
      </c>
      <c r="P83" s="520">
        <v>243</v>
      </c>
      <c r="Q83" s="519">
        <v>2694</v>
      </c>
      <c r="R83" s="521">
        <v>4125</v>
      </c>
      <c r="S83" s="520">
        <v>11</v>
      </c>
      <c r="T83" s="519">
        <v>54</v>
      </c>
      <c r="U83" s="522">
        <v>985022</v>
      </c>
      <c r="V83" s="520">
        <v>2091</v>
      </c>
      <c r="W83" s="519">
        <v>1</v>
      </c>
      <c r="X83" s="211"/>
      <c r="Y83" s="209"/>
      <c r="Z83" s="211"/>
      <c r="AA83" s="38"/>
      <c r="AB83" s="795">
        <f t="shared" si="1"/>
        <v>18475841</v>
      </c>
      <c r="AE83" s="795">
        <f t="shared" si="0"/>
        <v>10133</v>
      </c>
    </row>
    <row r="84" spans="1:33">
      <c r="B84" s="157">
        <f>'1. LDC Info'!$F$27-7</f>
        <v>2015</v>
      </c>
      <c r="C84" s="37" t="s">
        <v>106</v>
      </c>
      <c r="D84" s="502">
        <v>5775927</v>
      </c>
      <c r="E84" s="519">
        <v>8926</v>
      </c>
      <c r="F84" s="502">
        <v>2460483</v>
      </c>
      <c r="G84" s="519">
        <v>1080</v>
      </c>
      <c r="H84" s="521">
        <v>51151</v>
      </c>
      <c r="I84" s="519">
        <v>87</v>
      </c>
      <c r="J84" s="521"/>
      <c r="K84" s="519"/>
      <c r="L84" s="502">
        <v>8892277</v>
      </c>
      <c r="M84" s="520">
        <v>25226</v>
      </c>
      <c r="N84" s="519">
        <v>134</v>
      </c>
      <c r="O84" s="502">
        <v>145689</v>
      </c>
      <c r="P84" s="520">
        <v>243</v>
      </c>
      <c r="Q84" s="519">
        <v>2694</v>
      </c>
      <c r="R84" s="521">
        <v>3239</v>
      </c>
      <c r="S84" s="520">
        <v>11</v>
      </c>
      <c r="T84" s="519">
        <v>54</v>
      </c>
      <c r="U84" s="521">
        <v>896017</v>
      </c>
      <c r="V84" s="520">
        <v>2415</v>
      </c>
      <c r="W84" s="519">
        <v>1</v>
      </c>
      <c r="X84" s="211"/>
      <c r="Y84" s="209"/>
      <c r="Z84" s="211"/>
      <c r="AA84" s="38"/>
      <c r="AB84" s="795">
        <f t="shared" si="1"/>
        <v>18224783</v>
      </c>
      <c r="AC84" s="795">
        <f>SUM(AB73:AB84)</f>
        <v>241677344</v>
      </c>
      <c r="AD84" s="23">
        <v>2015</v>
      </c>
      <c r="AE84" s="795">
        <f t="shared" si="0"/>
        <v>10140</v>
      </c>
    </row>
    <row r="85" spans="1:33">
      <c r="A85" s="795"/>
      <c r="B85" s="157">
        <f>'1. LDC Info'!$F$27-6</f>
        <v>2016</v>
      </c>
      <c r="C85" s="37" t="s">
        <v>110</v>
      </c>
      <c r="D85" s="502">
        <v>7478038</v>
      </c>
      <c r="E85" s="519">
        <f>7995+937</f>
        <v>8932</v>
      </c>
      <c r="F85" s="502">
        <v>2318611</v>
      </c>
      <c r="G85" s="519">
        <f>989+93</f>
        <v>1082</v>
      </c>
      <c r="H85" s="522">
        <v>51151</v>
      </c>
      <c r="I85" s="519">
        <v>86</v>
      </c>
      <c r="J85" s="522"/>
      <c r="K85" s="519"/>
      <c r="L85" s="502">
        <v>8082241</v>
      </c>
      <c r="M85" s="503">
        <v>23878</v>
      </c>
      <c r="N85" s="519">
        <f>110+6+17</f>
        <v>133</v>
      </c>
      <c r="O85" s="502">
        <v>115143</v>
      </c>
      <c r="P85" s="503">
        <v>243</v>
      </c>
      <c r="Q85" s="519">
        <v>2389</v>
      </c>
      <c r="R85" s="521">
        <v>3782.16</v>
      </c>
      <c r="S85" s="520">
        <v>11</v>
      </c>
      <c r="T85" s="519">
        <v>48</v>
      </c>
      <c r="U85" s="522">
        <v>855975</v>
      </c>
      <c r="V85" s="520">
        <v>2384</v>
      </c>
      <c r="W85" s="519">
        <v>1</v>
      </c>
      <c r="X85" s="211"/>
      <c r="Y85" s="209"/>
      <c r="Z85" s="211"/>
      <c r="AA85" s="38"/>
      <c r="AB85" s="795">
        <f t="shared" si="1"/>
        <v>18904941.16</v>
      </c>
      <c r="AE85" s="795">
        <f t="shared" si="0"/>
        <v>10147</v>
      </c>
      <c r="AG85" s="795"/>
    </row>
    <row r="86" spans="1:33">
      <c r="A86" s="795"/>
      <c r="B86" s="157">
        <f>'1. LDC Info'!$F$27-6</f>
        <v>2016</v>
      </c>
      <c r="C86" s="37" t="s">
        <v>111</v>
      </c>
      <c r="D86" s="502">
        <v>8371577</v>
      </c>
      <c r="E86" s="519">
        <f>7997+937</f>
        <v>8934</v>
      </c>
      <c r="F86" s="502">
        <f>2872296+208962</f>
        <v>3081258</v>
      </c>
      <c r="G86" s="519">
        <f>989+93</f>
        <v>1082</v>
      </c>
      <c r="H86" s="522">
        <v>51151</v>
      </c>
      <c r="I86" s="519">
        <v>86</v>
      </c>
      <c r="J86" s="522"/>
      <c r="K86" s="519"/>
      <c r="L86" s="502">
        <f>5318906+279080+2792273+247055</f>
        <v>8637314</v>
      </c>
      <c r="M86" s="503">
        <f>14121+1229+8227+678</f>
        <v>24255</v>
      </c>
      <c r="N86" s="519">
        <f>110+6+17</f>
        <v>133</v>
      </c>
      <c r="O86" s="502">
        <f>101058+12197</f>
        <v>113255</v>
      </c>
      <c r="P86" s="520">
        <v>243</v>
      </c>
      <c r="Q86" s="519">
        <v>2389</v>
      </c>
      <c r="R86" s="521">
        <v>3782.16</v>
      </c>
      <c r="S86" s="520">
        <v>11</v>
      </c>
      <c r="T86" s="519">
        <v>48</v>
      </c>
      <c r="U86" s="522">
        <v>886782</v>
      </c>
      <c r="V86" s="520">
        <v>2385</v>
      </c>
      <c r="W86" s="519">
        <v>1</v>
      </c>
      <c r="X86" s="211"/>
      <c r="Y86" s="209"/>
      <c r="Z86" s="211"/>
      <c r="AA86" s="38"/>
      <c r="AB86" s="795">
        <f t="shared" si="1"/>
        <v>21145119.16</v>
      </c>
      <c r="AE86" s="795">
        <f t="shared" si="0"/>
        <v>10149</v>
      </c>
      <c r="AG86" s="795"/>
    </row>
    <row r="87" spans="1:33">
      <c r="A87" s="795"/>
      <c r="B87" s="157">
        <f>'1. LDC Info'!$F$27-6</f>
        <v>2016</v>
      </c>
      <c r="C87" s="37" t="s">
        <v>112</v>
      </c>
      <c r="D87" s="502">
        <v>8103555</v>
      </c>
      <c r="E87" s="519">
        <f>8003+937</f>
        <v>8940</v>
      </c>
      <c r="F87" s="502">
        <f>2765914+212035</f>
        <v>2977949</v>
      </c>
      <c r="G87" s="519">
        <f>993+92</f>
        <v>1085</v>
      </c>
      <c r="H87" s="522">
        <v>51151</v>
      </c>
      <c r="I87" s="519">
        <v>85</v>
      </c>
      <c r="J87" s="522"/>
      <c r="K87" s="519"/>
      <c r="L87" s="502">
        <f>5030237+396560+4214899+206264</f>
        <v>9847960</v>
      </c>
      <c r="M87" s="503">
        <f>13589+1230+11787+665</f>
        <v>27271</v>
      </c>
      <c r="N87" s="519">
        <f>111+6+17</f>
        <v>134</v>
      </c>
      <c r="O87" s="502">
        <f>86660+10459</f>
        <v>97119</v>
      </c>
      <c r="P87" s="503">
        <v>243</v>
      </c>
      <c r="Q87" s="519">
        <v>2389</v>
      </c>
      <c r="R87" s="521">
        <v>3782.16</v>
      </c>
      <c r="S87" s="520">
        <v>11</v>
      </c>
      <c r="T87" s="519">
        <v>48</v>
      </c>
      <c r="U87" s="522">
        <v>1172029</v>
      </c>
      <c r="V87" s="520">
        <v>2598</v>
      </c>
      <c r="W87" s="519">
        <v>1</v>
      </c>
      <c r="X87" s="211"/>
      <c r="Y87" s="209"/>
      <c r="Z87" s="211"/>
      <c r="AA87" s="38"/>
      <c r="AB87" s="795">
        <f t="shared" si="1"/>
        <v>22253545.16</v>
      </c>
      <c r="AE87" s="795">
        <f t="shared" si="0"/>
        <v>10159</v>
      </c>
      <c r="AG87" s="795"/>
    </row>
    <row r="88" spans="1:33">
      <c r="A88" s="795"/>
      <c r="B88" s="157">
        <f>'1. LDC Info'!$F$27-6</f>
        <v>2016</v>
      </c>
      <c r="C88" s="37" t="s">
        <v>113</v>
      </c>
      <c r="D88" s="502">
        <v>7465487</v>
      </c>
      <c r="E88" s="519">
        <f>8009+938</f>
        <v>8947</v>
      </c>
      <c r="F88" s="502">
        <f>2584184+211355</f>
        <v>2795539</v>
      </c>
      <c r="G88" s="519">
        <f>994+92</f>
        <v>1086</v>
      </c>
      <c r="H88" s="522">
        <v>51151</v>
      </c>
      <c r="I88" s="519">
        <v>85</v>
      </c>
      <c r="J88" s="522"/>
      <c r="K88" s="519"/>
      <c r="L88" s="502">
        <f>5395057+334680+3614685+233136</f>
        <v>9577558</v>
      </c>
      <c r="M88" s="503">
        <f>12952+1149+9990+683</f>
        <v>24774</v>
      </c>
      <c r="N88" s="519">
        <f>110+6+17</f>
        <v>133</v>
      </c>
      <c r="O88" s="502">
        <f>84215+10164</f>
        <v>94379</v>
      </c>
      <c r="P88" s="520">
        <v>243</v>
      </c>
      <c r="Q88" s="519">
        <v>2389</v>
      </c>
      <c r="R88" s="521">
        <v>3782.16</v>
      </c>
      <c r="S88" s="520">
        <v>11</v>
      </c>
      <c r="T88" s="519">
        <v>48</v>
      </c>
      <c r="U88" s="522">
        <v>1331770</v>
      </c>
      <c r="V88" s="520">
        <v>3078</v>
      </c>
      <c r="W88" s="519">
        <v>1</v>
      </c>
      <c r="X88" s="211"/>
      <c r="Y88" s="209"/>
      <c r="Z88" s="211"/>
      <c r="AA88" s="38"/>
      <c r="AB88" s="795">
        <f t="shared" si="1"/>
        <v>21319666.16</v>
      </c>
      <c r="AE88" s="795">
        <f t="shared" si="0"/>
        <v>10166</v>
      </c>
      <c r="AG88" s="795"/>
    </row>
    <row r="89" spans="1:33">
      <c r="A89" s="795"/>
      <c r="B89" s="157">
        <f>'1. LDC Info'!$F$27-6</f>
        <v>2016</v>
      </c>
      <c r="C89" s="37" t="s">
        <v>114</v>
      </c>
      <c r="D89" s="502">
        <v>5453182</v>
      </c>
      <c r="E89" s="519">
        <f>8010+941</f>
        <v>8951</v>
      </c>
      <c r="F89" s="502">
        <f>1924165+154821</f>
        <v>2078986</v>
      </c>
      <c r="G89" s="519">
        <f>994+92</f>
        <v>1086</v>
      </c>
      <c r="H89" s="522">
        <v>50045</v>
      </c>
      <c r="I89" s="519">
        <v>85</v>
      </c>
      <c r="J89" s="522"/>
      <c r="K89" s="519"/>
      <c r="L89" s="502">
        <f>4110702+171220+3382659+235802</f>
        <v>7900383</v>
      </c>
      <c r="M89" s="503">
        <f>12022+905+9566+703</f>
        <v>23196</v>
      </c>
      <c r="N89" s="519">
        <f>110+6+18</f>
        <v>134</v>
      </c>
      <c r="O89" s="502">
        <f>71719+8656</f>
        <v>80375</v>
      </c>
      <c r="P89" s="503">
        <v>243</v>
      </c>
      <c r="Q89" s="519">
        <v>2389</v>
      </c>
      <c r="R89" s="521">
        <v>3782.16</v>
      </c>
      <c r="S89" s="520">
        <v>11</v>
      </c>
      <c r="T89" s="519">
        <v>48</v>
      </c>
      <c r="U89" s="522">
        <v>1464377</v>
      </c>
      <c r="V89" s="520">
        <v>3078</v>
      </c>
      <c r="W89" s="519">
        <v>1</v>
      </c>
      <c r="X89" s="211"/>
      <c r="Y89" s="209"/>
      <c r="Z89" s="211"/>
      <c r="AA89" s="38"/>
      <c r="AB89" s="795">
        <f t="shared" si="1"/>
        <v>17031130.16</v>
      </c>
      <c r="AE89" s="795">
        <f t="shared" si="0"/>
        <v>10171</v>
      </c>
      <c r="AG89" s="795"/>
    </row>
    <row r="90" spans="1:33">
      <c r="A90" s="795"/>
      <c r="B90" s="157">
        <f>'1. LDC Info'!$F$27-6</f>
        <v>2016</v>
      </c>
      <c r="C90" s="37" t="s">
        <v>115</v>
      </c>
      <c r="D90" s="502">
        <v>7342345</v>
      </c>
      <c r="E90" s="519">
        <f>8000+943</f>
        <v>8943</v>
      </c>
      <c r="F90" s="502">
        <f>2429881+156390</f>
        <v>2586271</v>
      </c>
      <c r="G90" s="519">
        <f>993+92</f>
        <v>1085</v>
      </c>
      <c r="H90" s="522">
        <v>52257</v>
      </c>
      <c r="I90" s="519">
        <v>85</v>
      </c>
      <c r="J90" s="522"/>
      <c r="K90" s="519"/>
      <c r="L90" s="502">
        <f>3968860+310060+3581129+238074</f>
        <v>8098123</v>
      </c>
      <c r="M90" s="503">
        <f>12626+1186+10765+716</f>
        <v>25293</v>
      </c>
      <c r="N90" s="519">
        <f t="shared" ref="N90:N96" si="2">111+6+18</f>
        <v>135</v>
      </c>
      <c r="O90" s="502">
        <f>65688+7928</f>
        <v>73616</v>
      </c>
      <c r="P90" s="520">
        <v>243</v>
      </c>
      <c r="Q90" s="519">
        <v>2389</v>
      </c>
      <c r="R90" s="521">
        <v>3782.16</v>
      </c>
      <c r="S90" s="520">
        <v>11</v>
      </c>
      <c r="T90" s="519">
        <v>48</v>
      </c>
      <c r="U90" s="522">
        <v>1847484</v>
      </c>
      <c r="V90" s="520">
        <v>4087</v>
      </c>
      <c r="W90" s="519">
        <v>1</v>
      </c>
      <c r="X90" s="211"/>
      <c r="Y90" s="209"/>
      <c r="Z90" s="211"/>
      <c r="AA90" s="38"/>
      <c r="AB90" s="795">
        <f t="shared" si="1"/>
        <v>20003878.16</v>
      </c>
      <c r="AE90" s="795">
        <f t="shared" ref="AE90:AE144" si="3">E90+G90+N90</f>
        <v>10163</v>
      </c>
      <c r="AG90" s="795"/>
    </row>
    <row r="91" spans="1:33">
      <c r="A91" s="795"/>
      <c r="B91" s="157">
        <f>'1. LDC Info'!$F$27-6</f>
        <v>2016</v>
      </c>
      <c r="C91" s="37" t="s">
        <v>116</v>
      </c>
      <c r="D91" s="502">
        <v>5215740</v>
      </c>
      <c r="E91" s="519">
        <f>8003+946</f>
        <v>8949</v>
      </c>
      <c r="F91" s="502">
        <f>2145349+148563</f>
        <v>2293912</v>
      </c>
      <c r="G91" s="519">
        <f>994+92</f>
        <v>1086</v>
      </c>
      <c r="H91" s="522">
        <v>51151</v>
      </c>
      <c r="I91" s="519">
        <v>85</v>
      </c>
      <c r="J91" s="522"/>
      <c r="K91" s="519"/>
      <c r="L91" s="502">
        <f>7126712+269760+3741784+235776</f>
        <v>11374032</v>
      </c>
      <c r="M91" s="503">
        <f>12718+1090+11837+724</f>
        <v>26369</v>
      </c>
      <c r="N91" s="519">
        <f t="shared" si="2"/>
        <v>135</v>
      </c>
      <c r="O91" s="502">
        <f>58679+7082</f>
        <v>65761</v>
      </c>
      <c r="P91" s="503">
        <v>243</v>
      </c>
      <c r="Q91" s="519">
        <v>2389</v>
      </c>
      <c r="R91" s="521">
        <v>3782.16</v>
      </c>
      <c r="S91" s="520">
        <v>11</v>
      </c>
      <c r="T91" s="519">
        <v>48</v>
      </c>
      <c r="U91" s="522">
        <v>1511338</v>
      </c>
      <c r="V91" s="520">
        <v>3606</v>
      </c>
      <c r="W91" s="519">
        <v>1</v>
      </c>
      <c r="X91" s="211"/>
      <c r="Y91" s="209"/>
      <c r="Z91" s="211"/>
      <c r="AA91" s="38"/>
      <c r="AB91" s="795">
        <f t="shared" si="1"/>
        <v>20515716.16</v>
      </c>
      <c r="AE91" s="795">
        <f t="shared" si="3"/>
        <v>10170</v>
      </c>
      <c r="AG91" s="795"/>
    </row>
    <row r="92" spans="1:33">
      <c r="A92" s="795"/>
      <c r="B92" s="157">
        <f>'1. LDC Info'!$F$27-6</f>
        <v>2016</v>
      </c>
      <c r="C92" s="37" t="s">
        <v>117</v>
      </c>
      <c r="D92" s="502">
        <v>7247901</v>
      </c>
      <c r="E92" s="519">
        <f>8043+947</f>
        <v>8990</v>
      </c>
      <c r="F92" s="502">
        <f>2481522+168381</f>
        <v>2649903</v>
      </c>
      <c r="G92" s="519">
        <f>991+92</f>
        <v>1083</v>
      </c>
      <c r="H92" s="522">
        <v>51151</v>
      </c>
      <c r="I92" s="519">
        <v>84</v>
      </c>
      <c r="J92" s="522"/>
      <c r="K92" s="519"/>
      <c r="L92" s="502">
        <f>1310155+191820+3926165+234380</f>
        <v>5662520</v>
      </c>
      <c r="M92" s="503">
        <f>11861+953+11843+706</f>
        <v>25363</v>
      </c>
      <c r="N92" s="519">
        <f t="shared" si="2"/>
        <v>135</v>
      </c>
      <c r="O92" s="502">
        <f>62319+7522</f>
        <v>69841</v>
      </c>
      <c r="P92" s="520">
        <v>243</v>
      </c>
      <c r="Q92" s="519">
        <v>2389</v>
      </c>
      <c r="R92" s="521">
        <v>3782.16</v>
      </c>
      <c r="S92" s="520">
        <v>11</v>
      </c>
      <c r="T92" s="519">
        <v>48</v>
      </c>
      <c r="U92" s="522">
        <v>1374248</v>
      </c>
      <c r="V92" s="520">
        <v>3111</v>
      </c>
      <c r="W92" s="519">
        <v>1</v>
      </c>
      <c r="X92" s="211"/>
      <c r="Y92" s="209"/>
      <c r="Z92" s="211"/>
      <c r="AA92" s="38"/>
      <c r="AB92" s="795">
        <f t="shared" si="1"/>
        <v>17059346.16</v>
      </c>
      <c r="AE92" s="795">
        <f t="shared" si="3"/>
        <v>10208</v>
      </c>
      <c r="AG92" s="795"/>
    </row>
    <row r="93" spans="1:33">
      <c r="A93" s="795"/>
      <c r="B93" s="157">
        <f>'1. LDC Info'!$F$27-6</f>
        <v>2016</v>
      </c>
      <c r="C93" s="37" t="s">
        <v>107</v>
      </c>
      <c r="D93" s="502">
        <v>8389788</v>
      </c>
      <c r="E93" s="519">
        <f>8047+947</f>
        <v>8994</v>
      </c>
      <c r="F93" s="502">
        <f>2656267+178342</f>
        <v>2834609</v>
      </c>
      <c r="G93" s="519">
        <f>993+92</f>
        <v>1085</v>
      </c>
      <c r="H93" s="522">
        <v>51101</v>
      </c>
      <c r="I93" s="519">
        <v>84</v>
      </c>
      <c r="J93" s="522"/>
      <c r="K93" s="519"/>
      <c r="L93" s="502">
        <f>4407747+271260+4188691+232169</f>
        <v>9099867</v>
      </c>
      <c r="M93" s="503">
        <f>14060+1201+11231+644</f>
        <v>27136</v>
      </c>
      <c r="N93" s="519">
        <f t="shared" si="2"/>
        <v>135</v>
      </c>
      <c r="O93" s="502">
        <f>70740+8538</f>
        <v>79278</v>
      </c>
      <c r="P93" s="503">
        <v>243</v>
      </c>
      <c r="Q93" s="519">
        <v>2593</v>
      </c>
      <c r="R93" s="521">
        <v>3782.16</v>
      </c>
      <c r="S93" s="520">
        <v>11</v>
      </c>
      <c r="T93" s="519">
        <v>48</v>
      </c>
      <c r="U93" s="522">
        <v>1416039</v>
      </c>
      <c r="V93" s="520">
        <v>3578</v>
      </c>
      <c r="W93" s="519">
        <v>1</v>
      </c>
      <c r="X93" s="211"/>
      <c r="Y93" s="209"/>
      <c r="Z93" s="211"/>
      <c r="AA93" s="38"/>
      <c r="AB93" s="795">
        <f t="shared" si="1"/>
        <v>21874464.16</v>
      </c>
      <c r="AE93" s="795">
        <f t="shared" si="3"/>
        <v>10214</v>
      </c>
      <c r="AG93" s="795"/>
    </row>
    <row r="94" spans="1:33">
      <c r="A94" s="795"/>
      <c r="B94" s="157">
        <f>'1. LDC Info'!$F$27-6</f>
        <v>2016</v>
      </c>
      <c r="C94" s="37" t="s">
        <v>108</v>
      </c>
      <c r="D94" s="502">
        <v>6854221</v>
      </c>
      <c r="E94" s="519">
        <f>8047+950</f>
        <v>8997</v>
      </c>
      <c r="F94" s="502">
        <f>2345345+155451</f>
        <v>2500796</v>
      </c>
      <c r="G94" s="519">
        <f>991+92</f>
        <v>1083</v>
      </c>
      <c r="H94" s="522">
        <v>50193</v>
      </c>
      <c r="I94" s="519">
        <v>84</v>
      </c>
      <c r="J94" s="522"/>
      <c r="K94" s="519"/>
      <c r="L94" s="502">
        <f>4589888+148880+4156075+222361</f>
        <v>9117204</v>
      </c>
      <c r="M94" s="503">
        <f>13059+935+13188+749</f>
        <v>27931</v>
      </c>
      <c r="N94" s="519">
        <f t="shared" si="2"/>
        <v>135</v>
      </c>
      <c r="O94" s="502">
        <f>76609+9246</f>
        <v>85855</v>
      </c>
      <c r="P94" s="520">
        <v>243</v>
      </c>
      <c r="Q94" s="519">
        <v>2593</v>
      </c>
      <c r="R94" s="521">
        <v>3782.16</v>
      </c>
      <c r="S94" s="520">
        <v>11</v>
      </c>
      <c r="T94" s="519">
        <v>48</v>
      </c>
      <c r="U94" s="522">
        <v>1492594</v>
      </c>
      <c r="V94" s="520">
        <v>3405</v>
      </c>
      <c r="W94" s="519">
        <v>1</v>
      </c>
      <c r="X94" s="211"/>
      <c r="Y94" s="209"/>
      <c r="Z94" s="211"/>
      <c r="AA94" s="38"/>
      <c r="AB94" s="795">
        <f t="shared" si="1"/>
        <v>20104645.16</v>
      </c>
      <c r="AE94" s="795">
        <f t="shared" si="3"/>
        <v>10215</v>
      </c>
      <c r="AG94" s="795"/>
    </row>
    <row r="95" spans="1:33">
      <c r="A95" s="795"/>
      <c r="B95" s="157">
        <f>'1. LDC Info'!$F$27-6</f>
        <v>2016</v>
      </c>
      <c r="C95" s="37" t="s">
        <v>109</v>
      </c>
      <c r="D95" s="502">
        <v>6141035</v>
      </c>
      <c r="E95" s="519">
        <f>8058+954</f>
        <v>9012</v>
      </c>
      <c r="F95" s="502">
        <f>2062330+158722</f>
        <v>2221052</v>
      </c>
      <c r="G95" s="519">
        <f>991+92</f>
        <v>1083</v>
      </c>
      <c r="H95" s="522">
        <v>51489</v>
      </c>
      <c r="I95" s="519">
        <v>84</v>
      </c>
      <c r="J95" s="522"/>
      <c r="K95" s="519"/>
      <c r="L95" s="502">
        <f>3930511+430560+3687743+234345</f>
        <v>8283159</v>
      </c>
      <c r="M95" s="503">
        <f>12713+1521+10856+682</f>
        <v>25772</v>
      </c>
      <c r="N95" s="519">
        <f t="shared" si="2"/>
        <v>135</v>
      </c>
      <c r="O95" s="502">
        <f>89268+10774</f>
        <v>100042</v>
      </c>
      <c r="P95" s="503">
        <v>243</v>
      </c>
      <c r="Q95" s="519">
        <v>2593</v>
      </c>
      <c r="R95" s="521">
        <v>3782.16</v>
      </c>
      <c r="S95" s="520">
        <v>11</v>
      </c>
      <c r="T95" s="519">
        <v>48</v>
      </c>
      <c r="U95" s="522">
        <v>1255156</v>
      </c>
      <c r="V95" s="520">
        <v>3189</v>
      </c>
      <c r="W95" s="519">
        <v>1</v>
      </c>
      <c r="X95" s="211"/>
      <c r="Y95" s="209"/>
      <c r="Z95" s="211"/>
      <c r="AA95" s="38"/>
      <c r="AB95" s="795">
        <f t="shared" si="1"/>
        <v>18055715.16</v>
      </c>
      <c r="AE95" s="795">
        <f t="shared" si="3"/>
        <v>10230</v>
      </c>
      <c r="AG95" s="795"/>
    </row>
    <row r="96" spans="1:33">
      <c r="A96" s="795"/>
      <c r="B96" s="157">
        <f>'1. LDC Info'!$F$27-6</f>
        <v>2016</v>
      </c>
      <c r="C96" s="37" t="s">
        <v>106</v>
      </c>
      <c r="D96" s="502">
        <v>6391444</v>
      </c>
      <c r="E96" s="519">
        <f>8092+952</f>
        <v>9044</v>
      </c>
      <c r="F96" s="502">
        <f>2390449+172145</f>
        <v>2562594</v>
      </c>
      <c r="G96" s="519">
        <f>991+92</f>
        <v>1083</v>
      </c>
      <c r="H96" s="521">
        <v>51101</v>
      </c>
      <c r="I96" s="519">
        <v>84</v>
      </c>
      <c r="J96" s="521"/>
      <c r="K96" s="519"/>
      <c r="L96" s="502">
        <f>4311353+298640+3521874+253581</f>
        <v>8385448</v>
      </c>
      <c r="M96" s="520">
        <f>12337+1121+10031+708</f>
        <v>24197</v>
      </c>
      <c r="N96" s="519">
        <f t="shared" si="2"/>
        <v>135</v>
      </c>
      <c r="O96" s="502">
        <f>94538+11410</f>
        <v>105948</v>
      </c>
      <c r="P96" s="520">
        <v>243</v>
      </c>
      <c r="Q96" s="519">
        <v>2593</v>
      </c>
      <c r="R96" s="521">
        <v>3782.16</v>
      </c>
      <c r="S96" s="520">
        <v>11</v>
      </c>
      <c r="T96" s="519">
        <v>48</v>
      </c>
      <c r="U96" s="521">
        <v>1282674</v>
      </c>
      <c r="V96" s="520">
        <v>2725</v>
      </c>
      <c r="W96" s="519">
        <v>1</v>
      </c>
      <c r="X96" s="211"/>
      <c r="Y96" s="209"/>
      <c r="Z96" s="211"/>
      <c r="AA96" s="38"/>
      <c r="AB96" s="795">
        <f t="shared" si="1"/>
        <v>18782991.16</v>
      </c>
      <c r="AC96" s="795">
        <f>SUM(AB85:AB96)</f>
        <v>237051157.91999999</v>
      </c>
      <c r="AD96" s="23">
        <v>2016</v>
      </c>
      <c r="AE96" s="795">
        <f t="shared" si="3"/>
        <v>10262</v>
      </c>
      <c r="AG96" s="795"/>
    </row>
    <row r="97" spans="2:31">
      <c r="B97" s="157">
        <f>'1. LDC Info'!$F$27-5</f>
        <v>2017</v>
      </c>
      <c r="C97" s="37" t="s">
        <v>110</v>
      </c>
      <c r="D97" s="502">
        <v>7302106.333333333</v>
      </c>
      <c r="E97" s="519">
        <f>8070+952</f>
        <v>9022</v>
      </c>
      <c r="F97" s="502">
        <v>2443965</v>
      </c>
      <c r="G97" s="519">
        <f>991+92</f>
        <v>1083</v>
      </c>
      <c r="H97" s="1015">
        <v>51238</v>
      </c>
      <c r="I97" s="519">
        <v>84</v>
      </c>
      <c r="J97" s="1015"/>
      <c r="K97" s="519"/>
      <c r="L97" s="502">
        <v>8404087</v>
      </c>
      <c r="M97" s="520">
        <f>13356+1163+10026</f>
        <v>24545</v>
      </c>
      <c r="N97" s="519">
        <f>111+6+18</f>
        <v>135</v>
      </c>
      <c r="O97" s="502">
        <f>102743+12400</f>
        <v>115143</v>
      </c>
      <c r="P97" s="520">
        <f>217+26</f>
        <v>243</v>
      </c>
      <c r="Q97" s="519">
        <v>2593</v>
      </c>
      <c r="R97" s="521">
        <v>3782.16</v>
      </c>
      <c r="S97" s="520">
        <v>11</v>
      </c>
      <c r="T97" s="519">
        <v>48</v>
      </c>
      <c r="U97" s="1015">
        <v>990834</v>
      </c>
      <c r="V97" s="520">
        <v>2954</v>
      </c>
      <c r="W97" s="519">
        <v>1</v>
      </c>
      <c r="X97" s="40"/>
      <c r="Y97" s="209"/>
      <c r="Z97" s="40"/>
      <c r="AA97" s="38"/>
      <c r="AB97" s="795">
        <f t="shared" si="1"/>
        <v>19311155.493333332</v>
      </c>
      <c r="AE97" s="795">
        <f t="shared" si="3"/>
        <v>10240</v>
      </c>
    </row>
    <row r="98" spans="2:31">
      <c r="B98" s="157">
        <f>'1. LDC Info'!$F$27-5</f>
        <v>2017</v>
      </c>
      <c r="C98" s="37" t="s">
        <v>111</v>
      </c>
      <c r="D98" s="502">
        <v>9379703.333333334</v>
      </c>
      <c r="E98" s="519">
        <f>8071+958</f>
        <v>9029</v>
      </c>
      <c r="F98" s="502">
        <v>3210244</v>
      </c>
      <c r="G98" s="519">
        <f>992+93</f>
        <v>1085</v>
      </c>
      <c r="H98" s="1015">
        <v>52375</v>
      </c>
      <c r="I98" s="519">
        <v>84</v>
      </c>
      <c r="J98" s="1015"/>
      <c r="K98" s="519"/>
      <c r="L98" s="502">
        <v>9177742</v>
      </c>
      <c r="M98" s="520">
        <f>13101+1116+9693</f>
        <v>23910</v>
      </c>
      <c r="N98" s="519">
        <f>112+6+18</f>
        <v>136</v>
      </c>
      <c r="O98" s="502">
        <f>101058+12197</f>
        <v>113255</v>
      </c>
      <c r="P98" s="520">
        <f>217+26</f>
        <v>243</v>
      </c>
      <c r="Q98" s="519">
        <v>2593</v>
      </c>
      <c r="R98" s="521">
        <v>3782.16</v>
      </c>
      <c r="S98" s="520">
        <v>11</v>
      </c>
      <c r="T98" s="519">
        <v>48</v>
      </c>
      <c r="U98" s="1015">
        <v>1254132</v>
      </c>
      <c r="V98" s="520">
        <v>3156</v>
      </c>
      <c r="W98" s="519">
        <v>1</v>
      </c>
      <c r="X98" s="40"/>
      <c r="Y98" s="209"/>
      <c r="Z98" s="40"/>
      <c r="AA98" s="38"/>
      <c r="AB98" s="795">
        <f t="shared" si="1"/>
        <v>23191233.493333336</v>
      </c>
      <c r="AE98" s="795">
        <f t="shared" si="3"/>
        <v>10250</v>
      </c>
    </row>
    <row r="99" spans="2:31">
      <c r="B99" s="157">
        <f>'1. LDC Info'!$F$27-5</f>
        <v>2017</v>
      </c>
      <c r="C99" s="37" t="s">
        <v>112</v>
      </c>
      <c r="D99" s="502">
        <v>7291136.333333333</v>
      </c>
      <c r="E99" s="519">
        <f>8077+958</f>
        <v>9035</v>
      </c>
      <c r="F99" s="502">
        <v>2889302</v>
      </c>
      <c r="G99" s="519">
        <f>992+93</f>
        <v>1085</v>
      </c>
      <c r="H99" s="1015">
        <v>51101</v>
      </c>
      <c r="I99" s="519">
        <v>84</v>
      </c>
      <c r="J99" s="1015"/>
      <c r="K99" s="519"/>
      <c r="L99" s="502">
        <v>7871161</v>
      </c>
      <c r="M99" s="520">
        <f>12002+1254+9284</f>
        <v>22540</v>
      </c>
      <c r="N99" s="519">
        <f>111+6+18</f>
        <v>135</v>
      </c>
      <c r="O99" s="502">
        <f>83672+10099</f>
        <v>93771</v>
      </c>
      <c r="P99" s="520">
        <f t="shared" ref="P99:P138" si="4">217+26</f>
        <v>243</v>
      </c>
      <c r="Q99" s="519">
        <v>2593</v>
      </c>
      <c r="R99" s="521">
        <v>3782.16</v>
      </c>
      <c r="S99" s="520">
        <v>11</v>
      </c>
      <c r="T99" s="519">
        <v>48</v>
      </c>
      <c r="U99" s="1015">
        <v>1561470</v>
      </c>
      <c r="V99" s="520">
        <v>3648</v>
      </c>
      <c r="W99" s="519">
        <v>1</v>
      </c>
      <c r="X99" s="40"/>
      <c r="Y99" s="209"/>
      <c r="Z99" s="40"/>
      <c r="AA99" s="38"/>
      <c r="AB99" s="795">
        <f t="shared" si="1"/>
        <v>19761723.493333332</v>
      </c>
      <c r="AE99" s="795">
        <f t="shared" si="3"/>
        <v>10255</v>
      </c>
    </row>
    <row r="100" spans="2:31">
      <c r="B100" s="157">
        <f>'1. LDC Info'!$F$27-5</f>
        <v>2017</v>
      </c>
      <c r="C100" s="37" t="s">
        <v>113</v>
      </c>
      <c r="D100" s="502">
        <v>7072035.333333333</v>
      </c>
      <c r="E100" s="519">
        <f>8088+958</f>
        <v>9046</v>
      </c>
      <c r="F100" s="502">
        <v>2588219</v>
      </c>
      <c r="G100" s="519">
        <f>993+93</f>
        <v>1086</v>
      </c>
      <c r="H100" s="1015">
        <v>51375</v>
      </c>
      <c r="I100" s="519">
        <v>84</v>
      </c>
      <c r="J100" s="1015"/>
      <c r="K100" s="519"/>
      <c r="L100" s="502">
        <v>8986398</v>
      </c>
      <c r="M100" s="520">
        <f>12990+1253+10264</f>
        <v>24507</v>
      </c>
      <c r="N100" s="519">
        <f>111+6+18</f>
        <v>135</v>
      </c>
      <c r="O100" s="502">
        <v>94379</v>
      </c>
      <c r="P100" s="520">
        <f t="shared" si="4"/>
        <v>243</v>
      </c>
      <c r="Q100" s="519">
        <v>2593</v>
      </c>
      <c r="R100" s="521">
        <v>3782.16</v>
      </c>
      <c r="S100" s="520">
        <v>11</v>
      </c>
      <c r="T100" s="519">
        <v>48</v>
      </c>
      <c r="U100" s="1015">
        <v>1853575</v>
      </c>
      <c r="V100" s="520">
        <v>3448</v>
      </c>
      <c r="W100" s="519">
        <v>1</v>
      </c>
      <c r="X100" s="40"/>
      <c r="Y100" s="209"/>
      <c r="Z100" s="40"/>
      <c r="AA100" s="38"/>
      <c r="AB100" s="795">
        <f t="shared" si="1"/>
        <v>20649763.493333332</v>
      </c>
      <c r="AE100" s="795">
        <f t="shared" si="3"/>
        <v>10267</v>
      </c>
    </row>
    <row r="101" spans="2:31">
      <c r="B101" s="157">
        <f>'1. LDC Info'!$F$27-5</f>
        <v>2017</v>
      </c>
      <c r="C101" s="37" t="s">
        <v>114</v>
      </c>
      <c r="D101" s="502">
        <v>7362437.333333333</v>
      </c>
      <c r="E101" s="519">
        <f>8102+958</f>
        <v>9060</v>
      </c>
      <c r="F101" s="502">
        <f>2530419+144576</f>
        <v>2674995</v>
      </c>
      <c r="G101" s="519">
        <f>1003+93</f>
        <v>1096</v>
      </c>
      <c r="H101" s="1015">
        <v>51621</v>
      </c>
      <c r="I101" s="519">
        <v>84</v>
      </c>
      <c r="J101" s="1015"/>
      <c r="K101" s="519"/>
      <c r="L101" s="502">
        <v>8153950</v>
      </c>
      <c r="M101" s="520">
        <f>12018+1153+9769</f>
        <v>22940</v>
      </c>
      <c r="N101" s="519">
        <f>101+6+18</f>
        <v>125</v>
      </c>
      <c r="O101" s="502">
        <v>80375</v>
      </c>
      <c r="P101" s="520">
        <f t="shared" si="4"/>
        <v>243</v>
      </c>
      <c r="Q101" s="519">
        <v>2593</v>
      </c>
      <c r="R101" s="521">
        <v>3782.16</v>
      </c>
      <c r="S101" s="520">
        <v>11</v>
      </c>
      <c r="T101" s="519">
        <v>48</v>
      </c>
      <c r="U101" s="1015">
        <v>1769573</v>
      </c>
      <c r="V101" s="520">
        <v>3485</v>
      </c>
      <c r="W101" s="519">
        <v>1</v>
      </c>
      <c r="X101" s="40"/>
      <c r="Y101" s="209"/>
      <c r="Z101" s="40"/>
      <c r="AA101" s="38"/>
      <c r="AB101" s="795">
        <f t="shared" si="1"/>
        <v>20096733.493333332</v>
      </c>
      <c r="AE101" s="795">
        <f t="shared" si="3"/>
        <v>10281</v>
      </c>
    </row>
    <row r="102" spans="2:31">
      <c r="B102" s="157">
        <f>'1. LDC Info'!$F$27-5</f>
        <v>2017</v>
      </c>
      <c r="C102" s="37" t="s">
        <v>115</v>
      </c>
      <c r="D102" s="502">
        <v>5747155.333333333</v>
      </c>
      <c r="E102" s="519">
        <f>8117+958</f>
        <v>9075</v>
      </c>
      <c r="F102" s="502">
        <f>2234750+151242</f>
        <v>2385992</v>
      </c>
      <c r="G102" s="519">
        <f>1006+93</f>
        <v>1099</v>
      </c>
      <c r="H102" s="1015">
        <v>51101</v>
      </c>
      <c r="I102" s="519">
        <v>84</v>
      </c>
      <c r="J102" s="1015"/>
      <c r="K102" s="519"/>
      <c r="L102" s="502">
        <v>8220364</v>
      </c>
      <c r="M102" s="520">
        <f>12075+1139+10387</f>
        <v>23601</v>
      </c>
      <c r="N102" s="519">
        <f>102+6+18</f>
        <v>126</v>
      </c>
      <c r="O102" s="502">
        <v>73616</v>
      </c>
      <c r="P102" s="520">
        <f t="shared" si="4"/>
        <v>243</v>
      </c>
      <c r="Q102" s="519">
        <v>2593</v>
      </c>
      <c r="R102" s="521">
        <v>3782.16</v>
      </c>
      <c r="S102" s="520">
        <v>11</v>
      </c>
      <c r="T102" s="519">
        <v>48</v>
      </c>
      <c r="U102" s="1015">
        <v>1790795</v>
      </c>
      <c r="V102" s="520">
        <v>3300</v>
      </c>
      <c r="W102" s="519">
        <v>1</v>
      </c>
      <c r="X102" s="40"/>
      <c r="Y102" s="209"/>
      <c r="Z102" s="40"/>
      <c r="AA102" s="38"/>
      <c r="AB102" s="795">
        <f t="shared" si="1"/>
        <v>18272805.493333332</v>
      </c>
      <c r="AE102" s="795">
        <f t="shared" si="3"/>
        <v>10300</v>
      </c>
    </row>
    <row r="103" spans="2:31">
      <c r="B103" s="157">
        <f>'1. LDC Info'!$F$27-5</f>
        <v>2017</v>
      </c>
      <c r="C103" s="37" t="s">
        <v>116</v>
      </c>
      <c r="D103" s="502">
        <v>4659444.333333333</v>
      </c>
      <c r="E103" s="519">
        <f>8118+959</f>
        <v>9077</v>
      </c>
      <c r="F103" s="502">
        <v>2265717</v>
      </c>
      <c r="G103" s="519">
        <f>1005+93</f>
        <v>1098</v>
      </c>
      <c r="H103" s="1015">
        <v>50581</v>
      </c>
      <c r="I103" s="519">
        <v>84</v>
      </c>
      <c r="J103" s="1015"/>
      <c r="K103" s="519"/>
      <c r="L103" s="502">
        <v>8388707</v>
      </c>
      <c r="M103" s="520">
        <f>12686+1130+10865</f>
        <v>24681</v>
      </c>
      <c r="N103" s="519">
        <f>101+6+18</f>
        <v>125</v>
      </c>
      <c r="O103" s="502">
        <v>65761</v>
      </c>
      <c r="P103" s="520">
        <f t="shared" si="4"/>
        <v>243</v>
      </c>
      <c r="Q103" s="519">
        <v>2593</v>
      </c>
      <c r="R103" s="521">
        <v>3782.16</v>
      </c>
      <c r="S103" s="520">
        <v>11</v>
      </c>
      <c r="T103" s="519">
        <v>48</v>
      </c>
      <c r="U103" s="1015">
        <v>1593439</v>
      </c>
      <c r="V103" s="520">
        <v>3170</v>
      </c>
      <c r="W103" s="519">
        <v>1</v>
      </c>
      <c r="X103" s="40"/>
      <c r="Y103" s="209"/>
      <c r="Z103" s="40"/>
      <c r="AA103" s="38"/>
      <c r="AB103" s="795">
        <f t="shared" si="1"/>
        <v>17027431.493333332</v>
      </c>
      <c r="AE103" s="795">
        <f t="shared" si="3"/>
        <v>10300</v>
      </c>
    </row>
    <row r="104" spans="2:31">
      <c r="B104" s="157">
        <f>'1. LDC Info'!$F$27-5</f>
        <v>2017</v>
      </c>
      <c r="C104" s="37" t="s">
        <v>117</v>
      </c>
      <c r="D104" s="502">
        <v>5001584.333333333</v>
      </c>
      <c r="E104" s="519">
        <f>8125+959</f>
        <v>9084</v>
      </c>
      <c r="F104" s="502">
        <v>2635738</v>
      </c>
      <c r="G104" s="519">
        <f>1006+93</f>
        <v>1099</v>
      </c>
      <c r="H104" s="1015">
        <v>51709</v>
      </c>
      <c r="I104" s="519">
        <v>84</v>
      </c>
      <c r="J104" s="1015"/>
      <c r="K104" s="519"/>
      <c r="L104" s="502">
        <v>7726845</v>
      </c>
      <c r="M104" s="520">
        <f>11050+1294+2771+9761</f>
        <v>24876</v>
      </c>
      <c r="N104" s="519">
        <f>101+6+10+9</f>
        <v>126</v>
      </c>
      <c r="O104" s="502">
        <v>69841</v>
      </c>
      <c r="P104" s="520">
        <f t="shared" si="4"/>
        <v>243</v>
      </c>
      <c r="Q104" s="519">
        <v>2593</v>
      </c>
      <c r="R104" s="521">
        <v>3782.16</v>
      </c>
      <c r="S104" s="520">
        <v>11</v>
      </c>
      <c r="T104" s="519">
        <v>48</v>
      </c>
      <c r="U104" s="1015">
        <v>1756857</v>
      </c>
      <c r="V104" s="520">
        <v>3449</v>
      </c>
      <c r="W104" s="519">
        <v>1</v>
      </c>
      <c r="X104" s="40"/>
      <c r="Y104" s="209"/>
      <c r="Z104" s="40"/>
      <c r="AA104" s="38"/>
      <c r="AB104" s="795">
        <f t="shared" si="1"/>
        <v>17246356.493333332</v>
      </c>
      <c r="AE104" s="795">
        <f t="shared" si="3"/>
        <v>10309</v>
      </c>
    </row>
    <row r="105" spans="2:31">
      <c r="B105" s="157">
        <f>'1. LDC Info'!$F$27-5</f>
        <v>2017</v>
      </c>
      <c r="C105" s="37" t="s">
        <v>107</v>
      </c>
      <c r="D105" s="502">
        <v>7555409.333333333</v>
      </c>
      <c r="E105" s="519">
        <f>8136+959</f>
        <v>9095</v>
      </c>
      <c r="F105" s="502">
        <v>2605866</v>
      </c>
      <c r="G105" s="519">
        <f>1008+94</f>
        <v>1102</v>
      </c>
      <c r="H105" s="1015">
        <v>51101</v>
      </c>
      <c r="I105" s="519">
        <v>84</v>
      </c>
      <c r="J105" s="1015"/>
      <c r="K105" s="519"/>
      <c r="L105" s="502">
        <v>8967679</v>
      </c>
      <c r="M105" s="520">
        <f>11068+912+2796+10461</f>
        <v>25237</v>
      </c>
      <c r="N105" s="519">
        <f>101+6+10+9</f>
        <v>126</v>
      </c>
      <c r="O105" s="502">
        <f>70740+8538</f>
        <v>79278</v>
      </c>
      <c r="P105" s="520">
        <f t="shared" si="4"/>
        <v>243</v>
      </c>
      <c r="Q105" s="519">
        <v>2593</v>
      </c>
      <c r="R105" s="521">
        <v>3782.16</v>
      </c>
      <c r="S105" s="520">
        <v>11</v>
      </c>
      <c r="T105" s="519">
        <v>48</v>
      </c>
      <c r="U105" s="1015">
        <v>1670439</v>
      </c>
      <c r="V105" s="520">
        <v>3490</v>
      </c>
      <c r="W105" s="519">
        <v>1</v>
      </c>
      <c r="X105" s="40"/>
      <c r="Y105" s="209"/>
      <c r="Z105" s="40"/>
      <c r="AA105" s="38"/>
      <c r="AB105" s="795">
        <f t="shared" si="1"/>
        <v>20933554.493333332</v>
      </c>
      <c r="AE105" s="795">
        <f t="shared" si="3"/>
        <v>10323</v>
      </c>
    </row>
    <row r="106" spans="2:31">
      <c r="B106" s="157">
        <f>'1. LDC Info'!$F$27-5</f>
        <v>2017</v>
      </c>
      <c r="C106" s="37" t="s">
        <v>108</v>
      </c>
      <c r="D106" s="502">
        <v>5325955.333333333</v>
      </c>
      <c r="E106" s="519">
        <f>8152+960</f>
        <v>9112</v>
      </c>
      <c r="F106" s="502">
        <f>2380000+151579</f>
        <v>2531579</v>
      </c>
      <c r="G106" s="519">
        <f>1012+94</f>
        <v>1106</v>
      </c>
      <c r="H106" s="1015">
        <v>51101</v>
      </c>
      <c r="I106" s="519">
        <v>84</v>
      </c>
      <c r="J106" s="1015"/>
      <c r="K106" s="519"/>
      <c r="L106" s="502">
        <f>3522791+220700+1049746+3529913</f>
        <v>8323150</v>
      </c>
      <c r="M106" s="520">
        <f>11459+1012+2855+10519</f>
        <v>25845</v>
      </c>
      <c r="N106" s="519">
        <f>101+6+10+9</f>
        <v>126</v>
      </c>
      <c r="O106" s="502">
        <f>76609+9246</f>
        <v>85855</v>
      </c>
      <c r="P106" s="520">
        <f t="shared" si="4"/>
        <v>243</v>
      </c>
      <c r="Q106" s="519">
        <v>2593</v>
      </c>
      <c r="R106" s="521">
        <v>3782.16</v>
      </c>
      <c r="S106" s="520">
        <v>11</v>
      </c>
      <c r="T106" s="519">
        <v>48</v>
      </c>
      <c r="U106" s="1015">
        <v>1395165</v>
      </c>
      <c r="V106" s="520">
        <v>2876</v>
      </c>
      <c r="W106" s="519">
        <v>1</v>
      </c>
      <c r="X106" s="40"/>
      <c r="Y106" s="209"/>
      <c r="Z106" s="40"/>
      <c r="AA106" s="38"/>
      <c r="AB106" s="795">
        <f t="shared" si="1"/>
        <v>17716587.493333332</v>
      </c>
      <c r="AE106" s="795">
        <f t="shared" si="3"/>
        <v>10344</v>
      </c>
    </row>
    <row r="107" spans="2:31">
      <c r="B107" s="157">
        <f>'1. LDC Info'!$F$27-5</f>
        <v>2017</v>
      </c>
      <c r="C107" s="37" t="s">
        <v>109</v>
      </c>
      <c r="D107" s="502">
        <v>3926424.3333333335</v>
      </c>
      <c r="E107" s="519">
        <f>8158+960</f>
        <v>9118</v>
      </c>
      <c r="F107" s="502">
        <f>1912958+156849</f>
        <v>2069807</v>
      </c>
      <c r="G107" s="519">
        <f>1014+94</f>
        <v>1108</v>
      </c>
      <c r="H107" s="1015">
        <v>50581</v>
      </c>
      <c r="I107" s="519">
        <v>84</v>
      </c>
      <c r="J107" s="1015"/>
      <c r="K107" s="519"/>
      <c r="L107" s="502">
        <f>3417516+301407+997326+3526750</f>
        <v>8242999</v>
      </c>
      <c r="M107" s="520">
        <f>11476+1018+2539+10028</f>
        <v>25061</v>
      </c>
      <c r="N107" s="519">
        <f>101+6+10+9</f>
        <v>126</v>
      </c>
      <c r="O107" s="502">
        <f>89268+10774</f>
        <v>100042</v>
      </c>
      <c r="P107" s="520">
        <f t="shared" si="4"/>
        <v>243</v>
      </c>
      <c r="Q107" s="519">
        <v>2593</v>
      </c>
      <c r="R107" s="521">
        <v>3782.16</v>
      </c>
      <c r="S107" s="520">
        <v>11</v>
      </c>
      <c r="T107" s="519">
        <v>48</v>
      </c>
      <c r="U107" s="1015">
        <v>1691791</v>
      </c>
      <c r="V107" s="520">
        <v>3240</v>
      </c>
      <c r="W107" s="519">
        <v>1</v>
      </c>
      <c r="X107" s="40"/>
      <c r="Y107" s="209"/>
      <c r="Z107" s="40"/>
      <c r="AA107" s="38"/>
      <c r="AB107" s="795">
        <f t="shared" si="1"/>
        <v>16085426.493333334</v>
      </c>
      <c r="AE107" s="795">
        <f t="shared" si="3"/>
        <v>10352</v>
      </c>
    </row>
    <row r="108" spans="2:31">
      <c r="B108" s="157">
        <f>'1. LDC Info'!$F$27-5</f>
        <v>2017</v>
      </c>
      <c r="C108" s="37" t="s">
        <v>106</v>
      </c>
      <c r="D108" s="502">
        <v>7343545.333333333</v>
      </c>
      <c r="E108" s="519">
        <f>8162+961</f>
        <v>9123</v>
      </c>
      <c r="F108" s="502">
        <f>2515266+183547</f>
        <v>2698813</v>
      </c>
      <c r="G108" s="519">
        <f>1017+94</f>
        <v>1111</v>
      </c>
      <c r="H108" s="521">
        <v>51758</v>
      </c>
      <c r="I108" s="519">
        <v>84</v>
      </c>
      <c r="J108" s="521"/>
      <c r="K108" s="519"/>
      <c r="L108" s="502">
        <f>4063689+301828+980269+4091691</f>
        <v>9437477</v>
      </c>
      <c r="M108" s="520">
        <f>11333+1028+2754+9405</f>
        <v>24520</v>
      </c>
      <c r="N108" s="519">
        <f>101+6+10+9</f>
        <v>126</v>
      </c>
      <c r="O108" s="502">
        <f>94538+11410</f>
        <v>105948</v>
      </c>
      <c r="P108" s="520">
        <f t="shared" si="4"/>
        <v>243</v>
      </c>
      <c r="Q108" s="519">
        <v>2593</v>
      </c>
      <c r="R108" s="521">
        <v>3782.16</v>
      </c>
      <c r="S108" s="520">
        <v>11</v>
      </c>
      <c r="T108" s="519">
        <v>48</v>
      </c>
      <c r="U108" s="521">
        <v>1628521</v>
      </c>
      <c r="V108" s="520">
        <v>3169</v>
      </c>
      <c r="W108" s="519">
        <v>1</v>
      </c>
      <c r="X108" s="40"/>
      <c r="Y108" s="209"/>
      <c r="Z108" s="40"/>
      <c r="AA108" s="38"/>
      <c r="AB108" s="795">
        <f t="shared" si="1"/>
        <v>21269844.493333332</v>
      </c>
      <c r="AC108" s="795">
        <f>SUM(AB97:AB108)</f>
        <v>231562615.92000005</v>
      </c>
      <c r="AD108" s="23">
        <v>2017</v>
      </c>
      <c r="AE108" s="795">
        <f t="shared" si="3"/>
        <v>10360</v>
      </c>
    </row>
    <row r="109" spans="2:31">
      <c r="B109" s="157">
        <f>'1. LDC Info'!$F$27-4</f>
        <v>2018</v>
      </c>
      <c r="C109" s="37" t="s">
        <v>110</v>
      </c>
      <c r="D109" s="521">
        <f>6452425+1051170</f>
        <v>7503595</v>
      </c>
      <c r="E109" s="519">
        <f>8168+962</f>
        <v>9130</v>
      </c>
      <c r="F109" s="521">
        <f>2998606+243103</f>
        <v>3241709</v>
      </c>
      <c r="G109" s="519">
        <f>1018+94</f>
        <v>1112</v>
      </c>
      <c r="H109" s="1015">
        <v>51238</v>
      </c>
      <c r="I109" s="519">
        <v>84</v>
      </c>
      <c r="J109" s="1015"/>
      <c r="K109" s="519"/>
      <c r="L109" s="502">
        <v>9555475</v>
      </c>
      <c r="M109" s="520">
        <v>14435.6</v>
      </c>
      <c r="N109" s="519">
        <v>125</v>
      </c>
      <c r="O109" s="502">
        <f>102743+12400</f>
        <v>115143</v>
      </c>
      <c r="P109" s="520">
        <f t="shared" si="4"/>
        <v>243</v>
      </c>
      <c r="Q109" s="519">
        <v>2593</v>
      </c>
      <c r="R109" s="521">
        <v>3782.16</v>
      </c>
      <c r="S109" s="520">
        <v>11</v>
      </c>
      <c r="T109" s="519">
        <v>48</v>
      </c>
      <c r="U109" s="1015">
        <v>1571063</v>
      </c>
      <c r="V109" s="520">
        <v>3435.6</v>
      </c>
      <c r="W109" s="519">
        <v>1</v>
      </c>
      <c r="X109" s="40"/>
      <c r="Y109" s="209"/>
      <c r="Z109" s="40"/>
      <c r="AA109" s="38"/>
      <c r="AB109" s="795">
        <f t="shared" si="1"/>
        <v>22042005.16</v>
      </c>
      <c r="AE109" s="795">
        <f t="shared" si="3"/>
        <v>10367</v>
      </c>
    </row>
    <row r="110" spans="2:31">
      <c r="B110" s="157">
        <f>'1. LDC Info'!$F$27-4</f>
        <v>2018</v>
      </c>
      <c r="C110" s="37" t="s">
        <v>111</v>
      </c>
      <c r="D110" s="521">
        <f>6877606+1027349</f>
        <v>7904955</v>
      </c>
      <c r="E110" s="519">
        <f>8174+963</f>
        <v>9137</v>
      </c>
      <c r="F110" s="521">
        <f>3087553+237689</f>
        <v>3325242</v>
      </c>
      <c r="G110" s="519">
        <f>1020+94</f>
        <v>1114</v>
      </c>
      <c r="H110" s="1015">
        <v>1243</v>
      </c>
      <c r="I110" s="519">
        <v>84</v>
      </c>
      <c r="J110" s="1015"/>
      <c r="K110" s="519"/>
      <c r="L110" s="502">
        <v>10056193</v>
      </c>
      <c r="M110" s="520">
        <v>25409.1</v>
      </c>
      <c r="N110" s="519">
        <v>125</v>
      </c>
      <c r="O110" s="502">
        <f>101058+12197</f>
        <v>113255</v>
      </c>
      <c r="P110" s="520">
        <f t="shared" si="4"/>
        <v>243</v>
      </c>
      <c r="Q110" s="519">
        <v>2593</v>
      </c>
      <c r="R110" s="521">
        <v>3782.16</v>
      </c>
      <c r="S110" s="520">
        <v>11</v>
      </c>
      <c r="T110" s="519">
        <v>48</v>
      </c>
      <c r="U110" s="1015">
        <v>1447071</v>
      </c>
      <c r="V110" s="520">
        <v>3291.9</v>
      </c>
      <c r="W110" s="519">
        <v>1</v>
      </c>
      <c r="X110" s="40"/>
      <c r="Y110" s="209"/>
      <c r="Z110" s="40"/>
      <c r="AA110" s="38"/>
      <c r="AB110" s="795">
        <f t="shared" si="1"/>
        <v>22851741.16</v>
      </c>
      <c r="AE110" s="795">
        <f t="shared" si="3"/>
        <v>10376</v>
      </c>
    </row>
    <row r="111" spans="2:31">
      <c r="B111" s="157">
        <f>'1. LDC Info'!$F$27-4</f>
        <v>2018</v>
      </c>
      <c r="C111" s="37" t="s">
        <v>112</v>
      </c>
      <c r="D111" s="521">
        <f>5901867+856957</f>
        <v>6758824</v>
      </c>
      <c r="E111" s="519">
        <f>8190+964</f>
        <v>9154</v>
      </c>
      <c r="F111" s="521">
        <f>2856482+215064</f>
        <v>3071546</v>
      </c>
      <c r="G111" s="519">
        <f>1019+94</f>
        <v>1113</v>
      </c>
      <c r="H111" s="1015">
        <v>101233</v>
      </c>
      <c r="I111" s="519">
        <v>84</v>
      </c>
      <c r="J111" s="1015"/>
      <c r="K111" s="519"/>
      <c r="L111" s="502">
        <v>9406869</v>
      </c>
      <c r="M111" s="520">
        <v>25004.400000000001</v>
      </c>
      <c r="N111" s="519">
        <v>125</v>
      </c>
      <c r="O111" s="502">
        <f>83672+10099</f>
        <v>93771</v>
      </c>
      <c r="P111" s="520">
        <f t="shared" si="4"/>
        <v>243</v>
      </c>
      <c r="Q111" s="519">
        <v>2593</v>
      </c>
      <c r="R111" s="521">
        <v>3782.16</v>
      </c>
      <c r="S111" s="520">
        <v>11</v>
      </c>
      <c r="T111" s="519">
        <v>48</v>
      </c>
      <c r="U111" s="1015">
        <v>1550730</v>
      </c>
      <c r="V111" s="520">
        <v>3273.3</v>
      </c>
      <c r="W111" s="519">
        <v>1</v>
      </c>
      <c r="X111" s="40"/>
      <c r="Y111" s="209"/>
      <c r="Z111" s="40"/>
      <c r="AA111" s="38"/>
      <c r="AB111" s="795">
        <f t="shared" si="1"/>
        <v>20986755.16</v>
      </c>
      <c r="AE111" s="795">
        <f t="shared" si="3"/>
        <v>10392</v>
      </c>
    </row>
    <row r="112" spans="2:31">
      <c r="B112" s="157">
        <f>'1. LDC Info'!$F$27-4</f>
        <v>2018</v>
      </c>
      <c r="C112" s="37" t="s">
        <v>113</v>
      </c>
      <c r="D112" s="521">
        <f>5136050+921762</f>
        <v>6057812</v>
      </c>
      <c r="E112" s="519">
        <f>8216+957</f>
        <v>9173</v>
      </c>
      <c r="F112" s="521">
        <f>2465773+220995</f>
        <v>2686768</v>
      </c>
      <c r="G112" s="519">
        <f>1020+94</f>
        <v>1114</v>
      </c>
      <c r="H112" s="1015">
        <v>51238</v>
      </c>
      <c r="I112" s="519">
        <v>84</v>
      </c>
      <c r="J112" s="1015"/>
      <c r="K112" s="519"/>
      <c r="L112" s="502">
        <v>9237752</v>
      </c>
      <c r="M112" s="520">
        <v>25152.7</v>
      </c>
      <c r="N112" s="519">
        <v>125</v>
      </c>
      <c r="O112" s="502">
        <f>94215+10164</f>
        <v>104379</v>
      </c>
      <c r="P112" s="520">
        <f t="shared" si="4"/>
        <v>243</v>
      </c>
      <c r="Q112" s="519">
        <v>2593</v>
      </c>
      <c r="R112" s="521">
        <v>3706.56</v>
      </c>
      <c r="S112" s="520">
        <v>11</v>
      </c>
      <c r="T112" s="519">
        <v>47</v>
      </c>
      <c r="U112" s="1015">
        <v>1914557</v>
      </c>
      <c r="V112" s="520">
        <v>3501.2</v>
      </c>
      <c r="W112" s="519">
        <v>1</v>
      </c>
      <c r="X112" s="40"/>
      <c r="Y112" s="209"/>
      <c r="Z112" s="40"/>
      <c r="AA112" s="38"/>
      <c r="AB112" s="795">
        <f t="shared" si="1"/>
        <v>20056212.559999999</v>
      </c>
      <c r="AE112" s="795">
        <f t="shared" si="3"/>
        <v>10412</v>
      </c>
    </row>
    <row r="113" spans="2:31">
      <c r="B113" s="157">
        <f>'1. LDC Info'!$F$27-4</f>
        <v>2018</v>
      </c>
      <c r="C113" s="37" t="s">
        <v>114</v>
      </c>
      <c r="D113" s="521">
        <f>5147469+715860</f>
        <v>5863329</v>
      </c>
      <c r="E113" s="519">
        <f>8217+958</f>
        <v>9175</v>
      </c>
      <c r="F113" s="521">
        <f>2585103+164290</f>
        <v>2749393</v>
      </c>
      <c r="G113" s="519">
        <f>1020+95</f>
        <v>1115</v>
      </c>
      <c r="H113" s="1015">
        <v>51202</v>
      </c>
      <c r="I113" s="519">
        <v>84</v>
      </c>
      <c r="J113" s="1015"/>
      <c r="K113" s="519"/>
      <c r="L113" s="502">
        <v>9186291</v>
      </c>
      <c r="M113" s="520">
        <v>24969.599999999999</v>
      </c>
      <c r="N113" s="519">
        <v>125</v>
      </c>
      <c r="O113" s="502">
        <f>71719+8656</f>
        <v>80375</v>
      </c>
      <c r="P113" s="520">
        <f t="shared" si="4"/>
        <v>243</v>
      </c>
      <c r="Q113" s="519">
        <v>2593</v>
      </c>
      <c r="R113" s="521">
        <v>3706.56</v>
      </c>
      <c r="S113" s="520">
        <v>11</v>
      </c>
      <c r="T113" s="519">
        <v>47</v>
      </c>
      <c r="U113" s="1015">
        <v>1942072</v>
      </c>
      <c r="V113" s="520">
        <v>3758.6</v>
      </c>
      <c r="W113" s="519">
        <v>1</v>
      </c>
      <c r="X113" s="40"/>
      <c r="Y113" s="209"/>
      <c r="Z113" s="40"/>
      <c r="AA113" s="38"/>
      <c r="AB113" s="795">
        <f t="shared" si="1"/>
        <v>19876368.559999999</v>
      </c>
      <c r="AE113" s="795">
        <f t="shared" si="3"/>
        <v>10415</v>
      </c>
    </row>
    <row r="114" spans="2:31">
      <c r="B114" s="157">
        <f>'1. LDC Info'!$F$27-4</f>
        <v>2018</v>
      </c>
      <c r="C114" s="37" t="s">
        <v>115</v>
      </c>
      <c r="D114" s="521">
        <f>4154652+598711</f>
        <v>4753363</v>
      </c>
      <c r="E114" s="519">
        <f>8216+961</f>
        <v>9177</v>
      </c>
      <c r="F114" s="521">
        <f>2133562+146760</f>
        <v>2280322</v>
      </c>
      <c r="G114" s="519">
        <f>1023+94</f>
        <v>1117</v>
      </c>
      <c r="H114" s="1015">
        <v>51101</v>
      </c>
      <c r="I114" s="519">
        <v>84</v>
      </c>
      <c r="J114" s="1015"/>
      <c r="K114" s="519"/>
      <c r="L114" s="502">
        <v>9663503</v>
      </c>
      <c r="M114" s="520">
        <v>25755.9</v>
      </c>
      <c r="N114" s="519">
        <v>125</v>
      </c>
      <c r="O114" s="502">
        <f>65688+7928</f>
        <v>73616</v>
      </c>
      <c r="P114" s="520">
        <f t="shared" si="4"/>
        <v>243</v>
      </c>
      <c r="Q114" s="519">
        <v>3082</v>
      </c>
      <c r="R114" s="521">
        <v>3706.56</v>
      </c>
      <c r="S114" s="520">
        <v>11</v>
      </c>
      <c r="T114" s="519">
        <v>47</v>
      </c>
      <c r="U114" s="1015">
        <v>1951881</v>
      </c>
      <c r="V114" s="520">
        <v>3909.7</v>
      </c>
      <c r="W114" s="519">
        <v>1</v>
      </c>
      <c r="X114" s="40"/>
      <c r="Y114" s="209"/>
      <c r="Z114" s="40"/>
      <c r="AA114" s="38"/>
      <c r="AB114" s="795">
        <f t="shared" si="1"/>
        <v>18777492.559999999</v>
      </c>
      <c r="AE114" s="795">
        <f t="shared" si="3"/>
        <v>10419</v>
      </c>
    </row>
    <row r="115" spans="2:31">
      <c r="B115" s="157">
        <f>'1. LDC Info'!$F$27-4</f>
        <v>2018</v>
      </c>
      <c r="C115" s="37" t="s">
        <v>116</v>
      </c>
      <c r="D115" s="521">
        <f>4814889+695654</f>
        <v>5510543</v>
      </c>
      <c r="E115" s="519">
        <f>8236+961</f>
        <v>9197</v>
      </c>
      <c r="F115" s="521">
        <f>2530442+166358</f>
        <v>2696800</v>
      </c>
      <c r="G115" s="519">
        <f>1032+95</f>
        <v>1127</v>
      </c>
      <c r="H115" s="1015">
        <v>51101</v>
      </c>
      <c r="I115" s="519">
        <v>84</v>
      </c>
      <c r="J115" s="1015"/>
      <c r="K115" s="519"/>
      <c r="L115" s="502">
        <v>9283743</v>
      </c>
      <c r="M115" s="520">
        <v>25823</v>
      </c>
      <c r="N115" s="519">
        <v>117</v>
      </c>
      <c r="O115" s="502">
        <f>58679+7082</f>
        <v>65761</v>
      </c>
      <c r="P115" s="520">
        <f t="shared" si="4"/>
        <v>243</v>
      </c>
      <c r="Q115" s="519">
        <v>3082</v>
      </c>
      <c r="R115" s="521">
        <v>3706.56</v>
      </c>
      <c r="S115" s="520">
        <v>11</v>
      </c>
      <c r="T115" s="519">
        <v>47</v>
      </c>
      <c r="U115" s="1015">
        <v>1829183</v>
      </c>
      <c r="V115" s="520">
        <v>3904.2</v>
      </c>
      <c r="W115" s="519">
        <v>1</v>
      </c>
      <c r="X115" s="40"/>
      <c r="Y115" s="209"/>
      <c r="Z115" s="40"/>
      <c r="AA115" s="38"/>
      <c r="AB115" s="795">
        <f t="shared" si="1"/>
        <v>19440837.559999999</v>
      </c>
      <c r="AE115" s="795">
        <f t="shared" si="3"/>
        <v>10441</v>
      </c>
    </row>
    <row r="116" spans="2:31">
      <c r="B116" s="157">
        <f>'1. LDC Info'!$F$27-4</f>
        <v>2018</v>
      </c>
      <c r="C116" s="37" t="s">
        <v>117</v>
      </c>
      <c r="D116" s="521">
        <f>6201161+771552</f>
        <v>6972713</v>
      </c>
      <c r="E116" s="519">
        <f>8241+963</f>
        <v>9204</v>
      </c>
      <c r="F116" s="521">
        <f>2901707+164144</f>
        <v>3065851</v>
      </c>
      <c r="G116" s="519">
        <f>1033+96</f>
        <v>1129</v>
      </c>
      <c r="H116" s="1015">
        <v>51101</v>
      </c>
      <c r="I116" s="519">
        <v>84</v>
      </c>
      <c r="J116" s="1015"/>
      <c r="K116" s="519"/>
      <c r="L116" s="502">
        <v>9677765</v>
      </c>
      <c r="M116" s="520">
        <v>26211.600000000002</v>
      </c>
      <c r="N116" s="519">
        <v>117</v>
      </c>
      <c r="O116" s="502">
        <f>62319+7522</f>
        <v>69841</v>
      </c>
      <c r="P116" s="520">
        <f t="shared" si="4"/>
        <v>243</v>
      </c>
      <c r="Q116" s="519">
        <v>3082</v>
      </c>
      <c r="R116" s="521">
        <v>3706.56</v>
      </c>
      <c r="S116" s="520">
        <v>11</v>
      </c>
      <c r="T116" s="519">
        <v>47</v>
      </c>
      <c r="U116" s="1015">
        <v>1936209</v>
      </c>
      <c r="V116" s="520">
        <v>3953.5</v>
      </c>
      <c r="W116" s="519">
        <v>1</v>
      </c>
      <c r="X116" s="40"/>
      <c r="Y116" s="209"/>
      <c r="Z116" s="40"/>
      <c r="AA116" s="38"/>
      <c r="AB116" s="795">
        <f t="shared" si="1"/>
        <v>21777186.559999999</v>
      </c>
      <c r="AE116" s="795">
        <f t="shared" si="3"/>
        <v>10450</v>
      </c>
    </row>
    <row r="117" spans="2:31">
      <c r="B117" s="157">
        <f>'1. LDC Info'!$F$27-4</f>
        <v>2018</v>
      </c>
      <c r="C117" s="37" t="s">
        <v>107</v>
      </c>
      <c r="D117" s="521">
        <f>5892654+922288</f>
        <v>6814942</v>
      </c>
      <c r="E117" s="519">
        <f>8241+963</f>
        <v>9204</v>
      </c>
      <c r="F117" s="521">
        <f>3028326+196407</f>
        <v>3224733</v>
      </c>
      <c r="G117" s="519">
        <f>1032+96</f>
        <v>1128</v>
      </c>
      <c r="H117" s="1015">
        <v>51101</v>
      </c>
      <c r="I117" s="519">
        <v>84</v>
      </c>
      <c r="J117" s="1015"/>
      <c r="K117" s="519"/>
      <c r="L117" s="502">
        <v>10826864</v>
      </c>
      <c r="M117" s="520">
        <v>27094.7</v>
      </c>
      <c r="N117" s="519">
        <v>117</v>
      </c>
      <c r="O117" s="502">
        <f>70740+8538</f>
        <v>79278</v>
      </c>
      <c r="P117" s="520">
        <f t="shared" si="4"/>
        <v>243</v>
      </c>
      <c r="Q117" s="519">
        <v>3082</v>
      </c>
      <c r="R117" s="521">
        <v>3706.56</v>
      </c>
      <c r="S117" s="520">
        <v>11</v>
      </c>
      <c r="T117" s="519">
        <v>47</v>
      </c>
      <c r="U117" s="1015">
        <v>1395893</v>
      </c>
      <c r="V117" s="520">
        <v>3404.9</v>
      </c>
      <c r="W117" s="519">
        <v>1</v>
      </c>
      <c r="X117" s="40"/>
      <c r="Y117" s="209"/>
      <c r="Z117" s="40"/>
      <c r="AA117" s="38"/>
      <c r="AB117" s="795">
        <f t="shared" si="1"/>
        <v>22396517.559999999</v>
      </c>
      <c r="AE117" s="795">
        <f t="shared" si="3"/>
        <v>10449</v>
      </c>
    </row>
    <row r="118" spans="2:31">
      <c r="B118" s="157">
        <f>'1. LDC Info'!$F$27-4</f>
        <v>2018</v>
      </c>
      <c r="C118" s="37" t="s">
        <v>108</v>
      </c>
      <c r="D118" s="521">
        <f>5700574+615465</f>
        <v>6316039</v>
      </c>
      <c r="E118" s="519">
        <f>8243+963</f>
        <v>9206</v>
      </c>
      <c r="F118" s="521">
        <f>2563897+141835</f>
        <v>2705732</v>
      </c>
      <c r="G118" s="519">
        <f>1035+96</f>
        <v>1131</v>
      </c>
      <c r="H118" s="1015">
        <v>51101</v>
      </c>
      <c r="I118" s="519">
        <v>84</v>
      </c>
      <c r="J118" s="1015"/>
      <c r="K118" s="519"/>
      <c r="L118" s="502">
        <v>4882714.55</v>
      </c>
      <c r="M118" s="520">
        <v>27169.9</v>
      </c>
      <c r="N118" s="519">
        <v>117</v>
      </c>
      <c r="O118" s="502">
        <f>76609+9246</f>
        <v>85855</v>
      </c>
      <c r="P118" s="520">
        <f t="shared" si="4"/>
        <v>243</v>
      </c>
      <c r="Q118" s="519">
        <v>3082</v>
      </c>
      <c r="R118" s="521">
        <v>3706.56</v>
      </c>
      <c r="S118" s="520">
        <v>11</v>
      </c>
      <c r="T118" s="519">
        <v>47</v>
      </c>
      <c r="U118" s="1015">
        <v>1550439</v>
      </c>
      <c r="V118" s="520">
        <v>3883.4</v>
      </c>
      <c r="W118" s="519">
        <v>1</v>
      </c>
      <c r="X118" s="40"/>
      <c r="Y118" s="209"/>
      <c r="Z118" s="40"/>
      <c r="AA118" s="38"/>
      <c r="AB118" s="795">
        <f t="shared" si="1"/>
        <v>15595587.110000001</v>
      </c>
      <c r="AE118" s="795">
        <f t="shared" si="3"/>
        <v>10454</v>
      </c>
    </row>
    <row r="119" spans="2:31">
      <c r="B119" s="157">
        <f>'1. LDC Info'!$F$27-4</f>
        <v>2018</v>
      </c>
      <c r="C119" s="37" t="s">
        <v>109</v>
      </c>
      <c r="D119" s="521">
        <f>4641977+700240</f>
        <v>5342217</v>
      </c>
      <c r="E119" s="519">
        <f>8248+963</f>
        <v>9211</v>
      </c>
      <c r="F119" s="521">
        <f>2379181+172453</f>
        <v>2551634</v>
      </c>
      <c r="G119" s="519">
        <f>1034+96</f>
        <v>1130</v>
      </c>
      <c r="H119" s="1015">
        <v>51119</v>
      </c>
      <c r="I119" s="519">
        <v>84</v>
      </c>
      <c r="J119" s="1015"/>
      <c r="K119" s="519"/>
      <c r="L119" s="502">
        <v>10009040</v>
      </c>
      <c r="M119" s="520">
        <v>25709.5</v>
      </c>
      <c r="N119" s="519">
        <v>115</v>
      </c>
      <c r="O119" s="502">
        <f>89268+10774</f>
        <v>100042</v>
      </c>
      <c r="P119" s="520">
        <f t="shared" si="4"/>
        <v>243</v>
      </c>
      <c r="Q119" s="519">
        <v>3082</v>
      </c>
      <c r="R119" s="521">
        <v>3706.56</v>
      </c>
      <c r="S119" s="520">
        <v>11</v>
      </c>
      <c r="T119" s="519">
        <v>47</v>
      </c>
      <c r="U119" s="1015">
        <v>1652850</v>
      </c>
      <c r="V119" s="520">
        <v>3420.7</v>
      </c>
      <c r="W119" s="519">
        <v>1</v>
      </c>
      <c r="X119" s="40"/>
      <c r="Y119" s="209"/>
      <c r="Z119" s="40"/>
      <c r="AA119" s="38"/>
      <c r="AB119" s="795">
        <f t="shared" si="1"/>
        <v>19710608.559999999</v>
      </c>
      <c r="AE119" s="795">
        <f t="shared" si="3"/>
        <v>10456</v>
      </c>
    </row>
    <row r="120" spans="2:31">
      <c r="B120" s="157">
        <f>'1. LDC Info'!$F$27-4</f>
        <v>2018</v>
      </c>
      <c r="C120" s="37" t="s">
        <v>106</v>
      </c>
      <c r="D120" s="502">
        <f>5253573+880477</f>
        <v>6134050</v>
      </c>
      <c r="E120" s="519">
        <f>8257+963</f>
        <v>9220</v>
      </c>
      <c r="F120" s="502">
        <f>2768478+208893</f>
        <v>2977371</v>
      </c>
      <c r="G120" s="519">
        <f>1032+96</f>
        <v>1128</v>
      </c>
      <c r="H120" s="521">
        <v>51238</v>
      </c>
      <c r="I120" s="519">
        <v>84</v>
      </c>
      <c r="J120" s="521"/>
      <c r="K120" s="519"/>
      <c r="L120" s="502">
        <v>9709566</v>
      </c>
      <c r="M120" s="520">
        <v>24795.4</v>
      </c>
      <c r="N120" s="519">
        <v>116</v>
      </c>
      <c r="O120" s="502">
        <f>94538+11410</f>
        <v>105948</v>
      </c>
      <c r="P120" s="520">
        <f t="shared" si="4"/>
        <v>243</v>
      </c>
      <c r="Q120" s="519">
        <v>3082</v>
      </c>
      <c r="R120" s="521">
        <v>3706.56</v>
      </c>
      <c r="S120" s="520">
        <v>11</v>
      </c>
      <c r="T120" s="519">
        <v>47</v>
      </c>
      <c r="U120" s="521">
        <v>1427275</v>
      </c>
      <c r="V120" s="520">
        <v>3223.8</v>
      </c>
      <c r="W120" s="519">
        <v>1</v>
      </c>
      <c r="X120" s="40"/>
      <c r="Y120" s="209"/>
      <c r="Z120" s="40"/>
      <c r="AA120" s="38"/>
      <c r="AB120" s="795">
        <f t="shared" si="1"/>
        <v>20409154.559999999</v>
      </c>
      <c r="AC120" s="795">
        <f>SUM(AB109:AB120)</f>
        <v>243920467.07000002</v>
      </c>
      <c r="AD120" s="23">
        <v>2018</v>
      </c>
      <c r="AE120" s="795">
        <f t="shared" si="3"/>
        <v>10464</v>
      </c>
    </row>
    <row r="121" spans="2:31">
      <c r="B121" s="157">
        <f>'1. LDC Info'!$F$27-3</f>
        <v>2019</v>
      </c>
      <c r="C121" s="37" t="s">
        <v>110</v>
      </c>
      <c r="D121" s="521">
        <f>6157836+929986</f>
        <v>7087822</v>
      </c>
      <c r="E121" s="519">
        <v>9231</v>
      </c>
      <c r="F121" s="521">
        <v>3056334</v>
      </c>
      <c r="G121" s="519">
        <v>1127</v>
      </c>
      <c r="H121" s="522">
        <v>51238</v>
      </c>
      <c r="I121" s="519">
        <v>84</v>
      </c>
      <c r="J121" s="522"/>
      <c r="K121" s="519"/>
      <c r="L121" s="502">
        <v>9343380</v>
      </c>
      <c r="M121" s="520">
        <v>24060.9</v>
      </c>
      <c r="N121" s="519">
        <v>117</v>
      </c>
      <c r="O121" s="502">
        <v>115143</v>
      </c>
      <c r="P121" s="520">
        <f t="shared" si="4"/>
        <v>243</v>
      </c>
      <c r="Q121" s="519">
        <v>3082</v>
      </c>
      <c r="R121" s="521">
        <v>3706.56</v>
      </c>
      <c r="S121" s="520">
        <v>11</v>
      </c>
      <c r="T121" s="519">
        <v>47</v>
      </c>
      <c r="U121" s="522">
        <v>1127498</v>
      </c>
      <c r="V121" s="520">
        <v>2880</v>
      </c>
      <c r="W121" s="519">
        <v>1</v>
      </c>
      <c r="X121" s="211"/>
      <c r="Y121" s="209"/>
      <c r="Z121" s="211"/>
      <c r="AA121" s="38"/>
      <c r="AB121" s="795">
        <f t="shared" si="1"/>
        <v>20785121.559999999</v>
      </c>
      <c r="AE121" s="795">
        <f t="shared" si="3"/>
        <v>10475</v>
      </c>
    </row>
    <row r="122" spans="2:31">
      <c r="B122" s="157">
        <f>'1. LDC Info'!$F$27-3</f>
        <v>2019</v>
      </c>
      <c r="C122" s="37" t="s">
        <v>111</v>
      </c>
      <c r="D122" s="521">
        <f>6333334+1032381</f>
        <v>7365715</v>
      </c>
      <c r="E122" s="519">
        <v>9235</v>
      </c>
      <c r="F122" s="521">
        <v>3150737</v>
      </c>
      <c r="G122" s="519">
        <v>1128</v>
      </c>
      <c r="H122" s="522">
        <v>51238</v>
      </c>
      <c r="I122" s="519">
        <v>84</v>
      </c>
      <c r="J122" s="522"/>
      <c r="K122" s="519"/>
      <c r="L122" s="502">
        <v>10299895</v>
      </c>
      <c r="M122" s="520">
        <v>25361.9</v>
      </c>
      <c r="N122" s="519">
        <v>117</v>
      </c>
      <c r="O122" s="502">
        <v>113255</v>
      </c>
      <c r="P122" s="520">
        <f t="shared" si="4"/>
        <v>243</v>
      </c>
      <c r="Q122" s="519">
        <v>3082</v>
      </c>
      <c r="R122" s="521">
        <v>3706.56</v>
      </c>
      <c r="S122" s="520">
        <v>11</v>
      </c>
      <c r="T122" s="519">
        <v>47</v>
      </c>
      <c r="U122" s="522">
        <v>1466816</v>
      </c>
      <c r="V122" s="520">
        <v>3206.9</v>
      </c>
      <c r="W122" s="519">
        <v>1</v>
      </c>
      <c r="X122" s="211"/>
      <c r="Y122" s="209"/>
      <c r="Z122" s="211"/>
      <c r="AA122" s="38"/>
      <c r="AB122" s="795">
        <f t="shared" si="1"/>
        <v>22451362.559999999</v>
      </c>
      <c r="AE122" s="795">
        <f t="shared" si="3"/>
        <v>10480</v>
      </c>
    </row>
    <row r="123" spans="2:31">
      <c r="B123" s="157">
        <f>'1. LDC Info'!$F$27-3</f>
        <v>2019</v>
      </c>
      <c r="C123" s="37" t="s">
        <v>112</v>
      </c>
      <c r="D123" s="521">
        <f>6579942+917045</f>
        <v>7496987</v>
      </c>
      <c r="E123" s="519">
        <v>9241</v>
      </c>
      <c r="F123" s="521">
        <v>3325648</v>
      </c>
      <c r="G123" s="519">
        <v>1128</v>
      </c>
      <c r="H123" s="522">
        <v>50718</v>
      </c>
      <c r="I123" s="519">
        <v>84</v>
      </c>
      <c r="J123" s="522"/>
      <c r="K123" s="519"/>
      <c r="L123" s="502">
        <v>9813931</v>
      </c>
      <c r="M123" s="520">
        <v>24536.03</v>
      </c>
      <c r="N123" s="519">
        <v>117</v>
      </c>
      <c r="O123" s="502">
        <v>93771</v>
      </c>
      <c r="P123" s="520">
        <f t="shared" si="4"/>
        <v>243</v>
      </c>
      <c r="Q123" s="519">
        <v>3082</v>
      </c>
      <c r="R123" s="521">
        <v>3706.56</v>
      </c>
      <c r="S123" s="520">
        <v>11</v>
      </c>
      <c r="T123" s="519">
        <v>47</v>
      </c>
      <c r="U123" s="522">
        <v>1588255</v>
      </c>
      <c r="V123" s="520">
        <v>3413.6</v>
      </c>
      <c r="W123" s="519">
        <v>1</v>
      </c>
      <c r="X123" s="211"/>
      <c r="Y123" s="209"/>
      <c r="Z123" s="211"/>
      <c r="AA123" s="38"/>
      <c r="AB123" s="795">
        <f t="shared" si="1"/>
        <v>22373016.559999999</v>
      </c>
      <c r="AE123" s="795">
        <f t="shared" si="3"/>
        <v>10486</v>
      </c>
    </row>
    <row r="124" spans="2:31">
      <c r="B124" s="157">
        <f>'1. LDC Info'!$F$27-3</f>
        <v>2019</v>
      </c>
      <c r="C124" s="37" t="s">
        <v>113</v>
      </c>
      <c r="D124" s="521">
        <f>5732464+905216</f>
        <v>6637680</v>
      </c>
      <c r="E124" s="519">
        <v>9252</v>
      </c>
      <c r="F124" s="521">
        <v>3058081</v>
      </c>
      <c r="G124" s="519">
        <v>1129</v>
      </c>
      <c r="H124" s="522">
        <v>51758</v>
      </c>
      <c r="I124" s="519">
        <v>84</v>
      </c>
      <c r="J124" s="522"/>
      <c r="K124" s="519"/>
      <c r="L124" s="502">
        <v>10988545</v>
      </c>
      <c r="M124" s="520">
        <v>24250.9</v>
      </c>
      <c r="N124" s="519">
        <v>117</v>
      </c>
      <c r="O124" s="502">
        <v>94379</v>
      </c>
      <c r="P124" s="520">
        <f t="shared" si="4"/>
        <v>243</v>
      </c>
      <c r="Q124" s="519">
        <v>3082</v>
      </c>
      <c r="R124" s="521">
        <v>3706.56</v>
      </c>
      <c r="S124" s="520">
        <v>11</v>
      </c>
      <c r="T124" s="519">
        <v>47</v>
      </c>
      <c r="U124" s="522">
        <v>1658837</v>
      </c>
      <c r="V124" s="520">
        <v>3563.2</v>
      </c>
      <c r="W124" s="519">
        <v>1</v>
      </c>
      <c r="X124" s="211"/>
      <c r="Y124" s="209"/>
      <c r="Z124" s="211"/>
      <c r="AA124" s="38"/>
      <c r="AB124" s="795">
        <f t="shared" si="1"/>
        <v>22492986.559999999</v>
      </c>
      <c r="AE124" s="795">
        <f t="shared" si="3"/>
        <v>10498</v>
      </c>
    </row>
    <row r="125" spans="2:31">
      <c r="B125" s="157">
        <f>'1. LDC Info'!$F$27-3</f>
        <v>2019</v>
      </c>
      <c r="C125" s="37" t="s">
        <v>114</v>
      </c>
      <c r="D125" s="521">
        <f>5207383+724988</f>
        <v>5932371</v>
      </c>
      <c r="E125" s="519">
        <v>9262</v>
      </c>
      <c r="F125" s="521">
        <v>2676080</v>
      </c>
      <c r="G125" s="519">
        <v>1130</v>
      </c>
      <c r="H125" s="522">
        <v>51201</v>
      </c>
      <c r="I125" s="519">
        <v>84</v>
      </c>
      <c r="J125" s="522"/>
      <c r="K125" s="519"/>
      <c r="L125" s="502">
        <v>8463831</v>
      </c>
      <c r="M125" s="520">
        <v>23210.1</v>
      </c>
      <c r="N125" s="519">
        <v>117</v>
      </c>
      <c r="O125" s="502">
        <v>80375</v>
      </c>
      <c r="P125" s="520">
        <f t="shared" si="4"/>
        <v>243</v>
      </c>
      <c r="Q125" s="519">
        <v>3082</v>
      </c>
      <c r="R125" s="521">
        <v>3706.56</v>
      </c>
      <c r="S125" s="520">
        <v>11</v>
      </c>
      <c r="T125" s="519">
        <v>47</v>
      </c>
      <c r="U125" s="522">
        <v>1665441</v>
      </c>
      <c r="V125" s="520">
        <v>3266.5</v>
      </c>
      <c r="W125" s="519">
        <v>1</v>
      </c>
      <c r="X125" s="211"/>
      <c r="Y125" s="209"/>
      <c r="Z125" s="211"/>
      <c r="AA125" s="38"/>
      <c r="AB125" s="795">
        <f t="shared" si="1"/>
        <v>18873005.559999999</v>
      </c>
      <c r="AE125" s="795">
        <f t="shared" si="3"/>
        <v>10509</v>
      </c>
    </row>
    <row r="126" spans="2:31">
      <c r="B126" s="157">
        <f>'1. LDC Info'!$F$27-3</f>
        <v>2019</v>
      </c>
      <c r="C126" s="37" t="s">
        <v>115</v>
      </c>
      <c r="D126" s="521">
        <f>4418148+686542</f>
        <v>5104690</v>
      </c>
      <c r="E126" s="519">
        <v>9269</v>
      </c>
      <c r="F126" s="521">
        <v>2552537</v>
      </c>
      <c r="G126" s="519">
        <v>1129</v>
      </c>
      <c r="H126" s="522">
        <v>51101</v>
      </c>
      <c r="I126" s="519">
        <v>84</v>
      </c>
      <c r="J126" s="522"/>
      <c r="K126" s="519"/>
      <c r="L126" s="502">
        <v>9284688</v>
      </c>
      <c r="M126" s="520">
        <v>23292.5</v>
      </c>
      <c r="N126" s="519">
        <v>116</v>
      </c>
      <c r="O126" s="502">
        <v>73616</v>
      </c>
      <c r="P126" s="520">
        <f t="shared" si="4"/>
        <v>243</v>
      </c>
      <c r="Q126" s="519">
        <v>3082</v>
      </c>
      <c r="R126" s="521">
        <v>3706.56</v>
      </c>
      <c r="S126" s="520">
        <v>11</v>
      </c>
      <c r="T126" s="519">
        <v>47</v>
      </c>
      <c r="U126" s="522">
        <v>1607624</v>
      </c>
      <c r="V126" s="520">
        <v>3421.8</v>
      </c>
      <c r="W126" s="519">
        <v>1</v>
      </c>
      <c r="X126" s="211"/>
      <c r="Y126" s="209"/>
      <c r="Z126" s="211"/>
      <c r="AA126" s="38"/>
      <c r="AB126" s="795">
        <f t="shared" si="1"/>
        <v>18677962.559999999</v>
      </c>
      <c r="AE126" s="795">
        <f t="shared" si="3"/>
        <v>10514</v>
      </c>
    </row>
    <row r="127" spans="2:31">
      <c r="B127" s="157">
        <f>'1. LDC Info'!$F$27-3</f>
        <v>2019</v>
      </c>
      <c r="C127" s="37" t="s">
        <v>116</v>
      </c>
      <c r="D127" s="521">
        <f>4368059+604120</f>
        <v>4972179</v>
      </c>
      <c r="E127" s="519">
        <v>9269</v>
      </c>
      <c r="F127" s="521">
        <v>2390520</v>
      </c>
      <c r="G127" s="519">
        <v>1127</v>
      </c>
      <c r="H127" s="522">
        <v>51101</v>
      </c>
      <c r="I127" s="519">
        <v>84</v>
      </c>
      <c r="J127" s="522"/>
      <c r="K127" s="519"/>
      <c r="L127" s="502">
        <v>9083979</v>
      </c>
      <c r="M127" s="520">
        <v>24457.3</v>
      </c>
      <c r="N127" s="519">
        <v>116</v>
      </c>
      <c r="O127" s="502">
        <v>65761</v>
      </c>
      <c r="P127" s="520">
        <f t="shared" si="4"/>
        <v>243</v>
      </c>
      <c r="Q127" s="519">
        <v>3082</v>
      </c>
      <c r="R127" s="521">
        <v>3706.56</v>
      </c>
      <c r="S127" s="520">
        <v>11</v>
      </c>
      <c r="T127" s="519">
        <v>47</v>
      </c>
      <c r="U127" s="522">
        <v>1551568</v>
      </c>
      <c r="V127" s="520">
        <v>3094.5</v>
      </c>
      <c r="W127" s="519">
        <v>1</v>
      </c>
      <c r="X127" s="211"/>
      <c r="Y127" s="209"/>
      <c r="Z127" s="211"/>
      <c r="AA127" s="38"/>
      <c r="AB127" s="795">
        <f t="shared" si="1"/>
        <v>18118814.560000002</v>
      </c>
      <c r="AE127" s="795">
        <f t="shared" si="3"/>
        <v>10512</v>
      </c>
    </row>
    <row r="128" spans="2:31">
      <c r="B128" s="157">
        <f>'1. LDC Info'!$F$27-3</f>
        <v>2019</v>
      </c>
      <c r="C128" s="37" t="s">
        <v>117</v>
      </c>
      <c r="D128" s="521">
        <f>6046012+833065</f>
        <v>6879077</v>
      </c>
      <c r="E128" s="519">
        <v>9271</v>
      </c>
      <c r="F128" s="521">
        <v>3047243</v>
      </c>
      <c r="G128" s="519">
        <v>1131</v>
      </c>
      <c r="H128" s="522">
        <v>51101</v>
      </c>
      <c r="I128" s="519">
        <v>84</v>
      </c>
      <c r="J128" s="522"/>
      <c r="K128" s="519"/>
      <c r="L128" s="502">
        <v>10296547</v>
      </c>
      <c r="M128" s="520">
        <v>19117.5</v>
      </c>
      <c r="N128" s="519">
        <v>112</v>
      </c>
      <c r="O128" s="502">
        <v>69841</v>
      </c>
      <c r="P128" s="520">
        <f t="shared" si="4"/>
        <v>243</v>
      </c>
      <c r="Q128" s="519">
        <v>3082</v>
      </c>
      <c r="R128" s="521">
        <v>3706.56</v>
      </c>
      <c r="S128" s="520">
        <v>11</v>
      </c>
      <c r="T128" s="519">
        <v>47</v>
      </c>
      <c r="U128" s="522">
        <v>1435921</v>
      </c>
      <c r="V128" s="520">
        <v>3128.4</v>
      </c>
      <c r="W128" s="519">
        <v>1</v>
      </c>
      <c r="X128" s="211"/>
      <c r="Y128" s="209"/>
      <c r="Z128" s="211"/>
      <c r="AA128" s="38"/>
      <c r="AB128" s="795">
        <f t="shared" si="1"/>
        <v>21783436.559999999</v>
      </c>
      <c r="AE128" s="795">
        <f t="shared" si="3"/>
        <v>10514</v>
      </c>
    </row>
    <row r="129" spans="2:33">
      <c r="B129" s="157">
        <f>'1. LDC Info'!$F$27-3</f>
        <v>2019</v>
      </c>
      <c r="C129" s="37" t="s">
        <v>107</v>
      </c>
      <c r="D129" s="521">
        <f>5614387+792585</f>
        <v>6406972</v>
      </c>
      <c r="E129" s="519">
        <v>9273</v>
      </c>
      <c r="F129" s="521">
        <v>2943629</v>
      </c>
      <c r="G129" s="519">
        <v>1136</v>
      </c>
      <c r="H129" s="522">
        <v>51101</v>
      </c>
      <c r="I129" s="519">
        <v>84</v>
      </c>
      <c r="J129" s="522"/>
      <c r="K129" s="519"/>
      <c r="L129" s="502">
        <v>9806719</v>
      </c>
      <c r="M129" s="520">
        <v>24564</v>
      </c>
      <c r="N129" s="519">
        <v>110</v>
      </c>
      <c r="O129" s="502">
        <v>79278</v>
      </c>
      <c r="P129" s="520">
        <f t="shared" si="4"/>
        <v>243</v>
      </c>
      <c r="Q129" s="519">
        <v>3082</v>
      </c>
      <c r="R129" s="521">
        <v>3706.56</v>
      </c>
      <c r="S129" s="520">
        <v>11</v>
      </c>
      <c r="T129" s="519">
        <v>47</v>
      </c>
      <c r="U129" s="522">
        <v>1297142</v>
      </c>
      <c r="V129" s="520">
        <v>3025</v>
      </c>
      <c r="W129" s="519">
        <v>1</v>
      </c>
      <c r="X129" s="211"/>
      <c r="Y129" s="209"/>
      <c r="Z129" s="211"/>
      <c r="AA129" s="38"/>
      <c r="AB129" s="795">
        <f t="shared" si="1"/>
        <v>20588547.559999999</v>
      </c>
      <c r="AE129" s="795">
        <f t="shared" si="3"/>
        <v>10519</v>
      </c>
    </row>
    <row r="130" spans="2:33">
      <c r="B130" s="157">
        <f>'1. LDC Info'!$F$27-3</f>
        <v>2019</v>
      </c>
      <c r="C130" s="37" t="s">
        <v>108</v>
      </c>
      <c r="D130" s="521">
        <f>4732241+559977</f>
        <v>5292218</v>
      </c>
      <c r="E130" s="519">
        <v>9282</v>
      </c>
      <c r="F130" s="521">
        <v>2579127</v>
      </c>
      <c r="G130" s="519">
        <v>1135</v>
      </c>
      <c r="H130" s="522">
        <v>51101</v>
      </c>
      <c r="I130" s="519">
        <v>83</v>
      </c>
      <c r="J130" s="522"/>
      <c r="K130" s="519"/>
      <c r="L130" s="502">
        <v>9411967</v>
      </c>
      <c r="M130" s="520">
        <v>24170.7</v>
      </c>
      <c r="N130" s="519">
        <v>111</v>
      </c>
      <c r="O130" s="502">
        <v>85855</v>
      </c>
      <c r="P130" s="520">
        <f t="shared" si="4"/>
        <v>243</v>
      </c>
      <c r="Q130" s="519">
        <v>3082</v>
      </c>
      <c r="R130" s="521">
        <v>3706.56</v>
      </c>
      <c r="S130" s="520">
        <v>11</v>
      </c>
      <c r="T130" s="519">
        <v>47</v>
      </c>
      <c r="U130" s="522">
        <v>1580467</v>
      </c>
      <c r="V130" s="520">
        <v>3459.1</v>
      </c>
      <c r="W130" s="519">
        <v>1</v>
      </c>
      <c r="X130" s="211"/>
      <c r="Y130" s="209"/>
      <c r="Z130" s="211"/>
      <c r="AA130" s="38"/>
      <c r="AB130" s="795">
        <f t="shared" si="1"/>
        <v>19004441.559999999</v>
      </c>
      <c r="AE130" s="795">
        <f t="shared" si="3"/>
        <v>10528</v>
      </c>
    </row>
    <row r="131" spans="2:33">
      <c r="B131" s="157">
        <f>'1. LDC Info'!$F$27-3</f>
        <v>2019</v>
      </c>
      <c r="C131" s="37" t="s">
        <v>109</v>
      </c>
      <c r="D131" s="521">
        <f>4509469+652989</f>
        <v>5162458</v>
      </c>
      <c r="E131" s="519">
        <v>9311</v>
      </c>
      <c r="F131" s="521">
        <v>2625791</v>
      </c>
      <c r="G131" s="519">
        <v>1134</v>
      </c>
      <c r="H131" s="522">
        <v>50545</v>
      </c>
      <c r="I131" s="519">
        <v>83</v>
      </c>
      <c r="J131" s="522"/>
      <c r="K131" s="519"/>
      <c r="L131" s="502">
        <v>9422796</v>
      </c>
      <c r="M131" s="520">
        <v>23602.2</v>
      </c>
      <c r="N131" s="519">
        <v>111</v>
      </c>
      <c r="O131" s="502">
        <v>100042</v>
      </c>
      <c r="P131" s="520">
        <f t="shared" si="4"/>
        <v>243</v>
      </c>
      <c r="Q131" s="519">
        <v>3082</v>
      </c>
      <c r="R131" s="521">
        <v>3638.16</v>
      </c>
      <c r="S131" s="520">
        <v>11</v>
      </c>
      <c r="T131" s="519">
        <v>46</v>
      </c>
      <c r="U131" s="522">
        <v>1246534</v>
      </c>
      <c r="V131" s="520">
        <v>2406.5</v>
      </c>
      <c r="W131" s="519">
        <v>1</v>
      </c>
      <c r="X131" s="211"/>
      <c r="Y131" s="209"/>
      <c r="Z131" s="211"/>
      <c r="AA131" s="38"/>
      <c r="AB131" s="795">
        <f t="shared" si="1"/>
        <v>18611804.16</v>
      </c>
      <c r="AE131" s="795">
        <f t="shared" si="3"/>
        <v>10556</v>
      </c>
    </row>
    <row r="132" spans="2:33">
      <c r="B132" s="157">
        <f>'1. LDC Info'!$F$27-3</f>
        <v>2019</v>
      </c>
      <c r="C132" s="37" t="s">
        <v>106</v>
      </c>
      <c r="D132" s="502">
        <f>5291429+854278</f>
        <v>6145707</v>
      </c>
      <c r="E132" s="519">
        <v>9310</v>
      </c>
      <c r="F132" s="502">
        <v>2804912</v>
      </c>
      <c r="G132" s="519">
        <v>1135</v>
      </c>
      <c r="H132" s="521">
        <v>51707</v>
      </c>
      <c r="I132" s="519">
        <v>83</v>
      </c>
      <c r="J132" s="521"/>
      <c r="K132" s="519"/>
      <c r="L132" s="502">
        <v>9188432</v>
      </c>
      <c r="M132" s="520">
        <v>17755.400000000001</v>
      </c>
      <c r="N132" s="519">
        <v>111</v>
      </c>
      <c r="O132" s="502">
        <v>105948</v>
      </c>
      <c r="P132" s="520">
        <f t="shared" si="4"/>
        <v>243</v>
      </c>
      <c r="Q132" s="519">
        <v>3082</v>
      </c>
      <c r="R132" s="521">
        <v>3638.16</v>
      </c>
      <c r="S132" s="520">
        <v>11</v>
      </c>
      <c r="T132" s="519">
        <v>46</v>
      </c>
      <c r="U132" s="521">
        <v>1691724</v>
      </c>
      <c r="V132" s="520">
        <v>3374.2</v>
      </c>
      <c r="W132" s="519">
        <v>1</v>
      </c>
      <c r="X132" s="211"/>
      <c r="Y132" s="209"/>
      <c r="Z132" s="211"/>
      <c r="AA132" s="38"/>
      <c r="AB132" s="795">
        <f t="shared" si="1"/>
        <v>19992068.16</v>
      </c>
      <c r="AC132" s="795">
        <f>SUM(AB121:AB132)</f>
        <v>243752567.92000002</v>
      </c>
      <c r="AD132" s="23">
        <v>2019</v>
      </c>
      <c r="AE132" s="795">
        <f t="shared" si="3"/>
        <v>10556</v>
      </c>
    </row>
    <row r="133" spans="2:33">
      <c r="B133" s="157">
        <f>'1. LDC Info'!$F$27-2</f>
        <v>2020</v>
      </c>
      <c r="C133" s="37" t="s">
        <v>110</v>
      </c>
      <c r="D133" s="521">
        <v>7145478</v>
      </c>
      <c r="E133" s="519">
        <v>9322</v>
      </c>
      <c r="F133" s="521">
        <v>3187195</v>
      </c>
      <c r="G133" s="519">
        <v>1135</v>
      </c>
      <c r="H133" s="522">
        <v>51187</v>
      </c>
      <c r="I133" s="519">
        <v>83</v>
      </c>
      <c r="J133" s="522"/>
      <c r="K133" s="519"/>
      <c r="L133" s="502">
        <v>8846640</v>
      </c>
      <c r="M133" s="520">
        <v>23676.000000000004</v>
      </c>
      <c r="N133" s="519">
        <v>111</v>
      </c>
      <c r="O133" s="502">
        <v>115143</v>
      </c>
      <c r="P133" s="520">
        <f t="shared" si="4"/>
        <v>243</v>
      </c>
      <c r="Q133" s="519">
        <v>3082</v>
      </c>
      <c r="R133" s="521">
        <v>3638.16</v>
      </c>
      <c r="S133" s="520">
        <v>11</v>
      </c>
      <c r="T133" s="519">
        <v>46</v>
      </c>
      <c r="U133" s="522">
        <v>1219039</v>
      </c>
      <c r="V133" s="520">
        <v>3087.9</v>
      </c>
      <c r="W133" s="519">
        <v>1</v>
      </c>
      <c r="X133" s="211"/>
      <c r="Y133" s="209"/>
      <c r="Z133" s="211"/>
      <c r="AA133" s="38"/>
      <c r="AB133" s="795">
        <f t="shared" si="1"/>
        <v>20568320.16</v>
      </c>
      <c r="AE133" s="795">
        <f t="shared" si="3"/>
        <v>10568</v>
      </c>
    </row>
    <row r="134" spans="2:33">
      <c r="B134" s="157">
        <f>'1. LDC Info'!$F$27-2</f>
        <v>2020</v>
      </c>
      <c r="C134" s="37" t="s">
        <v>111</v>
      </c>
      <c r="D134" s="521">
        <v>7209467</v>
      </c>
      <c r="E134" s="519">
        <v>9334</v>
      </c>
      <c r="F134" s="521">
        <v>3340759</v>
      </c>
      <c r="G134" s="519">
        <v>1137</v>
      </c>
      <c r="H134" s="522">
        <v>51187</v>
      </c>
      <c r="I134" s="519">
        <v>83</v>
      </c>
      <c r="J134" s="522"/>
      <c r="K134" s="519"/>
      <c r="L134" s="502">
        <v>9812966</v>
      </c>
      <c r="M134" s="520">
        <v>23698.91</v>
      </c>
      <c r="N134" s="519">
        <v>111</v>
      </c>
      <c r="O134" s="502">
        <v>113255</v>
      </c>
      <c r="P134" s="520">
        <f t="shared" si="4"/>
        <v>243</v>
      </c>
      <c r="Q134" s="519">
        <v>3082</v>
      </c>
      <c r="R134" s="521">
        <v>3638.16</v>
      </c>
      <c r="S134" s="520">
        <v>11</v>
      </c>
      <c r="T134" s="519">
        <v>46</v>
      </c>
      <c r="U134" s="522">
        <v>1411312</v>
      </c>
      <c r="V134" s="520">
        <v>3055.8</v>
      </c>
      <c r="W134" s="519">
        <v>1</v>
      </c>
      <c r="X134" s="211"/>
      <c r="Y134" s="209"/>
      <c r="Z134" s="211"/>
      <c r="AA134" s="38"/>
      <c r="AB134" s="795">
        <f t="shared" si="1"/>
        <v>21942584.16</v>
      </c>
      <c r="AE134" s="795">
        <f t="shared" si="3"/>
        <v>10582</v>
      </c>
    </row>
    <row r="135" spans="2:33">
      <c r="B135" s="157">
        <f>'1. LDC Info'!$F$27-2</f>
        <v>2020</v>
      </c>
      <c r="C135" s="37" t="s">
        <v>112</v>
      </c>
      <c r="D135" s="521">
        <v>6886934</v>
      </c>
      <c r="E135" s="519">
        <v>9343</v>
      </c>
      <c r="F135" s="521">
        <v>2993138</v>
      </c>
      <c r="G135" s="519">
        <v>1134</v>
      </c>
      <c r="H135" s="522">
        <v>51187</v>
      </c>
      <c r="I135" s="519">
        <v>83</v>
      </c>
      <c r="J135" s="522"/>
      <c r="K135" s="519"/>
      <c r="L135" s="502">
        <v>9051702</v>
      </c>
      <c r="M135" s="520">
        <v>23489.9</v>
      </c>
      <c r="N135" s="519">
        <v>112</v>
      </c>
      <c r="O135" s="502">
        <v>97119</v>
      </c>
      <c r="P135" s="520">
        <f t="shared" si="4"/>
        <v>243</v>
      </c>
      <c r="Q135" s="519">
        <v>3082</v>
      </c>
      <c r="R135" s="521">
        <v>3638.16</v>
      </c>
      <c r="S135" s="520">
        <v>11</v>
      </c>
      <c r="T135" s="519">
        <v>46</v>
      </c>
      <c r="U135" s="522">
        <v>1602165</v>
      </c>
      <c r="V135" s="520">
        <v>3070.2</v>
      </c>
      <c r="W135" s="519">
        <v>1</v>
      </c>
      <c r="X135" s="211"/>
      <c r="Y135" s="209"/>
      <c r="Z135" s="211"/>
      <c r="AA135" s="38"/>
      <c r="AB135" s="795">
        <f t="shared" si="1"/>
        <v>20685883.16</v>
      </c>
      <c r="AE135" s="795">
        <f t="shared" si="3"/>
        <v>10589</v>
      </c>
    </row>
    <row r="136" spans="2:33">
      <c r="B136" s="157">
        <f>'1. LDC Info'!$F$27-2</f>
        <v>2020</v>
      </c>
      <c r="C136" s="37" t="s">
        <v>113</v>
      </c>
      <c r="D136" s="521">
        <v>6403062</v>
      </c>
      <c r="E136" s="519">
        <v>9351</v>
      </c>
      <c r="F136" s="521">
        <v>2782344</v>
      </c>
      <c r="G136" s="519">
        <v>1131</v>
      </c>
      <c r="H136" s="522">
        <v>51187</v>
      </c>
      <c r="I136" s="519">
        <v>83</v>
      </c>
      <c r="J136" s="522"/>
      <c r="K136" s="519"/>
      <c r="L136" s="502">
        <v>8997568</v>
      </c>
      <c r="M136" s="520">
        <v>23242.5</v>
      </c>
      <c r="N136" s="519">
        <v>112</v>
      </c>
      <c r="O136" s="502">
        <v>94379</v>
      </c>
      <c r="P136" s="520">
        <f t="shared" si="4"/>
        <v>243</v>
      </c>
      <c r="Q136" s="519">
        <v>3082</v>
      </c>
      <c r="R136" s="521">
        <v>3638.16</v>
      </c>
      <c r="S136" s="520">
        <v>11</v>
      </c>
      <c r="T136" s="519">
        <v>46</v>
      </c>
      <c r="U136" s="522">
        <v>1333336</v>
      </c>
      <c r="V136" s="520">
        <v>3294.4</v>
      </c>
      <c r="W136" s="519">
        <v>1</v>
      </c>
      <c r="X136" s="211"/>
      <c r="Y136" s="209"/>
      <c r="Z136" s="211"/>
      <c r="AA136" s="38"/>
      <c r="AB136" s="795">
        <f t="shared" si="1"/>
        <v>19665514.16</v>
      </c>
      <c r="AE136" s="795">
        <f t="shared" si="3"/>
        <v>10594</v>
      </c>
    </row>
    <row r="137" spans="2:33">
      <c r="B137" s="157">
        <f>'1. LDC Info'!$F$27-2</f>
        <v>2020</v>
      </c>
      <c r="C137" s="37" t="s">
        <v>114</v>
      </c>
      <c r="D137" s="521">
        <v>6138085</v>
      </c>
      <c r="E137" s="519">
        <v>9362</v>
      </c>
      <c r="F137" s="521">
        <v>2278472</v>
      </c>
      <c r="G137" s="519">
        <v>1130</v>
      </c>
      <c r="H137" s="522">
        <v>51172</v>
      </c>
      <c r="I137" s="519">
        <v>83</v>
      </c>
      <c r="J137" s="522"/>
      <c r="K137" s="519"/>
      <c r="L137" s="502">
        <v>8019541</v>
      </c>
      <c r="M137" s="520">
        <v>21550.7</v>
      </c>
      <c r="N137" s="519">
        <v>108</v>
      </c>
      <c r="O137" s="502">
        <v>80375</v>
      </c>
      <c r="P137" s="520">
        <f t="shared" si="4"/>
        <v>243</v>
      </c>
      <c r="Q137" s="519">
        <v>3082</v>
      </c>
      <c r="R137" s="521">
        <v>3638.16</v>
      </c>
      <c r="S137" s="520">
        <v>11</v>
      </c>
      <c r="T137" s="519">
        <v>46</v>
      </c>
      <c r="U137" s="522">
        <v>1122471</v>
      </c>
      <c r="V137" s="520">
        <v>3305.4</v>
      </c>
      <c r="W137" s="519">
        <v>1</v>
      </c>
      <c r="X137" s="211"/>
      <c r="Y137" s="209"/>
      <c r="Z137" s="211"/>
      <c r="AA137" s="38"/>
      <c r="AB137" s="795">
        <f t="shared" si="1"/>
        <v>17693754.16</v>
      </c>
      <c r="AE137" s="795">
        <f t="shared" si="3"/>
        <v>10600</v>
      </c>
    </row>
    <row r="138" spans="2:33">
      <c r="B138" s="157">
        <f>'1. LDC Info'!$F$27-2</f>
        <v>2020</v>
      </c>
      <c r="C138" s="37" t="s">
        <v>115</v>
      </c>
      <c r="D138" s="521">
        <v>5689192</v>
      </c>
      <c r="E138" s="519">
        <v>9372</v>
      </c>
      <c r="F138" s="521">
        <v>2051950</v>
      </c>
      <c r="G138" s="519">
        <v>1128</v>
      </c>
      <c r="H138" s="522">
        <v>51050</v>
      </c>
      <c r="I138" s="519">
        <v>83</v>
      </c>
      <c r="J138" s="522"/>
      <c r="K138" s="519"/>
      <c r="L138" s="502">
        <v>7793434</v>
      </c>
      <c r="M138" s="520">
        <v>22552.400000000001</v>
      </c>
      <c r="N138" s="519">
        <v>106</v>
      </c>
      <c r="O138" s="502">
        <v>73616</v>
      </c>
      <c r="P138" s="520">
        <f t="shared" si="4"/>
        <v>243</v>
      </c>
      <c r="Q138" s="519">
        <v>3082</v>
      </c>
      <c r="R138" s="521">
        <v>3920.4</v>
      </c>
      <c r="S138" s="520">
        <v>11</v>
      </c>
      <c r="T138" s="519">
        <v>60</v>
      </c>
      <c r="U138" s="522">
        <v>1759966</v>
      </c>
      <c r="V138" s="520">
        <v>3620.2</v>
      </c>
      <c r="W138" s="519">
        <v>1</v>
      </c>
      <c r="X138" s="211"/>
      <c r="Y138" s="209"/>
      <c r="Z138" s="211"/>
      <c r="AA138" s="38"/>
      <c r="AB138" s="795">
        <f t="shared" ref="AB138:AB144" si="5">D138+F138+H138+L138+O138+R138+U138</f>
        <v>17423128.399999999</v>
      </c>
      <c r="AE138" s="795">
        <f t="shared" si="3"/>
        <v>10606</v>
      </c>
    </row>
    <row r="139" spans="2:33">
      <c r="B139" s="157">
        <f>'1. LDC Info'!$F$27-2</f>
        <v>2020</v>
      </c>
      <c r="C139" s="37" t="s">
        <v>116</v>
      </c>
      <c r="D139" s="1047">
        <v>6336633</v>
      </c>
      <c r="E139" s="1050">
        <f>8412+975</f>
        <v>9387</v>
      </c>
      <c r="F139" s="1047">
        <v>2330187</v>
      </c>
      <c r="G139" s="1050">
        <f>1034+95</f>
        <v>1129</v>
      </c>
      <c r="H139" s="1047">
        <v>50530</v>
      </c>
      <c r="I139" s="1050">
        <v>83</v>
      </c>
      <c r="J139" s="1030"/>
      <c r="K139" s="1031"/>
      <c r="L139" s="1048">
        <v>8808943</v>
      </c>
      <c r="M139" s="1049">
        <f>4267+234+9485+9173+160</f>
        <v>23319</v>
      </c>
      <c r="N139" s="519">
        <f>44+4+56+8+1</f>
        <v>113</v>
      </c>
      <c r="O139" s="1048">
        <v>65761</v>
      </c>
      <c r="P139" s="1049">
        <f>P138</f>
        <v>243</v>
      </c>
      <c r="Q139" s="519">
        <f t="shared" ref="Q139:Q144" si="6">Q138</f>
        <v>3082</v>
      </c>
      <c r="R139" s="521">
        <v>3638.16</v>
      </c>
      <c r="S139" s="520">
        <v>11</v>
      </c>
      <c r="T139" s="519">
        <v>54</v>
      </c>
      <c r="U139" s="522">
        <v>1952959</v>
      </c>
      <c r="V139" s="520">
        <v>3660</v>
      </c>
      <c r="W139" s="519">
        <v>1</v>
      </c>
      <c r="X139" s="211"/>
      <c r="Y139" s="209"/>
      <c r="Z139" s="211"/>
      <c r="AA139" s="38"/>
      <c r="AB139" s="795">
        <f t="shared" si="5"/>
        <v>19548651.16</v>
      </c>
      <c r="AE139" s="795">
        <f t="shared" si="3"/>
        <v>10629</v>
      </c>
      <c r="AF139" s="23">
        <v>19545013</v>
      </c>
      <c r="AG139" s="795">
        <f>AB139-AF139</f>
        <v>3638.160000000149</v>
      </c>
    </row>
    <row r="140" spans="2:33">
      <c r="B140" s="157">
        <f>'1. LDC Info'!$F$27-2</f>
        <v>2020</v>
      </c>
      <c r="C140" s="37" t="s">
        <v>117</v>
      </c>
      <c r="D140" s="1047">
        <v>8009603</v>
      </c>
      <c r="E140" s="1050">
        <f>8417+975</f>
        <v>9392</v>
      </c>
      <c r="F140" s="1047">
        <v>2955272</v>
      </c>
      <c r="G140" s="1050">
        <f>1035+95</f>
        <v>1130</v>
      </c>
      <c r="H140" s="1047">
        <v>50812</v>
      </c>
      <c r="I140" s="1050">
        <f t="shared" ref="I140:I142" si="7">I139</f>
        <v>83</v>
      </c>
      <c r="J140" s="1030"/>
      <c r="K140" s="1031"/>
      <c r="L140" s="1048">
        <v>9471929</v>
      </c>
      <c r="M140" s="1049">
        <f>4425+243+10659+8304+168</f>
        <v>23799</v>
      </c>
      <c r="N140" s="519">
        <f>44+4+56+8+1</f>
        <v>113</v>
      </c>
      <c r="O140" s="1048">
        <v>69841</v>
      </c>
      <c r="P140" s="1049">
        <f t="shared" ref="P140:P144" si="8">P139</f>
        <v>243</v>
      </c>
      <c r="Q140" s="519">
        <f t="shared" si="6"/>
        <v>3082</v>
      </c>
      <c r="R140" s="521">
        <v>3638.16</v>
      </c>
      <c r="S140" s="520">
        <v>11</v>
      </c>
      <c r="T140" s="519">
        <v>54</v>
      </c>
      <c r="U140" s="522">
        <v>1830401</v>
      </c>
      <c r="V140" s="520">
        <v>3599</v>
      </c>
      <c r="W140" s="519">
        <v>1</v>
      </c>
      <c r="X140" s="211"/>
      <c r="Y140" s="209"/>
      <c r="Z140" s="211"/>
      <c r="AA140" s="38"/>
      <c r="AB140" s="795">
        <f t="shared" si="5"/>
        <v>22391496.16</v>
      </c>
      <c r="AE140" s="795">
        <f t="shared" si="3"/>
        <v>10635</v>
      </c>
      <c r="AF140" s="23">
        <v>22387858</v>
      </c>
      <c r="AG140" s="795">
        <f t="shared" ref="AG140:AG144" si="9">AB140-AF140</f>
        <v>3638.160000000149</v>
      </c>
    </row>
    <row r="141" spans="2:33">
      <c r="B141" s="157">
        <f>'1. LDC Info'!$F$27-2</f>
        <v>2020</v>
      </c>
      <c r="C141" s="37" t="s">
        <v>107</v>
      </c>
      <c r="D141" s="1047">
        <v>7305907</v>
      </c>
      <c r="E141" s="1050">
        <f>8431+977</f>
        <v>9408</v>
      </c>
      <c r="F141" s="1047">
        <v>2667855</v>
      </c>
      <c r="G141" s="1050">
        <f>1035+95</f>
        <v>1130</v>
      </c>
      <c r="H141" s="1047">
        <v>51094</v>
      </c>
      <c r="I141" s="1050">
        <f t="shared" si="7"/>
        <v>83</v>
      </c>
      <c r="J141" s="1030"/>
      <c r="K141" s="1031"/>
      <c r="L141" s="1048">
        <v>9010392</v>
      </c>
      <c r="M141" s="1049">
        <f>4163+373+10331+8807+54</f>
        <v>23728</v>
      </c>
      <c r="N141" s="519">
        <f>44+4+55+8+1</f>
        <v>112</v>
      </c>
      <c r="O141" s="1048">
        <v>79278</v>
      </c>
      <c r="P141" s="1049">
        <f t="shared" si="8"/>
        <v>243</v>
      </c>
      <c r="Q141" s="519">
        <f t="shared" si="6"/>
        <v>3082</v>
      </c>
      <c r="R141" s="521">
        <v>3638.16</v>
      </c>
      <c r="S141" s="520">
        <v>11</v>
      </c>
      <c r="T141" s="519">
        <v>54</v>
      </c>
      <c r="U141" s="522">
        <v>1690381</v>
      </c>
      <c r="V141" s="520">
        <v>3987</v>
      </c>
      <c r="W141" s="519">
        <v>1</v>
      </c>
      <c r="X141" s="211"/>
      <c r="Y141" s="209"/>
      <c r="Z141" s="211"/>
      <c r="AA141" s="38"/>
      <c r="AB141" s="795">
        <f t="shared" si="5"/>
        <v>20808545.16</v>
      </c>
      <c r="AE141" s="795">
        <f t="shared" si="3"/>
        <v>10650</v>
      </c>
      <c r="AF141" s="23">
        <v>20804907</v>
      </c>
      <c r="AG141" s="795">
        <f t="shared" si="9"/>
        <v>3638.160000000149</v>
      </c>
    </row>
    <row r="142" spans="2:33">
      <c r="B142" s="157">
        <f>'1. LDC Info'!$F$27-2</f>
        <v>2020</v>
      </c>
      <c r="C142" s="37" t="s">
        <v>108</v>
      </c>
      <c r="D142" s="1047">
        <v>690346</v>
      </c>
      <c r="E142" s="1050">
        <f>8440+981</f>
        <v>9421</v>
      </c>
      <c r="F142" s="1047">
        <v>2396962</v>
      </c>
      <c r="G142" s="1050">
        <f>1033+95</f>
        <v>1128</v>
      </c>
      <c r="H142" s="1047">
        <v>50812</v>
      </c>
      <c r="I142" s="1050">
        <f t="shared" si="7"/>
        <v>83</v>
      </c>
      <c r="J142" s="1030"/>
      <c r="K142" s="1031"/>
      <c r="L142" s="1048">
        <v>8834216</v>
      </c>
      <c r="M142" s="1049">
        <f>4161+375+10115+9083+56</f>
        <v>23790</v>
      </c>
      <c r="N142" s="519">
        <f>44+4+55+8+1</f>
        <v>112</v>
      </c>
      <c r="O142" s="1048">
        <v>85855</v>
      </c>
      <c r="P142" s="1049">
        <f t="shared" si="8"/>
        <v>243</v>
      </c>
      <c r="Q142" s="519">
        <f t="shared" si="6"/>
        <v>3082</v>
      </c>
      <c r="R142" s="521">
        <v>3920.4</v>
      </c>
      <c r="S142" s="520">
        <v>11</v>
      </c>
      <c r="T142" s="519">
        <v>54</v>
      </c>
      <c r="U142" s="522">
        <v>1907832</v>
      </c>
      <c r="V142" s="520">
        <v>3770</v>
      </c>
      <c r="W142" s="519">
        <v>1</v>
      </c>
      <c r="X142" s="211"/>
      <c r="Y142" s="209"/>
      <c r="Z142" s="211"/>
      <c r="AA142" s="38"/>
      <c r="AB142" s="795">
        <f t="shared" si="5"/>
        <v>13969943.4</v>
      </c>
      <c r="AE142" s="795">
        <f t="shared" si="3"/>
        <v>10661</v>
      </c>
      <c r="AF142" s="23">
        <v>13966023</v>
      </c>
      <c r="AG142" s="795">
        <f t="shared" si="9"/>
        <v>3920.4000000003725</v>
      </c>
    </row>
    <row r="143" spans="2:33">
      <c r="B143" s="157">
        <f>'1. LDC Info'!$F$27-2</f>
        <v>2020</v>
      </c>
      <c r="C143" s="37" t="s">
        <v>109</v>
      </c>
      <c r="D143" s="1047">
        <v>5539633</v>
      </c>
      <c r="E143" s="1050">
        <f>8446+994</f>
        <v>9440</v>
      </c>
      <c r="F143" s="1047">
        <v>2411680</v>
      </c>
      <c r="G143" s="1050">
        <f>1035+95</f>
        <v>1130</v>
      </c>
      <c r="H143" s="1047">
        <v>50544</v>
      </c>
      <c r="I143" s="1050">
        <v>82</v>
      </c>
      <c r="J143" s="1030"/>
      <c r="K143" s="1031"/>
      <c r="L143" s="1048">
        <v>8757216</v>
      </c>
      <c r="M143" s="1049">
        <f>4157+359+10013+8313+173</f>
        <v>23015</v>
      </c>
      <c r="N143" s="519">
        <f>44+4+55+8+1</f>
        <v>112</v>
      </c>
      <c r="O143" s="1048">
        <v>100042</v>
      </c>
      <c r="P143" s="1049">
        <f t="shared" si="8"/>
        <v>243</v>
      </c>
      <c r="Q143" s="519">
        <f t="shared" si="6"/>
        <v>3082</v>
      </c>
      <c r="R143" s="521">
        <v>3638.16</v>
      </c>
      <c r="S143" s="520">
        <v>11</v>
      </c>
      <c r="T143" s="519">
        <v>54</v>
      </c>
      <c r="U143" s="522">
        <v>1860008</v>
      </c>
      <c r="V143" s="520">
        <v>3536</v>
      </c>
      <c r="W143" s="519">
        <v>1</v>
      </c>
      <c r="X143" s="211"/>
      <c r="Y143" s="209"/>
      <c r="Z143" s="211"/>
      <c r="AA143" s="38"/>
      <c r="AB143" s="795">
        <f t="shared" si="5"/>
        <v>18722761.16</v>
      </c>
      <c r="AE143" s="795">
        <f t="shared" si="3"/>
        <v>10682</v>
      </c>
      <c r="AF143" s="23">
        <v>18719123</v>
      </c>
      <c r="AG143" s="795">
        <f t="shared" si="9"/>
        <v>3638.160000000149</v>
      </c>
    </row>
    <row r="144" spans="2:33">
      <c r="B144" s="157">
        <f>'1. LDC Info'!$F$27-2</f>
        <v>2020</v>
      </c>
      <c r="C144" s="37" t="s">
        <v>106</v>
      </c>
      <c r="D144" s="1047">
        <v>5941106</v>
      </c>
      <c r="E144" s="1050">
        <f>8451+994</f>
        <v>9445</v>
      </c>
      <c r="F144" s="1047">
        <v>2574420</v>
      </c>
      <c r="G144" s="1050">
        <f>1037+95</f>
        <v>1132</v>
      </c>
      <c r="H144" s="1047">
        <v>50667</v>
      </c>
      <c r="I144" s="1050">
        <v>82</v>
      </c>
      <c r="J144" s="1032"/>
      <c r="K144" s="1031"/>
      <c r="L144" s="1048">
        <v>8667013</v>
      </c>
      <c r="M144" s="1049">
        <f>4049+359+9944+8226+178</f>
        <v>22756</v>
      </c>
      <c r="N144" s="519">
        <f>40+4+55+8+1</f>
        <v>108</v>
      </c>
      <c r="O144" s="1048">
        <v>105948</v>
      </c>
      <c r="P144" s="1049">
        <f t="shared" si="8"/>
        <v>243</v>
      </c>
      <c r="Q144" s="519">
        <f t="shared" si="6"/>
        <v>3082</v>
      </c>
      <c r="R144" s="521">
        <v>3638.16</v>
      </c>
      <c r="S144" s="520">
        <v>11</v>
      </c>
      <c r="T144" s="519">
        <v>54</v>
      </c>
      <c r="U144" s="522">
        <v>1602389</v>
      </c>
      <c r="V144" s="520">
        <v>3567</v>
      </c>
      <c r="W144" s="519">
        <v>1</v>
      </c>
      <c r="X144" s="211"/>
      <c r="Y144" s="209"/>
      <c r="Z144" s="211"/>
      <c r="AA144" s="38"/>
      <c r="AB144" s="795">
        <f t="shared" si="5"/>
        <v>18945181.16</v>
      </c>
      <c r="AC144" s="795">
        <f>SUM(AB133:AB144)</f>
        <v>232365762.39999998</v>
      </c>
      <c r="AD144" s="23">
        <v>2020</v>
      </c>
      <c r="AE144" s="795">
        <f t="shared" si="3"/>
        <v>10685</v>
      </c>
      <c r="AF144" s="23">
        <v>18942115</v>
      </c>
      <c r="AG144" s="795">
        <f t="shared" si="9"/>
        <v>3066.160000000149</v>
      </c>
    </row>
    <row r="145" spans="2:27">
      <c r="B145" s="1016">
        <f>'1. LDC Info'!$F$27-1</f>
        <v>2021</v>
      </c>
      <c r="C145" s="1017" t="s">
        <v>110</v>
      </c>
      <c r="D145" s="1018"/>
      <c r="E145" s="209"/>
      <c r="F145" s="1018"/>
      <c r="G145" s="209"/>
      <c r="H145" s="211"/>
      <c r="I145" s="209"/>
      <c r="J145" s="1019"/>
      <c r="K145" s="1019"/>
      <c r="L145" s="1020"/>
      <c r="M145" s="39"/>
      <c r="N145" s="209"/>
      <c r="O145" s="1020"/>
      <c r="P145" s="39"/>
      <c r="Q145" s="209"/>
      <c r="R145" s="1018"/>
      <c r="S145" s="520"/>
      <c r="T145" s="519"/>
      <c r="U145" s="211"/>
      <c r="V145" s="1021"/>
      <c r="W145" s="209"/>
      <c r="X145" s="211"/>
      <c r="Y145" s="209"/>
      <c r="Z145" s="211"/>
      <c r="AA145" s="209"/>
    </row>
    <row r="146" spans="2:27">
      <c r="B146" s="1016">
        <f>'1. LDC Info'!$F$27-1</f>
        <v>2021</v>
      </c>
      <c r="C146" s="1017" t="s">
        <v>111</v>
      </c>
      <c r="D146" s="1018"/>
      <c r="E146" s="209"/>
      <c r="F146" s="1018"/>
      <c r="G146" s="209"/>
      <c r="H146" s="211"/>
      <c r="I146" s="209"/>
      <c r="J146" s="1019"/>
      <c r="K146" s="1019"/>
      <c r="L146" s="1020"/>
      <c r="M146" s="39"/>
      <c r="N146" s="209"/>
      <c r="O146" s="1020"/>
      <c r="P146" s="39"/>
      <c r="Q146" s="209"/>
      <c r="R146" s="1018"/>
      <c r="S146" s="520"/>
      <c r="T146" s="519"/>
      <c r="U146" s="211"/>
      <c r="V146" s="1021"/>
      <c r="W146" s="209"/>
      <c r="X146" s="211"/>
      <c r="Y146" s="209"/>
      <c r="Z146" s="211"/>
      <c r="AA146" s="209"/>
    </row>
    <row r="147" spans="2:27">
      <c r="B147" s="1016">
        <f>'1. LDC Info'!$F$27-1</f>
        <v>2021</v>
      </c>
      <c r="C147" s="1017" t="s">
        <v>112</v>
      </c>
      <c r="D147" s="1018"/>
      <c r="E147" s="209"/>
      <c r="F147" s="1018"/>
      <c r="G147" s="209"/>
      <c r="H147" s="211"/>
      <c r="I147" s="209"/>
      <c r="J147" s="1019"/>
      <c r="K147" s="1019"/>
      <c r="L147" s="1020"/>
      <c r="M147" s="39"/>
      <c r="N147" s="209"/>
      <c r="O147" s="1020"/>
      <c r="P147" s="39"/>
      <c r="Q147" s="209"/>
      <c r="R147" s="1018"/>
      <c r="S147" s="520"/>
      <c r="T147" s="519"/>
      <c r="U147" s="211"/>
      <c r="V147" s="1021"/>
      <c r="W147" s="209"/>
      <c r="X147" s="211"/>
      <c r="Y147" s="209"/>
      <c r="Z147" s="211"/>
      <c r="AA147" s="209"/>
    </row>
    <row r="148" spans="2:27">
      <c r="B148" s="1016">
        <f>'1. LDC Info'!$F$27-1</f>
        <v>2021</v>
      </c>
      <c r="C148" s="1017" t="s">
        <v>113</v>
      </c>
      <c r="D148" s="1018"/>
      <c r="E148" s="209"/>
      <c r="F148" s="1018"/>
      <c r="G148" s="209"/>
      <c r="H148" s="211"/>
      <c r="I148" s="209"/>
      <c r="J148" s="1019"/>
      <c r="K148" s="1019"/>
      <c r="L148" s="1020"/>
      <c r="M148" s="39"/>
      <c r="N148" s="209"/>
      <c r="O148" s="1020"/>
      <c r="P148" s="39"/>
      <c r="Q148" s="209"/>
      <c r="R148" s="1018"/>
      <c r="S148" s="520"/>
      <c r="T148" s="519"/>
      <c r="U148" s="211"/>
      <c r="V148" s="1021"/>
      <c r="W148" s="209"/>
      <c r="X148" s="211"/>
      <c r="Y148" s="209"/>
      <c r="Z148" s="211"/>
      <c r="AA148" s="209"/>
    </row>
    <row r="149" spans="2:27">
      <c r="B149" s="1016">
        <f>'1. LDC Info'!$F$27-1</f>
        <v>2021</v>
      </c>
      <c r="C149" s="1017" t="s">
        <v>114</v>
      </c>
      <c r="D149" s="1018"/>
      <c r="E149" s="209"/>
      <c r="F149" s="1018"/>
      <c r="G149" s="209"/>
      <c r="H149" s="211"/>
      <c r="I149" s="209"/>
      <c r="J149" s="1019"/>
      <c r="K149" s="1019"/>
      <c r="L149" s="1020"/>
      <c r="M149" s="39"/>
      <c r="N149" s="209"/>
      <c r="O149" s="1020"/>
      <c r="P149" s="39"/>
      <c r="Q149" s="209"/>
      <c r="R149" s="1018"/>
      <c r="S149" s="520"/>
      <c r="T149" s="519"/>
      <c r="U149" s="211"/>
      <c r="V149" s="1021"/>
      <c r="W149" s="209"/>
      <c r="X149" s="211"/>
      <c r="Y149" s="209"/>
      <c r="Z149" s="211"/>
      <c r="AA149" s="209"/>
    </row>
    <row r="150" spans="2:27">
      <c r="B150" s="1016">
        <f>'1. LDC Info'!$F$27-1</f>
        <v>2021</v>
      </c>
      <c r="C150" s="1017" t="s">
        <v>115</v>
      </c>
      <c r="D150" s="1018"/>
      <c r="E150" s="209"/>
      <c r="F150" s="1018"/>
      <c r="G150" s="209"/>
      <c r="H150" s="211"/>
      <c r="I150" s="209"/>
      <c r="J150" s="1019"/>
      <c r="K150" s="1019"/>
      <c r="L150" s="1020"/>
      <c r="M150" s="39"/>
      <c r="N150" s="209"/>
      <c r="O150" s="1018"/>
      <c r="P150" s="20"/>
      <c r="Q150" s="209"/>
      <c r="R150" s="1018"/>
      <c r="S150" s="520"/>
      <c r="T150" s="519"/>
      <c r="U150" s="211"/>
      <c r="V150" s="1021"/>
      <c r="W150" s="209"/>
      <c r="X150" s="211"/>
      <c r="Y150" s="209"/>
      <c r="Z150" s="211"/>
      <c r="AA150" s="209"/>
    </row>
    <row r="151" spans="2:27">
      <c r="B151" s="1016">
        <f>'1. LDC Info'!$F$27-1</f>
        <v>2021</v>
      </c>
      <c r="C151" s="1017" t="s">
        <v>116</v>
      </c>
      <c r="D151" s="1018"/>
      <c r="E151" s="209"/>
      <c r="F151" s="1018"/>
      <c r="G151" s="209"/>
      <c r="H151" s="211"/>
      <c r="I151" s="209"/>
      <c r="J151" s="1019"/>
      <c r="K151" s="1019"/>
      <c r="L151" s="1020"/>
      <c r="M151" s="39"/>
      <c r="N151" s="209"/>
      <c r="O151" s="1018"/>
      <c r="P151" s="20"/>
      <c r="Q151" s="209"/>
      <c r="R151" s="1018"/>
      <c r="S151" s="520"/>
      <c r="T151" s="519"/>
      <c r="U151" s="211"/>
      <c r="V151" s="1021"/>
      <c r="W151" s="209"/>
      <c r="X151" s="211"/>
      <c r="Y151" s="209"/>
      <c r="Z151" s="211"/>
      <c r="AA151" s="209"/>
    </row>
    <row r="152" spans="2:27">
      <c r="B152" s="1016">
        <f>'1. LDC Info'!$F$27-1</f>
        <v>2021</v>
      </c>
      <c r="C152" s="1017" t="s">
        <v>117</v>
      </c>
      <c r="D152" s="1018"/>
      <c r="E152" s="209"/>
      <c r="F152" s="1018"/>
      <c r="G152" s="209"/>
      <c r="H152" s="211"/>
      <c r="I152" s="209"/>
      <c r="J152" s="1019"/>
      <c r="K152" s="1019"/>
      <c r="L152" s="1020"/>
      <c r="M152" s="39"/>
      <c r="N152" s="209"/>
      <c r="O152" s="1018"/>
      <c r="P152" s="20"/>
      <c r="Q152" s="209"/>
      <c r="R152" s="1018"/>
      <c r="S152" s="520"/>
      <c r="T152" s="519"/>
      <c r="U152" s="211"/>
      <c r="V152" s="1021"/>
      <c r="W152" s="209"/>
      <c r="X152" s="211"/>
      <c r="Y152" s="209"/>
      <c r="Z152" s="211"/>
      <c r="AA152" s="209"/>
    </row>
    <row r="153" spans="2:27">
      <c r="B153" s="1016">
        <f>'1. LDC Info'!$F$27-1</f>
        <v>2021</v>
      </c>
      <c r="C153" s="1017" t="s">
        <v>107</v>
      </c>
      <c r="D153" s="1018"/>
      <c r="E153" s="209"/>
      <c r="F153" s="1018"/>
      <c r="G153" s="209"/>
      <c r="H153" s="211"/>
      <c r="I153" s="209"/>
      <c r="J153" s="1019"/>
      <c r="K153" s="1019"/>
      <c r="L153" s="1020"/>
      <c r="M153" s="39"/>
      <c r="N153" s="209"/>
      <c r="O153" s="1018"/>
      <c r="P153" s="20"/>
      <c r="Q153" s="209"/>
      <c r="R153" s="1018"/>
      <c r="S153" s="520"/>
      <c r="T153" s="519"/>
      <c r="U153" s="211"/>
      <c r="V153" s="1021"/>
      <c r="W153" s="209"/>
      <c r="X153" s="211"/>
      <c r="Y153" s="209"/>
      <c r="Z153" s="211"/>
      <c r="AA153" s="209"/>
    </row>
    <row r="154" spans="2:27">
      <c r="B154" s="1016">
        <f>'1. LDC Info'!$F$27-1</f>
        <v>2021</v>
      </c>
      <c r="C154" s="1017" t="s">
        <v>108</v>
      </c>
      <c r="D154" s="1018"/>
      <c r="E154" s="209"/>
      <c r="F154" s="1022"/>
      <c r="G154" s="209"/>
      <c r="H154" s="211"/>
      <c r="I154" s="209"/>
      <c r="J154" s="1019"/>
      <c r="K154" s="1019"/>
      <c r="L154" s="1020"/>
      <c r="M154" s="39"/>
      <c r="N154" s="209"/>
      <c r="O154" s="1018"/>
      <c r="P154" s="20"/>
      <c r="Q154" s="209"/>
      <c r="R154" s="1018"/>
      <c r="S154" s="520"/>
      <c r="T154" s="519"/>
      <c r="U154" s="211"/>
      <c r="V154" s="1021"/>
      <c r="W154" s="209"/>
      <c r="X154" s="211"/>
      <c r="Y154" s="209"/>
      <c r="Z154" s="211"/>
      <c r="AA154" s="209"/>
    </row>
    <row r="155" spans="2:27">
      <c r="B155" s="1016">
        <f>'1. LDC Info'!$F$27-1</f>
        <v>2021</v>
      </c>
      <c r="C155" s="1017" t="s">
        <v>109</v>
      </c>
      <c r="D155" s="1018"/>
      <c r="E155" s="209"/>
      <c r="F155" s="1018"/>
      <c r="G155" s="209"/>
      <c r="H155" s="211"/>
      <c r="I155" s="209"/>
      <c r="J155" s="1019"/>
      <c r="K155" s="1019"/>
      <c r="L155" s="1020"/>
      <c r="M155" s="39"/>
      <c r="N155" s="209"/>
      <c r="O155" s="1018"/>
      <c r="P155" s="20"/>
      <c r="Q155" s="209"/>
      <c r="R155" s="1018"/>
      <c r="S155" s="520"/>
      <c r="T155" s="519"/>
      <c r="U155" s="211"/>
      <c r="V155" s="1021"/>
      <c r="W155" s="209"/>
      <c r="X155" s="211"/>
      <c r="Y155" s="209"/>
      <c r="Z155" s="211"/>
      <c r="AA155" s="209"/>
    </row>
    <row r="156" spans="2:27">
      <c r="B156" s="1016">
        <f>'1. LDC Info'!$F$27-1</f>
        <v>2021</v>
      </c>
      <c r="C156" s="1017" t="s">
        <v>106</v>
      </c>
      <c r="D156" s="502"/>
      <c r="E156" s="519"/>
      <c r="F156" s="502"/>
      <c r="G156" s="519"/>
      <c r="H156" s="521"/>
      <c r="I156" s="519"/>
      <c r="J156" s="521"/>
      <c r="K156" s="519"/>
      <c r="L156" s="502"/>
      <c r="M156" s="520"/>
      <c r="N156" s="519"/>
      <c r="O156" s="521"/>
      <c r="P156" s="520"/>
      <c r="Q156" s="519"/>
      <c r="R156" s="521"/>
      <c r="S156" s="520"/>
      <c r="T156" s="519"/>
      <c r="U156" s="521"/>
      <c r="V156" s="520"/>
      <c r="W156" s="519"/>
      <c r="X156" s="211"/>
      <c r="Y156" s="209"/>
      <c r="Z156" s="211"/>
      <c r="AA156" s="209"/>
    </row>
    <row r="157" spans="2:27">
      <c r="B157" s="1016" t="str">
        <f>'1. LDC Info'!$F$27</f>
        <v>2022</v>
      </c>
      <c r="C157" s="1017" t="s">
        <v>110</v>
      </c>
      <c r="D157" s="1020"/>
      <c r="E157" s="209"/>
      <c r="F157" s="1020"/>
      <c r="G157" s="209"/>
      <c r="H157" s="211"/>
      <c r="I157" s="209"/>
      <c r="J157" s="1019"/>
      <c r="K157" s="1019"/>
      <c r="L157" s="1020"/>
      <c r="M157" s="39"/>
      <c r="N157" s="209"/>
      <c r="O157" s="1018"/>
      <c r="P157" s="20"/>
      <c r="Q157" s="209"/>
      <c r="R157" s="1020"/>
      <c r="S157" s="520"/>
      <c r="T157" s="519"/>
      <c r="U157" s="211"/>
      <c r="V157" s="1021"/>
      <c r="W157" s="209"/>
      <c r="X157" s="211"/>
      <c r="Y157" s="209"/>
      <c r="Z157" s="211"/>
      <c r="AA157" s="209"/>
    </row>
    <row r="158" spans="2:27">
      <c r="B158" s="1016" t="str">
        <f>'1. LDC Info'!$F$27</f>
        <v>2022</v>
      </c>
      <c r="C158" s="1017" t="s">
        <v>111</v>
      </c>
      <c r="D158" s="1020"/>
      <c r="E158" s="209"/>
      <c r="F158" s="1020"/>
      <c r="G158" s="209"/>
      <c r="H158" s="211"/>
      <c r="I158" s="209"/>
      <c r="J158" s="1019"/>
      <c r="K158" s="1019"/>
      <c r="L158" s="1020"/>
      <c r="M158" s="39"/>
      <c r="N158" s="209"/>
      <c r="O158" s="1018"/>
      <c r="P158" s="20"/>
      <c r="Q158" s="209"/>
      <c r="R158" s="1020"/>
      <c r="S158" s="520"/>
      <c r="T158" s="519"/>
      <c r="U158" s="211"/>
      <c r="V158" s="1021"/>
      <c r="W158" s="209"/>
      <c r="X158" s="211"/>
      <c r="Y158" s="209"/>
      <c r="Z158" s="211"/>
      <c r="AA158" s="209"/>
    </row>
    <row r="159" spans="2:27">
      <c r="B159" s="1016" t="str">
        <f>'1. LDC Info'!$F$27</f>
        <v>2022</v>
      </c>
      <c r="C159" s="1017" t="s">
        <v>112</v>
      </c>
      <c r="D159" s="1023"/>
      <c r="E159" s="209"/>
      <c r="F159" s="1023"/>
      <c r="G159" s="209"/>
      <c r="H159" s="211"/>
      <c r="I159" s="209"/>
      <c r="J159" s="1019"/>
      <c r="K159" s="1019"/>
      <c r="L159" s="1020"/>
      <c r="M159" s="39"/>
      <c r="N159" s="209"/>
      <c r="O159" s="1018"/>
      <c r="P159" s="20"/>
      <c r="Q159" s="209"/>
      <c r="R159" s="1023"/>
      <c r="S159" s="520"/>
      <c r="T159" s="519"/>
      <c r="U159" s="211"/>
      <c r="V159" s="1021"/>
      <c r="W159" s="209"/>
      <c r="X159" s="211"/>
      <c r="Y159" s="209"/>
      <c r="Z159" s="211"/>
      <c r="AA159" s="209"/>
    </row>
    <row r="160" spans="2:27">
      <c r="B160" s="1016" t="str">
        <f>'1. LDC Info'!$F$27</f>
        <v>2022</v>
      </c>
      <c r="C160" s="1017" t="s">
        <v>113</v>
      </c>
      <c r="D160" s="1020"/>
      <c r="E160" s="209"/>
      <c r="F160" s="1020"/>
      <c r="G160" s="209"/>
      <c r="H160" s="211"/>
      <c r="I160" s="209"/>
      <c r="J160" s="1019"/>
      <c r="K160" s="1019"/>
      <c r="L160" s="1020"/>
      <c r="M160" s="39"/>
      <c r="N160" s="209"/>
      <c r="O160" s="1018"/>
      <c r="P160" s="20"/>
      <c r="Q160" s="209"/>
      <c r="R160" s="1020"/>
      <c r="S160" s="520"/>
      <c r="T160" s="519"/>
      <c r="U160" s="211"/>
      <c r="V160" s="1021"/>
      <c r="W160" s="209"/>
      <c r="X160" s="211"/>
      <c r="Y160" s="209"/>
      <c r="Z160" s="211"/>
      <c r="AA160" s="209"/>
    </row>
    <row r="161" spans="2:27">
      <c r="B161" s="1016" t="str">
        <f>'1. LDC Info'!$F$27</f>
        <v>2022</v>
      </c>
      <c r="C161" s="1017" t="s">
        <v>114</v>
      </c>
      <c r="D161" s="1020"/>
      <c r="E161" s="209"/>
      <c r="F161" s="1020"/>
      <c r="G161" s="209"/>
      <c r="H161" s="211"/>
      <c r="I161" s="209"/>
      <c r="J161" s="1019"/>
      <c r="K161" s="1019"/>
      <c r="L161" s="1020"/>
      <c r="M161" s="39"/>
      <c r="N161" s="209"/>
      <c r="O161" s="1018"/>
      <c r="P161" s="20"/>
      <c r="Q161" s="209"/>
      <c r="R161" s="1020"/>
      <c r="S161" s="520"/>
      <c r="T161" s="519"/>
      <c r="U161" s="211"/>
      <c r="V161" s="1021"/>
      <c r="W161" s="209"/>
      <c r="X161" s="211"/>
      <c r="Y161" s="209"/>
      <c r="Z161" s="211"/>
      <c r="AA161" s="209"/>
    </row>
    <row r="162" spans="2:27">
      <c r="B162" s="1016" t="str">
        <f>'1. LDC Info'!$F$27</f>
        <v>2022</v>
      </c>
      <c r="C162" s="1017" t="s">
        <v>115</v>
      </c>
      <c r="D162" s="1020"/>
      <c r="E162" s="209"/>
      <c r="F162" s="1020"/>
      <c r="G162" s="209"/>
      <c r="H162" s="211"/>
      <c r="I162" s="209"/>
      <c r="J162" s="1019"/>
      <c r="K162" s="1019"/>
      <c r="L162" s="1020"/>
      <c r="M162" s="39"/>
      <c r="N162" s="209"/>
      <c r="O162" s="1018"/>
      <c r="P162" s="20"/>
      <c r="Q162" s="209"/>
      <c r="R162" s="1020"/>
      <c r="S162" s="520"/>
      <c r="T162" s="519"/>
      <c r="U162" s="211"/>
      <c r="V162" s="1021"/>
      <c r="W162" s="209"/>
      <c r="X162" s="211"/>
      <c r="Y162" s="209"/>
      <c r="Z162" s="211"/>
      <c r="AA162" s="209"/>
    </row>
    <row r="163" spans="2:27">
      <c r="B163" s="1016" t="str">
        <f>'1. LDC Info'!$F$27</f>
        <v>2022</v>
      </c>
      <c r="C163" s="1017" t="s">
        <v>116</v>
      </c>
      <c r="D163" s="1020"/>
      <c r="E163" s="209"/>
      <c r="F163" s="1020"/>
      <c r="G163" s="209"/>
      <c r="H163" s="211"/>
      <c r="I163" s="209"/>
      <c r="J163" s="1019"/>
      <c r="K163" s="1019"/>
      <c r="L163" s="1020"/>
      <c r="M163" s="39"/>
      <c r="N163" s="209"/>
      <c r="O163" s="1018"/>
      <c r="P163" s="20"/>
      <c r="Q163" s="209"/>
      <c r="R163" s="1020"/>
      <c r="S163" s="520"/>
      <c r="T163" s="519"/>
      <c r="U163" s="211"/>
      <c r="V163" s="1021"/>
      <c r="W163" s="209"/>
      <c r="X163" s="211"/>
      <c r="Y163" s="209"/>
      <c r="Z163" s="211"/>
      <c r="AA163" s="209"/>
    </row>
    <row r="164" spans="2:27">
      <c r="B164" s="1016" t="str">
        <f>'1. LDC Info'!$F$27</f>
        <v>2022</v>
      </c>
      <c r="C164" s="1017" t="s">
        <v>117</v>
      </c>
      <c r="D164" s="1020"/>
      <c r="E164" s="209"/>
      <c r="F164" s="1020"/>
      <c r="G164" s="209"/>
      <c r="H164" s="211"/>
      <c r="I164" s="209"/>
      <c r="J164" s="1019"/>
      <c r="K164" s="1019"/>
      <c r="L164" s="1020"/>
      <c r="M164" s="39"/>
      <c r="N164" s="209"/>
      <c r="O164" s="1018"/>
      <c r="P164" s="20"/>
      <c r="Q164" s="209"/>
      <c r="R164" s="1020"/>
      <c r="S164" s="520"/>
      <c r="T164" s="519"/>
      <c r="U164" s="211"/>
      <c r="V164" s="1021"/>
      <c r="W164" s="209"/>
      <c r="X164" s="211"/>
      <c r="Y164" s="209"/>
      <c r="Z164" s="211"/>
      <c r="AA164" s="209"/>
    </row>
    <row r="165" spans="2:27">
      <c r="B165" s="1016" t="str">
        <f>'1. LDC Info'!$F$27</f>
        <v>2022</v>
      </c>
      <c r="C165" s="1017" t="s">
        <v>107</v>
      </c>
      <c r="D165" s="1024"/>
      <c r="E165" s="209"/>
      <c r="F165" s="1024"/>
      <c r="G165" s="209"/>
      <c r="H165" s="211"/>
      <c r="I165" s="209"/>
      <c r="J165" s="1019"/>
      <c r="K165" s="1019"/>
      <c r="L165" s="1020"/>
      <c r="M165" s="39"/>
      <c r="N165" s="209"/>
      <c r="O165" s="1018"/>
      <c r="P165" s="20"/>
      <c r="Q165" s="209"/>
      <c r="R165" s="1024"/>
      <c r="S165" s="520"/>
      <c r="T165" s="519"/>
      <c r="U165" s="211"/>
      <c r="V165" s="1021"/>
      <c r="W165" s="209"/>
      <c r="X165" s="211"/>
      <c r="Y165" s="209"/>
      <c r="Z165" s="211"/>
      <c r="AA165" s="209"/>
    </row>
    <row r="166" spans="2:27">
      <c r="B166" s="1016" t="str">
        <f>'1. LDC Info'!$F$27</f>
        <v>2022</v>
      </c>
      <c r="C166" s="1017" t="s">
        <v>108</v>
      </c>
      <c r="D166" s="1020"/>
      <c r="E166" s="209"/>
      <c r="F166" s="1020"/>
      <c r="G166" s="209"/>
      <c r="H166" s="211"/>
      <c r="I166" s="209"/>
      <c r="J166" s="1019"/>
      <c r="K166" s="1019"/>
      <c r="L166" s="1020"/>
      <c r="M166" s="39"/>
      <c r="N166" s="209"/>
      <c r="O166" s="1018"/>
      <c r="P166" s="20"/>
      <c r="Q166" s="209"/>
      <c r="R166" s="1020"/>
      <c r="S166" s="520"/>
      <c r="T166" s="519"/>
      <c r="U166" s="211"/>
      <c r="V166" s="1021"/>
      <c r="W166" s="209"/>
      <c r="X166" s="211"/>
      <c r="Y166" s="209"/>
      <c r="Z166" s="211"/>
      <c r="AA166" s="209"/>
    </row>
    <row r="167" spans="2:27">
      <c r="B167" s="1016" t="str">
        <f>'1. LDC Info'!$F$27</f>
        <v>2022</v>
      </c>
      <c r="C167" s="1017" t="s">
        <v>109</v>
      </c>
      <c r="D167" s="1020"/>
      <c r="E167" s="209"/>
      <c r="F167" s="1020"/>
      <c r="G167" s="209"/>
      <c r="H167" s="211"/>
      <c r="I167" s="209"/>
      <c r="J167" s="1019"/>
      <c r="K167" s="1019"/>
      <c r="L167" s="1020"/>
      <c r="M167" s="39"/>
      <c r="N167" s="209"/>
      <c r="O167" s="1018"/>
      <c r="P167" s="20"/>
      <c r="Q167" s="209"/>
      <c r="R167" s="1020"/>
      <c r="S167" s="520"/>
      <c r="T167" s="519"/>
      <c r="U167" s="211"/>
      <c r="V167" s="1021"/>
      <c r="W167" s="209"/>
      <c r="X167" s="211"/>
      <c r="Y167" s="209"/>
      <c r="Z167" s="211"/>
      <c r="AA167" s="209"/>
    </row>
    <row r="168" spans="2:27" ht="13.5" thickBot="1">
      <c r="B168" s="1016" t="str">
        <f>'1. LDC Info'!$F$27</f>
        <v>2022</v>
      </c>
      <c r="C168" s="1017" t="s">
        <v>106</v>
      </c>
      <c r="D168" s="1025"/>
      <c r="E168" s="41"/>
      <c r="F168" s="1025"/>
      <c r="G168" s="41"/>
      <c r="H168" s="42"/>
      <c r="I168" s="41"/>
      <c r="J168" s="1026"/>
      <c r="K168" s="1026"/>
      <c r="L168" s="1025"/>
      <c r="M168" s="1027"/>
      <c r="N168" s="41"/>
      <c r="O168" s="1028"/>
      <c r="P168" s="21"/>
      <c r="Q168" s="41"/>
      <c r="R168" s="1025"/>
      <c r="S168" s="520"/>
      <c r="T168" s="519"/>
      <c r="U168" s="42"/>
      <c r="V168" s="1029"/>
      <c r="W168" s="41"/>
      <c r="X168" s="42"/>
      <c r="Y168" s="41"/>
      <c r="Z168" s="42"/>
      <c r="AA168" s="41"/>
    </row>
    <row r="169" spans="2:27">
      <c r="O169" s="43"/>
      <c r="P169" s="43"/>
      <c r="R169" s="43"/>
      <c r="S169" s="43"/>
    </row>
    <row r="170" spans="2:27">
      <c r="D170" s="43"/>
    </row>
    <row r="171" spans="2:27">
      <c r="D171" s="223"/>
      <c r="E171" s="224"/>
      <c r="F171" s="223"/>
      <c r="G171" s="224"/>
      <c r="H171" s="223"/>
      <c r="I171" s="224"/>
      <c r="J171" s="224"/>
      <c r="K171" s="224"/>
      <c r="L171" s="223"/>
      <c r="M171" s="223"/>
      <c r="N171" s="224"/>
      <c r="O171" s="223"/>
      <c r="P171" s="223"/>
      <c r="Q171" s="224"/>
      <c r="R171" s="223"/>
      <c r="S171" s="223"/>
      <c r="T171" s="224"/>
    </row>
    <row r="172" spans="2:27">
      <c r="D172" s="223"/>
      <c r="E172" s="224"/>
      <c r="F172" s="223"/>
      <c r="G172" s="224"/>
      <c r="H172" s="223"/>
      <c r="I172" s="224"/>
      <c r="J172" s="224"/>
      <c r="K172" s="224"/>
      <c r="L172" s="223"/>
      <c r="M172" s="223"/>
      <c r="N172" s="224"/>
      <c r="O172" s="223"/>
      <c r="P172" s="223"/>
      <c r="Q172" s="224"/>
      <c r="R172" s="223"/>
      <c r="S172" s="223"/>
      <c r="T172" s="224"/>
    </row>
    <row r="173" spans="2:27">
      <c r="D173" s="223"/>
      <c r="E173" s="224"/>
      <c r="F173" s="223"/>
      <c r="G173" s="224"/>
      <c r="H173" s="223"/>
      <c r="I173" s="224"/>
      <c r="J173" s="224"/>
      <c r="K173" s="224"/>
      <c r="L173" s="223"/>
      <c r="M173" s="223"/>
      <c r="N173" s="224"/>
      <c r="O173" s="223"/>
      <c r="P173" s="223"/>
      <c r="Q173" s="224"/>
      <c r="R173" s="223"/>
      <c r="S173" s="223"/>
      <c r="T173" s="224"/>
    </row>
    <row r="174" spans="2:27">
      <c r="D174" s="223"/>
      <c r="E174" s="224"/>
      <c r="F174" s="223"/>
      <c r="G174" s="224"/>
      <c r="H174" s="223"/>
      <c r="I174" s="224"/>
      <c r="J174" s="224"/>
      <c r="K174" s="224"/>
      <c r="L174" s="223"/>
      <c r="M174" s="223"/>
      <c r="N174" s="224"/>
      <c r="O174" s="223"/>
      <c r="P174" s="223"/>
      <c r="Q174" s="224"/>
      <c r="R174" s="223"/>
      <c r="S174" s="223"/>
      <c r="T174" s="224"/>
    </row>
  </sheetData>
  <mergeCells count="21">
    <mergeCell ref="H21:I21"/>
    <mergeCell ref="J20:K20"/>
    <mergeCell ref="J21:K21"/>
    <mergeCell ref="D21:E21"/>
    <mergeCell ref="F21:G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s>
  <pageMargins left="0.7" right="0.7" top="0.75" bottom="0.75" header="0.3" footer="0.3"/>
  <pageSetup orientation="portrait" horizontalDpi="4294967293" r:id="rId1"/>
  <ignoredErrors>
    <ignoredError sqref="G10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W49"/>
  <sheetViews>
    <sheetView showGridLines="0" topLeftCell="A7" zoomScaleNormal="100" workbookViewId="0">
      <selection activeCell="B26" sqref="B26"/>
    </sheetView>
  </sheetViews>
  <sheetFormatPr defaultRowHeight="12.75"/>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s="514" customFormat="1">
      <c r="A1" s="694" t="s">
        <v>257</v>
      </c>
    </row>
    <row r="2" spans="1:23" s="514" customFormat="1"/>
    <row r="3" spans="1:23" s="514" customFormat="1"/>
    <row r="4" spans="1:23" s="514" customFormat="1"/>
    <row r="5" spans="1:23" s="514" customFormat="1"/>
    <row r="6" spans="1:23" s="514" customFormat="1"/>
    <row r="7" spans="1:23" s="514" customFormat="1"/>
    <row r="8" spans="1:23" s="514" customFormat="1"/>
    <row r="9" spans="1:23" s="514" customFormat="1"/>
    <row r="10" spans="1:23" customFormat="1" ht="12.75" customHeight="1">
      <c r="B10" s="1065"/>
      <c r="C10" s="1065"/>
      <c r="D10" s="1065"/>
      <c r="E10" s="1065"/>
      <c r="F10" s="1065"/>
      <c r="G10" s="1065"/>
      <c r="H10" s="1065"/>
      <c r="I10" s="1065"/>
      <c r="J10" s="495"/>
      <c r="K10" s="495"/>
      <c r="L10" s="495"/>
      <c r="M10" s="495"/>
    </row>
    <row r="11" spans="1:23" ht="23.25">
      <c r="B11" s="124" t="s">
        <v>84</v>
      </c>
    </row>
    <row r="12" spans="1:23" s="514" customFormat="1" ht="15">
      <c r="B12" s="49" t="s">
        <v>63</v>
      </c>
    </row>
    <row r="13" spans="1:23" ht="14.25">
      <c r="B13" s="91" t="s">
        <v>241</v>
      </c>
      <c r="C13" s="514"/>
      <c r="D13" s="514"/>
      <c r="E13" s="514"/>
      <c r="F13" s="514"/>
      <c r="G13" s="514"/>
      <c r="H13" s="514"/>
      <c r="I13" s="514"/>
      <c r="J13" s="294"/>
      <c r="K13" s="295"/>
    </row>
    <row r="14" spans="1:23" ht="13.5" customHeight="1" thickBot="1">
      <c r="B14" s="124"/>
      <c r="J14" s="294"/>
      <c r="K14" s="295"/>
    </row>
    <row r="15" spans="1:23" ht="24.75" customHeight="1" thickBot="1">
      <c r="B15" s="750"/>
      <c r="C15" s="1086" t="str">
        <f>'2. Customer Classes'!B14</f>
        <v>Residential</v>
      </c>
      <c r="D15" s="1087"/>
      <c r="E15" s="1086" t="str">
        <f>'2. Customer Classes'!B15</f>
        <v>General Service &lt; 50 kW</v>
      </c>
      <c r="F15" s="1087"/>
      <c r="G15" s="1086" t="str">
        <f>'2. Customer Classes'!B16</f>
        <v>Unmetered Scattered Load</v>
      </c>
      <c r="H15" s="1087"/>
      <c r="I15" s="1086">
        <f>'2. Customer Classes'!B17</f>
        <v>0</v>
      </c>
      <c r="J15" s="1087"/>
      <c r="K15" s="1086" t="str">
        <f>'2. Customer Classes'!B18</f>
        <v>General Service &gt; 50 kW - 2999 kW</v>
      </c>
      <c r="L15" s="1087"/>
      <c r="M15" s="1086" t="str">
        <f>'2. Customer Classes'!B19</f>
        <v>Streetlighting</v>
      </c>
      <c r="N15" s="1087"/>
      <c r="O15" s="1094" t="str">
        <f>'2. Customer Classes'!B20</f>
        <v>Sentinel Lighting</v>
      </c>
      <c r="P15" s="1087"/>
      <c r="Q15" s="1091" t="str">
        <f>'2. Customer Classes'!B21</f>
        <v>General Service 3000-4999 kW</v>
      </c>
      <c r="R15" s="1093"/>
      <c r="S15" s="1091" t="str">
        <f>'2. Customer Classes'!B22</f>
        <v>other</v>
      </c>
      <c r="T15" s="1093"/>
      <c r="V15" s="1091" t="s">
        <v>161</v>
      </c>
      <c r="W15" s="1092"/>
    </row>
    <row r="16" spans="1:23" ht="39" thickBot="1">
      <c r="B16" s="754" t="s">
        <v>3</v>
      </c>
      <c r="C16" s="755" t="s">
        <v>118</v>
      </c>
      <c r="D16" s="756" t="s">
        <v>5</v>
      </c>
      <c r="E16" s="755" t="s">
        <v>118</v>
      </c>
      <c r="F16" s="756" t="s">
        <v>5</v>
      </c>
      <c r="G16" s="755" t="s">
        <v>118</v>
      </c>
      <c r="H16" s="756" t="s">
        <v>5</v>
      </c>
      <c r="I16" s="755"/>
      <c r="J16" s="756"/>
      <c r="K16" s="755" t="s">
        <v>118</v>
      </c>
      <c r="L16" s="754" t="s">
        <v>5</v>
      </c>
      <c r="M16" s="755" t="s">
        <v>118</v>
      </c>
      <c r="N16" s="754" t="s">
        <v>5</v>
      </c>
      <c r="O16" s="755" t="s">
        <v>118</v>
      </c>
      <c r="P16" s="757" t="s">
        <v>5</v>
      </c>
      <c r="Q16" s="755" t="s">
        <v>118</v>
      </c>
      <c r="R16" s="757" t="s">
        <v>5</v>
      </c>
      <c r="S16" s="161" t="s">
        <v>118</v>
      </c>
      <c r="T16" s="3" t="s">
        <v>5</v>
      </c>
      <c r="V16" s="755" t="s">
        <v>171</v>
      </c>
      <c r="W16" s="757" t="s">
        <v>5</v>
      </c>
    </row>
    <row r="17" spans="2:23">
      <c r="B17" s="4">
        <f>'1. LDC Info'!F25-10</f>
        <v>2011</v>
      </c>
      <c r="C17" s="190">
        <f>AVERAGE('3. Consumption by Rate Class'!E25,'3. Consumption by Rate Class'!E36)</f>
        <v>8425</v>
      </c>
      <c r="D17" s="160"/>
      <c r="E17" s="190">
        <f>AVERAGE('3. Consumption by Rate Class'!G25,'3. Consumption by Rate Class'!G36)</f>
        <v>1072.5</v>
      </c>
      <c r="F17" s="160"/>
      <c r="G17" s="162">
        <f>AVERAGE('3. Consumption by Rate Class'!I25,'3. Consumption by Rate Class'!I36)</f>
        <v>96</v>
      </c>
      <c r="H17" s="160"/>
      <c r="I17" s="190"/>
      <c r="J17" s="160"/>
      <c r="K17" s="162">
        <f>AVERAGE('3. Consumption by Rate Class'!N25,'3. Consumption by Rate Class'!N36)</f>
        <v>131.5</v>
      </c>
      <c r="L17" s="160"/>
      <c r="M17" s="190">
        <f>IF(SUM('3. Consumption by Rate Class'!Q25:Q36)&gt;0,+AVERAGE('3. Consumption by Rate Class'!Q25,'3. Consumption by Rate Class'!Q36),0)</f>
        <v>2759</v>
      </c>
      <c r="N17" s="160"/>
      <c r="O17" s="190">
        <f>AVERAGE('3. Consumption by Rate Class'!T25,'3. Consumption by Rate Class'!T36)</f>
        <v>53</v>
      </c>
      <c r="P17" s="163"/>
      <c r="Q17" s="371">
        <v>1</v>
      </c>
      <c r="R17" s="160"/>
      <c r="S17" s="371"/>
      <c r="T17" s="160"/>
      <c r="V17" s="228">
        <f>+C17+E17+G17+I17+K17+M17+O17+Q17</f>
        <v>12538</v>
      </c>
      <c r="W17" s="229"/>
    </row>
    <row r="18" spans="2:23">
      <c r="B18" s="4">
        <f>'1. LDC Info'!F25-9</f>
        <v>2012</v>
      </c>
      <c r="C18" s="191">
        <f>AVERAGE('3. Consumption by Rate Class'!E37,'3. Consumption by Rate Class'!E48)</f>
        <v>8525</v>
      </c>
      <c r="D18" s="164">
        <f>C18/C17</f>
        <v>1.0118694362017804</v>
      </c>
      <c r="E18" s="191">
        <f>AVERAGE('3. Consumption by Rate Class'!G37,'3. Consumption by Rate Class'!G48)</f>
        <v>1067</v>
      </c>
      <c r="F18" s="164">
        <f>E18/E17</f>
        <v>0.99487179487179489</v>
      </c>
      <c r="G18" s="14">
        <f>AVERAGE('3. Consumption by Rate Class'!I37,'3. Consumption by Rate Class'!I48)</f>
        <v>94.5</v>
      </c>
      <c r="H18" s="164">
        <f t="shared" ref="H18:H26" si="0">G18/G17</f>
        <v>0.984375</v>
      </c>
      <c r="I18" s="190"/>
      <c r="J18" s="164"/>
      <c r="K18" s="14">
        <f>AVERAGE('3. Consumption by Rate Class'!N37,'3. Consumption by Rate Class'!N48)</f>
        <v>137</v>
      </c>
      <c r="L18" s="164">
        <f t="shared" ref="L18:L26" si="1">K18/K17</f>
        <v>1.0418250950570342</v>
      </c>
      <c r="M18" s="190">
        <f>IF(SUM('3. Consumption by Rate Class'!Q37:Q48)&gt;0,+AVERAGE('3. Consumption by Rate Class'!Q37,'3. Consumption by Rate Class'!Q48),0)</f>
        <v>2802</v>
      </c>
      <c r="N18" s="164">
        <f>IF(M18&gt;0,+M18/M17,0)</f>
        <v>1.0155853570134106</v>
      </c>
      <c r="O18" s="191">
        <f>AVERAGE('3. Consumption by Rate Class'!T37,'3. Consumption by Rate Class'!T48)</f>
        <v>54</v>
      </c>
      <c r="P18" s="165">
        <f>O18/O17</f>
        <v>1.0188679245283019</v>
      </c>
      <c r="Q18" s="371">
        <v>1</v>
      </c>
      <c r="R18" s="165">
        <f>Q18/Q17</f>
        <v>1</v>
      </c>
      <c r="S18" s="371"/>
      <c r="T18" s="164"/>
      <c r="V18" s="382">
        <f t="shared" ref="V18:V26" si="2">+C18+E18+G18+I18+K18+M18+O18+Q18</f>
        <v>12680.5</v>
      </c>
      <c r="W18" s="227">
        <f t="shared" ref="W18:W26" si="3">V18/V17</f>
        <v>1.0113654490349338</v>
      </c>
    </row>
    <row r="19" spans="2:23">
      <c r="B19" s="4">
        <f>'1. LDC Info'!F25-8</f>
        <v>2013</v>
      </c>
      <c r="C19" s="191">
        <f>AVERAGE('3. Consumption by Rate Class'!E49,'3. Consumption by Rate Class'!E60)</f>
        <v>8627</v>
      </c>
      <c r="D19" s="164">
        <f t="shared" ref="D19:F26" si="4">C19/C18</f>
        <v>1.0119648093841642</v>
      </c>
      <c r="E19" s="191">
        <f>AVERAGE('3. Consumption by Rate Class'!G49,'3. Consumption by Rate Class'!G60)</f>
        <v>1058</v>
      </c>
      <c r="F19" s="164">
        <f t="shared" si="4"/>
        <v>0.99156513589503281</v>
      </c>
      <c r="G19" s="14">
        <f>AVERAGE('3. Consumption by Rate Class'!I49,'3. Consumption by Rate Class'!I60)</f>
        <v>93.5</v>
      </c>
      <c r="H19" s="164">
        <f t="shared" si="0"/>
        <v>0.98941798941798942</v>
      </c>
      <c r="I19" s="190"/>
      <c r="J19" s="164"/>
      <c r="K19" s="14">
        <f>AVERAGE('3. Consumption by Rate Class'!N49,'3. Consumption by Rate Class'!N60)</f>
        <v>141.5</v>
      </c>
      <c r="L19" s="164">
        <f t="shared" si="1"/>
        <v>1.0328467153284671</v>
      </c>
      <c r="M19" s="190">
        <f>IF(SUM('3. Consumption by Rate Class'!Q49:Q60)&gt;0,+AVERAGE('3. Consumption by Rate Class'!Q49,'3. Consumption by Rate Class'!Q60),0)</f>
        <v>2862</v>
      </c>
      <c r="N19" s="164">
        <f t="shared" ref="N19:N26" si="5">IF(M19&gt;0,+M19/M18,0)</f>
        <v>1.0214132762312633</v>
      </c>
      <c r="O19" s="191">
        <f>AVERAGE('3. Consumption by Rate Class'!T49,'3. Consumption by Rate Class'!T60)</f>
        <v>54</v>
      </c>
      <c r="P19" s="165">
        <f t="shared" ref="P19:P26" si="6">O19/O18</f>
        <v>1</v>
      </c>
      <c r="Q19" s="371">
        <v>1</v>
      </c>
      <c r="R19" s="165">
        <f t="shared" ref="R19:R26" si="7">Q19/Q18</f>
        <v>1</v>
      </c>
      <c r="S19" s="371"/>
      <c r="T19" s="164"/>
      <c r="V19" s="382">
        <f t="shared" si="2"/>
        <v>12837</v>
      </c>
      <c r="W19" s="227">
        <f t="shared" si="3"/>
        <v>1.0123417846299436</v>
      </c>
    </row>
    <row r="20" spans="2:23">
      <c r="B20" s="4">
        <f>'1. LDC Info'!F25-7</f>
        <v>2014</v>
      </c>
      <c r="C20" s="191">
        <f>AVERAGE('3. Consumption by Rate Class'!E61,'3. Consumption by Rate Class'!E72)</f>
        <v>8760.5</v>
      </c>
      <c r="D20" s="164">
        <f t="shared" si="4"/>
        <v>1.015474672539701</v>
      </c>
      <c r="E20" s="191">
        <f>AVERAGE('3. Consumption by Rate Class'!G61,'3. Consumption by Rate Class'!G72)</f>
        <v>1068.5</v>
      </c>
      <c r="F20" s="164">
        <f t="shared" si="4"/>
        <v>1.0099243856332702</v>
      </c>
      <c r="G20" s="14">
        <f>AVERAGE('3. Consumption by Rate Class'!I61,'3. Consumption by Rate Class'!I72)</f>
        <v>93</v>
      </c>
      <c r="H20" s="164">
        <f t="shared" si="0"/>
        <v>0.99465240641711228</v>
      </c>
      <c r="I20" s="190"/>
      <c r="J20" s="164"/>
      <c r="K20" s="14">
        <f>AVERAGE('3. Consumption by Rate Class'!N61,'3. Consumption by Rate Class'!N72)</f>
        <v>138</v>
      </c>
      <c r="L20" s="164">
        <f t="shared" si="1"/>
        <v>0.97526501766784457</v>
      </c>
      <c r="M20" s="190">
        <f>IF(SUM('3. Consumption by Rate Class'!Q61:Q72)&gt;0,+AVERAGE('3. Consumption by Rate Class'!Q61,'3. Consumption by Rate Class'!Q72),0)</f>
        <v>2634</v>
      </c>
      <c r="N20" s="164">
        <f t="shared" si="5"/>
        <v>0.92033542976939209</v>
      </c>
      <c r="O20" s="191">
        <f>AVERAGE('3. Consumption by Rate Class'!T61,'3. Consumption by Rate Class'!T72)</f>
        <v>54</v>
      </c>
      <c r="P20" s="165">
        <f t="shared" si="6"/>
        <v>1</v>
      </c>
      <c r="Q20" s="371">
        <v>1</v>
      </c>
      <c r="R20" s="165">
        <f t="shared" si="7"/>
        <v>1</v>
      </c>
      <c r="S20" s="371"/>
      <c r="T20" s="164"/>
      <c r="V20" s="382">
        <f t="shared" si="2"/>
        <v>12749</v>
      </c>
      <c r="W20" s="227">
        <f t="shared" si="3"/>
        <v>0.99314481576692371</v>
      </c>
    </row>
    <row r="21" spans="2:23">
      <c r="B21" s="4">
        <f>'1. LDC Info'!F25-6</f>
        <v>2015</v>
      </c>
      <c r="C21" s="191">
        <f>AVERAGE('3. Consumption by Rate Class'!E73,'3. Consumption by Rate Class'!E84)</f>
        <v>8885</v>
      </c>
      <c r="D21" s="164">
        <f t="shared" si="4"/>
        <v>1.0142115176074424</v>
      </c>
      <c r="E21" s="191">
        <f>AVERAGE('3. Consumption by Rate Class'!G73,'3. Consumption by Rate Class'!G84)</f>
        <v>1077.5</v>
      </c>
      <c r="F21" s="164">
        <f t="shared" si="4"/>
        <v>1.0084230229293403</v>
      </c>
      <c r="G21" s="14">
        <f>AVERAGE('3. Consumption by Rate Class'!I73,'3. Consumption by Rate Class'!I84)</f>
        <v>90</v>
      </c>
      <c r="H21" s="164">
        <f t="shared" si="0"/>
        <v>0.967741935483871</v>
      </c>
      <c r="I21" s="190"/>
      <c r="J21" s="164"/>
      <c r="K21" s="14">
        <f>AVERAGE('3. Consumption by Rate Class'!N73,'3. Consumption by Rate Class'!N84)</f>
        <v>134</v>
      </c>
      <c r="L21" s="164">
        <f t="shared" si="1"/>
        <v>0.97101449275362317</v>
      </c>
      <c r="M21" s="190">
        <f>IF(SUM('3. Consumption by Rate Class'!Q73:Q84)&gt;0,+AVERAGE('3. Consumption by Rate Class'!Q73,'3. Consumption by Rate Class'!Q84),0)</f>
        <v>2694</v>
      </c>
      <c r="N21" s="164">
        <f t="shared" si="5"/>
        <v>1.0227790432801822</v>
      </c>
      <c r="O21" s="191">
        <f>AVERAGE('3. Consumption by Rate Class'!T73,'3. Consumption by Rate Class'!T84)</f>
        <v>54</v>
      </c>
      <c r="P21" s="165">
        <f t="shared" si="6"/>
        <v>1</v>
      </c>
      <c r="Q21" s="371">
        <v>1</v>
      </c>
      <c r="R21" s="165">
        <f t="shared" si="7"/>
        <v>1</v>
      </c>
      <c r="S21" s="371"/>
      <c r="T21" s="164"/>
      <c r="V21" s="382">
        <f t="shared" si="2"/>
        <v>12935.5</v>
      </c>
      <c r="W21" s="227">
        <f t="shared" si="3"/>
        <v>1.0146285983214369</v>
      </c>
    </row>
    <row r="22" spans="2:23">
      <c r="B22" s="4">
        <f>'1. LDC Info'!F25-5</f>
        <v>2016</v>
      </c>
      <c r="C22" s="191">
        <f>AVERAGE('3. Consumption by Rate Class'!E85,'3. Consumption by Rate Class'!E96)</f>
        <v>8988</v>
      </c>
      <c r="D22" s="164">
        <f t="shared" si="4"/>
        <v>1.0115925717501406</v>
      </c>
      <c r="E22" s="191">
        <f>AVERAGE('3. Consumption by Rate Class'!G85,'3. Consumption by Rate Class'!G96)</f>
        <v>1082.5</v>
      </c>
      <c r="F22" s="164">
        <f t="shared" si="4"/>
        <v>1.0046403712296983</v>
      </c>
      <c r="G22" s="14">
        <f>AVERAGE('3. Consumption by Rate Class'!I85,'3. Consumption by Rate Class'!I96)</f>
        <v>85</v>
      </c>
      <c r="H22" s="164">
        <f t="shared" si="0"/>
        <v>0.94444444444444442</v>
      </c>
      <c r="I22" s="190"/>
      <c r="J22" s="164"/>
      <c r="K22" s="14">
        <f>AVERAGE('3. Consumption by Rate Class'!N85,'3. Consumption by Rate Class'!N96)</f>
        <v>134</v>
      </c>
      <c r="L22" s="164">
        <f t="shared" si="1"/>
        <v>1</v>
      </c>
      <c r="M22" s="190">
        <f>IF(SUM('3. Consumption by Rate Class'!Q85:Q96)&gt;0,+AVERAGE('3. Consumption by Rate Class'!Q85,'3. Consumption by Rate Class'!Q96),0)</f>
        <v>2491</v>
      </c>
      <c r="N22" s="164">
        <f t="shared" si="5"/>
        <v>0.92464736451373419</v>
      </c>
      <c r="O22" s="191">
        <f>AVERAGE('3. Consumption by Rate Class'!T85,'3. Consumption by Rate Class'!T96)</f>
        <v>48</v>
      </c>
      <c r="P22" s="165">
        <f t="shared" si="6"/>
        <v>0.88888888888888884</v>
      </c>
      <c r="Q22" s="371">
        <v>1</v>
      </c>
      <c r="R22" s="165">
        <f t="shared" si="7"/>
        <v>1</v>
      </c>
      <c r="S22" s="371"/>
      <c r="T22" s="164"/>
      <c r="V22" s="382">
        <f t="shared" si="2"/>
        <v>12829.5</v>
      </c>
      <c r="W22" s="227">
        <f t="shared" si="3"/>
        <v>0.99180549650187466</v>
      </c>
    </row>
    <row r="23" spans="2:23">
      <c r="B23" s="4">
        <f>'1. LDC Info'!F25-4</f>
        <v>2017</v>
      </c>
      <c r="C23" s="191">
        <f>AVERAGE('3. Consumption by Rate Class'!E97,'3. Consumption by Rate Class'!E108)</f>
        <v>9072.5</v>
      </c>
      <c r="D23" s="164">
        <f t="shared" si="4"/>
        <v>1.0094014241210503</v>
      </c>
      <c r="E23" s="191">
        <f>AVERAGE('3. Consumption by Rate Class'!G97,'3. Consumption by Rate Class'!G108)</f>
        <v>1097</v>
      </c>
      <c r="F23" s="164">
        <f t="shared" si="4"/>
        <v>1.0133949191685911</v>
      </c>
      <c r="G23" s="14">
        <f>AVERAGE('3. Consumption by Rate Class'!I97,'3. Consumption by Rate Class'!I108)</f>
        <v>84</v>
      </c>
      <c r="H23" s="164">
        <f t="shared" si="0"/>
        <v>0.9882352941176471</v>
      </c>
      <c r="I23" s="190"/>
      <c r="J23" s="164"/>
      <c r="K23" s="14">
        <f>AVERAGE('3. Consumption by Rate Class'!N97,'3. Consumption by Rate Class'!N108)</f>
        <v>130.5</v>
      </c>
      <c r="L23" s="164">
        <f t="shared" si="1"/>
        <v>0.97388059701492535</v>
      </c>
      <c r="M23" s="190">
        <f>IF(SUM('3. Consumption by Rate Class'!Q97:Q108)&gt;0,+AVERAGE('3. Consumption by Rate Class'!Q97,'3. Consumption by Rate Class'!Q108),0)</f>
        <v>2593</v>
      </c>
      <c r="N23" s="164">
        <f t="shared" si="5"/>
        <v>1.0409474106784424</v>
      </c>
      <c r="O23" s="191">
        <f>AVERAGE('3. Consumption by Rate Class'!T97,'3. Consumption by Rate Class'!T108)</f>
        <v>48</v>
      </c>
      <c r="P23" s="165">
        <f t="shared" si="6"/>
        <v>1</v>
      </c>
      <c r="Q23" s="371">
        <v>1</v>
      </c>
      <c r="R23" s="165">
        <f t="shared" si="7"/>
        <v>1</v>
      </c>
      <c r="S23" s="371"/>
      <c r="T23" s="164"/>
      <c r="V23" s="382">
        <f t="shared" si="2"/>
        <v>13026</v>
      </c>
      <c r="W23" s="227">
        <f t="shared" si="3"/>
        <v>1.015316263299427</v>
      </c>
    </row>
    <row r="24" spans="2:23">
      <c r="B24" s="4">
        <f>'1. LDC Info'!F25-3</f>
        <v>2018</v>
      </c>
      <c r="C24" s="191">
        <f>AVERAGE('3. Consumption by Rate Class'!E109,'3. Consumption by Rate Class'!E120)</f>
        <v>9175</v>
      </c>
      <c r="D24" s="164">
        <f t="shared" si="4"/>
        <v>1.0112978782033617</v>
      </c>
      <c r="E24" s="191">
        <f>AVERAGE('3. Consumption by Rate Class'!G109,'3. Consumption by Rate Class'!G120)</f>
        <v>1120</v>
      </c>
      <c r="F24" s="164">
        <f t="shared" si="4"/>
        <v>1.0209662716499543</v>
      </c>
      <c r="G24" s="14">
        <f>AVERAGE('3. Consumption by Rate Class'!I109,'3. Consumption by Rate Class'!I120)</f>
        <v>84</v>
      </c>
      <c r="H24" s="164">
        <f t="shared" si="0"/>
        <v>1</v>
      </c>
      <c r="I24" s="190"/>
      <c r="J24" s="164"/>
      <c r="K24" s="14">
        <f>AVERAGE('3. Consumption by Rate Class'!N109,'3. Consumption by Rate Class'!N120)</f>
        <v>120.5</v>
      </c>
      <c r="L24" s="164">
        <f t="shared" si="1"/>
        <v>0.92337164750957856</v>
      </c>
      <c r="M24" s="190">
        <f>IF(SUM('3. Consumption by Rate Class'!Q109:Q120)&gt;0,+AVERAGE('3. Consumption by Rate Class'!Q109,'3. Consumption by Rate Class'!Q120),0)</f>
        <v>2837.5</v>
      </c>
      <c r="N24" s="164">
        <f t="shared" si="5"/>
        <v>1.0942923254917085</v>
      </c>
      <c r="O24" s="191">
        <f>AVERAGE('3. Consumption by Rate Class'!T109,'3. Consumption by Rate Class'!T120)</f>
        <v>47.5</v>
      </c>
      <c r="P24" s="165">
        <f t="shared" si="6"/>
        <v>0.98958333333333337</v>
      </c>
      <c r="Q24" s="371">
        <v>1</v>
      </c>
      <c r="R24" s="165">
        <f t="shared" si="7"/>
        <v>1</v>
      </c>
      <c r="S24" s="371"/>
      <c r="T24" s="164"/>
      <c r="V24" s="382">
        <f t="shared" si="2"/>
        <v>13385.5</v>
      </c>
      <c r="W24" s="227">
        <f t="shared" si="3"/>
        <v>1.0275986488561339</v>
      </c>
    </row>
    <row r="25" spans="2:23">
      <c r="B25" s="4">
        <f>'1. LDC Info'!F25-2</f>
        <v>2019</v>
      </c>
      <c r="C25" s="191">
        <f>AVERAGE('3. Consumption by Rate Class'!E121,'3. Consumption by Rate Class'!E132)</f>
        <v>9270.5</v>
      </c>
      <c r="D25" s="164">
        <f t="shared" si="4"/>
        <v>1.0104087193460491</v>
      </c>
      <c r="E25" s="191">
        <f>AVERAGE('3. Consumption by Rate Class'!G121,'3. Consumption by Rate Class'!G132)</f>
        <v>1131</v>
      </c>
      <c r="F25" s="164">
        <f t="shared" si="4"/>
        <v>1.0098214285714286</v>
      </c>
      <c r="G25" s="14">
        <f>AVERAGE('3. Consumption by Rate Class'!I121,'3. Consumption by Rate Class'!I132)</f>
        <v>83.5</v>
      </c>
      <c r="H25" s="164">
        <f t="shared" si="0"/>
        <v>0.99404761904761907</v>
      </c>
      <c r="I25" s="190"/>
      <c r="J25" s="164"/>
      <c r="K25" s="14">
        <f>AVERAGE('3. Consumption by Rate Class'!N121,'3. Consumption by Rate Class'!N132)</f>
        <v>114</v>
      </c>
      <c r="L25" s="164">
        <f t="shared" si="1"/>
        <v>0.94605809128630702</v>
      </c>
      <c r="M25" s="190">
        <f>IF(SUM('3. Consumption by Rate Class'!Q121:Q132)&gt;0,+AVERAGE('3. Consumption by Rate Class'!Q121,'3. Consumption by Rate Class'!Q132),0)</f>
        <v>3082</v>
      </c>
      <c r="N25" s="164">
        <f t="shared" si="5"/>
        <v>1.0861674008810573</v>
      </c>
      <c r="O25" s="191">
        <f>AVERAGE('3. Consumption by Rate Class'!T121,'3. Consumption by Rate Class'!T132)</f>
        <v>46.5</v>
      </c>
      <c r="P25" s="165">
        <f t="shared" si="6"/>
        <v>0.97894736842105268</v>
      </c>
      <c r="Q25" s="371">
        <v>1</v>
      </c>
      <c r="R25" s="165">
        <f t="shared" si="7"/>
        <v>1</v>
      </c>
      <c r="S25" s="371"/>
      <c r="T25" s="164"/>
      <c r="V25" s="382">
        <f t="shared" si="2"/>
        <v>13728.5</v>
      </c>
      <c r="W25" s="227">
        <f t="shared" si="3"/>
        <v>1.0256247431922603</v>
      </c>
    </row>
    <row r="26" spans="2:23">
      <c r="B26" s="4">
        <f>'1. LDC Info'!F25-1</f>
        <v>2020</v>
      </c>
      <c r="C26" s="191">
        <f>AVERAGE('3. Consumption by Rate Class'!E133,'3. Consumption by Rate Class'!E144)</f>
        <v>9383.5</v>
      </c>
      <c r="D26" s="164">
        <f t="shared" si="4"/>
        <v>1.0121892023083976</v>
      </c>
      <c r="E26" s="191">
        <f>AVERAGE('3. Consumption by Rate Class'!G133,'3. Consumption by Rate Class'!G144)</f>
        <v>1133.5</v>
      </c>
      <c r="F26" s="164">
        <f t="shared" si="4"/>
        <v>1.002210433244916</v>
      </c>
      <c r="G26" s="14">
        <f>AVERAGE('3. Consumption by Rate Class'!I133,'3. Consumption by Rate Class'!I144)</f>
        <v>82.5</v>
      </c>
      <c r="H26" s="164">
        <f t="shared" si="0"/>
        <v>0.9880239520958084</v>
      </c>
      <c r="I26" s="190"/>
      <c r="J26" s="164"/>
      <c r="K26" s="14">
        <f>AVERAGE('3. Consumption by Rate Class'!N133,'3. Consumption by Rate Class'!N144)</f>
        <v>109.5</v>
      </c>
      <c r="L26" s="164">
        <f t="shared" si="1"/>
        <v>0.96052631578947367</v>
      </c>
      <c r="M26" s="190">
        <f>IF(SUM('3. Consumption by Rate Class'!Q132:Q144)&gt;0,+AVERAGE('3. Consumption by Rate Class'!Q133,'3. Consumption by Rate Class'!Q144),0)</f>
        <v>3082</v>
      </c>
      <c r="N26" s="164">
        <f t="shared" si="5"/>
        <v>1</v>
      </c>
      <c r="O26" s="191">
        <f>AVERAGE('3. Consumption by Rate Class'!T133,'3. Consumption by Rate Class'!T144)</f>
        <v>50</v>
      </c>
      <c r="P26" s="165">
        <f t="shared" si="6"/>
        <v>1.075268817204301</v>
      </c>
      <c r="Q26" s="371">
        <v>1</v>
      </c>
      <c r="R26" s="165">
        <f t="shared" si="7"/>
        <v>1</v>
      </c>
      <c r="S26" s="371"/>
      <c r="T26" s="164"/>
      <c r="V26" s="382">
        <f t="shared" si="2"/>
        <v>13842</v>
      </c>
      <c r="W26" s="227">
        <f t="shared" si="3"/>
        <v>1.0082674727756127</v>
      </c>
    </row>
    <row r="27" spans="2:23">
      <c r="B27" s="8"/>
      <c r="C27" s="279"/>
      <c r="D27" s="6"/>
      <c r="E27" s="279"/>
      <c r="F27" s="6"/>
      <c r="G27" s="9"/>
      <c r="H27" s="6"/>
      <c r="I27" s="279"/>
      <c r="J27" s="6"/>
      <c r="K27" s="9"/>
      <c r="L27" s="6"/>
      <c r="M27" s="279"/>
      <c r="N27" s="6"/>
      <c r="O27" s="279"/>
      <c r="P27" s="7"/>
      <c r="Q27" s="279"/>
      <c r="R27" s="6"/>
      <c r="S27" s="279"/>
      <c r="T27" s="6"/>
      <c r="V27" s="228"/>
      <c r="W27" s="229"/>
    </row>
    <row r="28" spans="2:23">
      <c r="B28" s="10" t="s">
        <v>4</v>
      </c>
      <c r="C28" s="279"/>
      <c r="D28" s="11">
        <f>GEOMEAN(D18:D26)</f>
        <v>1.0120441032152068</v>
      </c>
      <c r="E28" s="281"/>
      <c r="F28" s="11">
        <f>GEOMEAN(F18:F26)</f>
        <v>1.0061653523756546</v>
      </c>
      <c r="G28" s="12"/>
      <c r="H28" s="11">
        <f>GEOMEAN(H18:H26)</f>
        <v>0.98330210389682848</v>
      </c>
      <c r="I28" s="281"/>
      <c r="J28" s="11"/>
      <c r="K28" s="12"/>
      <c r="L28" s="11">
        <f>GEOMEAN(L18:L26)</f>
        <v>0.97986303426395438</v>
      </c>
      <c r="M28" s="281"/>
      <c r="N28" s="11">
        <f>IF(SUM(N18:N26)&gt;0,+GEOMEAN(N18:N26),0)</f>
        <v>1.012377130644375</v>
      </c>
      <c r="O28" s="281"/>
      <c r="P28" s="13">
        <f>GEOMEAN(P18:P26)</f>
        <v>0.99354659014764191</v>
      </c>
      <c r="Q28" s="281"/>
      <c r="R28" s="13">
        <f>GEOMEAN(R18:R26)</f>
        <v>1</v>
      </c>
      <c r="S28" s="281"/>
      <c r="T28" s="11"/>
      <c r="V28" s="228"/>
      <c r="W28" s="13">
        <f>GEOMEAN(W18:W26)</f>
        <v>1.0110543657650575</v>
      </c>
    </row>
    <row r="29" spans="2:23">
      <c r="B29" s="10"/>
      <c r="C29" s="279"/>
      <c r="D29" s="11"/>
      <c r="E29" s="281"/>
      <c r="F29" s="11"/>
      <c r="G29" s="12"/>
      <c r="H29" s="11"/>
      <c r="I29" s="281"/>
      <c r="J29" s="11"/>
      <c r="K29" s="12"/>
      <c r="L29" s="11"/>
      <c r="M29" s="281"/>
      <c r="N29" s="11"/>
      <c r="O29" s="281"/>
      <c r="P29" s="13"/>
      <c r="Q29" s="281"/>
      <c r="R29" s="11"/>
      <c r="S29" s="281"/>
      <c r="T29" s="11"/>
      <c r="V29" s="228"/>
      <c r="W29" s="229"/>
    </row>
    <row r="30" spans="2:23">
      <c r="B30" s="738" t="str">
        <f>'1. LDC Info'!F25</f>
        <v>2021</v>
      </c>
      <c r="C30" s="739">
        <f>C26*D28</f>
        <v>9496.5158425198933</v>
      </c>
      <c r="D30" s="740" t="s">
        <v>30</v>
      </c>
      <c r="E30" s="739">
        <f>E26*F28</f>
        <v>1140.4884269178044</v>
      </c>
      <c r="F30" s="741"/>
      <c r="G30" s="742">
        <f>G26*H28</f>
        <v>81.122423571488355</v>
      </c>
      <c r="H30" s="741"/>
      <c r="I30" s="739"/>
      <c r="J30" s="741"/>
      <c r="K30" s="742">
        <f>K26*L28</f>
        <v>107.295002251903</v>
      </c>
      <c r="L30" s="741"/>
      <c r="M30" s="739">
        <f>M26*N28</f>
        <v>3120.1463166459635</v>
      </c>
      <c r="N30" s="741"/>
      <c r="O30" s="739">
        <f>O26*P28</f>
        <v>49.677329507382098</v>
      </c>
      <c r="P30" s="743"/>
      <c r="Q30" s="739">
        <f>Q26*R28</f>
        <v>1</v>
      </c>
      <c r="R30" s="741"/>
      <c r="S30" s="373"/>
      <c r="T30" s="692"/>
      <c r="V30" s="751">
        <f>+C30+E30+G30+I30+K30+M30+O30+R30</f>
        <v>13995.245341414435</v>
      </c>
      <c r="W30" s="752"/>
    </row>
    <row r="31" spans="2:23" ht="13.5" thickBot="1">
      <c r="B31" s="744" t="str">
        <f>'1. LDC Info'!F27</f>
        <v>2022</v>
      </c>
      <c r="C31" s="745">
        <f>C30*D28</f>
        <v>9610.8928595120487</v>
      </c>
      <c r="D31" s="746" t="s">
        <v>30</v>
      </c>
      <c r="E31" s="745">
        <f>E30*F28</f>
        <v>1147.5199399501087</v>
      </c>
      <c r="F31" s="747"/>
      <c r="G31" s="748">
        <f>G30*H28</f>
        <v>79.767849771054173</v>
      </c>
      <c r="H31" s="747"/>
      <c r="I31" s="745"/>
      <c r="J31" s="747"/>
      <c r="K31" s="748">
        <f>K30*L28</f>
        <v>105.1344064679075</v>
      </c>
      <c r="L31" s="747"/>
      <c r="M31" s="745">
        <f>M30*N28</f>
        <v>3158.7647752366561</v>
      </c>
      <c r="N31" s="747"/>
      <c r="O31" s="745">
        <f>O30*P28</f>
        <v>49.356741339700321</v>
      </c>
      <c r="P31" s="749"/>
      <c r="Q31" s="745">
        <f>Q30*R28</f>
        <v>1</v>
      </c>
      <c r="R31" s="747"/>
      <c r="S31" s="280"/>
      <c r="T31" s="693"/>
      <c r="V31" s="751">
        <f>+C31+E31+G31+I31+K31+M31+O31+R31</f>
        <v>14151.436572277475</v>
      </c>
      <c r="W31" s="753"/>
    </row>
    <row r="32" spans="2:23">
      <c r="V32" s="226"/>
    </row>
    <row r="33" spans="2:23">
      <c r="B33" s="167" t="s">
        <v>172</v>
      </c>
      <c r="V33" s="226"/>
    </row>
    <row r="34" spans="2:23" ht="13.5" thickBot="1">
      <c r="V34" s="226"/>
    </row>
    <row r="35" spans="2:23">
      <c r="B35" s="264" t="s">
        <v>31</v>
      </c>
      <c r="C35" s="18"/>
      <c r="D35" s="18"/>
      <c r="E35" s="18"/>
      <c r="F35" s="18"/>
      <c r="G35" s="18"/>
      <c r="H35" s="18"/>
      <c r="I35" s="18"/>
      <c r="J35" s="18"/>
      <c r="K35" s="18"/>
      <c r="L35" s="18"/>
      <c r="M35" s="18"/>
      <c r="N35" s="18"/>
      <c r="O35" s="18"/>
      <c r="P35" s="19"/>
      <c r="Q35" s="18"/>
      <c r="R35" s="19"/>
      <c r="S35" s="18"/>
      <c r="T35" s="19"/>
      <c r="V35" s="1084" t="s">
        <v>31</v>
      </c>
      <c r="W35" s="1085"/>
    </row>
    <row r="36" spans="2:23">
      <c r="B36" s="159" t="str">
        <f>'1. LDC Info'!F25</f>
        <v>2021</v>
      </c>
      <c r="C36" s="282"/>
      <c r="D36" s="6">
        <f>C36/C26</f>
        <v>0</v>
      </c>
      <c r="E36" s="282"/>
      <c r="F36" s="6">
        <f>E36/E26</f>
        <v>0</v>
      </c>
      <c r="G36" s="282"/>
      <c r="H36" s="6">
        <f>G36/G26</f>
        <v>0</v>
      </c>
      <c r="I36" s="282"/>
      <c r="J36" s="164">
        <f>IF(I36&gt;0,+I36/I26,0)</f>
        <v>0</v>
      </c>
      <c r="K36" s="282"/>
      <c r="L36" s="6">
        <f>K36/K26</f>
        <v>0</v>
      </c>
      <c r="M36" s="282"/>
      <c r="N36" s="164">
        <f>IF(M36&gt;0,+M36/M26,0)</f>
        <v>0</v>
      </c>
      <c r="O36" s="282"/>
      <c r="P36" s="7">
        <f>O36/O26</f>
        <v>0</v>
      </c>
      <c r="Q36" s="20">
        <v>0</v>
      </c>
      <c r="R36" s="7">
        <f>Q36/Q26</f>
        <v>0</v>
      </c>
      <c r="S36" s="20"/>
      <c r="T36" s="7"/>
      <c r="V36" s="382">
        <f>+C36+E36+G36+I36+K36+M36+O36</f>
        <v>0</v>
      </c>
      <c r="W36" s="165">
        <f>V36/V26</f>
        <v>0</v>
      </c>
    </row>
    <row r="37" spans="2:23" ht="13.5" thickBot="1">
      <c r="B37" s="158" t="str">
        <f>'1. LDC Info'!F27</f>
        <v>2022</v>
      </c>
      <c r="C37" s="283"/>
      <c r="D37" s="277">
        <f>IF(C37&gt;0,+C37/C36,0)</f>
        <v>0</v>
      </c>
      <c r="E37" s="283"/>
      <c r="F37" s="277">
        <f>IF(E37&gt;0,+E37/E36,0)</f>
        <v>0</v>
      </c>
      <c r="G37" s="283"/>
      <c r="H37" s="277">
        <f>IF(G37&gt;0,+G37/G36,0)</f>
        <v>0</v>
      </c>
      <c r="I37" s="283"/>
      <c r="J37" s="277">
        <f>IF(I37&gt;0,+I37/I36,0)</f>
        <v>0</v>
      </c>
      <c r="K37" s="283"/>
      <c r="L37" s="277">
        <f>IF(K37&gt;0,+K37/K36,0)</f>
        <v>0</v>
      </c>
      <c r="M37" s="283"/>
      <c r="N37" s="277">
        <f>IF(M37&gt;0,+M37/M36,0)</f>
        <v>0</v>
      </c>
      <c r="O37" s="283"/>
      <c r="P37" s="230">
        <f>IF(O37&gt;0,+O37/O36,0)</f>
        <v>0</v>
      </c>
      <c r="Q37" s="21">
        <v>0</v>
      </c>
      <c r="R37" s="230">
        <f>IF(Q37&gt;0,+Q37/Q36,0)</f>
        <v>0</v>
      </c>
      <c r="S37" s="21"/>
      <c r="T37" s="22"/>
      <c r="V37" s="383">
        <f>+C37+E37+G37+I37+K37+M37+O37</f>
        <v>0</v>
      </c>
      <c r="W37" s="230">
        <f>IF(V37&gt;0,+V37/V36,0)</f>
        <v>0</v>
      </c>
    </row>
    <row r="38" spans="2:23">
      <c r="C38" s="172" t="s">
        <v>30</v>
      </c>
      <c r="V38" s="226"/>
    </row>
    <row r="39" spans="2:23">
      <c r="B39" s="1" t="s">
        <v>128</v>
      </c>
      <c r="V39" s="226"/>
    </row>
    <row r="40" spans="2:23" ht="13.5" thickBot="1">
      <c r="V40" s="226"/>
    </row>
    <row r="41" spans="2:23">
      <c r="B41" s="1088" t="s">
        <v>156</v>
      </c>
      <c r="C41" s="1089"/>
      <c r="D41" s="1089"/>
      <c r="E41" s="1089"/>
      <c r="F41" s="1089"/>
      <c r="G41" s="1089"/>
      <c r="H41" s="1089"/>
      <c r="I41" s="1089"/>
      <c r="J41" s="1089"/>
      <c r="K41" s="1089"/>
      <c r="L41" s="1089"/>
      <c r="M41" s="1089"/>
      <c r="N41" s="1089"/>
      <c r="O41" s="1089"/>
      <c r="P41" s="1089"/>
      <c r="Q41" s="1089"/>
      <c r="R41" s="1090"/>
      <c r="V41" s="1084" t="s">
        <v>31</v>
      </c>
      <c r="W41" s="1085"/>
    </row>
    <row r="42" spans="2:23" ht="13.5" thickBot="1">
      <c r="B42" s="527">
        <v>2014</v>
      </c>
      <c r="C42" s="688">
        <f>IF(C36&gt;0,+C36,C30)</f>
        <v>9496.5158425198933</v>
      </c>
      <c r="D42" s="500">
        <f>IF(D36&gt;0,+D36,D28)</f>
        <v>1.0120441032152068</v>
      </c>
      <c r="E42" s="688">
        <f>IF(E36&gt;0,+E36,E30)</f>
        <v>1140.4884269178044</v>
      </c>
      <c r="F42" s="500">
        <f>IF(F36&gt;0,+F36,F28)</f>
        <v>1.0061653523756546</v>
      </c>
      <c r="G42" s="688">
        <f>IF(G36&gt;0,+G36,G30)</f>
        <v>81.122423571488355</v>
      </c>
      <c r="H42" s="500">
        <f>IF(H36&gt;0,+H36,H28)</f>
        <v>0.98330210389682848</v>
      </c>
      <c r="I42" s="497">
        <f>IF(I36&gt;0,+I36,I30)</f>
        <v>0</v>
      </c>
      <c r="J42" s="500">
        <f>IF(J36&gt;0,+J36,J28)</f>
        <v>0</v>
      </c>
      <c r="K42" s="688">
        <f>IF(K36&gt;0,+K36,K30)</f>
        <v>107.295002251903</v>
      </c>
      <c r="L42" s="500">
        <f>IF(L36&gt;0,+L36,L28)</f>
        <v>0.97986303426395438</v>
      </c>
      <c r="M42" s="688">
        <f>IF(M36&gt;0,+M36,M30)</f>
        <v>3120.1463166459635</v>
      </c>
      <c r="N42" s="500">
        <f>IF(N36&gt;0,+N36,N28)</f>
        <v>1.012377130644375</v>
      </c>
      <c r="O42" s="688">
        <f>IF(O36&gt;0,+O36,O30)</f>
        <v>49.677329507382098</v>
      </c>
      <c r="P42" s="500">
        <f>IF(P36&gt;0,+P36,P28)</f>
        <v>0.99354659014764191</v>
      </c>
      <c r="Q42" s="497">
        <f>IF(Q36&gt;0,+Q36,Q30)</f>
        <v>1</v>
      </c>
      <c r="R42" s="690">
        <f>IF(R36&gt;0,+R36,R28)</f>
        <v>1</v>
      </c>
      <c r="V42" s="382">
        <f>+C42+E42+G42+I42+K42+M42+O42</f>
        <v>13995.245341414435</v>
      </c>
      <c r="W42" s="244">
        <f>IF(V36&gt;1,+W36,W28)</f>
        <v>1.0110543657650575</v>
      </c>
    </row>
    <row r="43" spans="2:23" ht="13.5" thickBot="1">
      <c r="B43" s="207">
        <v>2015</v>
      </c>
      <c r="C43" s="689">
        <f>IF(C37&gt;0,+C37,C31)</f>
        <v>9610.8928595120487</v>
      </c>
      <c r="D43" s="210">
        <f>IF(D37&gt;0,+D37,D28)</f>
        <v>1.0120441032152068</v>
      </c>
      <c r="E43" s="689">
        <f>IF(E37&gt;0,+E37,E31)</f>
        <v>1147.5199399501087</v>
      </c>
      <c r="F43" s="210">
        <f>IF(F37&gt;0,+F37,F28)</f>
        <v>1.0061653523756546</v>
      </c>
      <c r="G43" s="689">
        <f>IF(G37&gt;0,+G37,G31)</f>
        <v>79.767849771054173</v>
      </c>
      <c r="H43" s="210">
        <f>IF(H37&gt;0,+H37,H28)</f>
        <v>0.98330210389682848</v>
      </c>
      <c r="I43" s="278">
        <f>IF(I37&gt;0,+I37,I31)</f>
        <v>0</v>
      </c>
      <c r="J43" s="210">
        <f>IF(J37&gt;0,+J37,J28)</f>
        <v>0</v>
      </c>
      <c r="K43" s="689">
        <f>IF(K37&gt;0,+K37,K31)</f>
        <v>105.1344064679075</v>
      </c>
      <c r="L43" s="210">
        <f>IF(L37&gt;0,+L37,L28)</f>
        <v>0.97986303426395438</v>
      </c>
      <c r="M43" s="689">
        <f>IF(M37&gt;0,+M37,M31)</f>
        <v>3158.7647752366561</v>
      </c>
      <c r="N43" s="210">
        <f>IF(N37&gt;0,+N37,N28)</f>
        <v>1.012377130644375</v>
      </c>
      <c r="O43" s="689">
        <f>IF(O37&gt;0,+O37,O31)</f>
        <v>49.356741339700321</v>
      </c>
      <c r="P43" s="210">
        <f>IF(P37&gt;0,+P37,P28)</f>
        <v>0.99354659014764191</v>
      </c>
      <c r="Q43" s="278">
        <f>IF(Q37&gt;0,+Q37,Q31)</f>
        <v>1</v>
      </c>
      <c r="R43" s="691">
        <f>IF(R37&gt;0,+R37,R28)</f>
        <v>1</v>
      </c>
      <c r="V43" s="383">
        <f>+C43+E43+G43+I43+K43+M43+O43</f>
        <v>14151.436572277475</v>
      </c>
      <c r="W43" s="245">
        <f>IF(W37&gt;1,+W37,W28)</f>
        <v>1.0110543657650575</v>
      </c>
    </row>
    <row r="48" spans="2:23">
      <c r="C48" s="284"/>
    </row>
    <row r="49" spans="3:3">
      <c r="C49" s="284"/>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32"/>
  <sheetViews>
    <sheetView showGridLines="0" topLeftCell="A96" zoomScaleNormal="100" zoomScaleSheetLayoutView="100" workbookViewId="0">
      <selection activeCell="B123" sqref="B123"/>
    </sheetView>
  </sheetViews>
  <sheetFormatPr defaultRowHeight="12.75"/>
  <cols>
    <col min="1" max="1" width="13.6640625" style="1" customWidth="1"/>
    <col min="2" max="2" width="24.83203125" style="44" customWidth="1"/>
    <col min="3" max="14" width="14.83203125" style="44" customWidth="1"/>
    <col min="15" max="15" width="12.5" style="1" customWidth="1"/>
    <col min="16" max="24" width="9.33203125" style="1"/>
    <col min="25" max="25" width="19.33203125" style="1" customWidth="1"/>
    <col min="26" max="16384" width="9.33203125" style="1"/>
  </cols>
  <sheetData>
    <row r="1" spans="1:14" s="514" customFormat="1">
      <c r="A1" s="694" t="s">
        <v>257</v>
      </c>
      <c r="B1" s="44"/>
      <c r="C1" s="44"/>
      <c r="D1" s="44"/>
      <c r="E1" s="44"/>
      <c r="F1" s="44"/>
      <c r="G1" s="44"/>
      <c r="H1" s="44"/>
      <c r="I1" s="44"/>
      <c r="J1" s="44"/>
      <c r="K1" s="44"/>
      <c r="L1" s="44"/>
      <c r="M1" s="44"/>
      <c r="N1" s="44"/>
    </row>
    <row r="2" spans="1:14" s="514" customFormat="1">
      <c r="B2" s="44"/>
      <c r="C2" s="44"/>
      <c r="D2" s="44"/>
      <c r="E2" s="44"/>
      <c r="F2" s="44"/>
      <c r="G2" s="44"/>
      <c r="H2" s="44"/>
      <c r="I2" s="44"/>
      <c r="J2" s="44"/>
      <c r="K2" s="44"/>
      <c r="L2" s="44"/>
      <c r="M2" s="44"/>
      <c r="N2" s="44"/>
    </row>
    <row r="3" spans="1:14" s="514" customFormat="1">
      <c r="B3" s="44"/>
      <c r="C3" s="44"/>
      <c r="D3" s="44"/>
      <c r="E3" s="44"/>
      <c r="F3" s="44"/>
      <c r="G3" s="44"/>
      <c r="H3" s="44"/>
      <c r="I3" s="44"/>
      <c r="J3" s="44"/>
      <c r="K3" s="44"/>
      <c r="L3" s="44"/>
      <c r="M3" s="44"/>
      <c r="N3" s="44"/>
    </row>
    <row r="4" spans="1:14" s="514" customFormat="1">
      <c r="B4" s="44"/>
      <c r="C4" s="44"/>
      <c r="D4" s="44"/>
      <c r="E4" s="44"/>
      <c r="F4" s="44"/>
      <c r="G4" s="44"/>
      <c r="H4" s="44"/>
      <c r="I4" s="44"/>
      <c r="J4" s="44"/>
      <c r="K4" s="44"/>
      <c r="L4" s="44"/>
      <c r="M4" s="44"/>
      <c r="N4" s="44"/>
    </row>
    <row r="5" spans="1:14" s="514" customFormat="1">
      <c r="B5" s="44"/>
      <c r="C5" s="44"/>
      <c r="D5" s="44"/>
      <c r="E5" s="44"/>
      <c r="F5" s="44"/>
      <c r="G5" s="44"/>
      <c r="H5" s="44"/>
      <c r="I5" s="44"/>
      <c r="J5" s="44"/>
      <c r="K5" s="44"/>
      <c r="L5" s="44"/>
      <c r="M5" s="44"/>
      <c r="N5" s="44"/>
    </row>
    <row r="6" spans="1:14" s="514" customFormat="1">
      <c r="B6" s="44"/>
      <c r="C6" s="44"/>
      <c r="D6" s="44"/>
      <c r="E6" s="44"/>
      <c r="F6" s="44"/>
      <c r="G6" s="44"/>
      <c r="H6" s="44"/>
      <c r="I6" s="44"/>
      <c r="J6" s="44"/>
      <c r="K6" s="44"/>
      <c r="L6" s="44"/>
      <c r="M6" s="44"/>
      <c r="N6" s="44"/>
    </row>
    <row r="7" spans="1:14" s="514" customFormat="1">
      <c r="B7" s="44"/>
      <c r="C7" s="44"/>
      <c r="D7" s="44"/>
      <c r="E7" s="44"/>
      <c r="F7" s="44"/>
      <c r="G7" s="44"/>
      <c r="H7" s="44"/>
      <c r="I7" s="44"/>
      <c r="J7" s="44"/>
      <c r="K7" s="44"/>
      <c r="L7" s="44"/>
      <c r="M7" s="44"/>
      <c r="N7" s="44"/>
    </row>
    <row r="8" spans="1:14" s="514" customFormat="1">
      <c r="B8" s="44"/>
      <c r="C8" s="44"/>
      <c r="D8" s="44"/>
      <c r="E8" s="44"/>
      <c r="F8" s="44"/>
      <c r="G8" s="44"/>
      <c r="H8" s="44"/>
      <c r="I8" s="44"/>
      <c r="J8" s="44"/>
      <c r="K8" s="44"/>
      <c r="L8" s="44"/>
      <c r="M8" s="44"/>
      <c r="N8" s="44"/>
    </row>
    <row r="9" spans="1:14" s="514" customFormat="1">
      <c r="B9" s="44"/>
      <c r="C9" s="44"/>
      <c r="D9" s="44"/>
      <c r="E9" s="44"/>
      <c r="F9" s="44"/>
      <c r="G9" s="44"/>
      <c r="H9" s="44"/>
      <c r="I9" s="44"/>
      <c r="J9" s="44"/>
      <c r="K9" s="44"/>
      <c r="L9" s="44"/>
      <c r="M9" s="44"/>
      <c r="N9" s="44"/>
    </row>
    <row r="10" spans="1:14">
      <c r="A10" s="232"/>
      <c r="B10" s="233"/>
      <c r="C10" s="233"/>
      <c r="D10" s="233"/>
      <c r="E10" s="233"/>
      <c r="F10" s="233"/>
      <c r="G10" s="233"/>
      <c r="H10" s="233"/>
      <c r="I10" s="233"/>
      <c r="J10" s="233"/>
      <c r="K10" s="233"/>
      <c r="L10" s="233"/>
      <c r="M10" s="233"/>
      <c r="N10" s="233"/>
    </row>
    <row r="11" spans="1:14" ht="23.25">
      <c r="A11" s="232"/>
      <c r="B11" s="234" t="s">
        <v>146</v>
      </c>
      <c r="C11" s="233"/>
      <c r="D11" s="233"/>
      <c r="E11" s="233"/>
      <c r="F11" s="233"/>
      <c r="G11" s="233"/>
      <c r="H11" s="233"/>
      <c r="I11" s="233"/>
      <c r="J11" s="233"/>
      <c r="K11" s="233"/>
      <c r="L11" s="233"/>
      <c r="M11" s="232"/>
      <c r="N11" s="1"/>
    </row>
    <row r="12" spans="1:14" ht="15">
      <c r="A12" s="232"/>
      <c r="B12" s="49" t="s">
        <v>63</v>
      </c>
      <c r="C12" s="233"/>
      <c r="D12" s="233"/>
      <c r="E12" s="233"/>
      <c r="F12" s="233"/>
      <c r="G12" s="233"/>
      <c r="H12" s="233"/>
      <c r="I12" s="233"/>
      <c r="J12" s="233"/>
      <c r="K12" s="233"/>
      <c r="L12" s="233"/>
      <c r="M12" s="233"/>
      <c r="N12" s="233"/>
    </row>
    <row r="13" spans="1:14" ht="14.25">
      <c r="A13" s="232"/>
      <c r="B13" s="91" t="s">
        <v>242</v>
      </c>
      <c r="C13" s="233"/>
      <c r="D13" s="233"/>
      <c r="E13" s="233"/>
      <c r="F13" s="233"/>
      <c r="G13" s="233"/>
      <c r="H13" s="233"/>
      <c r="I13" s="233"/>
      <c r="J13" s="233"/>
      <c r="K13" s="233"/>
      <c r="L13" s="233"/>
      <c r="M13" s="233"/>
      <c r="N13" s="233"/>
    </row>
    <row r="14" spans="1:14" ht="14.25">
      <c r="A14" s="232"/>
      <c r="B14" s="686" t="s">
        <v>243</v>
      </c>
      <c r="C14" s="233"/>
      <c r="D14" s="233"/>
      <c r="E14" s="233"/>
      <c r="F14" s="233"/>
      <c r="G14" s="233"/>
      <c r="H14" s="233"/>
      <c r="I14" s="233"/>
      <c r="J14" s="233"/>
      <c r="K14" s="233"/>
      <c r="L14" s="233"/>
      <c r="M14" s="233"/>
      <c r="N14" s="233"/>
    </row>
    <row r="15" spans="1:14">
      <c r="A15" s="232"/>
      <c r="B15" s="233"/>
      <c r="C15" s="233"/>
      <c r="D15" s="233"/>
      <c r="E15" s="233"/>
      <c r="F15" s="233"/>
      <c r="G15" s="233"/>
      <c r="H15" s="233"/>
      <c r="I15" s="233"/>
      <c r="J15" s="233"/>
      <c r="K15" s="233"/>
      <c r="L15" s="233"/>
      <c r="M15" s="233"/>
      <c r="N15" s="233"/>
    </row>
    <row r="16" spans="1:14">
      <c r="A16" s="232"/>
      <c r="B16" s="231" t="s">
        <v>1</v>
      </c>
      <c r="C16" s="236" t="s">
        <v>134</v>
      </c>
      <c r="D16" s="236" t="s">
        <v>135</v>
      </c>
      <c r="E16" s="236" t="s">
        <v>136</v>
      </c>
      <c r="F16" s="236" t="s">
        <v>137</v>
      </c>
      <c r="G16" s="236" t="s">
        <v>114</v>
      </c>
      <c r="H16" s="236" t="s">
        <v>138</v>
      </c>
      <c r="I16" s="236" t="s">
        <v>139</v>
      </c>
      <c r="J16" s="236" t="s">
        <v>140</v>
      </c>
      <c r="K16" s="236" t="s">
        <v>141</v>
      </c>
      <c r="L16" s="236" t="s">
        <v>144</v>
      </c>
      <c r="M16" s="236" t="s">
        <v>142</v>
      </c>
      <c r="N16" s="236" t="s">
        <v>143</v>
      </c>
    </row>
    <row r="17" spans="1:25">
      <c r="A17" s="235"/>
      <c r="B17" s="237" t="s">
        <v>390</v>
      </c>
      <c r="C17" s="508">
        <v>657.4</v>
      </c>
      <c r="D17" s="508">
        <v>601</v>
      </c>
      <c r="E17" s="508">
        <v>581.1</v>
      </c>
      <c r="F17" s="508">
        <v>335.8</v>
      </c>
      <c r="G17" s="508">
        <v>158.19999999999999</v>
      </c>
      <c r="H17" s="508">
        <v>51.1</v>
      </c>
      <c r="I17" s="508">
        <v>28</v>
      </c>
      <c r="J17" s="508">
        <v>3</v>
      </c>
      <c r="K17" s="508">
        <v>80.900000000000006</v>
      </c>
      <c r="L17" s="508">
        <v>263.8</v>
      </c>
      <c r="M17" s="508">
        <v>368.5</v>
      </c>
      <c r="N17" s="508">
        <v>521.1</v>
      </c>
    </row>
    <row r="18" spans="1:25" ht="12" customHeight="1">
      <c r="A18" s="232"/>
      <c r="B18" s="237">
        <f>'1. LDC Info'!F27-20</f>
        <v>2002</v>
      </c>
      <c r="C18" s="508">
        <v>573.79999999999995</v>
      </c>
      <c r="D18" s="508">
        <v>547.4</v>
      </c>
      <c r="E18" s="508">
        <v>474.8</v>
      </c>
      <c r="F18" s="508">
        <v>354</v>
      </c>
      <c r="G18" s="508">
        <v>261.89999999999998</v>
      </c>
      <c r="H18" s="508">
        <v>57.8</v>
      </c>
      <c r="I18" s="508">
        <v>5</v>
      </c>
      <c r="J18" s="508">
        <v>3</v>
      </c>
      <c r="K18" s="508">
        <v>35.799999999999997</v>
      </c>
      <c r="L18" s="508">
        <v>295.89999999999998</v>
      </c>
      <c r="M18" s="508">
        <v>446.6</v>
      </c>
      <c r="N18" s="508">
        <v>617.4</v>
      </c>
    </row>
    <row r="19" spans="1:25" ht="12" customHeight="1">
      <c r="A19" s="232"/>
      <c r="B19" s="237">
        <f>'1. LDC Info'!F27-19</f>
        <v>2003</v>
      </c>
      <c r="C19" s="508">
        <v>832.6</v>
      </c>
      <c r="D19" s="508">
        <v>713.4</v>
      </c>
      <c r="E19" s="508">
        <v>592.20000000000005</v>
      </c>
      <c r="F19" s="508">
        <v>435.4</v>
      </c>
      <c r="G19" s="508">
        <v>207.7</v>
      </c>
      <c r="H19" s="508">
        <v>65.400000000000006</v>
      </c>
      <c r="I19" s="508">
        <v>11.9</v>
      </c>
      <c r="J19" s="508">
        <v>9.6999999999999993</v>
      </c>
      <c r="K19" s="508">
        <v>59.9</v>
      </c>
      <c r="L19" s="508">
        <v>325.60000000000002</v>
      </c>
      <c r="M19" s="508">
        <v>420.5</v>
      </c>
      <c r="N19" s="508">
        <v>606.4</v>
      </c>
    </row>
    <row r="20" spans="1:25" ht="12" customHeight="1">
      <c r="A20" s="232"/>
      <c r="B20" s="237">
        <f>'1. LDC Info'!F27-18</f>
        <v>2004</v>
      </c>
      <c r="C20" s="508">
        <v>872.6</v>
      </c>
      <c r="D20" s="508">
        <v>636.4</v>
      </c>
      <c r="E20" s="508">
        <v>519.9</v>
      </c>
      <c r="F20" s="508">
        <v>372.3</v>
      </c>
      <c r="G20" s="508">
        <v>205.4</v>
      </c>
      <c r="H20" s="508">
        <v>100.8</v>
      </c>
      <c r="I20" s="508">
        <v>14.7</v>
      </c>
      <c r="J20" s="508">
        <v>26.9</v>
      </c>
      <c r="K20" s="508">
        <v>50.3</v>
      </c>
      <c r="L20" s="508">
        <v>250.1</v>
      </c>
      <c r="M20" s="508">
        <v>411</v>
      </c>
      <c r="N20" s="508">
        <v>645.20000000000005</v>
      </c>
    </row>
    <row r="21" spans="1:25" ht="12" customHeight="1">
      <c r="A21" s="232"/>
      <c r="B21" s="237">
        <f>'1. LDC Info'!F27-17</f>
        <v>2005</v>
      </c>
      <c r="C21" s="508">
        <v>782.8</v>
      </c>
      <c r="D21" s="508">
        <v>631.29999999999995</v>
      </c>
      <c r="E21" s="508">
        <v>612.1</v>
      </c>
      <c r="F21" s="508">
        <v>362.5</v>
      </c>
      <c r="G21" s="508">
        <v>259.89999999999998</v>
      </c>
      <c r="H21" s="508">
        <v>40.700000000000003</v>
      </c>
      <c r="I21" s="508">
        <v>4.2</v>
      </c>
      <c r="J21" s="508">
        <v>1</v>
      </c>
      <c r="K21" s="508">
        <v>45.5</v>
      </c>
      <c r="L21" s="508">
        <v>251.9</v>
      </c>
      <c r="M21" s="508">
        <v>411.5</v>
      </c>
      <c r="N21" s="508">
        <v>668.4</v>
      </c>
    </row>
    <row r="22" spans="1:25" ht="12" customHeight="1">
      <c r="A22" s="232"/>
      <c r="B22" s="237">
        <f>'1. LDC Info'!F27-16</f>
        <v>2006</v>
      </c>
      <c r="C22" s="508">
        <v>589</v>
      </c>
      <c r="D22" s="508">
        <v>627.20000000000005</v>
      </c>
      <c r="E22" s="508">
        <v>564.4</v>
      </c>
      <c r="F22" s="508">
        <v>342.6</v>
      </c>
      <c r="G22" s="508">
        <v>192.1</v>
      </c>
      <c r="H22" s="508">
        <v>40.1</v>
      </c>
      <c r="I22" s="508">
        <v>5.9</v>
      </c>
      <c r="J22" s="508">
        <v>6.7</v>
      </c>
      <c r="K22" s="508">
        <v>103.3</v>
      </c>
      <c r="L22" s="508">
        <v>296.39999999999998</v>
      </c>
      <c r="M22" s="508">
        <v>390.9</v>
      </c>
      <c r="N22" s="508">
        <v>505.5</v>
      </c>
    </row>
    <row r="23" spans="1:25" ht="12" customHeight="1">
      <c r="A23" s="232"/>
      <c r="B23" s="237">
        <f>'1. LDC Info'!F27-15</f>
        <v>2007</v>
      </c>
      <c r="C23" s="508">
        <v>669.3</v>
      </c>
      <c r="D23" s="508">
        <v>728.2</v>
      </c>
      <c r="E23" s="508">
        <v>578.29999999999995</v>
      </c>
      <c r="F23" s="508">
        <v>401</v>
      </c>
      <c r="G23" s="508">
        <v>208.1</v>
      </c>
      <c r="H23" s="508">
        <v>45.4</v>
      </c>
      <c r="I23" s="508">
        <v>22.4</v>
      </c>
      <c r="J23" s="508">
        <v>12.1</v>
      </c>
      <c r="K23" s="508">
        <v>61.8</v>
      </c>
      <c r="L23" s="508">
        <v>165.8</v>
      </c>
      <c r="M23" s="508">
        <v>441.5</v>
      </c>
      <c r="N23" s="508">
        <v>648.29999999999995</v>
      </c>
    </row>
    <row r="24" spans="1:25" ht="12" customHeight="1">
      <c r="A24" s="232"/>
      <c r="B24" s="237">
        <f>'1. LDC Info'!F27-14</f>
        <v>2008</v>
      </c>
      <c r="C24" s="508">
        <v>633.29999999999995</v>
      </c>
      <c r="D24" s="508">
        <v>660.6</v>
      </c>
      <c r="E24" s="508">
        <v>632.29999999999995</v>
      </c>
      <c r="F24" s="508">
        <v>326.3</v>
      </c>
      <c r="G24" s="508">
        <v>253.6</v>
      </c>
      <c r="H24" s="508">
        <v>71</v>
      </c>
      <c r="I24" s="508">
        <v>9.4</v>
      </c>
      <c r="J24" s="508">
        <v>15.2</v>
      </c>
      <c r="K24" s="508">
        <v>73.5</v>
      </c>
      <c r="L24" s="508">
        <v>288.10000000000002</v>
      </c>
      <c r="M24" s="508">
        <v>459</v>
      </c>
      <c r="N24" s="508">
        <v>652.5</v>
      </c>
    </row>
    <row r="25" spans="1:25" ht="12" customHeight="1">
      <c r="A25" s="232"/>
      <c r="B25" s="237">
        <f>'1. LDC Info'!F27-13</f>
        <v>2009</v>
      </c>
      <c r="C25" s="508">
        <v>823.9</v>
      </c>
      <c r="D25" s="508">
        <v>608.5</v>
      </c>
      <c r="E25" s="508">
        <v>568.1</v>
      </c>
      <c r="F25" s="508">
        <v>345.4</v>
      </c>
      <c r="G25" s="508">
        <v>231.1</v>
      </c>
      <c r="H25" s="508">
        <v>86.1</v>
      </c>
      <c r="I25" s="508">
        <v>41.5</v>
      </c>
      <c r="J25" s="508">
        <v>15.7</v>
      </c>
      <c r="K25" s="508">
        <v>70.099999999999994</v>
      </c>
      <c r="L25" s="508">
        <v>313.3</v>
      </c>
      <c r="M25" s="508">
        <v>361</v>
      </c>
      <c r="N25" s="508">
        <v>638.6</v>
      </c>
    </row>
    <row r="26" spans="1:25" ht="12" customHeight="1">
      <c r="A26" s="232"/>
      <c r="B26" s="237">
        <f>'1. LDC Info'!F27-12</f>
        <v>2010</v>
      </c>
      <c r="C26" s="508">
        <v>718</v>
      </c>
      <c r="D26" s="508">
        <v>597.20000000000005</v>
      </c>
      <c r="E26" s="508">
        <v>450.7</v>
      </c>
      <c r="F26" s="508">
        <v>262.7</v>
      </c>
      <c r="G26" s="508">
        <v>160.4</v>
      </c>
      <c r="H26" s="508">
        <v>37.9</v>
      </c>
      <c r="I26" s="508">
        <v>5.0999999999999996</v>
      </c>
      <c r="J26" s="508">
        <v>6</v>
      </c>
      <c r="K26" s="508">
        <v>99.9</v>
      </c>
      <c r="L26" s="508">
        <v>265.5</v>
      </c>
      <c r="M26" s="508">
        <v>412.1</v>
      </c>
      <c r="N26" s="508">
        <v>676.5</v>
      </c>
    </row>
    <row r="27" spans="1:25">
      <c r="A27" s="232"/>
      <c r="B27" s="237">
        <f>'1. LDC Info'!F27-11</f>
        <v>2011</v>
      </c>
      <c r="C27" s="508">
        <v>789.5</v>
      </c>
      <c r="D27" s="508">
        <v>648.9</v>
      </c>
      <c r="E27" s="508">
        <v>574.5</v>
      </c>
      <c r="F27" s="508">
        <v>372.4</v>
      </c>
      <c r="G27" s="508">
        <v>177.6</v>
      </c>
      <c r="H27" s="508">
        <v>64</v>
      </c>
      <c r="I27" s="508">
        <v>8.4</v>
      </c>
      <c r="J27" s="508">
        <v>9.1</v>
      </c>
      <c r="K27" s="508">
        <v>59.7</v>
      </c>
      <c r="L27" s="508">
        <v>244.3</v>
      </c>
      <c r="M27" s="508">
        <v>360.3</v>
      </c>
      <c r="N27" s="508">
        <v>546.20000000000005</v>
      </c>
      <c r="Y27" s="205" t="str">
        <f>+$B$16</f>
        <v>HDD</v>
      </c>
    </row>
    <row r="28" spans="1:25">
      <c r="A28" s="232"/>
      <c r="B28" s="237">
        <f>'1. LDC Info'!F27-10</f>
        <v>2012</v>
      </c>
      <c r="C28" s="508">
        <v>633</v>
      </c>
      <c r="D28" s="508">
        <v>539.6</v>
      </c>
      <c r="E28" s="508">
        <v>425.1</v>
      </c>
      <c r="F28" s="508">
        <v>355.6</v>
      </c>
      <c r="G28" s="508">
        <v>136</v>
      </c>
      <c r="H28" s="508">
        <v>36.6</v>
      </c>
      <c r="I28" s="508">
        <v>0</v>
      </c>
      <c r="J28" s="508">
        <v>7.3</v>
      </c>
      <c r="K28" s="508">
        <v>87.5</v>
      </c>
      <c r="L28" s="508">
        <v>245.1</v>
      </c>
      <c r="M28" s="508">
        <v>449.4</v>
      </c>
      <c r="N28" s="508">
        <v>535.79999999999995</v>
      </c>
      <c r="Y28" s="205" t="str">
        <f>+B39</f>
        <v>CDD</v>
      </c>
    </row>
    <row r="29" spans="1:25">
      <c r="A29" s="232"/>
      <c r="B29" s="237">
        <f>'1. LDC Info'!F27-9</f>
        <v>2013</v>
      </c>
      <c r="C29" s="508">
        <v>649.6</v>
      </c>
      <c r="D29" s="508">
        <v>633.29999999999995</v>
      </c>
      <c r="E29" s="508">
        <v>556.1</v>
      </c>
      <c r="F29" s="508">
        <v>383.6</v>
      </c>
      <c r="G29" s="508">
        <v>171.6</v>
      </c>
      <c r="H29" s="508">
        <v>67.099999999999994</v>
      </c>
      <c r="I29" s="508">
        <v>9.3000000000000007</v>
      </c>
      <c r="J29" s="508">
        <v>18.5</v>
      </c>
      <c r="K29" s="508">
        <v>110.4</v>
      </c>
      <c r="L29" s="508">
        <v>202.2</v>
      </c>
      <c r="M29" s="508">
        <v>481.9</v>
      </c>
      <c r="N29" s="508">
        <v>683.9</v>
      </c>
      <c r="Y29" s="205" t="str">
        <f>+B62</f>
        <v>Number of Days in Month</v>
      </c>
    </row>
    <row r="30" spans="1:25">
      <c r="A30" s="232"/>
      <c r="B30" s="237">
        <f>'1. LDC Info'!F27-8</f>
        <v>2014</v>
      </c>
      <c r="C30" s="508">
        <v>792.3</v>
      </c>
      <c r="D30" s="508">
        <v>714.7</v>
      </c>
      <c r="E30" s="508">
        <v>692.7</v>
      </c>
      <c r="F30" s="508">
        <v>394.2</v>
      </c>
      <c r="G30" s="508">
        <v>218.9</v>
      </c>
      <c r="H30" s="508">
        <v>61.9</v>
      </c>
      <c r="I30" s="508">
        <v>36.9</v>
      </c>
      <c r="J30" s="508">
        <v>26.9</v>
      </c>
      <c r="K30" s="508">
        <v>97.3</v>
      </c>
      <c r="L30" s="508">
        <v>231.4</v>
      </c>
      <c r="M30" s="508">
        <v>473.2</v>
      </c>
      <c r="N30" s="508">
        <v>519.4</v>
      </c>
      <c r="Y30" s="205" t="str">
        <f>+B76</f>
        <v>GDP</v>
      </c>
    </row>
    <row r="31" spans="1:25">
      <c r="A31" s="232"/>
      <c r="B31" s="237">
        <f>'1. LDC Info'!F27-7</f>
        <v>2015</v>
      </c>
      <c r="C31" s="508">
        <v>759.2</v>
      </c>
      <c r="D31" s="508">
        <v>842.5</v>
      </c>
      <c r="E31" s="508">
        <v>639.70000000000005</v>
      </c>
      <c r="F31" s="508">
        <v>351</v>
      </c>
      <c r="G31" s="508">
        <v>183.4</v>
      </c>
      <c r="H31" s="508">
        <v>88.3</v>
      </c>
      <c r="I31" s="508">
        <v>18.5</v>
      </c>
      <c r="J31" s="508">
        <v>12.9</v>
      </c>
      <c r="K31" s="508">
        <v>43.1</v>
      </c>
      <c r="L31" s="508">
        <v>271.10000000000002</v>
      </c>
      <c r="M31" s="508">
        <v>349.8</v>
      </c>
      <c r="N31" s="508">
        <v>430.8</v>
      </c>
      <c r="Y31" s="205" t="str">
        <f>+B90</f>
        <v xml:space="preserve">Spring and Fall </v>
      </c>
    </row>
    <row r="32" spans="1:25">
      <c r="A32" s="232"/>
      <c r="B32" s="237">
        <f>'1. LDC Info'!F27-6</f>
        <v>2016</v>
      </c>
      <c r="C32" s="508">
        <f>627.4-200</f>
        <v>427.4</v>
      </c>
      <c r="D32" s="508">
        <v>417.3</v>
      </c>
      <c r="E32" s="508">
        <v>255.9</v>
      </c>
      <c r="F32" s="508">
        <f>334.1</f>
        <v>334.1</v>
      </c>
      <c r="G32" s="508">
        <v>204.8</v>
      </c>
      <c r="H32" s="508">
        <v>53.3</v>
      </c>
      <c r="I32" s="508">
        <v>5.4</v>
      </c>
      <c r="J32" s="508">
        <v>0.8</v>
      </c>
      <c r="K32" s="508">
        <v>38.9</v>
      </c>
      <c r="L32" s="508">
        <v>212.2</v>
      </c>
      <c r="M32" s="508">
        <v>378.9</v>
      </c>
      <c r="N32" s="508">
        <v>573.29999999999995</v>
      </c>
    </row>
    <row r="33" spans="1:14">
      <c r="A33" s="232"/>
      <c r="B33" s="237">
        <f>'1. LDC Info'!F27-5</f>
        <v>2017</v>
      </c>
      <c r="C33" s="508">
        <v>609.5</v>
      </c>
      <c r="D33" s="508">
        <v>534</v>
      </c>
      <c r="E33" s="508">
        <v>606</v>
      </c>
      <c r="F33" s="508">
        <v>298.2</v>
      </c>
      <c r="G33" s="508">
        <v>226.1</v>
      </c>
      <c r="H33" s="508">
        <v>73.8</v>
      </c>
      <c r="I33" s="508">
        <v>3.4</v>
      </c>
      <c r="J33" s="508">
        <v>26</v>
      </c>
      <c r="K33" s="508">
        <v>57.6</v>
      </c>
      <c r="L33" s="508">
        <v>167</v>
      </c>
      <c r="M33" s="508">
        <v>407.2</v>
      </c>
      <c r="N33" s="508">
        <v>716.1</v>
      </c>
    </row>
    <row r="34" spans="1:14">
      <c r="A34" s="232"/>
      <c r="B34" s="237">
        <f>'1. LDC Info'!F27-4</f>
        <v>2018</v>
      </c>
      <c r="C34" s="508">
        <v>752</v>
      </c>
      <c r="D34" s="508">
        <v>573.4</v>
      </c>
      <c r="E34" s="508">
        <v>528.1</v>
      </c>
      <c r="F34" s="508">
        <v>455.6</v>
      </c>
      <c r="G34" s="508">
        <v>161.4</v>
      </c>
      <c r="H34" s="508">
        <v>62.8</v>
      </c>
      <c r="I34" s="508">
        <v>0.6</v>
      </c>
      <c r="J34" s="508">
        <v>0.9</v>
      </c>
      <c r="K34" s="508">
        <v>56</v>
      </c>
      <c r="L34" s="508">
        <v>306.89999999999998</v>
      </c>
      <c r="M34" s="508">
        <v>467.6</v>
      </c>
      <c r="N34" s="508">
        <v>580</v>
      </c>
    </row>
    <row r="35" spans="1:14">
      <c r="A35" s="232"/>
      <c r="B35" s="237">
        <f>'1. LDC Info'!F27-3</f>
        <v>2019</v>
      </c>
      <c r="C35" s="508">
        <v>773</v>
      </c>
      <c r="D35" s="508">
        <v>624.70000000000005</v>
      </c>
      <c r="E35" s="508">
        <v>580.20000000000005</v>
      </c>
      <c r="F35" s="508">
        <v>363.9</v>
      </c>
      <c r="G35" s="508">
        <v>237.9</v>
      </c>
      <c r="H35" s="508">
        <v>79.8</v>
      </c>
      <c r="I35" s="508">
        <v>2</v>
      </c>
      <c r="J35" s="508">
        <v>7.5</v>
      </c>
      <c r="K35" s="508">
        <v>71.5</v>
      </c>
      <c r="L35" s="508">
        <v>236.6</v>
      </c>
      <c r="M35" s="508">
        <v>523.70000000000005</v>
      </c>
      <c r="N35" s="508">
        <v>604</v>
      </c>
    </row>
    <row r="36" spans="1:14">
      <c r="A36" s="232"/>
      <c r="B36" s="237">
        <f>'1. LDC Info'!F27-2</f>
        <v>2020</v>
      </c>
      <c r="C36" s="508">
        <v>624.79999999999995</v>
      </c>
      <c r="D36" s="508">
        <v>610.4</v>
      </c>
      <c r="E36" s="508">
        <v>487.4</v>
      </c>
      <c r="F36" s="508">
        <v>391.8</v>
      </c>
      <c r="G36" s="508">
        <v>230.9</v>
      </c>
      <c r="H36" s="508">
        <v>63.4</v>
      </c>
      <c r="I36" s="508">
        <v>0</v>
      </c>
      <c r="J36" s="508">
        <v>5.6</v>
      </c>
      <c r="K36" s="508">
        <v>84.2</v>
      </c>
      <c r="L36" s="508">
        <v>279.10000000000002</v>
      </c>
      <c r="M36" s="508">
        <v>359.9</v>
      </c>
      <c r="N36" s="508">
        <v>552.9</v>
      </c>
    </row>
    <row r="37" spans="1:14">
      <c r="A37" s="232"/>
    </row>
    <row r="38" spans="1:14">
      <c r="A38" s="232"/>
      <c r="B38" s="238"/>
      <c r="C38" s="233"/>
      <c r="D38" s="233"/>
      <c r="E38" s="233"/>
      <c r="F38" s="233"/>
      <c r="G38" s="233"/>
      <c r="H38" s="233"/>
      <c r="I38" s="233"/>
      <c r="J38" s="233"/>
      <c r="K38" s="233"/>
      <c r="L38" s="233"/>
      <c r="M38" s="233"/>
      <c r="N38" s="233"/>
    </row>
    <row r="39" spans="1:14">
      <c r="A39" s="232"/>
      <c r="B39" s="231" t="s">
        <v>2</v>
      </c>
      <c r="C39" s="236" t="s">
        <v>134</v>
      </c>
      <c r="D39" s="236" t="s">
        <v>135</v>
      </c>
      <c r="E39" s="236" t="s">
        <v>136</v>
      </c>
      <c r="F39" s="236" t="s">
        <v>137</v>
      </c>
      <c r="G39" s="236" t="s">
        <v>114</v>
      </c>
      <c r="H39" s="236" t="s">
        <v>138</v>
      </c>
      <c r="I39" s="236" t="s">
        <v>139</v>
      </c>
      <c r="J39" s="236" t="s">
        <v>140</v>
      </c>
      <c r="K39" s="236" t="s">
        <v>141</v>
      </c>
      <c r="L39" s="236" t="s">
        <v>144</v>
      </c>
      <c r="M39" s="236" t="s">
        <v>142</v>
      </c>
      <c r="N39" s="236" t="s">
        <v>143</v>
      </c>
    </row>
    <row r="40" spans="1:14">
      <c r="A40" s="232"/>
      <c r="B40" s="239" t="str">
        <f t="shared" ref="B40:B59" si="0">B17</f>
        <v>2001</v>
      </c>
      <c r="C40" s="507">
        <v>0</v>
      </c>
      <c r="D40" s="507">
        <v>0</v>
      </c>
      <c r="E40" s="507">
        <v>0</v>
      </c>
      <c r="F40" s="507">
        <v>0</v>
      </c>
      <c r="G40" s="507">
        <v>0</v>
      </c>
      <c r="H40" s="507">
        <v>26.5</v>
      </c>
      <c r="I40" s="507">
        <v>45.4</v>
      </c>
      <c r="J40" s="507">
        <v>83.2</v>
      </c>
      <c r="K40" s="507">
        <v>18.5</v>
      </c>
      <c r="L40" s="507">
        <v>0</v>
      </c>
      <c r="M40" s="507">
        <v>0</v>
      </c>
      <c r="N40" s="507">
        <v>0</v>
      </c>
    </row>
    <row r="41" spans="1:14">
      <c r="A41" s="232"/>
      <c r="B41" s="239">
        <f t="shared" si="0"/>
        <v>2002</v>
      </c>
      <c r="C41" s="507">
        <v>0</v>
      </c>
      <c r="D41" s="507">
        <v>0</v>
      </c>
      <c r="E41" s="507">
        <v>0</v>
      </c>
      <c r="F41" s="507">
        <v>0</v>
      </c>
      <c r="G41" s="507">
        <v>0</v>
      </c>
      <c r="H41" s="507">
        <v>18.3</v>
      </c>
      <c r="I41" s="507">
        <v>72.7</v>
      </c>
      <c r="J41" s="507">
        <v>68.400000000000006</v>
      </c>
      <c r="K41" s="507">
        <v>30.3</v>
      </c>
      <c r="L41" s="507">
        <v>2.8</v>
      </c>
      <c r="M41" s="507">
        <v>0</v>
      </c>
      <c r="N41" s="507">
        <v>0</v>
      </c>
    </row>
    <row r="42" spans="1:14">
      <c r="A42" s="232"/>
      <c r="B42" s="239">
        <f t="shared" si="0"/>
        <v>2003</v>
      </c>
      <c r="C42" s="507">
        <v>0</v>
      </c>
      <c r="D42" s="507">
        <v>0</v>
      </c>
      <c r="E42" s="507">
        <v>0</v>
      </c>
      <c r="F42" s="507">
        <v>0</v>
      </c>
      <c r="G42" s="507">
        <v>0</v>
      </c>
      <c r="H42" s="507">
        <v>5.6</v>
      </c>
      <c r="I42" s="507">
        <v>20.399999999999999</v>
      </c>
      <c r="J42" s="507">
        <v>77.7</v>
      </c>
      <c r="K42" s="507">
        <v>10.9</v>
      </c>
      <c r="L42" s="507">
        <v>0</v>
      </c>
      <c r="M42" s="507">
        <v>0</v>
      </c>
      <c r="N42" s="507">
        <v>0</v>
      </c>
    </row>
    <row r="43" spans="1:14">
      <c r="A43" s="232"/>
      <c r="B43" s="239">
        <f t="shared" si="0"/>
        <v>2004</v>
      </c>
      <c r="C43" s="507">
        <v>0</v>
      </c>
      <c r="D43" s="507">
        <v>0</v>
      </c>
      <c r="E43" s="507">
        <v>0</v>
      </c>
      <c r="F43" s="507">
        <v>0</v>
      </c>
      <c r="G43" s="507">
        <v>0</v>
      </c>
      <c r="H43" s="507">
        <v>5.0999999999999996</v>
      </c>
      <c r="I43" s="507">
        <v>41.2</v>
      </c>
      <c r="J43" s="507">
        <v>43.1</v>
      </c>
      <c r="K43" s="507">
        <v>18.100000000000001</v>
      </c>
      <c r="L43" s="507">
        <v>0</v>
      </c>
      <c r="M43" s="507">
        <v>0</v>
      </c>
      <c r="N43" s="507">
        <v>0</v>
      </c>
    </row>
    <row r="44" spans="1:14">
      <c r="A44" s="232"/>
      <c r="B44" s="239">
        <f t="shared" si="0"/>
        <v>2005</v>
      </c>
      <c r="C44" s="507">
        <v>0</v>
      </c>
      <c r="D44" s="507">
        <v>0</v>
      </c>
      <c r="E44" s="507">
        <v>0</v>
      </c>
      <c r="F44" s="507">
        <v>0</v>
      </c>
      <c r="G44" s="507">
        <v>0</v>
      </c>
      <c r="H44" s="507">
        <v>52.6</v>
      </c>
      <c r="I44" s="507">
        <v>116.8</v>
      </c>
      <c r="J44" s="507">
        <v>87.6</v>
      </c>
      <c r="K44" s="507">
        <v>16.3</v>
      </c>
      <c r="L44" s="507">
        <v>0</v>
      </c>
      <c r="M44" s="507">
        <v>0</v>
      </c>
      <c r="N44" s="507">
        <v>0</v>
      </c>
    </row>
    <row r="45" spans="1:14">
      <c r="A45" s="232"/>
      <c r="B45" s="239">
        <f t="shared" si="0"/>
        <v>2006</v>
      </c>
      <c r="C45" s="507">
        <v>0</v>
      </c>
      <c r="D45" s="507">
        <v>0</v>
      </c>
      <c r="E45" s="507">
        <v>0</v>
      </c>
      <c r="F45" s="507">
        <v>0</v>
      </c>
      <c r="G45" s="507">
        <v>6.3</v>
      </c>
      <c r="H45" s="507">
        <v>18</v>
      </c>
      <c r="I45" s="507">
        <v>86.9</v>
      </c>
      <c r="J45" s="507">
        <v>56.4</v>
      </c>
      <c r="K45" s="507">
        <v>1.3</v>
      </c>
      <c r="L45" s="507">
        <v>0</v>
      </c>
      <c r="M45" s="507">
        <v>0</v>
      </c>
      <c r="N45" s="507">
        <v>0</v>
      </c>
    </row>
    <row r="46" spans="1:14">
      <c r="A46" s="232"/>
      <c r="B46" s="239">
        <f t="shared" si="0"/>
        <v>2007</v>
      </c>
      <c r="C46" s="507">
        <v>0</v>
      </c>
      <c r="D46" s="507">
        <v>0</v>
      </c>
      <c r="E46" s="507">
        <v>0</v>
      </c>
      <c r="F46" s="507">
        <v>0</v>
      </c>
      <c r="G46" s="507">
        <v>0</v>
      </c>
      <c r="H46" s="507">
        <v>19.899999999999999</v>
      </c>
      <c r="I46" s="507">
        <v>45.3</v>
      </c>
      <c r="J46" s="507">
        <v>91.5</v>
      </c>
      <c r="K46" s="507">
        <v>17.899999999999999</v>
      </c>
      <c r="L46" s="507">
        <v>4.0999999999999996</v>
      </c>
      <c r="M46" s="507">
        <v>0</v>
      </c>
      <c r="N46" s="507">
        <v>0</v>
      </c>
    </row>
    <row r="47" spans="1:14">
      <c r="A47" s="232"/>
      <c r="B47" s="239">
        <f t="shared" si="0"/>
        <v>2008</v>
      </c>
      <c r="C47" s="507">
        <v>0</v>
      </c>
      <c r="D47" s="507">
        <v>0</v>
      </c>
      <c r="E47" s="507">
        <v>0</v>
      </c>
      <c r="F47" s="507">
        <v>0</v>
      </c>
      <c r="G47" s="507">
        <v>0</v>
      </c>
      <c r="H47" s="507">
        <v>2.6</v>
      </c>
      <c r="I47" s="507">
        <v>50.9</v>
      </c>
      <c r="J47" s="507">
        <v>40.4</v>
      </c>
      <c r="K47" s="507">
        <v>16.2</v>
      </c>
      <c r="L47" s="507">
        <v>0</v>
      </c>
      <c r="M47" s="507">
        <v>0</v>
      </c>
      <c r="N47" s="507">
        <v>0</v>
      </c>
    </row>
    <row r="48" spans="1:14">
      <c r="A48" s="232"/>
      <c r="B48" s="239">
        <f t="shared" si="0"/>
        <v>2009</v>
      </c>
      <c r="C48" s="507">
        <v>0</v>
      </c>
      <c r="D48" s="507">
        <v>0</v>
      </c>
      <c r="E48" s="507">
        <v>0</v>
      </c>
      <c r="F48" s="507">
        <v>0</v>
      </c>
      <c r="G48" s="507">
        <v>0</v>
      </c>
      <c r="H48" s="507">
        <v>12.1</v>
      </c>
      <c r="I48" s="507">
        <v>18.2</v>
      </c>
      <c r="J48" s="507">
        <v>58.6</v>
      </c>
      <c r="K48" s="507">
        <v>11.6</v>
      </c>
      <c r="L48" s="507">
        <v>0</v>
      </c>
      <c r="M48" s="507">
        <v>0</v>
      </c>
      <c r="N48" s="507">
        <v>0</v>
      </c>
    </row>
    <row r="49" spans="1:14">
      <c r="A49" s="232"/>
      <c r="B49" s="239">
        <f t="shared" si="0"/>
        <v>2010</v>
      </c>
      <c r="C49" s="507">
        <v>0</v>
      </c>
      <c r="D49" s="507">
        <v>0</v>
      </c>
      <c r="E49" s="507">
        <v>0</v>
      </c>
      <c r="F49" s="507">
        <v>0</v>
      </c>
      <c r="G49" s="507">
        <v>9.1</v>
      </c>
      <c r="H49" s="507">
        <v>15.7</v>
      </c>
      <c r="I49" s="507">
        <v>90.2</v>
      </c>
      <c r="J49" s="507">
        <v>80.7</v>
      </c>
      <c r="K49" s="507">
        <v>14.4</v>
      </c>
      <c r="L49" s="507">
        <v>0</v>
      </c>
      <c r="M49" s="507">
        <v>0</v>
      </c>
      <c r="N49" s="507">
        <v>0</v>
      </c>
    </row>
    <row r="50" spans="1:14">
      <c r="A50" s="232"/>
      <c r="B50" s="239">
        <f t="shared" si="0"/>
        <v>2011</v>
      </c>
      <c r="C50" s="507">
        <v>0</v>
      </c>
      <c r="D50" s="507">
        <v>0</v>
      </c>
      <c r="E50" s="507">
        <v>0</v>
      </c>
      <c r="F50" s="507">
        <v>0</v>
      </c>
      <c r="G50" s="507">
        <v>0.1</v>
      </c>
      <c r="H50" s="507">
        <v>14.7</v>
      </c>
      <c r="I50" s="507">
        <v>91.3</v>
      </c>
      <c r="J50" s="507">
        <v>57.5</v>
      </c>
      <c r="K50" s="507">
        <v>21.4</v>
      </c>
      <c r="L50" s="507">
        <v>0</v>
      </c>
      <c r="M50" s="507">
        <v>0</v>
      </c>
      <c r="N50" s="507">
        <v>0</v>
      </c>
    </row>
    <row r="51" spans="1:14">
      <c r="A51" s="232"/>
      <c r="B51" s="239">
        <f t="shared" si="0"/>
        <v>2012</v>
      </c>
      <c r="C51" s="507">
        <v>0</v>
      </c>
      <c r="D51" s="507">
        <v>0</v>
      </c>
      <c r="E51" s="507">
        <v>0</v>
      </c>
      <c r="F51" s="507">
        <v>0</v>
      </c>
      <c r="G51" s="507">
        <v>5.6</v>
      </c>
      <c r="H51" s="507">
        <v>39.299999999999997</v>
      </c>
      <c r="I51" s="507">
        <v>120.3</v>
      </c>
      <c r="J51" s="507">
        <v>74.2</v>
      </c>
      <c r="K51" s="507">
        <v>18.2</v>
      </c>
      <c r="L51" s="507">
        <v>0</v>
      </c>
      <c r="M51" s="507">
        <v>0</v>
      </c>
      <c r="N51" s="507">
        <v>0</v>
      </c>
    </row>
    <row r="52" spans="1:14">
      <c r="A52" s="232"/>
      <c r="B52" s="239">
        <f t="shared" si="0"/>
        <v>2013</v>
      </c>
      <c r="C52" s="507">
        <v>0</v>
      </c>
      <c r="D52" s="507">
        <v>0</v>
      </c>
      <c r="E52" s="507">
        <v>0</v>
      </c>
      <c r="F52" s="507">
        <v>0</v>
      </c>
      <c r="G52" s="507">
        <v>0.1</v>
      </c>
      <c r="H52" s="507">
        <v>13.3</v>
      </c>
      <c r="I52" s="507">
        <v>72</v>
      </c>
      <c r="J52" s="507">
        <v>40.6</v>
      </c>
      <c r="K52" s="507">
        <v>14.5</v>
      </c>
      <c r="L52" s="507">
        <v>0</v>
      </c>
      <c r="M52" s="507">
        <v>0</v>
      </c>
      <c r="N52" s="507">
        <v>0</v>
      </c>
    </row>
    <row r="53" spans="1:14">
      <c r="A53" s="232"/>
      <c r="B53" s="239">
        <f t="shared" si="0"/>
        <v>2014</v>
      </c>
      <c r="C53" s="507">
        <v>0</v>
      </c>
      <c r="D53" s="507">
        <v>0</v>
      </c>
      <c r="E53" s="507">
        <v>0</v>
      </c>
      <c r="F53" s="507">
        <v>0</v>
      </c>
      <c r="G53" s="507">
        <v>0</v>
      </c>
      <c r="H53" s="507">
        <v>17.5</v>
      </c>
      <c r="I53" s="507">
        <v>18.8</v>
      </c>
      <c r="J53" s="507">
        <v>33.299999999999997</v>
      </c>
      <c r="K53" s="507">
        <v>10.1</v>
      </c>
      <c r="L53" s="507">
        <v>0</v>
      </c>
      <c r="M53" s="507">
        <v>0</v>
      </c>
      <c r="N53" s="507">
        <v>0</v>
      </c>
    </row>
    <row r="54" spans="1:14">
      <c r="A54" s="232"/>
      <c r="B54" s="239">
        <f t="shared" si="0"/>
        <v>2015</v>
      </c>
      <c r="C54" s="507">
        <v>0</v>
      </c>
      <c r="D54" s="507">
        <v>0</v>
      </c>
      <c r="E54" s="507">
        <v>0</v>
      </c>
      <c r="F54" s="507">
        <v>0</v>
      </c>
      <c r="G54" s="507">
        <v>0</v>
      </c>
      <c r="H54" s="507">
        <v>5.6</v>
      </c>
      <c r="I54" s="507">
        <v>37</v>
      </c>
      <c r="J54" s="507">
        <v>44.7</v>
      </c>
      <c r="K54" s="507">
        <v>41.7</v>
      </c>
      <c r="L54" s="507">
        <v>0</v>
      </c>
      <c r="M54" s="507">
        <v>0</v>
      </c>
      <c r="N54" s="507">
        <v>0</v>
      </c>
    </row>
    <row r="55" spans="1:14">
      <c r="A55" s="232"/>
      <c r="B55" s="239">
        <f t="shared" si="0"/>
        <v>2016</v>
      </c>
      <c r="C55" s="507">
        <v>0</v>
      </c>
      <c r="D55" s="507">
        <v>0</v>
      </c>
      <c r="E55" s="507">
        <v>0</v>
      </c>
      <c r="F55" s="507">
        <v>0</v>
      </c>
      <c r="G55" s="507">
        <v>5.3</v>
      </c>
      <c r="H55" s="507">
        <v>15.6</v>
      </c>
      <c r="I55" s="507">
        <v>102.1</v>
      </c>
      <c r="J55" s="507">
        <v>124.4</v>
      </c>
      <c r="K55" s="507">
        <v>31.5</v>
      </c>
      <c r="L55" s="507">
        <v>0</v>
      </c>
      <c r="M55" s="507">
        <v>0</v>
      </c>
      <c r="N55" s="507">
        <v>0</v>
      </c>
    </row>
    <row r="56" spans="1:14">
      <c r="A56" s="232"/>
      <c r="B56" s="239">
        <f t="shared" si="0"/>
        <v>2017</v>
      </c>
      <c r="C56" s="507">
        <v>0</v>
      </c>
      <c r="D56" s="507">
        <v>0</v>
      </c>
      <c r="E56" s="507">
        <v>0</v>
      </c>
      <c r="F56" s="507">
        <v>0</v>
      </c>
      <c r="G56" s="507">
        <v>0</v>
      </c>
      <c r="H56" s="507">
        <v>8.5</v>
      </c>
      <c r="I56" s="507">
        <v>52.4</v>
      </c>
      <c r="J56" s="507">
        <v>40.5</v>
      </c>
      <c r="K56" s="507">
        <v>33.6</v>
      </c>
      <c r="L56" s="507">
        <v>0.9</v>
      </c>
      <c r="M56" s="507">
        <v>0</v>
      </c>
      <c r="N56" s="507">
        <v>0</v>
      </c>
    </row>
    <row r="57" spans="1:14">
      <c r="A57" s="232"/>
      <c r="B57" s="239">
        <f t="shared" si="0"/>
        <v>2018</v>
      </c>
      <c r="C57" s="508">
        <v>0</v>
      </c>
      <c r="D57" s="508">
        <v>0</v>
      </c>
      <c r="E57" s="508">
        <v>0</v>
      </c>
      <c r="F57" s="508">
        <v>0</v>
      </c>
      <c r="G57" s="508">
        <v>4.8</v>
      </c>
      <c r="H57" s="508">
        <v>7.9</v>
      </c>
      <c r="I57" s="508">
        <v>99.6</v>
      </c>
      <c r="J57" s="508">
        <v>113.7</v>
      </c>
      <c r="K57" s="508">
        <v>52.1</v>
      </c>
      <c r="L57" s="508">
        <v>0</v>
      </c>
      <c r="M57" s="508">
        <v>0</v>
      </c>
      <c r="N57" s="508">
        <v>0</v>
      </c>
    </row>
    <row r="58" spans="1:14">
      <c r="A58" s="232"/>
      <c r="B58" s="239">
        <f t="shared" si="0"/>
        <v>2019</v>
      </c>
      <c r="C58" s="507">
        <v>0</v>
      </c>
      <c r="D58" s="507">
        <v>0</v>
      </c>
      <c r="E58" s="507">
        <v>0</v>
      </c>
      <c r="F58" s="507">
        <v>0</v>
      </c>
      <c r="G58" s="507">
        <v>0</v>
      </c>
      <c r="H58" s="507">
        <v>14.4</v>
      </c>
      <c r="I58" s="507">
        <v>61.4</v>
      </c>
      <c r="J58" s="507">
        <v>47</v>
      </c>
      <c r="K58" s="507">
        <v>5.2</v>
      </c>
      <c r="L58" s="507">
        <v>1.2</v>
      </c>
      <c r="M58" s="507">
        <v>0</v>
      </c>
      <c r="N58" s="507">
        <v>0</v>
      </c>
    </row>
    <row r="59" spans="1:14">
      <c r="A59" s="232"/>
      <c r="B59" s="239">
        <f t="shared" si="0"/>
        <v>2020</v>
      </c>
      <c r="C59" s="507">
        <v>0</v>
      </c>
      <c r="D59" s="507">
        <v>0</v>
      </c>
      <c r="E59" s="507">
        <v>0</v>
      </c>
      <c r="F59" s="507">
        <v>0</v>
      </c>
      <c r="G59" s="507">
        <v>3.1</v>
      </c>
      <c r="H59" s="507">
        <v>23.5</v>
      </c>
      <c r="I59" s="507">
        <v>139</v>
      </c>
      <c r="J59" s="507">
        <v>82.2</v>
      </c>
      <c r="K59" s="507">
        <v>14.7</v>
      </c>
      <c r="L59" s="507">
        <v>0</v>
      </c>
      <c r="M59" s="507">
        <v>0</v>
      </c>
      <c r="N59" s="507">
        <v>0</v>
      </c>
    </row>
    <row r="60" spans="1:14">
      <c r="A60" s="232"/>
      <c r="B60" s="233"/>
      <c r="C60" s="233"/>
      <c r="D60" s="233"/>
      <c r="E60" s="233"/>
      <c r="F60" s="233"/>
      <c r="G60" s="233"/>
      <c r="H60" s="233"/>
      <c r="I60" s="233"/>
      <c r="J60" s="233"/>
      <c r="K60" s="233"/>
      <c r="L60" s="233"/>
      <c r="M60" s="233"/>
      <c r="N60" s="233"/>
    </row>
    <row r="61" spans="1:14">
      <c r="A61" s="232"/>
      <c r="B61" s="233"/>
      <c r="C61" s="233"/>
      <c r="D61" s="233"/>
      <c r="E61" s="233"/>
      <c r="F61" s="233"/>
      <c r="G61" s="233"/>
      <c r="H61" s="233"/>
      <c r="I61" s="233"/>
      <c r="J61" s="233"/>
      <c r="K61" s="233"/>
      <c r="L61" s="233"/>
      <c r="M61" s="233"/>
      <c r="N61" s="233"/>
    </row>
    <row r="62" spans="1:14" ht="25.5">
      <c r="A62" s="232"/>
      <c r="B62" s="240" t="s">
        <v>238</v>
      </c>
      <c r="C62" s="233"/>
      <c r="D62" s="233"/>
      <c r="E62" s="233"/>
      <c r="F62" s="233"/>
      <c r="G62" s="233"/>
      <c r="H62" s="233"/>
      <c r="I62" s="233"/>
      <c r="J62" s="233"/>
      <c r="K62" s="233"/>
      <c r="L62" s="233"/>
      <c r="M62" s="233"/>
      <c r="N62" s="233"/>
    </row>
    <row r="63" spans="1:14">
      <c r="A63" s="232"/>
      <c r="B63" s="232"/>
      <c r="C63" s="236" t="s">
        <v>134</v>
      </c>
      <c r="D63" s="236" t="s">
        <v>135</v>
      </c>
      <c r="E63" s="236" t="s">
        <v>136</v>
      </c>
      <c r="F63" s="236" t="s">
        <v>137</v>
      </c>
      <c r="G63" s="236" t="s">
        <v>114</v>
      </c>
      <c r="H63" s="236" t="s">
        <v>138</v>
      </c>
      <c r="I63" s="236" t="s">
        <v>139</v>
      </c>
      <c r="J63" s="236" t="s">
        <v>140</v>
      </c>
      <c r="K63" s="236" t="s">
        <v>141</v>
      </c>
      <c r="L63" s="236" t="s">
        <v>144</v>
      </c>
      <c r="M63" s="236" t="s">
        <v>142</v>
      </c>
      <c r="N63" s="236" t="s">
        <v>143</v>
      </c>
    </row>
    <row r="64" spans="1:14">
      <c r="A64" s="232"/>
      <c r="B64" s="237">
        <f t="shared" ref="B64:B73" si="1">B50</f>
        <v>2011</v>
      </c>
      <c r="C64" s="504">
        <v>31</v>
      </c>
      <c r="D64" s="504">
        <v>28</v>
      </c>
      <c r="E64" s="504">
        <v>31</v>
      </c>
      <c r="F64" s="504">
        <v>30</v>
      </c>
      <c r="G64" s="504">
        <v>31</v>
      </c>
      <c r="H64" s="504">
        <v>30</v>
      </c>
      <c r="I64" s="504">
        <v>31</v>
      </c>
      <c r="J64" s="504">
        <v>31</v>
      </c>
      <c r="K64" s="504">
        <v>30</v>
      </c>
      <c r="L64" s="504">
        <v>31</v>
      </c>
      <c r="M64" s="504">
        <v>30</v>
      </c>
      <c r="N64" s="504">
        <v>31</v>
      </c>
    </row>
    <row r="65" spans="1:14">
      <c r="A65" s="232"/>
      <c r="B65" s="237">
        <f t="shared" si="1"/>
        <v>2012</v>
      </c>
      <c r="C65" s="504">
        <v>31</v>
      </c>
      <c r="D65" s="504">
        <v>29</v>
      </c>
      <c r="E65" s="504">
        <v>31</v>
      </c>
      <c r="F65" s="504">
        <v>30</v>
      </c>
      <c r="G65" s="504">
        <v>31</v>
      </c>
      <c r="H65" s="504">
        <v>30</v>
      </c>
      <c r="I65" s="504">
        <v>31</v>
      </c>
      <c r="J65" s="504">
        <v>31</v>
      </c>
      <c r="K65" s="504">
        <v>30</v>
      </c>
      <c r="L65" s="504">
        <v>31</v>
      </c>
      <c r="M65" s="504">
        <v>30</v>
      </c>
      <c r="N65" s="504">
        <v>31</v>
      </c>
    </row>
    <row r="66" spans="1:14">
      <c r="A66" s="232"/>
      <c r="B66" s="237">
        <f t="shared" si="1"/>
        <v>2013</v>
      </c>
      <c r="C66" s="504">
        <v>31</v>
      </c>
      <c r="D66" s="504">
        <v>28</v>
      </c>
      <c r="E66" s="504">
        <v>31</v>
      </c>
      <c r="F66" s="504">
        <v>30</v>
      </c>
      <c r="G66" s="504">
        <v>31</v>
      </c>
      <c r="H66" s="504">
        <v>30</v>
      </c>
      <c r="I66" s="504">
        <v>31</v>
      </c>
      <c r="J66" s="504">
        <v>31</v>
      </c>
      <c r="K66" s="504">
        <v>30</v>
      </c>
      <c r="L66" s="504">
        <v>31</v>
      </c>
      <c r="M66" s="504">
        <v>30</v>
      </c>
      <c r="N66" s="504">
        <v>31</v>
      </c>
    </row>
    <row r="67" spans="1:14">
      <c r="A67" s="232"/>
      <c r="B67" s="237">
        <f t="shared" si="1"/>
        <v>2014</v>
      </c>
      <c r="C67" s="504">
        <v>31</v>
      </c>
      <c r="D67" s="504">
        <v>28</v>
      </c>
      <c r="E67" s="504">
        <v>31</v>
      </c>
      <c r="F67" s="504">
        <v>30</v>
      </c>
      <c r="G67" s="504">
        <v>31</v>
      </c>
      <c r="H67" s="504">
        <v>30</v>
      </c>
      <c r="I67" s="504">
        <v>31</v>
      </c>
      <c r="J67" s="504">
        <v>31</v>
      </c>
      <c r="K67" s="504">
        <v>30</v>
      </c>
      <c r="L67" s="504">
        <v>31</v>
      </c>
      <c r="M67" s="504">
        <v>30</v>
      </c>
      <c r="N67" s="504">
        <v>31</v>
      </c>
    </row>
    <row r="68" spans="1:14">
      <c r="A68" s="232"/>
      <c r="B68" s="237">
        <f t="shared" si="1"/>
        <v>2015</v>
      </c>
      <c r="C68" s="504">
        <v>31</v>
      </c>
      <c r="D68" s="504">
        <v>28</v>
      </c>
      <c r="E68" s="504">
        <v>31</v>
      </c>
      <c r="F68" s="504">
        <v>30</v>
      </c>
      <c r="G68" s="504">
        <v>31</v>
      </c>
      <c r="H68" s="504">
        <v>30</v>
      </c>
      <c r="I68" s="504">
        <v>31</v>
      </c>
      <c r="J68" s="504">
        <v>31</v>
      </c>
      <c r="K68" s="504">
        <v>30</v>
      </c>
      <c r="L68" s="504">
        <v>31</v>
      </c>
      <c r="M68" s="504">
        <v>30</v>
      </c>
      <c r="N68" s="504">
        <v>31</v>
      </c>
    </row>
    <row r="69" spans="1:14">
      <c r="A69" s="232"/>
      <c r="B69" s="237">
        <f t="shared" si="1"/>
        <v>2016</v>
      </c>
      <c r="C69" s="504">
        <v>31</v>
      </c>
      <c r="D69" s="504">
        <v>29</v>
      </c>
      <c r="E69" s="504">
        <v>31</v>
      </c>
      <c r="F69" s="504">
        <v>30</v>
      </c>
      <c r="G69" s="504">
        <v>31</v>
      </c>
      <c r="H69" s="504">
        <v>30</v>
      </c>
      <c r="I69" s="504">
        <v>31</v>
      </c>
      <c r="J69" s="504">
        <v>31</v>
      </c>
      <c r="K69" s="504">
        <v>30</v>
      </c>
      <c r="L69" s="504">
        <v>31</v>
      </c>
      <c r="M69" s="504">
        <v>30</v>
      </c>
      <c r="N69" s="504">
        <v>31</v>
      </c>
    </row>
    <row r="70" spans="1:14">
      <c r="A70" s="232"/>
      <c r="B70" s="237">
        <f t="shared" si="1"/>
        <v>2017</v>
      </c>
      <c r="C70" s="504">
        <v>31</v>
      </c>
      <c r="D70" s="504">
        <v>28</v>
      </c>
      <c r="E70" s="504">
        <v>31</v>
      </c>
      <c r="F70" s="504">
        <v>30</v>
      </c>
      <c r="G70" s="504">
        <v>31</v>
      </c>
      <c r="H70" s="504">
        <v>30</v>
      </c>
      <c r="I70" s="504">
        <v>31</v>
      </c>
      <c r="J70" s="504">
        <v>31</v>
      </c>
      <c r="K70" s="504">
        <v>30</v>
      </c>
      <c r="L70" s="504">
        <v>31</v>
      </c>
      <c r="M70" s="504">
        <v>30</v>
      </c>
      <c r="N70" s="504">
        <v>31</v>
      </c>
    </row>
    <row r="71" spans="1:14">
      <c r="A71" s="232"/>
      <c r="B71" s="237">
        <f t="shared" si="1"/>
        <v>2018</v>
      </c>
      <c r="C71" s="504">
        <v>31</v>
      </c>
      <c r="D71" s="504">
        <v>28</v>
      </c>
      <c r="E71" s="504">
        <v>31</v>
      </c>
      <c r="F71" s="504">
        <v>30</v>
      </c>
      <c r="G71" s="504">
        <v>31</v>
      </c>
      <c r="H71" s="504">
        <v>30</v>
      </c>
      <c r="I71" s="504">
        <v>31</v>
      </c>
      <c r="J71" s="504">
        <v>31</v>
      </c>
      <c r="K71" s="504">
        <v>30</v>
      </c>
      <c r="L71" s="504">
        <v>31</v>
      </c>
      <c r="M71" s="504">
        <v>30</v>
      </c>
      <c r="N71" s="504">
        <v>31</v>
      </c>
    </row>
    <row r="72" spans="1:14">
      <c r="A72" s="232"/>
      <c r="B72" s="237">
        <f t="shared" si="1"/>
        <v>2019</v>
      </c>
      <c r="C72" s="504">
        <v>31</v>
      </c>
      <c r="D72" s="504">
        <v>28</v>
      </c>
      <c r="E72" s="504">
        <v>31</v>
      </c>
      <c r="F72" s="504">
        <v>30</v>
      </c>
      <c r="G72" s="504">
        <v>31</v>
      </c>
      <c r="H72" s="504">
        <v>30</v>
      </c>
      <c r="I72" s="504">
        <v>31</v>
      </c>
      <c r="J72" s="504">
        <v>31</v>
      </c>
      <c r="K72" s="504">
        <v>30</v>
      </c>
      <c r="L72" s="504">
        <v>31</v>
      </c>
      <c r="M72" s="504">
        <v>30</v>
      </c>
      <c r="N72" s="504">
        <v>31</v>
      </c>
    </row>
    <row r="73" spans="1:14">
      <c r="A73" s="232"/>
      <c r="B73" s="237">
        <f t="shared" si="1"/>
        <v>2020</v>
      </c>
      <c r="C73" s="504">
        <v>31</v>
      </c>
      <c r="D73" s="504">
        <v>29</v>
      </c>
      <c r="E73" s="504">
        <v>31</v>
      </c>
      <c r="F73" s="504">
        <v>30</v>
      </c>
      <c r="G73" s="504">
        <v>31</v>
      </c>
      <c r="H73" s="504">
        <v>30</v>
      </c>
      <c r="I73" s="504">
        <v>31</v>
      </c>
      <c r="J73" s="504">
        <v>31</v>
      </c>
      <c r="K73" s="504">
        <v>30</v>
      </c>
      <c r="L73" s="504">
        <v>31</v>
      </c>
      <c r="M73" s="504">
        <v>30</v>
      </c>
      <c r="N73" s="504">
        <v>31</v>
      </c>
    </row>
    <row r="74" spans="1:14">
      <c r="A74" s="232"/>
      <c r="B74" s="233"/>
      <c r="C74" s="233"/>
      <c r="D74" s="233"/>
      <c r="E74" s="233"/>
      <c r="F74" s="233"/>
      <c r="G74" s="233"/>
      <c r="H74" s="233"/>
      <c r="I74" s="233"/>
      <c r="J74" s="233"/>
      <c r="K74" s="233"/>
      <c r="L74" s="233"/>
      <c r="M74" s="233"/>
      <c r="N74" s="233"/>
    </row>
    <row r="75" spans="1:14">
      <c r="A75" s="232"/>
      <c r="B75" s="233"/>
      <c r="C75" s="233"/>
      <c r="D75" s="233"/>
      <c r="E75" s="233"/>
      <c r="F75" s="233"/>
      <c r="G75" s="233"/>
      <c r="H75" s="233"/>
      <c r="I75" s="233"/>
      <c r="J75" s="233"/>
      <c r="K75" s="233"/>
      <c r="L75" s="233"/>
      <c r="M75" s="233"/>
      <c r="N75" s="233"/>
    </row>
    <row r="76" spans="1:14" hidden="1">
      <c r="A76" s="232" t="s">
        <v>392</v>
      </c>
      <c r="B76" s="240" t="s">
        <v>162</v>
      </c>
      <c r="C76" s="233"/>
      <c r="D76" s="233"/>
      <c r="E76" s="233"/>
      <c r="F76" s="233"/>
      <c r="G76" s="233"/>
      <c r="H76" s="233"/>
      <c r="I76" s="233"/>
      <c r="J76" s="233"/>
      <c r="K76" s="233"/>
      <c r="L76" s="233"/>
      <c r="M76" s="233"/>
      <c r="N76" s="233"/>
    </row>
    <row r="77" spans="1:14" hidden="1">
      <c r="A77" s="232"/>
      <c r="B77" s="232"/>
      <c r="C77" s="236" t="s">
        <v>134</v>
      </c>
      <c r="D77" s="236" t="s">
        <v>135</v>
      </c>
      <c r="E77" s="236" t="s">
        <v>136</v>
      </c>
      <c r="F77" s="236" t="s">
        <v>137</v>
      </c>
      <c r="G77" s="236" t="s">
        <v>114</v>
      </c>
      <c r="H77" s="236" t="s">
        <v>138</v>
      </c>
      <c r="I77" s="236" t="s">
        <v>139</v>
      </c>
      <c r="J77" s="236" t="s">
        <v>140</v>
      </c>
      <c r="K77" s="236" t="s">
        <v>141</v>
      </c>
      <c r="L77" s="236" t="s">
        <v>144</v>
      </c>
      <c r="M77" s="236" t="s">
        <v>142</v>
      </c>
      <c r="N77" s="236" t="s">
        <v>143</v>
      </c>
    </row>
    <row r="78" spans="1:14" hidden="1">
      <c r="A78" s="232"/>
      <c r="B78" s="237">
        <f t="shared" ref="B78:B86" si="2">B64</f>
        <v>2011</v>
      </c>
      <c r="C78" s="505">
        <v>139</v>
      </c>
      <c r="D78" s="506">
        <v>139.30000000000001</v>
      </c>
      <c r="E78" s="506">
        <v>139.6</v>
      </c>
      <c r="F78" s="506">
        <v>139.9</v>
      </c>
      <c r="G78" s="505">
        <v>140.19999999999999</v>
      </c>
      <c r="H78" s="505">
        <v>140.5</v>
      </c>
      <c r="I78" s="505">
        <v>140.80000000000001</v>
      </c>
      <c r="J78" s="505">
        <v>141.1</v>
      </c>
      <c r="K78" s="505">
        <v>141.4</v>
      </c>
      <c r="L78" s="505">
        <v>141.69999999999999</v>
      </c>
      <c r="M78" s="505">
        <v>142</v>
      </c>
      <c r="N78" s="505">
        <v>142.30000000000001</v>
      </c>
    </row>
    <row r="79" spans="1:14" hidden="1">
      <c r="A79" s="232"/>
      <c r="B79" s="237">
        <f t="shared" si="2"/>
        <v>2012</v>
      </c>
      <c r="C79" s="505">
        <v>142.6</v>
      </c>
      <c r="D79" s="505">
        <v>142.9</v>
      </c>
      <c r="E79" s="505">
        <v>143.19999999999999</v>
      </c>
      <c r="F79" s="505">
        <v>143.5</v>
      </c>
      <c r="G79" s="505">
        <v>143.80000000000001</v>
      </c>
      <c r="H79" s="505">
        <v>144.11000000000001</v>
      </c>
      <c r="I79" s="505">
        <v>144.4</v>
      </c>
      <c r="J79" s="505">
        <v>144.69999999999999</v>
      </c>
      <c r="K79" s="505">
        <v>145</v>
      </c>
      <c r="L79" s="505">
        <v>145.4</v>
      </c>
      <c r="M79" s="505">
        <v>145.69999999999999</v>
      </c>
      <c r="N79" s="505">
        <v>146</v>
      </c>
    </row>
    <row r="80" spans="1:14" hidden="1">
      <c r="A80" s="232"/>
      <c r="B80" s="237">
        <f t="shared" si="2"/>
        <v>2013</v>
      </c>
      <c r="C80" s="505">
        <v>145</v>
      </c>
      <c r="D80" s="505">
        <v>145.1</v>
      </c>
      <c r="E80" s="505">
        <v>145.30000000000001</v>
      </c>
      <c r="F80" s="505">
        <v>145.5</v>
      </c>
      <c r="G80" s="505">
        <v>145.6</v>
      </c>
      <c r="H80" s="505">
        <v>145.80000000000001</v>
      </c>
      <c r="I80" s="505">
        <v>145.9</v>
      </c>
      <c r="J80" s="505">
        <v>146.1</v>
      </c>
      <c r="K80" s="505">
        <v>146.19999999999999</v>
      </c>
      <c r="L80" s="505">
        <v>146.4</v>
      </c>
      <c r="M80" s="505">
        <v>146.6</v>
      </c>
      <c r="N80" s="505">
        <v>146.69999999999999</v>
      </c>
    </row>
    <row r="81" spans="1:15" hidden="1">
      <c r="A81" s="232"/>
      <c r="B81" s="237">
        <f t="shared" si="2"/>
        <v>2014</v>
      </c>
      <c r="C81" s="505">
        <v>147.04</v>
      </c>
      <c r="D81" s="505">
        <v>147.37</v>
      </c>
      <c r="E81" s="505">
        <v>147.69999999999999</v>
      </c>
      <c r="F81" s="505">
        <v>148.02000000000001</v>
      </c>
      <c r="G81" s="505">
        <v>148.35</v>
      </c>
      <c r="H81" s="505">
        <v>148.68</v>
      </c>
      <c r="I81" s="505">
        <v>149.01</v>
      </c>
      <c r="J81" s="505">
        <v>149.35</v>
      </c>
      <c r="K81" s="505">
        <v>149.68</v>
      </c>
      <c r="L81" s="505">
        <v>150.01</v>
      </c>
      <c r="M81" s="505">
        <v>150.34</v>
      </c>
      <c r="N81" s="505">
        <v>150.68</v>
      </c>
    </row>
    <row r="82" spans="1:15" hidden="1">
      <c r="A82" s="232"/>
      <c r="B82" s="237">
        <f t="shared" si="2"/>
        <v>2015</v>
      </c>
      <c r="C82" s="505">
        <v>150.99</v>
      </c>
      <c r="D82" s="505">
        <v>151.30000000000001</v>
      </c>
      <c r="E82" s="505">
        <v>151.61000000000001</v>
      </c>
      <c r="F82" s="505">
        <v>151.91999999999999</v>
      </c>
      <c r="G82" s="505">
        <v>152.24</v>
      </c>
      <c r="H82" s="505">
        <v>152.55000000000001</v>
      </c>
      <c r="I82" s="505">
        <v>152.86000000000001</v>
      </c>
      <c r="J82" s="505">
        <v>153.18</v>
      </c>
      <c r="K82" s="505">
        <v>153.49</v>
      </c>
      <c r="L82" s="505">
        <v>153.81</v>
      </c>
      <c r="M82" s="505">
        <v>154.13</v>
      </c>
      <c r="N82" s="505">
        <v>154.44</v>
      </c>
    </row>
    <row r="83" spans="1:15" hidden="1">
      <c r="A83" s="232"/>
      <c r="B83" s="237">
        <f t="shared" si="2"/>
        <v>2016</v>
      </c>
      <c r="C83" s="506">
        <v>139</v>
      </c>
      <c r="D83" s="506">
        <v>139.30000000000001</v>
      </c>
      <c r="E83" s="506">
        <v>139.6</v>
      </c>
      <c r="F83" s="506">
        <v>139.9</v>
      </c>
      <c r="G83" s="506">
        <v>140.19999999999999</v>
      </c>
      <c r="H83" s="506">
        <v>140.5</v>
      </c>
      <c r="I83" s="506">
        <v>140.80000000000001</v>
      </c>
      <c r="J83" s="506">
        <v>141.1</v>
      </c>
      <c r="K83" s="506">
        <v>141.4</v>
      </c>
      <c r="L83" s="506">
        <v>141.69999999999999</v>
      </c>
      <c r="M83" s="506">
        <v>142</v>
      </c>
      <c r="N83" s="506">
        <v>142.30000000000001</v>
      </c>
    </row>
    <row r="84" spans="1:15" hidden="1">
      <c r="A84" s="232"/>
      <c r="B84" s="237">
        <f t="shared" si="2"/>
        <v>2017</v>
      </c>
      <c r="C84" s="506">
        <v>142.6</v>
      </c>
      <c r="D84" s="506">
        <v>142.9</v>
      </c>
      <c r="E84" s="506">
        <v>143.19999999999999</v>
      </c>
      <c r="F84" s="506">
        <v>143.5</v>
      </c>
      <c r="G84" s="506">
        <v>143.80000000000001</v>
      </c>
      <c r="H84" s="506">
        <v>144.11000000000001</v>
      </c>
      <c r="I84" s="506">
        <v>144.4</v>
      </c>
      <c r="J84" s="506">
        <v>144.69999999999999</v>
      </c>
      <c r="K84" s="506">
        <v>145</v>
      </c>
      <c r="L84" s="506">
        <v>145.4</v>
      </c>
      <c r="M84" s="506">
        <v>145.69999999999999</v>
      </c>
      <c r="N84" s="506">
        <v>146</v>
      </c>
    </row>
    <row r="85" spans="1:15" hidden="1">
      <c r="A85" s="232"/>
      <c r="B85" s="237">
        <f t="shared" si="2"/>
        <v>2018</v>
      </c>
      <c r="C85" s="506">
        <v>145</v>
      </c>
      <c r="D85" s="506">
        <v>145.1</v>
      </c>
      <c r="E85" s="506">
        <v>145.30000000000001</v>
      </c>
      <c r="F85" s="506">
        <v>145.5</v>
      </c>
      <c r="G85" s="506">
        <v>145.6</v>
      </c>
      <c r="H85" s="506">
        <v>145.80000000000001</v>
      </c>
      <c r="I85" s="506">
        <v>145.9</v>
      </c>
      <c r="J85" s="506">
        <v>146.1</v>
      </c>
      <c r="K85" s="506">
        <v>146.19999999999999</v>
      </c>
      <c r="L85" s="506">
        <v>146.4</v>
      </c>
      <c r="M85" s="506">
        <v>146.6</v>
      </c>
      <c r="N85" s="506">
        <v>146.69999999999999</v>
      </c>
    </row>
    <row r="86" spans="1:15" hidden="1">
      <c r="A86" s="232"/>
      <c r="B86" s="237">
        <f t="shared" si="2"/>
        <v>2019</v>
      </c>
      <c r="C86" s="506">
        <v>147.04</v>
      </c>
      <c r="D86" s="506">
        <v>147.37</v>
      </c>
      <c r="E86" s="506">
        <v>147.69999999999999</v>
      </c>
      <c r="F86" s="506">
        <v>148.02000000000001</v>
      </c>
      <c r="G86" s="506">
        <v>148.35</v>
      </c>
      <c r="H86" s="506">
        <v>148.68</v>
      </c>
      <c r="I86" s="506">
        <v>149.01</v>
      </c>
      <c r="J86" s="506">
        <v>149.35</v>
      </c>
      <c r="K86" s="506">
        <v>149.68</v>
      </c>
      <c r="L86" s="506">
        <v>150.01</v>
      </c>
      <c r="M86" s="506">
        <v>150.34</v>
      </c>
      <c r="N86" s="506">
        <v>150.68</v>
      </c>
      <c r="O86" s="48"/>
    </row>
    <row r="87" spans="1:15" hidden="1">
      <c r="A87" s="232"/>
      <c r="B87" s="237">
        <f>B73</f>
        <v>2020</v>
      </c>
      <c r="C87" s="506">
        <v>150.99</v>
      </c>
      <c r="D87" s="506">
        <v>151.30000000000001</v>
      </c>
      <c r="E87" s="506">
        <v>151.61000000000001</v>
      </c>
      <c r="F87" s="506">
        <v>151.91999999999999</v>
      </c>
      <c r="G87" s="506">
        <v>152.24</v>
      </c>
      <c r="H87" s="506">
        <v>152.55000000000001</v>
      </c>
      <c r="I87" s="506">
        <v>152.86000000000001</v>
      </c>
      <c r="J87" s="506">
        <v>153.18</v>
      </c>
      <c r="K87" s="506">
        <v>153.49</v>
      </c>
      <c r="L87" s="506">
        <v>153.81</v>
      </c>
      <c r="M87" s="506">
        <v>154.13</v>
      </c>
      <c r="N87" s="506">
        <v>154.44</v>
      </c>
      <c r="O87" s="196"/>
    </row>
    <row r="88" spans="1:15" hidden="1">
      <c r="A88" s="232"/>
      <c r="B88" s="233"/>
      <c r="C88" s="233"/>
      <c r="D88" s="233"/>
      <c r="E88" s="233"/>
      <c r="F88" s="233"/>
      <c r="G88" s="233"/>
      <c r="H88" s="233"/>
      <c r="I88" s="233"/>
      <c r="J88" s="233"/>
      <c r="K88" s="233"/>
      <c r="L88" s="233"/>
      <c r="M88" s="233"/>
      <c r="N88" s="233"/>
    </row>
    <row r="89" spans="1:15">
      <c r="A89" s="232"/>
      <c r="B89" s="233"/>
      <c r="C89" s="233"/>
      <c r="D89" s="233"/>
      <c r="E89" s="233"/>
      <c r="F89" s="233"/>
      <c r="G89" s="233"/>
      <c r="H89" s="233"/>
      <c r="I89" s="233"/>
      <c r="J89" s="233"/>
      <c r="K89" s="233"/>
      <c r="L89" s="233"/>
      <c r="M89" s="233"/>
      <c r="N89" s="233"/>
    </row>
    <row r="90" spans="1:15">
      <c r="A90" s="232"/>
      <c r="B90" s="240" t="s">
        <v>340</v>
      </c>
      <c r="C90" s="233"/>
      <c r="D90" s="233"/>
      <c r="E90" s="233"/>
      <c r="F90" s="233"/>
      <c r="G90" s="233"/>
      <c r="H90" s="233"/>
      <c r="I90" s="233"/>
      <c r="J90" s="233"/>
      <c r="K90" s="233"/>
      <c r="L90" s="233"/>
      <c r="M90" s="233"/>
      <c r="N90" s="233"/>
    </row>
    <row r="91" spans="1:15">
      <c r="A91" s="232"/>
      <c r="B91" s="232"/>
      <c r="C91" s="236" t="s">
        <v>134</v>
      </c>
      <c r="D91" s="236" t="s">
        <v>135</v>
      </c>
      <c r="E91" s="236" t="s">
        <v>136</v>
      </c>
      <c r="F91" s="236" t="s">
        <v>137</v>
      </c>
      <c r="G91" s="236" t="s">
        <v>114</v>
      </c>
      <c r="H91" s="236" t="s">
        <v>138</v>
      </c>
      <c r="I91" s="236" t="s">
        <v>139</v>
      </c>
      <c r="J91" s="236" t="s">
        <v>140</v>
      </c>
      <c r="K91" s="236" t="s">
        <v>141</v>
      </c>
      <c r="L91" s="236" t="s">
        <v>144</v>
      </c>
      <c r="M91" s="236" t="s">
        <v>142</v>
      </c>
      <c r="N91" s="236" t="s">
        <v>143</v>
      </c>
    </row>
    <row r="92" spans="1:15">
      <c r="A92" s="232"/>
      <c r="B92" s="237">
        <f t="shared" ref="B92:B100" si="3">B78</f>
        <v>2011</v>
      </c>
      <c r="C92" s="39">
        <v>0</v>
      </c>
      <c r="D92" s="39">
        <v>0</v>
      </c>
      <c r="E92" s="39">
        <v>1</v>
      </c>
      <c r="F92" s="39">
        <v>1</v>
      </c>
      <c r="G92" s="39">
        <v>1</v>
      </c>
      <c r="H92" s="39">
        <v>0</v>
      </c>
      <c r="I92" s="39">
        <v>0</v>
      </c>
      <c r="J92" s="39">
        <v>0</v>
      </c>
      <c r="K92" s="39">
        <v>1</v>
      </c>
      <c r="L92" s="39">
        <v>1</v>
      </c>
      <c r="M92" s="39">
        <v>1</v>
      </c>
      <c r="N92" s="39">
        <v>0</v>
      </c>
    </row>
    <row r="93" spans="1:15">
      <c r="A93" s="232"/>
      <c r="B93" s="237">
        <f t="shared" si="3"/>
        <v>2012</v>
      </c>
      <c r="C93" s="39">
        <v>0</v>
      </c>
      <c r="D93" s="39">
        <v>0</v>
      </c>
      <c r="E93" s="39">
        <v>1</v>
      </c>
      <c r="F93" s="39">
        <v>1</v>
      </c>
      <c r="G93" s="39">
        <v>1</v>
      </c>
      <c r="H93" s="39">
        <v>0</v>
      </c>
      <c r="I93" s="39">
        <v>0</v>
      </c>
      <c r="J93" s="39">
        <v>0</v>
      </c>
      <c r="K93" s="39">
        <v>1</v>
      </c>
      <c r="L93" s="39">
        <v>1</v>
      </c>
      <c r="M93" s="39">
        <v>1</v>
      </c>
      <c r="N93" s="39">
        <v>0</v>
      </c>
    </row>
    <row r="94" spans="1:15">
      <c r="A94" s="232"/>
      <c r="B94" s="237">
        <f t="shared" si="3"/>
        <v>2013</v>
      </c>
      <c r="C94" s="39">
        <v>0</v>
      </c>
      <c r="D94" s="39">
        <v>0</v>
      </c>
      <c r="E94" s="39">
        <v>1</v>
      </c>
      <c r="F94" s="39">
        <v>1</v>
      </c>
      <c r="G94" s="39">
        <v>1</v>
      </c>
      <c r="H94" s="39">
        <v>0</v>
      </c>
      <c r="I94" s="39">
        <v>0</v>
      </c>
      <c r="J94" s="39">
        <v>0</v>
      </c>
      <c r="K94" s="39">
        <v>1</v>
      </c>
      <c r="L94" s="39">
        <v>1</v>
      </c>
      <c r="M94" s="39">
        <v>1</v>
      </c>
      <c r="N94" s="39">
        <v>0</v>
      </c>
    </row>
    <row r="95" spans="1:15">
      <c r="A95" s="232"/>
      <c r="B95" s="237">
        <f t="shared" si="3"/>
        <v>2014</v>
      </c>
      <c r="C95" s="39">
        <v>0</v>
      </c>
      <c r="D95" s="39">
        <v>0</v>
      </c>
      <c r="E95" s="39">
        <v>1</v>
      </c>
      <c r="F95" s="39">
        <v>1</v>
      </c>
      <c r="G95" s="39">
        <v>1</v>
      </c>
      <c r="H95" s="39">
        <v>0</v>
      </c>
      <c r="I95" s="39">
        <v>0</v>
      </c>
      <c r="J95" s="39">
        <v>0</v>
      </c>
      <c r="K95" s="39">
        <v>1</v>
      </c>
      <c r="L95" s="39">
        <v>1</v>
      </c>
      <c r="M95" s="39">
        <v>1</v>
      </c>
      <c r="N95" s="39">
        <v>0</v>
      </c>
    </row>
    <row r="96" spans="1:15">
      <c r="A96" s="232"/>
      <c r="B96" s="237">
        <f t="shared" si="3"/>
        <v>2015</v>
      </c>
      <c r="C96" s="39">
        <v>0</v>
      </c>
      <c r="D96" s="39">
        <v>0</v>
      </c>
      <c r="E96" s="39">
        <v>1</v>
      </c>
      <c r="F96" s="39">
        <v>1</v>
      </c>
      <c r="G96" s="39">
        <v>1</v>
      </c>
      <c r="H96" s="39">
        <v>0</v>
      </c>
      <c r="I96" s="39">
        <v>0</v>
      </c>
      <c r="J96" s="39">
        <v>0</v>
      </c>
      <c r="K96" s="39">
        <v>1</v>
      </c>
      <c r="L96" s="39">
        <v>1</v>
      </c>
      <c r="M96" s="39">
        <v>1</v>
      </c>
      <c r="N96" s="39">
        <v>0</v>
      </c>
    </row>
    <row r="97" spans="1:14">
      <c r="A97" s="232"/>
      <c r="B97" s="237">
        <f t="shared" si="3"/>
        <v>2016</v>
      </c>
      <c r="C97" s="39">
        <v>0</v>
      </c>
      <c r="D97" s="39">
        <v>0</v>
      </c>
      <c r="E97" s="39">
        <v>1</v>
      </c>
      <c r="F97" s="39">
        <v>1</v>
      </c>
      <c r="G97" s="39">
        <v>1</v>
      </c>
      <c r="H97" s="39">
        <v>0</v>
      </c>
      <c r="I97" s="39">
        <v>0</v>
      </c>
      <c r="J97" s="39">
        <v>0</v>
      </c>
      <c r="K97" s="39">
        <v>1</v>
      </c>
      <c r="L97" s="39">
        <v>1</v>
      </c>
      <c r="M97" s="39">
        <v>1</v>
      </c>
      <c r="N97" s="39">
        <v>0</v>
      </c>
    </row>
    <row r="98" spans="1:14">
      <c r="A98" s="232"/>
      <c r="B98" s="237">
        <f t="shared" si="3"/>
        <v>2017</v>
      </c>
      <c r="C98" s="39">
        <v>0</v>
      </c>
      <c r="D98" s="39">
        <v>0</v>
      </c>
      <c r="E98" s="39">
        <v>1</v>
      </c>
      <c r="F98" s="39">
        <v>1</v>
      </c>
      <c r="G98" s="39">
        <v>1</v>
      </c>
      <c r="H98" s="39">
        <v>0</v>
      </c>
      <c r="I98" s="39">
        <v>0</v>
      </c>
      <c r="J98" s="39">
        <v>0</v>
      </c>
      <c r="K98" s="39">
        <v>1</v>
      </c>
      <c r="L98" s="39">
        <v>1</v>
      </c>
      <c r="M98" s="39">
        <v>1</v>
      </c>
      <c r="N98" s="39">
        <v>0</v>
      </c>
    </row>
    <row r="99" spans="1:14">
      <c r="A99" s="232"/>
      <c r="B99" s="237">
        <f t="shared" si="3"/>
        <v>2018</v>
      </c>
      <c r="C99" s="39">
        <v>0</v>
      </c>
      <c r="D99" s="39">
        <v>0</v>
      </c>
      <c r="E99" s="39">
        <v>1</v>
      </c>
      <c r="F99" s="39">
        <v>1</v>
      </c>
      <c r="G99" s="39">
        <v>1</v>
      </c>
      <c r="H99" s="39">
        <v>0</v>
      </c>
      <c r="I99" s="39">
        <v>0</v>
      </c>
      <c r="J99" s="39">
        <v>0</v>
      </c>
      <c r="K99" s="39">
        <v>1</v>
      </c>
      <c r="L99" s="39">
        <v>1</v>
      </c>
      <c r="M99" s="39">
        <v>1</v>
      </c>
      <c r="N99" s="39">
        <v>0</v>
      </c>
    </row>
    <row r="100" spans="1:14">
      <c r="A100" s="232"/>
      <c r="B100" s="237">
        <f t="shared" si="3"/>
        <v>2019</v>
      </c>
      <c r="C100" s="39">
        <v>0</v>
      </c>
      <c r="D100" s="39">
        <v>0</v>
      </c>
      <c r="E100" s="39">
        <v>1</v>
      </c>
      <c r="F100" s="39">
        <v>1</v>
      </c>
      <c r="G100" s="39">
        <v>1</v>
      </c>
      <c r="H100" s="39">
        <v>0</v>
      </c>
      <c r="I100" s="39">
        <v>0</v>
      </c>
      <c r="J100" s="39">
        <v>0</v>
      </c>
      <c r="K100" s="39">
        <v>1</v>
      </c>
      <c r="L100" s="39">
        <v>1</v>
      </c>
      <c r="M100" s="39">
        <v>1</v>
      </c>
      <c r="N100" s="39">
        <v>0</v>
      </c>
    </row>
    <row r="101" spans="1:14">
      <c r="A101" s="232"/>
      <c r="B101" s="237">
        <f>B87</f>
        <v>2020</v>
      </c>
      <c r="C101" s="39">
        <v>0</v>
      </c>
      <c r="D101" s="39">
        <v>0</v>
      </c>
      <c r="E101" s="39">
        <v>1</v>
      </c>
      <c r="F101" s="39">
        <v>1</v>
      </c>
      <c r="G101" s="39">
        <v>1</v>
      </c>
      <c r="H101" s="39">
        <v>0</v>
      </c>
      <c r="I101" s="39">
        <v>0</v>
      </c>
      <c r="J101" s="39">
        <v>0</v>
      </c>
      <c r="K101" s="39">
        <v>1</v>
      </c>
      <c r="L101" s="39">
        <v>1</v>
      </c>
      <c r="M101" s="39">
        <v>1</v>
      </c>
      <c r="N101" s="39">
        <v>0</v>
      </c>
    </row>
    <row r="102" spans="1:14">
      <c r="A102" s="232"/>
      <c r="B102" s="233"/>
      <c r="C102" s="233"/>
      <c r="D102" s="233"/>
      <c r="E102" s="233"/>
      <c r="F102" s="233"/>
      <c r="G102" s="233"/>
      <c r="H102" s="233"/>
      <c r="I102" s="233"/>
      <c r="J102" s="233"/>
      <c r="K102" s="233"/>
      <c r="L102" s="233"/>
      <c r="M102" s="233"/>
      <c r="N102" s="233"/>
    </row>
    <row r="103" spans="1:14">
      <c r="A103" s="232"/>
      <c r="B103" s="233"/>
      <c r="C103" s="233"/>
      <c r="D103" s="233"/>
      <c r="E103" s="233"/>
      <c r="F103" s="233"/>
      <c r="G103" s="233"/>
      <c r="H103" s="233"/>
      <c r="I103" s="233"/>
      <c r="J103" s="233"/>
      <c r="K103" s="233"/>
      <c r="L103" s="233"/>
      <c r="M103" s="233"/>
      <c r="N103" s="233"/>
    </row>
    <row r="104" spans="1:14" ht="25.5">
      <c r="A104" s="232"/>
      <c r="B104" s="240" t="s">
        <v>384</v>
      </c>
      <c r="C104" s="233"/>
      <c r="D104" s="233"/>
      <c r="E104" s="233"/>
      <c r="F104" s="233"/>
      <c r="G104" s="233"/>
      <c r="H104" s="233"/>
      <c r="I104" s="233"/>
      <c r="J104" s="233"/>
      <c r="K104" s="233"/>
      <c r="L104" s="233"/>
      <c r="M104" s="233"/>
      <c r="N104" s="233"/>
    </row>
    <row r="105" spans="1:14">
      <c r="A105" s="232"/>
      <c r="B105" s="232"/>
      <c r="C105" s="236" t="s">
        <v>134</v>
      </c>
      <c r="D105" s="236" t="s">
        <v>135</v>
      </c>
      <c r="E105" s="236" t="s">
        <v>136</v>
      </c>
      <c r="F105" s="236" t="s">
        <v>137</v>
      </c>
      <c r="G105" s="236" t="s">
        <v>114</v>
      </c>
      <c r="H105" s="236" t="s">
        <v>138</v>
      </c>
      <c r="I105" s="236" t="s">
        <v>139</v>
      </c>
      <c r="J105" s="236" t="s">
        <v>140</v>
      </c>
      <c r="K105" s="236" t="s">
        <v>141</v>
      </c>
      <c r="L105" s="236" t="s">
        <v>144</v>
      </c>
      <c r="M105" s="236" t="s">
        <v>142</v>
      </c>
      <c r="N105" s="236" t="s">
        <v>143</v>
      </c>
    </row>
    <row r="106" spans="1:14">
      <c r="A106" s="232"/>
      <c r="B106" s="237">
        <f t="shared" ref="B106:B114" si="4">B92</f>
        <v>2011</v>
      </c>
      <c r="C106" s="649">
        <v>352</v>
      </c>
      <c r="D106" s="649">
        <v>320</v>
      </c>
      <c r="E106" s="649">
        <v>352</v>
      </c>
      <c r="F106" s="649">
        <v>320</v>
      </c>
      <c r="G106" s="649">
        <v>352</v>
      </c>
      <c r="H106" s="649">
        <v>336</v>
      </c>
      <c r="I106" s="649">
        <v>336</v>
      </c>
      <c r="J106" s="649">
        <v>352</v>
      </c>
      <c r="K106" s="649">
        <v>304</v>
      </c>
      <c r="L106" s="649">
        <v>352</v>
      </c>
      <c r="M106" s="649">
        <v>352</v>
      </c>
      <c r="N106" s="649">
        <v>304</v>
      </c>
    </row>
    <row r="107" spans="1:14">
      <c r="A107" s="232"/>
      <c r="B107" s="237">
        <f t="shared" si="4"/>
        <v>2012</v>
      </c>
      <c r="C107" s="649">
        <v>352</v>
      </c>
      <c r="D107" s="649">
        <v>320</v>
      </c>
      <c r="E107" s="649">
        <v>304</v>
      </c>
      <c r="F107" s="649">
        <v>352</v>
      </c>
      <c r="G107" s="649">
        <v>336</v>
      </c>
      <c r="H107" s="649">
        <v>336</v>
      </c>
      <c r="I107" s="649">
        <v>352</v>
      </c>
      <c r="J107" s="649">
        <v>320</v>
      </c>
      <c r="K107" s="649">
        <v>336</v>
      </c>
      <c r="L107" s="649">
        <v>352</v>
      </c>
      <c r="M107" s="649">
        <v>304</v>
      </c>
      <c r="N107" s="649">
        <v>336</v>
      </c>
    </row>
    <row r="108" spans="1:14">
      <c r="A108" s="232"/>
      <c r="B108" s="237">
        <f t="shared" si="4"/>
        <v>2013</v>
      </c>
      <c r="C108" s="649">
        <v>352</v>
      </c>
      <c r="D108" s="649">
        <v>304</v>
      </c>
      <c r="E108" s="649">
        <v>320</v>
      </c>
      <c r="F108" s="649">
        <v>352</v>
      </c>
      <c r="G108" s="649">
        <v>352</v>
      </c>
      <c r="H108" s="649">
        <v>320</v>
      </c>
      <c r="I108" s="649">
        <v>352</v>
      </c>
      <c r="J108" s="649">
        <v>336</v>
      </c>
      <c r="K108" s="649">
        <v>320</v>
      </c>
      <c r="L108" s="649">
        <v>352</v>
      </c>
      <c r="M108" s="649">
        <v>336</v>
      </c>
      <c r="N108" s="649">
        <v>320</v>
      </c>
    </row>
    <row r="109" spans="1:14">
      <c r="A109" s="232"/>
      <c r="B109" s="237">
        <f t="shared" si="4"/>
        <v>2014</v>
      </c>
      <c r="C109" s="649">
        <v>352</v>
      </c>
      <c r="D109" s="649">
        <v>304</v>
      </c>
      <c r="E109" s="649">
        <v>336</v>
      </c>
      <c r="F109" s="649">
        <v>336</v>
      </c>
      <c r="G109" s="649">
        <v>336</v>
      </c>
      <c r="H109" s="649">
        <v>336</v>
      </c>
      <c r="I109" s="649">
        <v>352</v>
      </c>
      <c r="J109" s="649">
        <v>320</v>
      </c>
      <c r="K109" s="649">
        <v>336</v>
      </c>
      <c r="L109" s="649">
        <v>352</v>
      </c>
      <c r="M109" s="649">
        <v>320</v>
      </c>
      <c r="N109" s="649">
        <v>336</v>
      </c>
    </row>
    <row r="110" spans="1:14">
      <c r="A110" s="232"/>
      <c r="B110" s="237">
        <f t="shared" si="4"/>
        <v>2015</v>
      </c>
      <c r="C110" s="649">
        <v>336</v>
      </c>
      <c r="D110" s="649">
        <v>304</v>
      </c>
      <c r="E110" s="649">
        <v>352</v>
      </c>
      <c r="F110" s="649">
        <v>336</v>
      </c>
      <c r="G110" s="649">
        <v>320</v>
      </c>
      <c r="H110" s="649">
        <v>352</v>
      </c>
      <c r="I110" s="649">
        <v>352</v>
      </c>
      <c r="J110" s="649">
        <v>320</v>
      </c>
      <c r="K110" s="649">
        <v>336</v>
      </c>
      <c r="L110" s="649">
        <v>336</v>
      </c>
      <c r="M110" s="649">
        <v>336</v>
      </c>
      <c r="N110" s="649">
        <v>352</v>
      </c>
    </row>
    <row r="111" spans="1:14">
      <c r="A111" s="232"/>
      <c r="B111" s="237">
        <f t="shared" si="4"/>
        <v>2016</v>
      </c>
      <c r="C111" s="649">
        <f>20*16</f>
        <v>320</v>
      </c>
      <c r="D111" s="649">
        <f>21*16</f>
        <v>336</v>
      </c>
      <c r="E111" s="649">
        <f>23*16</f>
        <v>368</v>
      </c>
      <c r="F111" s="649">
        <f>20*16</f>
        <v>320</v>
      </c>
      <c r="G111" s="649">
        <f>21*16</f>
        <v>336</v>
      </c>
      <c r="H111" s="649">
        <f>23*16</f>
        <v>368</v>
      </c>
      <c r="I111" s="649">
        <f>20*16</f>
        <v>320</v>
      </c>
      <c r="J111" s="649">
        <f>22*16</f>
        <v>352</v>
      </c>
      <c r="K111" s="649">
        <f>21*16</f>
        <v>336</v>
      </c>
      <c r="L111" s="649">
        <f>20*16</f>
        <v>320</v>
      </c>
      <c r="M111" s="649">
        <f>22*16</f>
        <v>352</v>
      </c>
      <c r="N111" s="649">
        <f>20*16</f>
        <v>320</v>
      </c>
    </row>
    <row r="112" spans="1:14">
      <c r="A112" s="232"/>
      <c r="B112" s="237">
        <f t="shared" si="4"/>
        <v>2017</v>
      </c>
      <c r="C112" s="649">
        <f>21*16</f>
        <v>336</v>
      </c>
      <c r="D112" s="649">
        <f>20*16</f>
        <v>320</v>
      </c>
      <c r="E112" s="649">
        <f>23*16</f>
        <v>368</v>
      </c>
      <c r="F112" s="649">
        <f>19*16</f>
        <v>304</v>
      </c>
      <c r="G112" s="649">
        <f>22*16</f>
        <v>352</v>
      </c>
      <c r="H112" s="649">
        <f>22*16</f>
        <v>352</v>
      </c>
      <c r="I112" s="649">
        <f>20*16</f>
        <v>320</v>
      </c>
      <c r="J112" s="649">
        <f>22*16</f>
        <v>352</v>
      </c>
      <c r="K112" s="649">
        <f>20*16</f>
        <v>320</v>
      </c>
      <c r="L112" s="649">
        <f>21*16</f>
        <v>336</v>
      </c>
      <c r="M112" s="649">
        <f>22*16</f>
        <v>352</v>
      </c>
      <c r="N112" s="649">
        <f>19*16</f>
        <v>304</v>
      </c>
    </row>
    <row r="113" spans="1:15">
      <c r="A113" s="232"/>
      <c r="B113" s="237">
        <f t="shared" si="4"/>
        <v>2018</v>
      </c>
      <c r="C113" s="649">
        <f>22*16</f>
        <v>352</v>
      </c>
      <c r="D113" s="649">
        <f>19*16</f>
        <v>304</v>
      </c>
      <c r="E113" s="649">
        <f>22*16</f>
        <v>352</v>
      </c>
      <c r="F113" s="649">
        <f>20*16</f>
        <v>320</v>
      </c>
      <c r="G113" s="649">
        <f>22*16</f>
        <v>352</v>
      </c>
      <c r="H113" s="649">
        <f>21*16</f>
        <v>336</v>
      </c>
      <c r="I113" s="649">
        <f>21*16</f>
        <v>336</v>
      </c>
      <c r="J113" s="649">
        <f>22*16</f>
        <v>352</v>
      </c>
      <c r="K113" s="649">
        <f>19*16</f>
        <v>304</v>
      </c>
      <c r="L113" s="649">
        <f>22*16</f>
        <v>352</v>
      </c>
      <c r="M113" s="649">
        <f>22*19</f>
        <v>418</v>
      </c>
      <c r="N113" s="649">
        <f>19*16</f>
        <v>304</v>
      </c>
    </row>
    <row r="114" spans="1:15">
      <c r="A114" s="232"/>
      <c r="B114" s="237">
        <f t="shared" si="4"/>
        <v>2019</v>
      </c>
      <c r="C114" s="649">
        <f>22*16</f>
        <v>352</v>
      </c>
      <c r="D114" s="649">
        <f>19*16</f>
        <v>304</v>
      </c>
      <c r="E114" s="649">
        <f>21*16</f>
        <v>336</v>
      </c>
      <c r="F114" s="649">
        <f>21*16</f>
        <v>336</v>
      </c>
      <c r="G114" s="649">
        <f>22*16</f>
        <v>352</v>
      </c>
      <c r="H114" s="649">
        <f>20*16</f>
        <v>320</v>
      </c>
      <c r="I114" s="649">
        <f>22*16</f>
        <v>352</v>
      </c>
      <c r="J114" s="649">
        <f>21*16</f>
        <v>336</v>
      </c>
      <c r="K114" s="649">
        <f>20*16</f>
        <v>320</v>
      </c>
      <c r="L114" s="649">
        <f>22*16</f>
        <v>352</v>
      </c>
      <c r="M114" s="649">
        <f>25*16</f>
        <v>400</v>
      </c>
      <c r="N114" s="649">
        <f>20*16</f>
        <v>320</v>
      </c>
    </row>
    <row r="115" spans="1:15">
      <c r="A115" s="232"/>
      <c r="B115" s="237">
        <f>B101</f>
        <v>2020</v>
      </c>
      <c r="C115" s="649">
        <f>22*16</f>
        <v>352</v>
      </c>
      <c r="D115" s="649">
        <f>19*16</f>
        <v>304</v>
      </c>
      <c r="E115" s="649">
        <f>22*16</f>
        <v>352</v>
      </c>
      <c r="F115" s="649">
        <f>21*16</f>
        <v>336</v>
      </c>
      <c r="G115" s="649">
        <f>19*16</f>
        <v>304</v>
      </c>
      <c r="H115" s="649">
        <f>22*16</f>
        <v>352</v>
      </c>
      <c r="I115" s="649">
        <f>22*16</f>
        <v>352</v>
      </c>
      <c r="J115" s="649">
        <f>20*16</f>
        <v>320</v>
      </c>
      <c r="K115" s="649">
        <f>21*16</f>
        <v>336</v>
      </c>
      <c r="L115" s="649">
        <f>21*16</f>
        <v>336</v>
      </c>
      <c r="M115" s="649">
        <f>21*16</f>
        <v>336</v>
      </c>
      <c r="N115" s="649">
        <f>21*16</f>
        <v>336</v>
      </c>
      <c r="O115" s="196"/>
    </row>
    <row r="116" spans="1:15">
      <c r="A116" s="232"/>
      <c r="B116" s="233"/>
      <c r="C116" s="233"/>
      <c r="D116" s="233"/>
      <c r="E116" s="233"/>
      <c r="F116" s="233"/>
      <c r="G116" s="233"/>
      <c r="H116" s="233"/>
      <c r="I116" s="233"/>
      <c r="J116" s="233"/>
      <c r="K116" s="233"/>
      <c r="L116" s="233"/>
      <c r="M116" s="233"/>
      <c r="N116" s="233"/>
    </row>
    <row r="117" spans="1:15">
      <c r="A117" s="232"/>
      <c r="B117" s="233"/>
      <c r="C117" s="233"/>
      <c r="D117" s="233"/>
      <c r="E117" s="233"/>
      <c r="F117" s="233"/>
      <c r="G117" s="233"/>
      <c r="H117" s="233"/>
      <c r="I117" s="233"/>
      <c r="J117" s="233"/>
      <c r="K117" s="233"/>
      <c r="L117" s="233"/>
      <c r="M117" s="233"/>
      <c r="N117" s="233"/>
    </row>
    <row r="118" spans="1:15">
      <c r="A118" s="232"/>
      <c r="B118" s="241" t="s">
        <v>133</v>
      </c>
      <c r="C118" s="233"/>
      <c r="D118" s="233"/>
      <c r="E118" s="233"/>
      <c r="F118" s="233"/>
      <c r="G118" s="233"/>
      <c r="H118" s="233"/>
      <c r="I118" s="233"/>
      <c r="J118" s="233"/>
      <c r="K118" s="233"/>
      <c r="L118" s="233"/>
      <c r="M118" s="233"/>
      <c r="N118" s="233"/>
    </row>
    <row r="119" spans="1:15">
      <c r="A119" s="232"/>
      <c r="B119" s="242"/>
      <c r="C119" s="233"/>
      <c r="D119" s="233"/>
      <c r="E119" s="233"/>
      <c r="F119" s="233"/>
      <c r="G119" s="233"/>
      <c r="H119" s="233"/>
      <c r="I119" s="233"/>
      <c r="J119" s="233"/>
      <c r="K119" s="233"/>
      <c r="L119" s="233"/>
      <c r="M119" s="233"/>
      <c r="N119" s="233"/>
    </row>
    <row r="120" spans="1:15">
      <c r="A120" s="232"/>
      <c r="B120" s="243" t="str">
        <f>Variable1</f>
        <v>HDD</v>
      </c>
      <c r="C120" s="233"/>
      <c r="D120" s="233"/>
      <c r="E120" s="233"/>
      <c r="F120" s="233"/>
      <c r="G120" s="233"/>
      <c r="H120" s="233"/>
      <c r="I120" s="233"/>
      <c r="J120" s="233"/>
      <c r="K120" s="233"/>
      <c r="L120" s="233"/>
      <c r="M120" s="233"/>
      <c r="N120" s="233"/>
    </row>
    <row r="121" spans="1:15">
      <c r="A121" s="232"/>
      <c r="B121" s="243" t="str">
        <f>Variable2</f>
        <v>CDD</v>
      </c>
      <c r="C121" s="233"/>
      <c r="D121" s="233"/>
      <c r="E121" s="233"/>
      <c r="F121" s="233"/>
      <c r="G121" s="233"/>
      <c r="H121" s="233"/>
      <c r="I121" s="233"/>
      <c r="J121" s="233"/>
      <c r="K121" s="233"/>
      <c r="L121" s="233"/>
      <c r="M121" s="233"/>
      <c r="N121" s="233"/>
    </row>
    <row r="122" spans="1:15">
      <c r="A122" s="232"/>
      <c r="B122" s="243" t="str">
        <f>Variable3</f>
        <v>Number of Days in Month</v>
      </c>
      <c r="C122" s="233"/>
      <c r="D122" s="233"/>
      <c r="E122" s="233"/>
      <c r="F122" s="233"/>
      <c r="G122" s="233"/>
      <c r="H122" s="233"/>
      <c r="I122" s="233"/>
      <c r="J122" s="233"/>
      <c r="K122" s="233"/>
      <c r="L122" s="233"/>
      <c r="M122" s="233"/>
      <c r="N122" s="233"/>
    </row>
    <row r="123" spans="1:15">
      <c r="A123" s="232"/>
      <c r="B123" s="243" t="str">
        <f>B76</f>
        <v>GDP</v>
      </c>
      <c r="C123" s="233"/>
      <c r="D123" s="233"/>
      <c r="E123" s="233"/>
      <c r="F123" s="233"/>
      <c r="G123" s="233"/>
      <c r="H123" s="233"/>
      <c r="I123" s="233"/>
      <c r="J123" s="233"/>
      <c r="K123" s="233"/>
      <c r="L123" s="233"/>
      <c r="M123" s="233"/>
      <c r="N123" s="233"/>
    </row>
    <row r="124" spans="1:15">
      <c r="A124" s="232"/>
      <c r="B124" s="243" t="str">
        <f>Variable5</f>
        <v xml:space="preserve">Spring and Fall </v>
      </c>
      <c r="C124" s="233"/>
      <c r="D124" s="233"/>
      <c r="E124" s="233"/>
      <c r="F124" s="233"/>
      <c r="G124" s="233"/>
      <c r="H124" s="233"/>
      <c r="I124" s="233"/>
      <c r="J124" s="233"/>
      <c r="K124" s="233"/>
      <c r="L124" s="233"/>
      <c r="M124" s="233"/>
      <c r="N124" s="233"/>
    </row>
    <row r="125" spans="1:15">
      <c r="A125" s="232"/>
      <c r="B125" s="243" t="str">
        <f>Variable6</f>
        <v>Peak Number of Hours</v>
      </c>
      <c r="C125" s="233"/>
      <c r="D125" s="233"/>
      <c r="E125" s="233"/>
      <c r="F125" s="233"/>
      <c r="G125" s="233"/>
      <c r="H125" s="233"/>
      <c r="I125" s="233"/>
      <c r="J125" s="233"/>
      <c r="K125" s="233"/>
      <c r="L125" s="233"/>
      <c r="M125" s="233"/>
      <c r="N125" s="233"/>
    </row>
    <row r="126" spans="1:15">
      <c r="A126" s="232"/>
      <c r="B126" s="233"/>
      <c r="C126" s="233"/>
      <c r="D126" s="233"/>
      <c r="E126" s="233"/>
      <c r="F126" s="233"/>
      <c r="G126" s="233"/>
      <c r="H126" s="233"/>
      <c r="I126" s="233"/>
      <c r="J126" s="233"/>
      <c r="K126" s="233"/>
      <c r="L126" s="233"/>
      <c r="M126" s="233"/>
      <c r="N126" s="233"/>
    </row>
    <row r="127" spans="1:15">
      <c r="A127" s="232"/>
      <c r="B127" s="233"/>
      <c r="C127" s="233"/>
      <c r="D127" s="233"/>
      <c r="E127" s="233"/>
      <c r="F127" s="233"/>
      <c r="G127" s="233"/>
      <c r="H127" s="233"/>
      <c r="I127" s="233"/>
      <c r="J127" s="233"/>
      <c r="K127" s="233"/>
      <c r="L127" s="233"/>
      <c r="M127" s="233"/>
      <c r="N127" s="233"/>
    </row>
    <row r="128" spans="1:15">
      <c r="A128" s="232"/>
      <c r="B128" s="233"/>
      <c r="C128" s="233"/>
      <c r="D128" s="233"/>
      <c r="E128" s="233"/>
      <c r="F128" s="233"/>
      <c r="G128" s="233"/>
      <c r="H128" s="233"/>
      <c r="I128" s="233"/>
      <c r="J128" s="233"/>
      <c r="K128" s="233"/>
      <c r="L128" s="233"/>
      <c r="M128" s="233"/>
      <c r="N128" s="233"/>
    </row>
    <row r="129" spans="1:14">
      <c r="A129" s="232"/>
      <c r="B129" s="233"/>
      <c r="C129" s="233"/>
      <c r="D129" s="233"/>
      <c r="E129" s="233"/>
      <c r="F129" s="233"/>
      <c r="G129" s="233"/>
      <c r="H129" s="233"/>
      <c r="I129" s="233"/>
      <c r="J129" s="233"/>
      <c r="K129" s="233"/>
      <c r="L129" s="233"/>
      <c r="M129" s="233"/>
      <c r="N129" s="233"/>
    </row>
    <row r="130" spans="1:14">
      <c r="A130" s="232"/>
      <c r="B130" s="233"/>
      <c r="C130" s="233"/>
      <c r="D130" s="233"/>
      <c r="E130" s="233"/>
      <c r="F130" s="233"/>
      <c r="G130" s="233"/>
      <c r="H130" s="233"/>
      <c r="I130" s="233"/>
      <c r="J130" s="233"/>
      <c r="K130" s="233"/>
      <c r="L130" s="233"/>
      <c r="M130" s="233"/>
      <c r="N130" s="233"/>
    </row>
    <row r="131" spans="1:14">
      <c r="A131" s="232"/>
      <c r="B131" s="233"/>
      <c r="C131" s="233"/>
      <c r="D131" s="233"/>
      <c r="E131" s="233"/>
      <c r="F131" s="233"/>
      <c r="G131" s="233"/>
      <c r="H131" s="233"/>
      <c r="I131" s="233"/>
      <c r="J131" s="233"/>
      <c r="K131" s="233"/>
      <c r="L131" s="233"/>
      <c r="M131" s="233"/>
      <c r="N131" s="233"/>
    </row>
    <row r="132" spans="1:14">
      <c r="A132" s="232"/>
      <c r="B132" s="233"/>
      <c r="C132" s="233"/>
      <c r="D132" s="233"/>
      <c r="E132" s="233"/>
      <c r="F132" s="233"/>
      <c r="G132" s="233"/>
      <c r="H132" s="233"/>
      <c r="I132" s="233"/>
      <c r="J132" s="233"/>
      <c r="K132" s="233"/>
      <c r="L132" s="233"/>
      <c r="M132" s="233"/>
      <c r="N132" s="233"/>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82"/>
  <sheetViews>
    <sheetView showGridLines="0" topLeftCell="A13" zoomScale="93" zoomScaleNormal="93" workbookViewId="0">
      <pane ySplit="6" topLeftCell="A112" activePane="bottomLeft" state="frozen"/>
      <selection activeCell="A13" sqref="A13"/>
      <selection pane="bottomLeft" activeCell="C132" sqref="C132"/>
    </sheetView>
  </sheetViews>
  <sheetFormatPr defaultRowHeight="12.75"/>
  <cols>
    <col min="1" max="1" width="13.6640625" customWidth="1"/>
    <col min="2" max="2" width="25.33203125" style="44" customWidth="1"/>
    <col min="3" max="3" width="16.83203125" style="652" customWidth="1"/>
    <col min="4" max="4" width="16.83203125" style="716" customWidth="1"/>
    <col min="5" max="5" width="23.33203125" style="44" customWidth="1"/>
    <col min="6" max="9" width="16.83203125" style="44" customWidth="1"/>
    <col min="10" max="15" width="16.83203125" style="665" customWidth="1"/>
    <col min="16" max="16" width="4.1640625" style="1" customWidth="1"/>
    <col min="17" max="17" width="20.33203125" style="44" bestFit="1" customWidth="1"/>
    <col min="18" max="18" width="21.6640625" style="1" bestFit="1" customWidth="1"/>
    <col min="19" max="19" width="10.1640625" style="1" customWidth="1"/>
    <col min="20" max="20" width="21.5" style="1" customWidth="1"/>
    <col min="21" max="21" width="33.6640625" style="1" bestFit="1" customWidth="1"/>
    <col min="22" max="23" width="21" style="1" bestFit="1" customWidth="1"/>
    <col min="24" max="24" width="17" style="1" bestFit="1" customWidth="1"/>
    <col min="25" max="25" width="26.6640625" style="1" bestFit="1" customWidth="1"/>
    <col min="26" max="26" width="17.33203125" style="1" customWidth="1"/>
    <col min="27" max="16384" width="9.33203125" style="1"/>
  </cols>
  <sheetData>
    <row r="1" spans="1:38" s="514" customFormat="1">
      <c r="A1" s="694" t="s">
        <v>257</v>
      </c>
      <c r="B1" s="44"/>
      <c r="C1" s="652"/>
      <c r="D1" s="716"/>
      <c r="E1" s="44"/>
      <c r="F1" s="44"/>
      <c r="G1" s="44"/>
      <c r="H1" s="44"/>
      <c r="I1" s="44"/>
      <c r="J1" s="665"/>
      <c r="K1" s="665"/>
      <c r="L1" s="665"/>
      <c r="M1" s="665"/>
      <c r="N1" s="665"/>
      <c r="O1" s="665"/>
      <c r="Q1" s="44"/>
    </row>
    <row r="2" spans="1:38" s="514" customFormat="1">
      <c r="A2"/>
      <c r="B2" s="44"/>
      <c r="C2" s="652"/>
      <c r="D2" s="716"/>
      <c r="E2" s="44"/>
      <c r="F2" s="44"/>
      <c r="G2" s="44"/>
      <c r="H2" s="44"/>
      <c r="I2" s="44"/>
      <c r="J2" s="665"/>
      <c r="K2" s="665"/>
      <c r="L2" s="665"/>
      <c r="M2" s="665"/>
      <c r="N2" s="665"/>
      <c r="O2" s="665"/>
      <c r="Q2" s="44"/>
    </row>
    <row r="3" spans="1:38" s="514" customFormat="1">
      <c r="A3"/>
      <c r="B3" s="44"/>
      <c r="C3" s="652"/>
      <c r="D3" s="716"/>
      <c r="E3" s="44"/>
      <c r="F3" s="44"/>
      <c r="G3" s="44"/>
      <c r="H3" s="44"/>
      <c r="I3" s="44"/>
      <c r="J3" s="665"/>
      <c r="K3" s="665"/>
      <c r="L3" s="665"/>
      <c r="M3" s="665"/>
      <c r="N3" s="665"/>
      <c r="O3" s="665"/>
      <c r="Q3" s="44"/>
    </row>
    <row r="4" spans="1:38" s="514" customFormat="1">
      <c r="A4"/>
      <c r="B4" s="44"/>
      <c r="C4" s="652"/>
      <c r="D4" s="716"/>
      <c r="E4" s="44"/>
      <c r="F4" s="44"/>
      <c r="G4" s="44"/>
      <c r="H4" s="44"/>
      <c r="I4" s="44"/>
      <c r="J4" s="665"/>
      <c r="K4" s="665"/>
      <c r="L4" s="665"/>
      <c r="M4" s="665"/>
      <c r="N4" s="665"/>
      <c r="O4" s="665"/>
      <c r="Q4" s="44"/>
    </row>
    <row r="5" spans="1:38" s="514" customFormat="1">
      <c r="A5"/>
      <c r="B5" s="44"/>
      <c r="C5" s="652"/>
      <c r="D5" s="716"/>
      <c r="E5" s="44"/>
      <c r="F5" s="44"/>
      <c r="G5" s="44"/>
      <c r="H5" s="44"/>
      <c r="I5" s="44"/>
      <c r="J5" s="665"/>
      <c r="K5" s="665"/>
      <c r="L5" s="665"/>
      <c r="M5" s="665"/>
      <c r="N5" s="665"/>
      <c r="O5" s="665"/>
      <c r="Q5" s="44"/>
    </row>
    <row r="6" spans="1:38" s="514" customFormat="1">
      <c r="A6"/>
      <c r="B6" s="44"/>
      <c r="C6" s="652"/>
      <c r="D6" s="716"/>
      <c r="E6" s="44"/>
      <c r="F6" s="44"/>
      <c r="G6" s="44"/>
      <c r="H6" s="44"/>
      <c r="I6" s="44"/>
      <c r="J6" s="665"/>
      <c r="K6" s="665"/>
      <c r="L6" s="665"/>
      <c r="M6" s="665"/>
      <c r="N6" s="665"/>
      <c r="O6" s="665"/>
      <c r="Q6" s="44"/>
    </row>
    <row r="7" spans="1:38" s="514" customFormat="1">
      <c r="A7"/>
      <c r="B7" s="44"/>
      <c r="C7" s="652"/>
      <c r="D7" s="716"/>
      <c r="E7" s="44"/>
      <c r="F7" s="44"/>
      <c r="G7" s="44"/>
      <c r="H7" s="44"/>
      <c r="I7" s="44"/>
      <c r="J7" s="665"/>
      <c r="K7" s="665"/>
      <c r="L7" s="665"/>
      <c r="M7" s="665"/>
      <c r="N7" s="665"/>
      <c r="O7" s="665"/>
      <c r="Q7" s="44"/>
    </row>
    <row r="8" spans="1:38" s="514" customFormat="1">
      <c r="A8"/>
      <c r="B8" s="44"/>
      <c r="C8" s="652"/>
      <c r="D8" s="716"/>
      <c r="E8" s="44"/>
      <c r="F8" s="44"/>
      <c r="G8" s="44"/>
      <c r="H8" s="44"/>
      <c r="I8" s="44"/>
      <c r="J8" s="665"/>
      <c r="K8" s="665"/>
      <c r="L8" s="665"/>
      <c r="M8" s="665"/>
      <c r="N8" s="665"/>
      <c r="O8" s="665"/>
      <c r="Q8" s="44"/>
    </row>
    <row r="9" spans="1:38" s="514" customFormat="1">
      <c r="A9"/>
      <c r="B9" s="44"/>
      <c r="C9" s="652"/>
      <c r="D9" s="716"/>
      <c r="E9" s="44"/>
      <c r="F9" s="44"/>
      <c r="G9" s="44"/>
      <c r="H9" s="44"/>
      <c r="I9" s="44"/>
      <c r="J9" s="665"/>
      <c r="K9" s="665"/>
      <c r="L9" s="665"/>
      <c r="M9" s="665"/>
      <c r="N9" s="665"/>
      <c r="O9" s="665"/>
      <c r="Q9" s="44"/>
    </row>
    <row r="10" spans="1:38" s="514" customFormat="1">
      <c r="A10"/>
      <c r="B10" s="44"/>
      <c r="C10" s="652"/>
      <c r="D10" s="716"/>
      <c r="E10" s="44"/>
      <c r="F10" s="44"/>
      <c r="G10" s="44"/>
      <c r="H10" s="44"/>
      <c r="I10" s="44"/>
      <c r="J10" s="665"/>
      <c r="K10" s="665"/>
      <c r="L10" s="665"/>
      <c r="M10" s="665"/>
      <c r="N10" s="665"/>
      <c r="O10" s="665"/>
      <c r="Q10" s="44"/>
    </row>
    <row r="11" spans="1:38" ht="23.25">
      <c r="A11" s="246"/>
      <c r="B11" s="247" t="s">
        <v>97</v>
      </c>
      <c r="C11" s="653"/>
      <c r="D11" s="717"/>
      <c r="E11" s="233"/>
      <c r="F11" s="233"/>
      <c r="G11" s="233"/>
      <c r="H11" s="233"/>
      <c r="I11" s="233"/>
      <c r="J11" s="666"/>
      <c r="K11" s="666"/>
      <c r="L11" s="666"/>
      <c r="M11" s="666"/>
      <c r="N11" s="666"/>
      <c r="O11" s="666"/>
      <c r="P11" s="232"/>
      <c r="Q11" s="233"/>
      <c r="R11" s="232"/>
      <c r="S11" s="232"/>
      <c r="T11" s="232"/>
      <c r="U11" s="232"/>
      <c r="V11" s="232"/>
      <c r="W11" s="232"/>
      <c r="X11" s="232"/>
      <c r="Y11" s="232"/>
      <c r="Z11" s="232"/>
      <c r="AA11" s="232"/>
      <c r="AB11" s="232"/>
      <c r="AC11" s="232"/>
      <c r="AD11" s="232"/>
      <c r="AE11" s="232"/>
      <c r="AF11" s="232"/>
      <c r="AG11" s="232"/>
      <c r="AH11" s="232"/>
      <c r="AI11" s="232"/>
      <c r="AJ11" s="232"/>
      <c r="AK11" s="232"/>
      <c r="AL11" s="232"/>
    </row>
    <row r="12" spans="1:38" ht="15">
      <c r="A12" s="246"/>
      <c r="B12" s="49" t="s">
        <v>63</v>
      </c>
      <c r="C12" s="653"/>
      <c r="D12" s="717"/>
      <c r="E12" s="233"/>
      <c r="F12" s="233"/>
      <c r="G12" s="233"/>
      <c r="H12" s="233"/>
      <c r="I12" s="233"/>
      <c r="J12" s="666"/>
      <c r="K12" s="666"/>
      <c r="L12" s="666"/>
      <c r="M12" s="666"/>
      <c r="N12" s="666"/>
      <c r="O12" s="666"/>
      <c r="P12" s="232"/>
      <c r="Q12" s="232"/>
      <c r="R12" s="232"/>
      <c r="S12" s="232"/>
      <c r="T12" s="232"/>
      <c r="U12" s="232"/>
      <c r="V12" s="232"/>
      <c r="W12" s="232"/>
      <c r="X12" s="232"/>
      <c r="Y12" s="232"/>
      <c r="Z12" s="232"/>
      <c r="AA12" s="232"/>
      <c r="AB12" s="232"/>
      <c r="AC12" s="232"/>
      <c r="AD12" s="232"/>
      <c r="AE12" s="232"/>
      <c r="AF12" s="232"/>
      <c r="AG12" s="232"/>
      <c r="AH12" s="232"/>
      <c r="AI12" s="232"/>
      <c r="AJ12" s="232"/>
    </row>
    <row r="13" spans="1:38" ht="14.25">
      <c r="A13" s="246"/>
      <c r="B13" s="91" t="s">
        <v>244</v>
      </c>
      <c r="C13" s="653"/>
      <c r="D13" s="717"/>
      <c r="E13" s="233"/>
      <c r="F13" s="233"/>
      <c r="G13" s="233"/>
      <c r="H13" s="233"/>
      <c r="I13" s="233"/>
      <c r="J13" s="666"/>
      <c r="K13" s="666"/>
      <c r="L13" s="666"/>
      <c r="M13" s="666"/>
      <c r="N13" s="666"/>
      <c r="O13" s="666"/>
      <c r="P13" s="232"/>
      <c r="Q13" s="233"/>
      <c r="R13" s="232"/>
      <c r="S13" s="232"/>
      <c r="T13" s="232"/>
      <c r="U13" s="232"/>
      <c r="V13" s="232"/>
      <c r="W13" s="232"/>
      <c r="X13" s="232"/>
      <c r="Y13" s="232"/>
      <c r="Z13" s="232"/>
      <c r="AA13" s="232"/>
      <c r="AB13" s="232"/>
      <c r="AC13" s="232"/>
      <c r="AD13" s="232"/>
      <c r="AE13" s="232"/>
      <c r="AF13" s="232"/>
      <c r="AG13" s="232"/>
      <c r="AH13" s="232"/>
      <c r="AI13" s="232"/>
      <c r="AJ13" s="232"/>
      <c r="AK13" s="232"/>
      <c r="AL13" s="232"/>
    </row>
    <row r="14" spans="1:38" ht="14.25">
      <c r="A14" s="246"/>
      <c r="B14" s="91" t="s">
        <v>245</v>
      </c>
      <c r="C14" s="653"/>
      <c r="D14" s="717"/>
      <c r="E14" s="233"/>
      <c r="F14" s="233"/>
      <c r="G14" s="233"/>
      <c r="H14" s="233"/>
      <c r="I14" s="233"/>
      <c r="J14" s="666"/>
      <c r="K14" s="666"/>
      <c r="L14" s="666"/>
      <c r="M14" s="666"/>
      <c r="N14" s="666"/>
      <c r="O14" s="666"/>
      <c r="P14" s="232"/>
      <c r="Q14" s="233"/>
      <c r="R14" s="232"/>
      <c r="S14" s="232"/>
      <c r="T14" s="232"/>
      <c r="U14" s="232"/>
      <c r="V14" s="232"/>
      <c r="W14" s="232"/>
      <c r="X14" s="232"/>
      <c r="Y14" s="232"/>
      <c r="Z14" s="232"/>
      <c r="AA14" s="232"/>
      <c r="AB14" s="232"/>
      <c r="AC14" s="232"/>
      <c r="AD14" s="232"/>
      <c r="AE14" s="232"/>
      <c r="AF14" s="232"/>
      <c r="AG14" s="232"/>
      <c r="AH14" s="232"/>
      <c r="AI14" s="232"/>
      <c r="AJ14" s="232"/>
      <c r="AK14" s="232"/>
      <c r="AL14" s="232"/>
    </row>
    <row r="15" spans="1:38" ht="15" customHeight="1">
      <c r="A15" s="246"/>
      <c r="B15" s="91" t="s">
        <v>246</v>
      </c>
      <c r="C15" s="654"/>
      <c r="D15" s="721"/>
      <c r="E15" s="247"/>
      <c r="F15" s="247"/>
      <c r="G15" s="247"/>
      <c r="H15" s="247"/>
      <c r="I15" s="233"/>
      <c r="J15" s="666"/>
      <c r="K15" s="666"/>
      <c r="L15" s="666"/>
      <c r="M15" s="666"/>
      <c r="N15" s="666"/>
      <c r="O15" s="666"/>
      <c r="P15" s="232"/>
      <c r="Q15" s="233"/>
      <c r="R15" s="232"/>
      <c r="S15" s="232"/>
      <c r="T15" s="232"/>
      <c r="U15" s="232"/>
      <c r="V15" s="232"/>
      <c r="W15" s="232"/>
      <c r="X15" s="232"/>
      <c r="Y15" s="232"/>
      <c r="Z15" s="232"/>
      <c r="AA15" s="232"/>
      <c r="AB15" s="232"/>
      <c r="AC15" s="232"/>
      <c r="AD15" s="232"/>
      <c r="AE15" s="232"/>
      <c r="AF15" s="232"/>
      <c r="AG15" s="232"/>
      <c r="AH15" s="232"/>
      <c r="AI15" s="232"/>
      <c r="AJ15" s="232"/>
      <c r="AK15" s="232"/>
      <c r="AL15" s="232"/>
    </row>
    <row r="16" spans="1:38" ht="13.5" customHeight="1">
      <c r="A16" s="246"/>
      <c r="C16" s="654"/>
      <c r="D16" s="721"/>
      <c r="E16" s="247"/>
      <c r="F16" s="247"/>
      <c r="G16" s="247"/>
      <c r="H16" s="247"/>
      <c r="I16" s="233"/>
      <c r="J16" s="666"/>
      <c r="K16" s="666"/>
      <c r="L16" s="666"/>
      <c r="M16" s="666"/>
      <c r="N16" s="666"/>
      <c r="O16" s="666"/>
      <c r="P16" s="232"/>
      <c r="Q16" s="233"/>
      <c r="R16" s="232"/>
      <c r="S16" s="232"/>
      <c r="T16" s="232"/>
      <c r="U16" s="232"/>
      <c r="V16" s="232"/>
      <c r="W16" s="232"/>
      <c r="X16" s="232"/>
      <c r="Y16" s="232"/>
      <c r="Z16" s="232"/>
      <c r="AA16" s="232"/>
      <c r="AB16" s="232"/>
      <c r="AC16" s="232"/>
      <c r="AD16" s="232"/>
      <c r="AE16" s="232"/>
      <c r="AF16" s="232"/>
      <c r="AG16" s="232"/>
      <c r="AH16" s="232"/>
      <c r="AI16" s="232"/>
      <c r="AJ16" s="232"/>
      <c r="AK16" s="232"/>
      <c r="AL16" s="232"/>
    </row>
    <row r="17" spans="1:38" s="167" customFormat="1">
      <c r="A17" s="531"/>
      <c r="B17" s="535"/>
      <c r="C17" s="655"/>
      <c r="D17" s="1095"/>
      <c r="E17" s="1095"/>
      <c r="F17" s="1095"/>
      <c r="G17" s="1095"/>
      <c r="H17" s="1095"/>
      <c r="I17" s="535"/>
      <c r="J17" s="1098" t="s">
        <v>122</v>
      </c>
      <c r="K17" s="1099"/>
      <c r="L17" s="1099"/>
      <c r="M17" s="1099"/>
      <c r="N17" s="1099"/>
      <c r="O17" s="1099"/>
      <c r="P17" s="257"/>
      <c r="Q17" s="535"/>
      <c r="R17" s="257"/>
      <c r="S17" s="257"/>
      <c r="T17" s="257"/>
      <c r="U17" s="257"/>
      <c r="V17" s="257"/>
      <c r="W17" s="257"/>
      <c r="X17" s="257"/>
      <c r="Y17" s="257"/>
      <c r="Z17" s="257"/>
      <c r="AA17" s="257"/>
      <c r="AB17" s="257"/>
      <c r="AC17" s="257"/>
      <c r="AD17" s="257"/>
      <c r="AE17" s="257"/>
      <c r="AF17" s="257"/>
      <c r="AG17" s="257"/>
      <c r="AH17" s="257"/>
      <c r="AI17" s="257"/>
      <c r="AJ17" s="257"/>
      <c r="AK17" s="257"/>
      <c r="AL17" s="257"/>
    </row>
    <row r="18" spans="1:38" s="728" customFormat="1" ht="75" customHeight="1">
      <c r="A18" s="724"/>
      <c r="B18" s="532"/>
      <c r="C18" s="656" t="s">
        <v>120</v>
      </c>
      <c r="D18" s="533" t="s">
        <v>274</v>
      </c>
      <c r="E18" s="533" t="s">
        <v>275</v>
      </c>
      <c r="F18" s="533" t="s">
        <v>338</v>
      </c>
      <c r="G18" s="534" t="s">
        <v>240</v>
      </c>
      <c r="H18" s="534" t="s">
        <v>240</v>
      </c>
      <c r="I18" s="529" t="s">
        <v>121</v>
      </c>
      <c r="J18" s="710" t="s">
        <v>1</v>
      </c>
      <c r="K18" s="710" t="s">
        <v>2</v>
      </c>
      <c r="L18" s="710" t="s">
        <v>238</v>
      </c>
      <c r="M18" s="710" t="s">
        <v>384</v>
      </c>
      <c r="N18" s="710" t="s">
        <v>340</v>
      </c>
      <c r="O18" s="1051" t="s">
        <v>395</v>
      </c>
      <c r="P18" s="725"/>
      <c r="Q18" s="231" t="s">
        <v>145</v>
      </c>
      <c r="R18" s="231" t="s">
        <v>32</v>
      </c>
      <c r="S18" s="535"/>
      <c r="T18" s="726" t="s">
        <v>155</v>
      </c>
      <c r="U18" s="726"/>
      <c r="V18" s="726"/>
      <c r="W18" s="726"/>
      <c r="X18" s="726"/>
      <c r="Y18" s="726"/>
      <c r="Z18" s="726"/>
      <c r="AA18" s="726"/>
      <c r="AB18" s="726"/>
      <c r="AC18" s="727"/>
      <c r="AD18" s="535"/>
      <c r="AE18" s="535"/>
      <c r="AF18" s="535"/>
      <c r="AG18" s="535"/>
      <c r="AH18" s="535"/>
      <c r="AI18" s="535"/>
      <c r="AJ18" s="535"/>
      <c r="AK18" s="535"/>
      <c r="AL18" s="535"/>
    </row>
    <row r="19" spans="1:38" s="719" customFormat="1" ht="23.25" thickBot="1">
      <c r="A19" s="729"/>
      <c r="B19" s="730"/>
      <c r="C19" s="731"/>
      <c r="D19" s="718"/>
      <c r="E19" s="718"/>
      <c r="F19" s="528"/>
      <c r="G19" s="716"/>
      <c r="H19" s="685" t="s">
        <v>164</v>
      </c>
      <c r="I19" s="651"/>
      <c r="J19" s="732" t="s">
        <v>166</v>
      </c>
      <c r="K19" s="732" t="s">
        <v>166</v>
      </c>
      <c r="L19" s="732" t="s">
        <v>166</v>
      </c>
      <c r="M19" s="732" t="s">
        <v>166</v>
      </c>
      <c r="N19" s="732" t="s">
        <v>166</v>
      </c>
      <c r="O19" s="732" t="s">
        <v>166</v>
      </c>
      <c r="P19" s="1096"/>
      <c r="Q19" s="1096"/>
      <c r="R19" s="1096"/>
      <c r="S19" s="720"/>
      <c r="T19" s="733"/>
      <c r="U19" s="733"/>
      <c r="V19" s="733"/>
      <c r="W19" s="733"/>
      <c r="X19" s="733"/>
      <c r="Y19" s="733"/>
      <c r="Z19" s="733"/>
      <c r="AA19" s="733"/>
      <c r="AB19" s="733"/>
      <c r="AC19" s="734"/>
      <c r="AD19" s="720"/>
      <c r="AE19" s="720"/>
      <c r="AF19" s="720"/>
      <c r="AG19" s="720"/>
      <c r="AH19" s="720"/>
      <c r="AI19" s="720"/>
      <c r="AJ19" s="720"/>
      <c r="AK19" s="720"/>
      <c r="AL19" s="720"/>
    </row>
    <row r="20" spans="1:38">
      <c r="A20" s="484">
        <v>1</v>
      </c>
      <c r="B20" s="991" t="str">
        <f>CONCATENATE('3. Consumption by Rate Class'!B25,"-",'3. Consumption by Rate Class'!C25)</f>
        <v>2011-January</v>
      </c>
      <c r="C20" s="999">
        <v>25280038</v>
      </c>
      <c r="D20" s="1000"/>
      <c r="E20" s="1001"/>
      <c r="F20" s="1001"/>
      <c r="G20" s="987"/>
      <c r="H20" s="987"/>
      <c r="I20" s="530">
        <f>C20-D20+E20+F20</f>
        <v>25280038</v>
      </c>
      <c r="J20" s="667">
        <f>IF(J$18='5.Variables'!$B$16,+'5.Variables'!$C27,+IF(J$18='5.Variables'!$B$39,+'5.Variables'!$C50,+IF(J$18='5.Variables'!$B$62,+'5.Variables'!$C64,+IF(J$18='5.Variables'!$B$76,+'5.Variables'!$C78,+IF(J$18='5.Variables'!$B$90,+'5.Variables'!$C92,+IF(J$18='5.Variables'!$B$104,+'5.Variables'!$C106,0))))))</f>
        <v>789.5</v>
      </c>
      <c r="K20" s="667">
        <f>IF(K$18='5.Variables'!$B$16,+'5.Variables'!$C27,+IF(K$18='5.Variables'!$B$39,+'5.Variables'!$C50,+IF(K$18='5.Variables'!$B$62,+'5.Variables'!$C64,+IF(K$18='5.Variables'!$B$76,+'5.Variables'!$C78,+IF(K$18='5.Variables'!$B$90,+'5.Variables'!$C92,+IF(K$18='5.Variables'!$B$104,+'5.Variables'!$C106,0))))))</f>
        <v>0</v>
      </c>
      <c r="L20" s="667">
        <f>IF(L$18='5.Variables'!$B$16,+'5.Variables'!$C26,+IF(L$18='5.Variables'!$B$39,+'5.Variables'!$C50,+IF(L$18='5.Variables'!$B$62,+'5.Variables'!$C64,+IF(L$18='5.Variables'!$B$76,+'5.Variables'!$C78,+IF(L$18='5.Variables'!$B$90,+'5.Variables'!$C92,+IF(L$18='5.Variables'!$B$104,+'5.Variables'!$C106,0))))))</f>
        <v>31</v>
      </c>
      <c r="M20" s="667">
        <f>IF(M$18='5.Variables'!$B$16,+'5.Variables'!$C26,+IF(M$18='5.Variables'!$B$39,+'5.Variables'!$C50,+IF(M$18='5.Variables'!$B$62,+'5.Variables'!$C64,+IF(M$18='5.Variables'!$B$76,+'5.Variables'!$C78,+IF(M$18='5.Variables'!$B$90,+'5.Variables'!$C92,+IF(M$18='5.Variables'!$B$104,+'5.Variables'!$C106,0))))))</f>
        <v>352</v>
      </c>
      <c r="N20" s="667">
        <f>IF(N$18='5.Variables'!$B$16,+'5.Variables'!$C26,+IF(N$18='5.Variables'!$B$39,+'5.Variables'!$C50,+IF(N$18='5.Variables'!$B$62,+'5.Variables'!$C64,+IF(N$18='5.Variables'!$B$76,+'5.Variables'!$C78,+IF(N$18='5.Variables'!$B$90,+'5.Variables'!$C92,+IF(N$18='5.Variables'!$B$104,+'5.Variables'!$C106,0))))))</f>
        <v>0</v>
      </c>
      <c r="O20" s="1052">
        <v>9569</v>
      </c>
      <c r="P20" s="232"/>
      <c r="Q20" s="530">
        <f t="shared" ref="Q20:Q51" si="0">$U$34+(J20*$U$35)+(K20*$U$36)+(L20*$U$37)+(M20*$U$38)+(N20*$U$39)+(O20+$U$40)</f>
        <v>24344227.432929158</v>
      </c>
      <c r="R20" s="249"/>
      <c r="S20" s="232"/>
      <c r="T20" s="736" t="s">
        <v>7</v>
      </c>
      <c r="U20" s="736"/>
      <c r="V20"/>
      <c r="W20"/>
      <c r="X20"/>
      <c r="Y20"/>
      <c r="Z20"/>
      <c r="AA20"/>
      <c r="AB20"/>
      <c r="AC20" s="248"/>
      <c r="AD20" s="232"/>
      <c r="AE20" s="232"/>
      <c r="AF20" s="232"/>
      <c r="AG20" s="232"/>
      <c r="AH20" s="232"/>
      <c r="AI20" s="232"/>
      <c r="AJ20" s="232"/>
      <c r="AK20" s="232"/>
      <c r="AL20" s="232"/>
    </row>
    <row r="21" spans="1:38">
      <c r="A21" s="484">
        <f>+A20+1</f>
        <v>2</v>
      </c>
      <c r="B21" s="985" t="str">
        <f>CONCATENATE('3. Consumption by Rate Class'!B26,"-",'3. Consumption by Rate Class'!C26)</f>
        <v>2011-February</v>
      </c>
      <c r="C21" s="982">
        <v>22933219</v>
      </c>
      <c r="D21" s="1002"/>
      <c r="E21" s="1003"/>
      <c r="F21" s="1001"/>
      <c r="G21" s="988"/>
      <c r="H21" s="988"/>
      <c r="I21" s="530">
        <f>C21-D21+E21+F21</f>
        <v>22933219</v>
      </c>
      <c r="J21" s="667">
        <f>IF(J$18='5.Variables'!$B$16,+'5.Variables'!$D27,+IF(J$18='5.Variables'!$B$39,+'5.Variables'!$D50,+IF(J$18='5.Variables'!$B$62,+'5.Variables'!$D64,+IF(J$18='5.Variables'!$B$76,+'5.Variables'!$D78,+IF(J$18='5.Variables'!$B$90,+'5.Variables'!$D92,+IF(J$18='5.Variables'!$B$104,+'5.Variables'!$D106,0))))))</f>
        <v>648.9</v>
      </c>
      <c r="K21" s="667">
        <f>IF(K$18='5.Variables'!$B$16,+'5.Variables'!$D27,+IF(K$18='5.Variables'!$B$39,+'5.Variables'!$D50,+IF(K$18='5.Variables'!$B$62,+'5.Variables'!$D64,+IF(K$18='5.Variables'!$B$76,+'5.Variables'!$D78,+IF(K$18='5.Variables'!$B$90,+'5.Variables'!$D92,+IF(K$18='5.Variables'!$B$104,+'5.Variables'!$D106,0))))))</f>
        <v>0</v>
      </c>
      <c r="L21" s="667">
        <f>IF(L$18='5.Variables'!$B$16,+'5.Variables'!$D26,+IF(L$18='5.Variables'!$B$39,+'5.Variables'!$D50,+IF(L$18='5.Variables'!$B$62,+'5.Variables'!$D64,+IF(L$18='5.Variables'!$B$76,+'5.Variables'!$D78,+IF(L$18='5.Variables'!$B$90,+'5.Variables'!$D92,+IF(L$18='5.Variables'!$B$104,+'5.Variables'!$D106,0))))))</f>
        <v>28</v>
      </c>
      <c r="M21" s="667">
        <f>IF(M$18='5.Variables'!$B$16,+'5.Variables'!$D26,+IF(M$18='5.Variables'!$B$39,+'5.Variables'!$D50,+IF(M$18='5.Variables'!$B$62,+'5.Variables'!$D64,+IF(M$18='5.Variables'!$B$76,+'5.Variables'!$D78,+IF(M$18='5.Variables'!$B$90,+'5.Variables'!$D92,+IF(M$18='5.Variables'!$B$104,+'5.Variables'!$D106,0))))))</f>
        <v>320</v>
      </c>
      <c r="N21" s="667">
        <f>IF(N$18='5.Variables'!$B$16,+'5.Variables'!$D26,+IF(N$18='5.Variables'!$B$39,+'5.Variables'!$D50,+IF(N$18='5.Variables'!$B$62,+'5.Variables'!$D64,+IF(N$18='5.Variables'!$B$76,+'5.Variables'!$D78,+IF(N$18='5.Variables'!$B$90,+'5.Variables'!$D92,+IF(N$18='5.Variables'!$B$104,+'5.Variables'!$D106,0))))))</f>
        <v>0</v>
      </c>
      <c r="O21" s="1052">
        <v>9571</v>
      </c>
      <c r="P21" s="232"/>
      <c r="Q21" s="530">
        <f t="shared" si="0"/>
        <v>22056453.766839534</v>
      </c>
      <c r="R21" s="249"/>
      <c r="S21" s="232"/>
      <c r="T21" s="523" t="s">
        <v>8</v>
      </c>
      <c r="U21" s="523">
        <v>0.93642990275305749</v>
      </c>
      <c r="V21"/>
      <c r="W21"/>
      <c r="X21"/>
      <c r="Y21"/>
      <c r="Z21"/>
      <c r="AA21"/>
      <c r="AB21"/>
      <c r="AC21" s="248"/>
      <c r="AD21" s="232"/>
      <c r="AE21" s="232"/>
      <c r="AF21" s="232"/>
      <c r="AG21" s="232"/>
      <c r="AH21" s="232"/>
      <c r="AI21" s="232"/>
      <c r="AJ21" s="232"/>
      <c r="AK21" s="232"/>
      <c r="AL21" s="232"/>
    </row>
    <row r="22" spans="1:38">
      <c r="A22" s="484">
        <f t="shared" ref="A22:A85" si="1">+A21+1</f>
        <v>3</v>
      </c>
      <c r="B22" s="985" t="str">
        <f>CONCATENATE('3. Consumption by Rate Class'!B27,"-",'3. Consumption by Rate Class'!C27)</f>
        <v>2011-March</v>
      </c>
      <c r="C22" s="982">
        <v>24373637</v>
      </c>
      <c r="D22" s="983"/>
      <c r="E22" s="984"/>
      <c r="F22" s="1001"/>
      <c r="G22" s="989"/>
      <c r="H22" s="989"/>
      <c r="I22" s="530">
        <f t="shared" ref="I22:I84" si="2">C22-D22+E22+F22</f>
        <v>24373637</v>
      </c>
      <c r="J22" s="667">
        <f>IF(J$18='5.Variables'!$B$16,+'5.Variables'!$E27,+IF(J$18='5.Variables'!$B$39,+'5.Variables'!$E50,+IF(J$18='5.Variables'!$B$62,+'5.Variables'!$E64,+IF(J$18='5.Variables'!$B$76,+'5.Variables'!$E78,+IF(J$18='5.Variables'!$B$90,+'5.Variables'!$E92,+IF(J$18='5.Variables'!$B$104,+'5.Variables'!$E106,0))))))</f>
        <v>574.5</v>
      </c>
      <c r="K22" s="667">
        <f>IF(K$18='5.Variables'!$B$16,+'5.Variables'!$E27,+IF(K$18='5.Variables'!$B$39,+'5.Variables'!$E50,+IF(K$18='5.Variables'!$B$62,+'5.Variables'!$E64,+IF(K$18='5.Variables'!$B$76,+'5.Variables'!$E78,+IF(K$18='5.Variables'!$B$90,+'5.Variables'!$E92,+IF(K$18='5.Variables'!$B$104,+'5.Variables'!$E106,0))))))</f>
        <v>0</v>
      </c>
      <c r="L22" s="667">
        <f>IF(L$18='5.Variables'!$B$16,+'5.Variables'!$E26,+IF(L$18='5.Variables'!$B$39,+'5.Variables'!$E50,+IF(L$18='5.Variables'!$B$62,+'5.Variables'!$E64,+IF(L$18='5.Variables'!$B$76,+'5.Variables'!$E78,+IF(L$18='5.Variables'!$B$90,+'5.Variables'!$E92,+IF(L$18='5.Variables'!$B$104,+'5.Variables'!$E106,0))))))</f>
        <v>31</v>
      </c>
      <c r="M22" s="667">
        <f>IF(M$18='5.Variables'!$B$16,+'5.Variables'!$E26,+IF(M$18='5.Variables'!$B$39,+'5.Variables'!$E50,+IF(M$18='5.Variables'!$B$62,+'5.Variables'!$E64,+IF(M$18='5.Variables'!$B$76,+'5.Variables'!$E78,+IF(M$18='5.Variables'!$B$90,+'5.Variables'!$E92,+IF(M$18='5.Variables'!$B$104,+'5.Variables'!$E106,0))))))</f>
        <v>352</v>
      </c>
      <c r="N22" s="667">
        <f>IF(N$18='5.Variables'!$B$16,+'5.Variables'!$E26,+IF(N$18='5.Variables'!$B$39,+'5.Variables'!$E50,+IF(N$18='5.Variables'!$B$62,+'5.Variables'!$E64,+IF(N$18='5.Variables'!$B$76,+'5.Variables'!$E78,+IF(N$18='5.Variables'!$B$90,+'5.Variables'!$E92,+IF(N$18='5.Variables'!$B$104,+'5.Variables'!$E106,0))))))</f>
        <v>1</v>
      </c>
      <c r="O22" s="1052">
        <v>9579</v>
      </c>
      <c r="P22" s="232"/>
      <c r="Q22" s="530">
        <f t="shared" si="0"/>
        <v>22255071.405826647</v>
      </c>
      <c r="R22" s="250"/>
      <c r="S22" s="232"/>
      <c r="T22" s="523" t="s">
        <v>9</v>
      </c>
      <c r="U22" s="523">
        <v>0.87690096277010077</v>
      </c>
      <c r="V22"/>
      <c r="W22"/>
      <c r="X22"/>
      <c r="Y22"/>
      <c r="Z22"/>
      <c r="AA22"/>
      <c r="AB22"/>
      <c r="AC22" s="248"/>
      <c r="AD22" s="232"/>
      <c r="AE22" s="232"/>
      <c r="AF22" s="232"/>
      <c r="AG22" s="232"/>
      <c r="AH22" s="232"/>
      <c r="AI22" s="232"/>
      <c r="AJ22" s="232"/>
      <c r="AK22" s="232"/>
      <c r="AL22" s="232"/>
    </row>
    <row r="23" spans="1:38">
      <c r="A23" s="484">
        <f t="shared" si="1"/>
        <v>4</v>
      </c>
      <c r="B23" s="985" t="str">
        <f>CONCATENATE('3. Consumption by Rate Class'!B28,"-",'3. Consumption by Rate Class'!C28)</f>
        <v>2011-April</v>
      </c>
      <c r="C23" s="982">
        <v>21210410</v>
      </c>
      <c r="D23" s="983"/>
      <c r="E23" s="984"/>
      <c r="F23" s="1001"/>
      <c r="G23" s="989"/>
      <c r="H23" s="989"/>
      <c r="I23" s="530">
        <f t="shared" si="2"/>
        <v>21210410</v>
      </c>
      <c r="J23" s="667">
        <f>IF(J$18='5.Variables'!$B$16,+'5.Variables'!$F27,+IF(J$18='5.Variables'!$B$39,+'5.Variables'!$F50,+IF(J$18='5.Variables'!$B$62,+'5.Variables'!$F64,+IF(J$18='5.Variables'!$B$76,+'5.Variables'!$F78,+IF(J$18='5.Variables'!$B$90,+'5.Variables'!$F92,+IF(J$18='5.Variables'!$B$104,+'5.Variables'!$F106,0))))))</f>
        <v>372.4</v>
      </c>
      <c r="K23" s="667">
        <f>IF(K$18='5.Variables'!$B$16,+'5.Variables'!$F27,+IF(K$18='5.Variables'!$B$39,+'5.Variables'!$F50,+IF(K$18='5.Variables'!$B$62,+'5.Variables'!$F64,+IF(K$18='5.Variables'!$B$76,+'5.Variables'!$F78,+IF(K$18='5.Variables'!$B$90,+'5.Variables'!$F92,+IF(K$18='5.Variables'!$B$104,+'5.Variables'!$F106,0))))))</f>
        <v>0</v>
      </c>
      <c r="L23" s="667">
        <f>IF(L$18='5.Variables'!$B$16,+'5.Variables'!$F26,+IF(L$18='5.Variables'!$B$39,+'5.Variables'!$F50,+IF(L$18='5.Variables'!$B$62,+'5.Variables'!$F64,+IF(L$18='5.Variables'!$B$76,+'5.Variables'!$F78,+IF(L$18='5.Variables'!$B$90,+'5.Variables'!$F92,+IF(L$18='5.Variables'!$B$104,+'5.Variables'!$F106,0))))))</f>
        <v>30</v>
      </c>
      <c r="M23" s="667">
        <f>IF(M$18='5.Variables'!$B$16,+'5.Variables'!$F26,+IF(M$18='5.Variables'!$B$39,+'5.Variables'!$F50,+IF(M$18='5.Variables'!$B$62,+'5.Variables'!$F64,+IF(M$18='5.Variables'!$B$76,+'5.Variables'!$F78,+IF(M$18='5.Variables'!$B$90,+'5.Variables'!$F92,+IF(M$18='5.Variables'!$B$104,+'5.Variables'!$F106,0))))))</f>
        <v>320</v>
      </c>
      <c r="N23" s="667">
        <f>IF(N$18='5.Variables'!$B$16,+'5.Variables'!$F26,+IF(N$18='5.Variables'!$B$39,+'5.Variables'!$F50,+IF(N$18='5.Variables'!$B$62,+'5.Variables'!$F64,+IF(N$18='5.Variables'!$B$76,+'5.Variables'!$F78,+IF(N$18='5.Variables'!$B$90,+'5.Variables'!$F92,+IF(N$18='5.Variables'!$B$104,+'5.Variables'!$F106,0))))))</f>
        <v>1</v>
      </c>
      <c r="O23" s="1052">
        <v>9599</v>
      </c>
      <c r="P23" s="232"/>
      <c r="Q23" s="530">
        <f t="shared" si="0"/>
        <v>20314717.564158298</v>
      </c>
      <c r="R23" s="250"/>
      <c r="S23" s="232"/>
      <c r="T23" s="523" t="s">
        <v>10</v>
      </c>
      <c r="U23" s="523">
        <v>0.87036473070479647</v>
      </c>
      <c r="V23"/>
      <c r="W23"/>
      <c r="X23"/>
      <c r="Y23"/>
      <c r="Z23"/>
      <c r="AA23"/>
      <c r="AB23"/>
      <c r="AC23" s="248"/>
      <c r="AD23" s="232"/>
      <c r="AE23" s="232"/>
      <c r="AF23" s="232"/>
      <c r="AG23" s="232"/>
      <c r="AH23" s="232"/>
      <c r="AI23" s="232"/>
      <c r="AJ23" s="232"/>
      <c r="AK23" s="232"/>
      <c r="AL23" s="232"/>
    </row>
    <row r="24" spans="1:38">
      <c r="A24" s="484">
        <f t="shared" si="1"/>
        <v>5</v>
      </c>
      <c r="B24" s="985" t="str">
        <f>CONCATENATE('3. Consumption by Rate Class'!B29,"-",'3. Consumption by Rate Class'!C29)</f>
        <v>2011-May</v>
      </c>
      <c r="C24" s="982">
        <v>20370130</v>
      </c>
      <c r="D24" s="983"/>
      <c r="E24" s="984"/>
      <c r="F24" s="1001"/>
      <c r="G24" s="989"/>
      <c r="H24" s="989"/>
      <c r="I24" s="530">
        <f t="shared" si="2"/>
        <v>20370130</v>
      </c>
      <c r="J24" s="667">
        <f>IF(J$18='5.Variables'!$B$16,+'5.Variables'!$G27,+IF(J$18='5.Variables'!$B$39,+'5.Variables'!$G50,+IF(J$18='5.Variables'!$B$62,+'5.Variables'!$G64,+IF(J$18='5.Variables'!$B$76,+'5.Variables'!$G78,+IF(J$18='5.Variables'!$B$90,+'5.Variables'!$G92,+IF(J$18='5.Variables'!$B$104,+'5.Variables'!$G106,0))))))</f>
        <v>177.6</v>
      </c>
      <c r="K24" s="667">
        <f>IF(K$18='5.Variables'!$B$16,+'5.Variables'!$G27,+IF(K$18='5.Variables'!$B$39,+'5.Variables'!$G50,+IF(K$18='5.Variables'!$B$62,+'5.Variables'!$G64,+IF(K$18='5.Variables'!$B$76,+'5.Variables'!$G78,+IF(K$18='5.Variables'!$B$90,+'5.Variables'!$G92,+IF(K$18='5.Variables'!$B$104,+'5.Variables'!$G106,0))))))</f>
        <v>0.1</v>
      </c>
      <c r="L24" s="667">
        <f>IF(L$18='5.Variables'!$B$16,+'5.Variables'!$G26,+IF(L$18='5.Variables'!$B$39,+'5.Variables'!$G50,+IF(L$18='5.Variables'!$B$62,+'5.Variables'!$G64,+IF(L$18='5.Variables'!$B$76,+'5.Variables'!$G78,+IF(L$18='5.Variables'!$B$90,+'5.Variables'!$G92,+IF(L$18='5.Variables'!$B$104,+'5.Variables'!$G106,0))))))</f>
        <v>31</v>
      </c>
      <c r="M24" s="667">
        <f>IF(M$18='5.Variables'!$B$16,+'5.Variables'!$G26,+IF(M$18='5.Variables'!$B$39,+'5.Variables'!$G50,+IF(M$18='5.Variables'!$B$62,+'5.Variables'!$G64,+IF(M$18='5.Variables'!$B$76,+'5.Variables'!$G78,+IF(M$18='5.Variables'!$B$90,+'5.Variables'!$G92,+IF(M$18='5.Variables'!$B$104,+'5.Variables'!$G106,0))))))</f>
        <v>352</v>
      </c>
      <c r="N24" s="667">
        <f>IF(N$18='5.Variables'!$B$16,+'5.Variables'!$G26,+IF(N$18='5.Variables'!$B$39,+'5.Variables'!$G50,+IF(N$18='5.Variables'!$B$62,+'5.Variables'!$G64,+IF(N$18='5.Variables'!$B$76,+'5.Variables'!$G78,+IF(N$18='5.Variables'!$B$90,+'5.Variables'!$G92,+IF(N$18='5.Variables'!$B$104,+'5.Variables'!$G106,0))))))</f>
        <v>1</v>
      </c>
      <c r="O24" s="1052">
        <v>9607</v>
      </c>
      <c r="P24" s="232"/>
      <c r="Q24" s="530">
        <f t="shared" si="0"/>
        <v>19640454.008040365</v>
      </c>
      <c r="R24" s="250"/>
      <c r="S24" s="232"/>
      <c r="T24" s="523" t="s">
        <v>11</v>
      </c>
      <c r="U24" s="523">
        <v>566612.51475511806</v>
      </c>
      <c r="V24"/>
      <c r="W24"/>
      <c r="X24"/>
      <c r="Y24"/>
      <c r="Z24"/>
      <c r="AA24"/>
      <c r="AB24"/>
      <c r="AC24" s="248"/>
      <c r="AD24" s="232"/>
      <c r="AE24" s="232"/>
      <c r="AF24" s="232"/>
      <c r="AG24" s="232"/>
      <c r="AH24" s="232"/>
      <c r="AI24" s="232"/>
      <c r="AJ24" s="232"/>
      <c r="AK24" s="232"/>
      <c r="AL24" s="232"/>
    </row>
    <row r="25" spans="1:38" ht="13.5" thickBot="1">
      <c r="A25" s="484">
        <f t="shared" si="1"/>
        <v>6</v>
      </c>
      <c r="B25" s="985" t="str">
        <f>CONCATENATE('3. Consumption by Rate Class'!B30,"-",'3. Consumption by Rate Class'!C30)</f>
        <v>2011-June</v>
      </c>
      <c r="C25" s="982">
        <v>20125692</v>
      </c>
      <c r="D25" s="983"/>
      <c r="E25" s="984"/>
      <c r="F25" s="1001"/>
      <c r="G25" s="989"/>
      <c r="H25" s="989"/>
      <c r="I25" s="530">
        <f t="shared" si="2"/>
        <v>20125692</v>
      </c>
      <c r="J25" s="667">
        <f>IF(J$18='5.Variables'!$B$16,+'5.Variables'!$H27,+IF(J$18='5.Variables'!$B$39,+'5.Variables'!$H50,+IF(J$18='5.Variables'!$B$62,+'5.Variables'!$H64,+IF(J$18='5.Variables'!$B$76,+'5.Variables'!$H78,+IF(J$18='5.Variables'!$B$90,+'5.Variables'!$H92,+IF(J$18='5.Variables'!$B$104,+'5.Variables'!$H106,0))))))</f>
        <v>64</v>
      </c>
      <c r="K25" s="667">
        <f>IF(K$18='5.Variables'!$B$16,+'5.Variables'!$H27,+IF(K$18='5.Variables'!$B$39,+'5.Variables'!$H50,+IF(K$18='5.Variables'!$B$62,+'5.Variables'!$H64,+IF(K$18='5.Variables'!$B$76,+'5.Variables'!$H78,+IF(K$18='5.Variables'!$B$90,+'5.Variables'!$H92,+IF(K$18='5.Variables'!$B$104,+'5.Variables'!$H106,0))))))</f>
        <v>14.7</v>
      </c>
      <c r="L25" s="667">
        <f>IF(L$18='5.Variables'!$B$16,+'5.Variables'!$H26,+IF(L$18='5.Variables'!$B$39,+'5.Variables'!$H50,+IF(L$18='5.Variables'!$B$62,+'5.Variables'!$H64,+IF(L$18='5.Variables'!$B$76,+'5.Variables'!$H78,+IF(L$18='5.Variables'!$B$90,+'5.Variables'!$H92,+IF(L$18='5.Variables'!$B$104,+'5.Variables'!$H106,0))))))</f>
        <v>30</v>
      </c>
      <c r="M25" s="667">
        <f>IF(M$18='5.Variables'!$B$16,+'5.Variables'!$H26,+IF(M$18='5.Variables'!$B$39,+'5.Variables'!$H50,+IF(M$18='5.Variables'!$B$62,+'5.Variables'!$H64,+IF(M$18='5.Variables'!$B$76,+'5.Variables'!$H78,+IF(M$18='5.Variables'!$B$90,+'5.Variables'!$H92,+IF(M$18='5.Variables'!$B$104,+'5.Variables'!$H106,0))))))</f>
        <v>336</v>
      </c>
      <c r="N25" s="667">
        <f>IF(N$18='5.Variables'!$B$16,+'5.Variables'!$H26,+IF(N$18='5.Variables'!$B$39,+'5.Variables'!$H50,+IF(N$18='5.Variables'!$B$62,+'5.Variables'!$H64,+IF(N$18='5.Variables'!$B$76,+'5.Variables'!$H78,+IF(N$18='5.Variables'!$B$90,+'5.Variables'!$H92,+IF(N$18='5.Variables'!$B$104,+'5.Variables'!$H106,0))))))</f>
        <v>0</v>
      </c>
      <c r="O25" s="1052">
        <v>9605</v>
      </c>
      <c r="P25" s="232"/>
      <c r="Q25" s="530">
        <f t="shared" si="0"/>
        <v>19653313.75010154</v>
      </c>
      <c r="R25" s="250"/>
      <c r="S25" s="232"/>
      <c r="T25" s="524" t="s">
        <v>12</v>
      </c>
      <c r="U25" s="524">
        <v>120</v>
      </c>
      <c r="V25"/>
      <c r="W25"/>
      <c r="X25"/>
      <c r="Y25"/>
      <c r="Z25"/>
      <c r="AA25"/>
      <c r="AB25"/>
      <c r="AC25" s="248"/>
      <c r="AD25" s="232"/>
      <c r="AE25" s="232"/>
      <c r="AF25" s="232"/>
      <c r="AG25" s="232"/>
      <c r="AH25" s="232"/>
      <c r="AI25" s="232"/>
      <c r="AJ25" s="232"/>
      <c r="AK25" s="232"/>
      <c r="AL25" s="232"/>
    </row>
    <row r="26" spans="1:38">
      <c r="A26" s="484">
        <f t="shared" si="1"/>
        <v>7</v>
      </c>
      <c r="B26" s="985" t="str">
        <f>CONCATENATE('3. Consumption by Rate Class'!B31,"-",'3. Consumption by Rate Class'!C31)</f>
        <v>2011-July</v>
      </c>
      <c r="C26" s="982">
        <v>22481329</v>
      </c>
      <c r="D26" s="983"/>
      <c r="E26" s="984"/>
      <c r="F26" s="1001"/>
      <c r="G26" s="989"/>
      <c r="H26" s="989"/>
      <c r="I26" s="530">
        <f t="shared" si="2"/>
        <v>22481329</v>
      </c>
      <c r="J26" s="667">
        <f>IF(J$18='5.Variables'!$B$16,+'5.Variables'!$I27,+IF(J$18='5.Variables'!$B$39,+'5.Variables'!$I50,+IF(J$18='5.Variables'!$B$62,+'5.Variables'!$I64,+IF(J$18='5.Variables'!$B$76,+'5.Variables'!$I78,+IF(J$18='5.Variables'!$B$90,+'5.Variables'!$I92,+IF(J$18='5.Variables'!$B$104,+'5.Variables'!$I106,0))))))</f>
        <v>8.4</v>
      </c>
      <c r="K26" s="667">
        <f>IF(K$18='5.Variables'!$B$16,+'5.Variables'!$I27,+IF(K$18='5.Variables'!$B$39,+'5.Variables'!$I50,+IF(K$18='5.Variables'!$B$62,+'5.Variables'!$I64,+IF(K$18='5.Variables'!$B$76,+'5.Variables'!$I78,+IF(K$18='5.Variables'!$B$90,+'5.Variables'!$I92,+IF(K$18='5.Variables'!$B$104,+'5.Variables'!$I106,0))))))</f>
        <v>91.3</v>
      </c>
      <c r="L26" s="667">
        <f>IF(L$18='5.Variables'!$B$16,+'5.Variables'!$I26,+IF(L$18='5.Variables'!$B$39,+'5.Variables'!$I50,+IF(L$18='5.Variables'!$B$62,+'5.Variables'!$I64,+IF(L$18='5.Variables'!$B$76,+'5.Variables'!$I78,+IF(L$18='5.Variables'!$B$90,+'5.Variables'!$I92,+IF(L$18='5.Variables'!$B$104,+'5.Variables'!$I106,0))))))</f>
        <v>31</v>
      </c>
      <c r="M26" s="667">
        <f>IF(M$18='5.Variables'!$B$16,+'5.Variables'!$I26,+IF(M$18='5.Variables'!$B$39,+'5.Variables'!$I50,+IF(M$18='5.Variables'!$B$62,+'5.Variables'!$I64,+IF(M$18='5.Variables'!$B$76,+'5.Variables'!$I78,+IF(M$18='5.Variables'!$B$90,+'5.Variables'!$I92,+IF(M$18='5.Variables'!$B$104,+'5.Variables'!$I106,0))))))</f>
        <v>336</v>
      </c>
      <c r="N26" s="667">
        <f>IF(N$18='5.Variables'!$B$16,+'5.Variables'!$I26,+IF(N$18='5.Variables'!$B$39,+'5.Variables'!$I50,+IF(N$18='5.Variables'!$B$62,+'5.Variables'!$I64,+IF(N$18='5.Variables'!$B$76,+'5.Variables'!$I78,+IF(N$18='5.Variables'!$B$90,+'5.Variables'!$I92,+IF(N$18='5.Variables'!$B$104,+'5.Variables'!$I106,0))))))</f>
        <v>0</v>
      </c>
      <c r="O26" s="1052">
        <v>9620</v>
      </c>
      <c r="P26" s="232"/>
      <c r="Q26" s="530">
        <f t="shared" si="0"/>
        <v>22724391.748139534</v>
      </c>
      <c r="R26" s="250"/>
      <c r="S26" s="232"/>
      <c r="T26"/>
      <c r="U26"/>
      <c r="V26"/>
      <c r="W26"/>
      <c r="X26"/>
      <c r="Y26"/>
      <c r="Z26"/>
      <c r="AA26"/>
      <c r="AB26"/>
      <c r="AC26" s="248"/>
      <c r="AD26" s="232"/>
      <c r="AE26" s="232"/>
      <c r="AF26" s="232"/>
      <c r="AG26" s="232"/>
      <c r="AH26" s="232"/>
      <c r="AI26" s="232"/>
      <c r="AJ26" s="232"/>
      <c r="AK26" s="232"/>
      <c r="AL26" s="232"/>
    </row>
    <row r="27" spans="1:38" ht="13.5" thickBot="1">
      <c r="A27" s="484">
        <f t="shared" si="1"/>
        <v>8</v>
      </c>
      <c r="B27" s="985" t="str">
        <f>CONCATENATE('3. Consumption by Rate Class'!B32,"-",'3. Consumption by Rate Class'!C32)</f>
        <v>2011-August</v>
      </c>
      <c r="C27" s="982">
        <v>22073076</v>
      </c>
      <c r="D27" s="983"/>
      <c r="E27" s="984"/>
      <c r="F27" s="1001"/>
      <c r="G27" s="989"/>
      <c r="H27" s="989"/>
      <c r="I27" s="530">
        <f t="shared" si="2"/>
        <v>22073076</v>
      </c>
      <c r="J27" s="667">
        <f>IF(J$18='5.Variables'!$B$16,+'5.Variables'!$J27,+IF(J$18='5.Variables'!$B$39,+'5.Variables'!$J50,+IF(J$18='5.Variables'!$B$62,+'5.Variables'!$J64,+IF(J$18='5.Variables'!$B$76,+'5.Variables'!$J78,+IF(J$18='5.Variables'!$B$90,+'5.Variables'!$J92,+IF(J$18='5.Variables'!$B$104,+'5.Variables'!$J106,0))))))</f>
        <v>9.1</v>
      </c>
      <c r="K27" s="667">
        <f>IF(K$18='5.Variables'!$B$16,+'5.Variables'!$J27,+IF(K$18='5.Variables'!$B$39,+'5.Variables'!$J50,+IF(K$18='5.Variables'!$B$62,+'5.Variables'!$J64,+IF(K$18='5.Variables'!$B$76,+'5.Variables'!$J78,+IF(K$18='5.Variables'!$B$90,+'5.Variables'!$J92,+IF(K$18='5.Variables'!$B$104,+'5.Variables'!$J106,0))))))</f>
        <v>57.5</v>
      </c>
      <c r="L27" s="667">
        <f>IF(L$18='5.Variables'!$B$16,+'5.Variables'!$J26,+IF(L$18='5.Variables'!$B$39,+'5.Variables'!$J50,+IF(L$18='5.Variables'!$B$62,+'5.Variables'!$J64,+IF(L$18='5.Variables'!$B$76,+'5.Variables'!$J78,+IF(L$18='5.Variables'!$B$90,+'5.Variables'!$J92,+IF(L$18='5.Variables'!$B$104,+'5.Variables'!$J106,0))))))</f>
        <v>31</v>
      </c>
      <c r="M27" s="667">
        <f>IF(M$18='5.Variables'!$B$16,+'5.Variables'!$J26,+IF(M$18='5.Variables'!$B$39,+'5.Variables'!$J50,+IF(M$18='5.Variables'!$B$62,+'5.Variables'!$J64,+IF(M$18='5.Variables'!$B$76,+'5.Variables'!$J78,+IF(M$18='5.Variables'!$B$90,+'5.Variables'!$J92,+IF(M$18='5.Variables'!$B$104,+'5.Variables'!$J106,0))))))</f>
        <v>352</v>
      </c>
      <c r="N27" s="667">
        <f>IF(N$18='5.Variables'!$B$16,+'5.Variables'!$J26,+IF(N$18='5.Variables'!$B$39,+'5.Variables'!$J50,+IF(N$18='5.Variables'!$B$62,+'5.Variables'!$J64,+IF(N$18='5.Variables'!$B$76,+'5.Variables'!$J78,+IF(N$18='5.Variables'!$B$90,+'5.Variables'!$J92,+IF(N$18='5.Variables'!$B$104,+'5.Variables'!$J106,0))))))</f>
        <v>0</v>
      </c>
      <c r="O27" s="1052">
        <v>9633</v>
      </c>
      <c r="P27" s="232"/>
      <c r="Q27" s="530">
        <f t="shared" si="0"/>
        <v>21493402.463349711</v>
      </c>
      <c r="R27" s="250"/>
      <c r="S27" s="232"/>
      <c r="T27" t="s">
        <v>13</v>
      </c>
      <c r="U27"/>
      <c r="V27"/>
      <c r="W27"/>
      <c r="X27"/>
      <c r="Y27"/>
      <c r="Z27"/>
      <c r="AA27"/>
      <c r="AB27"/>
      <c r="AC27" s="248"/>
      <c r="AD27" s="232"/>
      <c r="AE27" s="232"/>
      <c r="AF27" s="232"/>
      <c r="AG27" s="232"/>
      <c r="AH27" s="232"/>
      <c r="AI27" s="232"/>
      <c r="AJ27" s="232"/>
      <c r="AK27" s="232"/>
      <c r="AL27" s="232"/>
    </row>
    <row r="28" spans="1:38">
      <c r="A28" s="484">
        <f t="shared" si="1"/>
        <v>9</v>
      </c>
      <c r="B28" s="985" t="str">
        <f>CONCATENATE('3. Consumption by Rate Class'!B33,"-",'3. Consumption by Rate Class'!C33)</f>
        <v>2011-September</v>
      </c>
      <c r="C28" s="982">
        <v>20224886</v>
      </c>
      <c r="D28" s="983"/>
      <c r="E28" s="984"/>
      <c r="F28" s="1001"/>
      <c r="G28" s="989"/>
      <c r="H28" s="989"/>
      <c r="I28" s="530">
        <f t="shared" si="2"/>
        <v>20224886</v>
      </c>
      <c r="J28" s="667">
        <f>IF(J$18='5.Variables'!$B$16,+'5.Variables'!$K27,+IF(J$18='5.Variables'!$B$39,+'5.Variables'!$K50,+IF(J$18='5.Variables'!$B$62,+'5.Variables'!$K64,+IF(J$18='5.Variables'!$B$76,+'5.Variables'!$K78,+IF(J$18='5.Variables'!$B$90,+'5.Variables'!$K92,+IF(J$18='5.Variables'!$B$104,+'5.Variables'!$K106,0))))))</f>
        <v>59.7</v>
      </c>
      <c r="K28" s="667">
        <f>IF(K$18='5.Variables'!$B$16,+'5.Variables'!$K27,+IF(K$18='5.Variables'!$B$39,+'5.Variables'!$K50,+IF(K$18='5.Variables'!$B$62,+'5.Variables'!$K64,+IF(K$18='5.Variables'!$B$76,+'5.Variables'!$K78,+IF(K$18='5.Variables'!$B$90,+'5.Variables'!$K92,+IF(K$18='5.Variables'!$B$104,+'5.Variables'!$K106,0))))))</f>
        <v>21.4</v>
      </c>
      <c r="L28" s="667">
        <f>IF(L$18='5.Variables'!$B$16,+'5.Variables'!$K26,+IF(L$18='5.Variables'!$B$39,+'5.Variables'!$K50,+IF(L$18='5.Variables'!$B$62,+'5.Variables'!$K64,+IF(L$18='5.Variables'!$B$76,+'5.Variables'!$K78,+IF(L$18='5.Variables'!$B$90,+'5.Variables'!$K92,+IF(L$18='5.Variables'!$B$104,+'5.Variables'!$K106,0))))))</f>
        <v>30</v>
      </c>
      <c r="M28" s="667">
        <f>IF(M$18='5.Variables'!$B$16,+'5.Variables'!$K26,+IF(M$18='5.Variables'!$B$39,+'5.Variables'!$K50,+IF(M$18='5.Variables'!$B$62,+'5.Variables'!$K64,+IF(M$18='5.Variables'!$B$76,+'5.Variables'!$K78,+IF(M$18='5.Variables'!$B$90,+'5.Variables'!$K92,+IF(M$18='5.Variables'!$B$104,+'5.Variables'!$K106,0))))))</f>
        <v>304</v>
      </c>
      <c r="N28" s="667">
        <f>IF(N$18='5.Variables'!$B$16,+'5.Variables'!$K26,+IF(N$18='5.Variables'!$B$39,+'5.Variables'!$K50,+IF(N$18='5.Variables'!$B$62,+'5.Variables'!$K64,+IF(N$18='5.Variables'!$B$76,+'5.Variables'!$K78,+IF(N$18='5.Variables'!$B$90,+'5.Variables'!$K92,+IF(N$18='5.Variables'!$B$104,+'5.Variables'!$K106,0))))))</f>
        <v>1</v>
      </c>
      <c r="O28" s="1052">
        <v>9639</v>
      </c>
      <c r="P28" s="232"/>
      <c r="Q28" s="530">
        <f t="shared" si="0"/>
        <v>18991700.352415957</v>
      </c>
      <c r="R28" s="250"/>
      <c r="S28" s="232"/>
      <c r="T28" s="737"/>
      <c r="U28" s="737" t="s">
        <v>18</v>
      </c>
      <c r="V28" s="737" t="s">
        <v>19</v>
      </c>
      <c r="W28" s="737" t="s">
        <v>20</v>
      </c>
      <c r="X28" s="737" t="s">
        <v>21</v>
      </c>
      <c r="Y28" s="737" t="s">
        <v>22</v>
      </c>
      <c r="Z28"/>
      <c r="AA28"/>
      <c r="AB28"/>
      <c r="AC28" s="248"/>
      <c r="AD28" s="232"/>
      <c r="AE28" s="232"/>
      <c r="AF28" s="232"/>
      <c r="AG28" s="232"/>
      <c r="AH28" s="232"/>
      <c r="AI28" s="232"/>
      <c r="AJ28" s="232"/>
      <c r="AK28" s="232"/>
      <c r="AL28" s="232"/>
    </row>
    <row r="29" spans="1:38">
      <c r="A29" s="484">
        <f t="shared" si="1"/>
        <v>10</v>
      </c>
      <c r="B29" s="985" t="str">
        <f>CONCATENATE('3. Consumption by Rate Class'!B34,"-",'3. Consumption by Rate Class'!C34)</f>
        <v>2011-October</v>
      </c>
      <c r="C29" s="982">
        <v>20124841</v>
      </c>
      <c r="D29" s="983"/>
      <c r="E29" s="984"/>
      <c r="F29" s="1001"/>
      <c r="G29" s="989"/>
      <c r="H29" s="989"/>
      <c r="I29" s="530">
        <f t="shared" si="2"/>
        <v>20124841</v>
      </c>
      <c r="J29" s="667">
        <f>IF(J$18='5.Variables'!$B$16,+'5.Variables'!$L27,+IF(J$18='5.Variables'!$B$39,+'5.Variables'!$L50,+IF(J$18='5.Variables'!$B$62,+'5.Variables'!$L64,+IF(J$18='5.Variables'!$B$76,+'5.Variables'!$L78,+IF(J$18='5.Variables'!$B$90,+'5.Variables'!$L92,+IF(J$18='5.Variables'!$B$104,+'5.Variables'!$L106,0))))))</f>
        <v>244.3</v>
      </c>
      <c r="K29" s="667">
        <f>IF(K$18='5.Variables'!$B$16,+'5.Variables'!$L27,+IF(K$18='5.Variables'!$B$39,+'5.Variables'!$L50,+IF(K$18='5.Variables'!$B$62,+'5.Variables'!$L64,+IF(K$18='5.Variables'!$B$76,+'5.Variables'!$L78,+IF(K$18='5.Variables'!$B$90,+'5.Variables'!$L92,+IF(K$18='5.Variables'!$B$104,+'5.Variables'!$L106,0))))))</f>
        <v>0</v>
      </c>
      <c r="L29" s="667">
        <f>IF(L$18='5.Variables'!$B$16,+'5.Variables'!$L26,+IF(L$18='5.Variables'!$B$39,+'5.Variables'!$L50,+IF(L$18='5.Variables'!$B$62,+'5.Variables'!$L64,+IF(L$18='5.Variables'!$B$76,+'5.Variables'!$L78,+IF(L$18='5.Variables'!$B$90,+'5.Variables'!$L92,+IF(L$18='5.Variables'!$B$104,+'5.Variables'!$L106,0))))))</f>
        <v>31</v>
      </c>
      <c r="M29" s="667">
        <f>IF(M$18='5.Variables'!$B$16,+'5.Variables'!$L26,+IF(M$18='5.Variables'!$B$39,+'5.Variables'!$L50,+IF(M$18='5.Variables'!$B$62,+'5.Variables'!$L64,+IF(M$18='5.Variables'!$B$76,+'5.Variables'!$L78,+IF(M$18='5.Variables'!$B$90,+'5.Variables'!$L92,+IF(M$18='5.Variables'!$B$104,+'5.Variables'!$L106,0))))))</f>
        <v>352</v>
      </c>
      <c r="N29" s="667">
        <f>IF(N$18='5.Variables'!$B$16,+'5.Variables'!$L26,+IF(N$18='5.Variables'!$B$39,+'5.Variables'!$L50,+IF(N$18='5.Variables'!$B$62,+'5.Variables'!$L64,+IF(N$18='5.Variables'!$B$76,+'5.Variables'!$L78,+IF(N$18='5.Variables'!$B$90,+'5.Variables'!$L92,+IF(N$18='5.Variables'!$B$104,+'5.Variables'!$L106,0))))))</f>
        <v>1</v>
      </c>
      <c r="O29" s="1052">
        <v>9647</v>
      </c>
      <c r="P29" s="232"/>
      <c r="Q29" s="530">
        <f t="shared" si="0"/>
        <v>20076566.583217945</v>
      </c>
      <c r="R29" s="250"/>
      <c r="S29" s="232"/>
      <c r="T29" s="523" t="s">
        <v>14</v>
      </c>
      <c r="U29" s="523">
        <v>6</v>
      </c>
      <c r="V29" s="523">
        <v>258432220523701</v>
      </c>
      <c r="W29" s="523">
        <v>43072036753950.164</v>
      </c>
      <c r="X29" s="523">
        <v>134.16001053953781</v>
      </c>
      <c r="Y29" s="523">
        <v>5.1665823082845123E-49</v>
      </c>
      <c r="Z29"/>
      <c r="AA29"/>
      <c r="AB29"/>
      <c r="AC29" s="248"/>
      <c r="AD29" s="232"/>
      <c r="AE29" s="232"/>
      <c r="AF29" s="232"/>
      <c r="AG29" s="232"/>
      <c r="AH29" s="232"/>
      <c r="AI29" s="232"/>
      <c r="AJ29" s="232"/>
      <c r="AK29" s="232"/>
      <c r="AL29" s="232"/>
    </row>
    <row r="30" spans="1:38">
      <c r="A30" s="484">
        <f t="shared" si="1"/>
        <v>11</v>
      </c>
      <c r="B30" s="985" t="str">
        <f>CONCATENATE('3. Consumption by Rate Class'!B35,"-",'3. Consumption by Rate Class'!C35)</f>
        <v>2011-November</v>
      </c>
      <c r="C30" s="982">
        <v>20676388</v>
      </c>
      <c r="D30" s="983"/>
      <c r="E30" s="984"/>
      <c r="F30" s="1001"/>
      <c r="G30" s="989"/>
      <c r="H30" s="989"/>
      <c r="I30" s="530">
        <f t="shared" si="2"/>
        <v>20676388</v>
      </c>
      <c r="J30" s="667">
        <f>IF(J$18='5.Variables'!$B$16,+'5.Variables'!$M27,+IF(J$18='5.Variables'!$B$39,+'5.Variables'!$M50,+IF(J$18='5.Variables'!$B$62,+'5.Variables'!$M64,+IF(J$18='5.Variables'!$B$76,+'5.Variables'!$M78,+IF(J$18='5.Variables'!$B$90,+'5.Variables'!$M92,+IF(J$18='5.Variables'!$B$104,+'5.Variables'!$M106,0))))))</f>
        <v>360.3</v>
      </c>
      <c r="K30" s="667">
        <f>IF(K$18='5.Variables'!$B$16,+'5.Variables'!$M27,+IF(K$18='5.Variables'!$B$39,+'5.Variables'!$M50,+IF(K$18='5.Variables'!$B$62,+'5.Variables'!$M64,+IF(K$18='5.Variables'!$B$76,+'5.Variables'!$M78,+IF(K$18='5.Variables'!$B$90,+'5.Variables'!$M92,+IF(K$18='5.Variables'!$B$104,+'5.Variables'!$M106,0))))))</f>
        <v>0</v>
      </c>
      <c r="L30" s="667">
        <f>IF(L$18='5.Variables'!$B$16,+'5.Variables'!$M26,+IF(L$18='5.Variables'!$B$39,+'5.Variables'!$M50,+IF(L$18='5.Variables'!$B$62,+'5.Variables'!$M64,+IF(L$18='5.Variables'!$B$76,+'5.Variables'!$M78,+IF(L$18='5.Variables'!$B$90,+'5.Variables'!$M92,+IF(L$18='5.Variables'!$B$104,+'5.Variables'!$M106,0))))))</f>
        <v>30</v>
      </c>
      <c r="M30" s="667">
        <f>IF(M$18='5.Variables'!$B$16,+'5.Variables'!$M26,+IF(M$18='5.Variables'!$B$39,+'5.Variables'!$M50,+IF(M$18='5.Variables'!$B$62,+'5.Variables'!$M64,+IF(M$18='5.Variables'!$B$76,+'5.Variables'!$M78,+IF(M$18='5.Variables'!$B$90,+'5.Variables'!$M92,+IF(M$18='5.Variables'!$B$104,+'5.Variables'!$M106,0))))))</f>
        <v>352</v>
      </c>
      <c r="N30" s="667">
        <f>IF(N$18='5.Variables'!$B$16,+'5.Variables'!$M26,+IF(N$18='5.Variables'!$B$39,+'5.Variables'!$M50,+IF(N$18='5.Variables'!$B$62,+'5.Variables'!$M64,+IF(N$18='5.Variables'!$B$76,+'5.Variables'!$M78,+IF(N$18='5.Variables'!$B$90,+'5.Variables'!$M92,+IF(N$18='5.Variables'!$B$104,+'5.Variables'!$M106,0))))))</f>
        <v>1</v>
      </c>
      <c r="O30" s="1052">
        <v>9653</v>
      </c>
      <c r="P30" s="232"/>
      <c r="Q30" s="530">
        <f t="shared" si="0"/>
        <v>20465328.767092686</v>
      </c>
      <c r="R30" s="250"/>
      <c r="S30" s="232"/>
      <c r="T30" s="523" t="s">
        <v>15</v>
      </c>
      <c r="U30" s="523">
        <v>113</v>
      </c>
      <c r="V30" s="523">
        <v>36278620832114.438</v>
      </c>
      <c r="W30" s="523">
        <v>321049741877.1189</v>
      </c>
      <c r="X30" s="523"/>
      <c r="Y30" s="523"/>
      <c r="Z30"/>
      <c r="AA30"/>
      <c r="AB30"/>
      <c r="AC30" s="248"/>
      <c r="AD30" s="232"/>
      <c r="AE30" s="232"/>
      <c r="AF30" s="232"/>
      <c r="AG30" s="232"/>
      <c r="AH30" s="232"/>
      <c r="AI30" s="232"/>
      <c r="AJ30" s="232"/>
      <c r="AK30" s="232"/>
      <c r="AL30" s="232"/>
    </row>
    <row r="31" spans="1:38" ht="13.5" thickBot="1">
      <c r="A31" s="484">
        <f t="shared" si="1"/>
        <v>12</v>
      </c>
      <c r="B31" s="501" t="str">
        <f>CONCATENATE('3. Consumption by Rate Class'!B36,"-",'3. Consumption by Rate Class'!C36)</f>
        <v>2011-December</v>
      </c>
      <c r="C31" s="996">
        <v>22475131</v>
      </c>
      <c r="D31" s="997"/>
      <c r="E31" s="998"/>
      <c r="F31" s="998"/>
      <c r="G31" s="994"/>
      <c r="H31" s="994"/>
      <c r="I31" s="995">
        <f t="shared" si="2"/>
        <v>22475131</v>
      </c>
      <c r="J31" s="667">
        <f>IF(J$18='5.Variables'!$B$16,+'5.Variables'!$N27,+IF(J$18='5.Variables'!$B$39,+'5.Variables'!$N50,+IF(J$18='5.Variables'!$B$62,+'5.Variables'!$N64,+IF(J$18='5.Variables'!$B$76,+'5.Variables'!$N78,+IF(J$18='5.Variables'!$B$90,+'5.Variables'!$N92,+IF(J$18='5.Variables'!$B$104,+'5.Variables'!$N106,0))))))</f>
        <v>546.20000000000005</v>
      </c>
      <c r="K31" s="667">
        <f>IF(K$18='5.Variables'!$B$16,+'5.Variables'!$N27,+IF(K$18='5.Variables'!$B$39,+'5.Variables'!$N50,+IF(K$18='5.Variables'!$B$62,+'5.Variables'!$N64,+IF(K$18='5.Variables'!$B$76,+'5.Variables'!$N78,+IF(K$18='5.Variables'!$B$90,+'5.Variables'!$N92,+IF(K$18='5.Variables'!$B$104,+'5.Variables'!$N106,0))))))</f>
        <v>0</v>
      </c>
      <c r="L31" s="667">
        <f>IF(L$18='5.Variables'!$B$16,+'5.Variables'!$N26,+IF(L$18='5.Variables'!$B$39,+'5.Variables'!$N50,+IF(L$18='5.Variables'!$B$62,+'5.Variables'!$N64,+IF(L$18='5.Variables'!$B$76,+'5.Variables'!$N78,+IF(L$18='5.Variables'!$B$90,+'5.Variables'!$N92,+IF(L$18='5.Variables'!$B$104,+'5.Variables'!$N106,0))))))</f>
        <v>31</v>
      </c>
      <c r="M31" s="667">
        <f>IF(M$18='5.Variables'!$B$16,+'5.Variables'!$N26,+IF(M$18='5.Variables'!$B$39,+'5.Variables'!$N50,+IF(M$18='5.Variables'!$B$62,+'5.Variables'!$N64,+IF(M$18='5.Variables'!$B$76,+'5.Variables'!$N78,+IF(M$18='5.Variables'!$B$90,+'5.Variables'!$N92,+IF(M$18='5.Variables'!$B$104,+'5.Variables'!$N106,0))))))</f>
        <v>304</v>
      </c>
      <c r="N31" s="667">
        <f>IF(N$18='5.Variables'!$B$16,+'5.Variables'!$N26,+IF(N$18='5.Variables'!$B$39,+'5.Variables'!$N50,+IF(N$18='5.Variables'!$B$62,+'5.Variables'!$N64,+IF(N$18='5.Variables'!$B$76,+'5.Variables'!$N78,+IF(N$18='5.Variables'!$B$90,+'5.Variables'!$N92,+IF(N$18='5.Variables'!$B$104,+'5.Variables'!$N106,0))))))</f>
        <v>0</v>
      </c>
      <c r="O31" s="1052">
        <v>9689</v>
      </c>
      <c r="P31" s="232"/>
      <c r="Q31" s="530">
        <f t="shared" si="0"/>
        <v>22393533.238245793</v>
      </c>
      <c r="R31" s="250">
        <f>SUM(Q20:Q31)</f>
        <v>254409161.08035713</v>
      </c>
      <c r="S31" s="232"/>
      <c r="T31" s="524" t="s">
        <v>16</v>
      </c>
      <c r="U31" s="524">
        <v>119</v>
      </c>
      <c r="V31" s="524">
        <v>294710841355815.44</v>
      </c>
      <c r="W31" s="524"/>
      <c r="X31" s="524"/>
      <c r="Y31" s="524"/>
      <c r="Z31"/>
      <c r="AA31"/>
      <c r="AB31"/>
      <c r="AC31" s="248"/>
      <c r="AD31" s="232"/>
      <c r="AE31" s="232"/>
      <c r="AF31" s="232"/>
      <c r="AG31" s="232"/>
      <c r="AH31" s="232"/>
      <c r="AI31" s="232"/>
      <c r="AJ31" s="232"/>
      <c r="AK31" s="232"/>
      <c r="AL31" s="232"/>
    </row>
    <row r="32" spans="1:38" ht="13.5" thickBot="1">
      <c r="A32" s="484">
        <f t="shared" si="1"/>
        <v>13</v>
      </c>
      <c r="B32" s="985" t="str">
        <f>CONCATENATE('3. Consumption by Rate Class'!B37,"-",'3. Consumption by Rate Class'!C37)</f>
        <v>2012-January</v>
      </c>
      <c r="C32" s="982">
        <v>24661415</v>
      </c>
      <c r="D32" s="1002"/>
      <c r="E32" s="1003"/>
      <c r="F32" s="984"/>
      <c r="G32" s="989"/>
      <c r="H32" s="989"/>
      <c r="I32" s="530">
        <f t="shared" si="2"/>
        <v>24661415</v>
      </c>
      <c r="J32" s="667">
        <f>IF(J$18='5.Variables'!$B$16,+'5.Variables'!$C28,+IF(J$18='5.Variables'!$B$39,+'5.Variables'!$C51,+IF(J$18='5.Variables'!$B$62,+'5.Variables'!$C65,+IF(J$18='5.Variables'!$B$76,+'5.Variables'!$C79,+IF(J$18='5.Variables'!$B$90,+'5.Variables'!$C93,+IF(J$18='5.Variables'!$B$104,+'5.Variables'!$C107,0))))))</f>
        <v>633</v>
      </c>
      <c r="K32" s="667">
        <f>IF(K$18='5.Variables'!$B$16,+'5.Variables'!$C27,+IF(K$18='5.Variables'!$B$39,+'5.Variables'!$C51,+IF(K$18='5.Variables'!$B$62,+'5.Variables'!$C65,+IF(K$18='5.Variables'!$B$76,+'5.Variables'!$C79,+IF(K$18='5.Variables'!$B$90,+'5.Variables'!$C93,+IF(K$18='5.Variables'!$B$104,+'5.Variables'!$C107,0))))))</f>
        <v>0</v>
      </c>
      <c r="L32" s="667">
        <f>IF(L$18='5.Variables'!$B$16,+'5.Variables'!$C27,+IF(L$18='5.Variables'!$B$39,+'5.Variables'!$C51,+IF(L$18='5.Variables'!$B$62,+'5.Variables'!$C65,+IF(L$18='5.Variables'!$B$76,+'5.Variables'!$C79,+IF(L$18='5.Variables'!$B$90,+'5.Variables'!$C93,+IF(L$18='5.Variables'!$B$104,+'5.Variables'!$C107,0))))))</f>
        <v>31</v>
      </c>
      <c r="M32" s="667">
        <f>IF(M$18='5.Variables'!$B$16,+'5.Variables'!$C27,+IF(M$18='5.Variables'!$B$39,+'5.Variables'!$C51,+IF(M$18='5.Variables'!$B$62,+'5.Variables'!$C65,+IF(M$18='5.Variables'!$B$76,+'5.Variables'!$C79,+IF(M$18='5.Variables'!$B$90,+'5.Variables'!$C93,+IF(M$18='5.Variables'!$B$104,+'5.Variables'!$C107,0))))))</f>
        <v>352</v>
      </c>
      <c r="N32" s="667">
        <f>IF(N$18='5.Variables'!$B$16,+'5.Variables'!$C27,+IF(N$18='5.Variables'!$B$39,+'5.Variables'!$C51,+IF(N$18='5.Variables'!$B$62,+'5.Variables'!$C65,+IF(N$18='5.Variables'!$B$76,+'5.Variables'!$C79,+IF(N$18='5.Variables'!$B$90,+'5.Variables'!$C93,+IF(N$18='5.Variables'!$B$104,+'5.Variables'!$C107,0))))))</f>
        <v>0</v>
      </c>
      <c r="O32" s="1052">
        <v>9686</v>
      </c>
      <c r="P32" s="232"/>
      <c r="Q32" s="530">
        <f t="shared" si="0"/>
        <v>23311798.561523158</v>
      </c>
      <c r="R32" s="250"/>
      <c r="S32" s="232"/>
      <c r="T32"/>
      <c r="U32"/>
      <c r="V32"/>
      <c r="W32"/>
      <c r="X32"/>
      <c r="Y32"/>
      <c r="Z32"/>
      <c r="AA32"/>
      <c r="AB32"/>
      <c r="AC32" s="248"/>
      <c r="AD32" s="232"/>
      <c r="AE32" s="232"/>
      <c r="AF32" s="232"/>
      <c r="AG32" s="232"/>
      <c r="AH32" s="232"/>
      <c r="AI32" s="232"/>
      <c r="AJ32" s="232"/>
      <c r="AK32" s="232"/>
      <c r="AL32" s="232"/>
    </row>
    <row r="33" spans="1:38">
      <c r="A33" s="484">
        <f t="shared" si="1"/>
        <v>14</v>
      </c>
      <c r="B33" s="985" t="str">
        <f>CONCATENATE('3. Consumption by Rate Class'!B38,"-",'3. Consumption by Rate Class'!C38)</f>
        <v>2012-February</v>
      </c>
      <c r="C33" s="982">
        <v>22891233</v>
      </c>
      <c r="D33" s="983"/>
      <c r="E33" s="984"/>
      <c r="F33" s="984"/>
      <c r="G33" s="989"/>
      <c r="H33" s="989"/>
      <c r="I33" s="530">
        <f t="shared" si="2"/>
        <v>22891233</v>
      </c>
      <c r="J33" s="667">
        <f>IF(J$18='5.Variables'!$B$16,+'5.Variables'!$D28,+IF(J$18='5.Variables'!$B$39,+'5.Variables'!$D51,+IF(J$18='5.Variables'!$B$62,+'5.Variables'!$D65,+IF(J$18='5.Variables'!$B$76,+'5.Variables'!$D79,+IF(J$18='5.Variables'!$B$90,+'5.Variables'!$D93,+IF(J$18='5.Variables'!$B$104,+'5.Variables'!$D107,0))))))</f>
        <v>539.6</v>
      </c>
      <c r="K33" s="667">
        <f>IF(K$18='5.Variables'!$B$16,+'5.Variables'!$D27,+IF(K$18='5.Variables'!$B$39,+'5.Variables'!$D51,+IF(K$18='5.Variables'!$B$62,+'5.Variables'!$D65,+IF(K$18='5.Variables'!$B$76,+'5.Variables'!$D79,+IF(K$18='5.Variables'!$B$90,+'5.Variables'!$D93,+IF(K$18='5.Variables'!$B$104,+'5.Variables'!$D107,0))))))</f>
        <v>0</v>
      </c>
      <c r="L33" s="667">
        <f>IF(L$18='5.Variables'!$B$16,+'5.Variables'!$D27,+IF(L$18='5.Variables'!$B$39,+'5.Variables'!$D51,+IF(L$18='5.Variables'!$B$62,+'5.Variables'!$D65,+IF(L$18='5.Variables'!$B$76,+'5.Variables'!$D79,+IF(L$18='5.Variables'!$B$90,+'5.Variables'!$D93,+IF(L$18='5.Variables'!$B$104,+'5.Variables'!$D107,0))))))</f>
        <v>29</v>
      </c>
      <c r="M33" s="667">
        <f>IF(M$18='5.Variables'!$B$16,+'5.Variables'!$D27,+IF(M$18='5.Variables'!$B$39,+'5.Variables'!$D51,+IF(M$18='5.Variables'!$B$62,+'5.Variables'!$D65,+IF(M$18='5.Variables'!$B$76,+'5.Variables'!$D79,+IF(M$18='5.Variables'!$B$90,+'5.Variables'!$D93,+IF(M$18='5.Variables'!$B$104,+'5.Variables'!$D107,0))))))</f>
        <v>320</v>
      </c>
      <c r="N33" s="667">
        <f>IF(N$18='5.Variables'!$B$16,+'5.Variables'!$D27,+IF(N$18='5.Variables'!$B$39,+'5.Variables'!$D51,+IF(N$18='5.Variables'!$B$62,+'5.Variables'!$D65,+IF(N$18='5.Variables'!$B$76,+'5.Variables'!$D79,+IF(N$18='5.Variables'!$B$90,+'5.Variables'!$D93,+IF(N$18='5.Variables'!$B$104,+'5.Variables'!$D107,0))))))</f>
        <v>0</v>
      </c>
      <c r="O33" s="1052">
        <v>9686</v>
      </c>
      <c r="P33" s="232"/>
      <c r="Q33" s="530">
        <f t="shared" si="0"/>
        <v>21712017.422187928</v>
      </c>
      <c r="R33" s="250"/>
      <c r="S33" s="232"/>
      <c r="T33" s="737"/>
      <c r="U33" s="737" t="s">
        <v>23</v>
      </c>
      <c r="V33" s="737" t="s">
        <v>11</v>
      </c>
      <c r="W33" s="737" t="s">
        <v>24</v>
      </c>
      <c r="X33" s="737" t="s">
        <v>25</v>
      </c>
      <c r="Y33" s="737" t="s">
        <v>26</v>
      </c>
      <c r="Z33" s="737" t="s">
        <v>27</v>
      </c>
      <c r="AA33" s="737" t="s">
        <v>28</v>
      </c>
      <c r="AB33" s="737" t="s">
        <v>29</v>
      </c>
      <c r="AC33" s="248"/>
      <c r="AD33" s="232"/>
      <c r="AE33" s="232"/>
      <c r="AF33" s="232"/>
      <c r="AG33" s="232"/>
      <c r="AH33" s="232"/>
      <c r="AI33" s="232"/>
      <c r="AJ33" s="232"/>
      <c r="AK33" s="232"/>
      <c r="AL33" s="232"/>
    </row>
    <row r="34" spans="1:38">
      <c r="A34" s="484">
        <f t="shared" si="1"/>
        <v>15</v>
      </c>
      <c r="B34" s="985" t="str">
        <f>CONCATENATE('3. Consumption by Rate Class'!B39,"-",'3. Consumption by Rate Class'!C39)</f>
        <v>2012-March</v>
      </c>
      <c r="C34" s="982">
        <v>22613348</v>
      </c>
      <c r="D34" s="983"/>
      <c r="E34" s="984"/>
      <c r="F34" s="984"/>
      <c r="G34" s="989"/>
      <c r="H34" s="989"/>
      <c r="I34" s="530">
        <f t="shared" si="2"/>
        <v>22613348</v>
      </c>
      <c r="J34" s="667">
        <f>IF(J$18='5.Variables'!$B$16,+'5.Variables'!$E28,+IF(J$18='5.Variables'!$B$39,+'5.Variables'!$E51,+IF(J$18='5.Variables'!$B$62,+'5.Variables'!$E65,+IF(J$18='5.Variables'!$B$76,+'5.Variables'!$E79,+IF(J$18='5.Variables'!$B$90,+'5.Variables'!$E93,+IF(J$18='5.Variables'!$B$104,+'5.Variables'!$E107,0))))))</f>
        <v>425.1</v>
      </c>
      <c r="K34" s="667">
        <f>IF(K$18='5.Variables'!$B$16,+'5.Variables'!$E27,+IF(K$18='5.Variables'!$B$39,+'5.Variables'!$E51,+IF(K$18='5.Variables'!$B$62,+'5.Variables'!$E65,+IF(K$18='5.Variables'!$B$76,+'5.Variables'!$E79,+IF(K$18='5.Variables'!$B$90,+'5.Variables'!$E93,+IF(K$18='5.Variables'!$B$104,+'5.Variables'!$E107,0))))))</f>
        <v>0</v>
      </c>
      <c r="L34" s="667">
        <f>IF(L$18='5.Variables'!$B$16,+'5.Variables'!$E27,+IF(L$18='5.Variables'!$B$39,+'5.Variables'!$E51,+IF(L$18='5.Variables'!$B$62,+'5.Variables'!$E65,+IF(L$18='5.Variables'!$B$76,+'5.Variables'!$E79,+IF(L$18='5.Variables'!$B$90,+'5.Variables'!$E93,+IF(L$18='5.Variables'!$B$104,+'5.Variables'!$E107,0))))))</f>
        <v>31</v>
      </c>
      <c r="M34" s="667">
        <f>IF(M$18='5.Variables'!$B$16,+'5.Variables'!$E27,+IF(M$18='5.Variables'!$B$39,+'5.Variables'!$E51,+IF(M$18='5.Variables'!$B$62,+'5.Variables'!$E65,+IF(M$18='5.Variables'!$B$76,+'5.Variables'!$E79,+IF(M$18='5.Variables'!$B$90,+'5.Variables'!$E93,+IF(M$18='5.Variables'!$B$104,+'5.Variables'!$E107,0))))))</f>
        <v>304</v>
      </c>
      <c r="N34" s="667">
        <f>IF(N$18='5.Variables'!$B$16,+'5.Variables'!$E27,+IF(N$18='5.Variables'!$B$39,+'5.Variables'!$E51,+IF(N$18='5.Variables'!$B$62,+'5.Variables'!$E65,+IF(N$18='5.Variables'!$B$76,+'5.Variables'!$E79,+IF(N$18='5.Variables'!$B$90,+'5.Variables'!$E93,+IF(N$18='5.Variables'!$B$104,+'5.Variables'!$E107,0))))))</f>
        <v>1</v>
      </c>
      <c r="O34" s="1052">
        <v>9698</v>
      </c>
      <c r="P34" s="232"/>
      <c r="Q34" s="530">
        <f t="shared" si="0"/>
        <v>20923903.733986877</v>
      </c>
      <c r="R34" s="250"/>
      <c r="S34" s="232"/>
      <c r="T34" s="523" t="s">
        <v>17</v>
      </c>
      <c r="U34" s="523">
        <v>4918891.8205984272</v>
      </c>
      <c r="V34" s="523">
        <v>2387913.1909968685</v>
      </c>
      <c r="W34" s="523">
        <v>2.059912328113136</v>
      </c>
      <c r="X34" s="523">
        <v>4.1704013846046932E-2</v>
      </c>
      <c r="Y34" s="523">
        <v>188005.10660823807</v>
      </c>
      <c r="Z34" s="523">
        <v>9649778.5345886163</v>
      </c>
      <c r="AA34" s="523">
        <v>188005.10660823807</v>
      </c>
      <c r="AB34" s="523">
        <v>9649778.5345886163</v>
      </c>
      <c r="AC34" s="248"/>
      <c r="AD34" s="232"/>
      <c r="AE34" s="232"/>
      <c r="AF34" s="232"/>
      <c r="AG34" s="232"/>
      <c r="AH34" s="232"/>
      <c r="AI34" s="232"/>
      <c r="AJ34" s="232"/>
      <c r="AK34" s="232"/>
      <c r="AL34" s="232"/>
    </row>
    <row r="35" spans="1:38" ht="15">
      <c r="A35" s="484">
        <f t="shared" si="1"/>
        <v>16</v>
      </c>
      <c r="B35" s="985" t="str">
        <f>CONCATENATE('3. Consumption by Rate Class'!B40,"-",'3. Consumption by Rate Class'!C40)</f>
        <v>2012-April</v>
      </c>
      <c r="C35" s="982">
        <v>20387692</v>
      </c>
      <c r="D35" s="983"/>
      <c r="E35" s="984"/>
      <c r="F35" s="984"/>
      <c r="G35" s="989"/>
      <c r="H35" s="989"/>
      <c r="I35" s="530">
        <f t="shared" si="2"/>
        <v>20387692</v>
      </c>
      <c r="J35" s="667">
        <f>IF(J$18='5.Variables'!$B$16,+'5.Variables'!$F28,+IF(J$18='5.Variables'!$B$39,+'5.Variables'!$F51,+IF(J$18='5.Variables'!$B$62,+'5.Variables'!$F65,+IF(J$18='5.Variables'!$B$76,+'5.Variables'!$F79,+IF(J$18='5.Variables'!$B$90,+'5.Variables'!$F93,+IF(J$18='5.Variables'!$B$104,+'5.Variables'!$F107,0))))))</f>
        <v>355.6</v>
      </c>
      <c r="K35" s="667">
        <f>IF(K$18='5.Variables'!$B$16,+'5.Variables'!$F27,+IF(K$18='5.Variables'!$B$39,+'5.Variables'!$F51,+IF(K$18='5.Variables'!$B$62,+'5.Variables'!$F65,+IF(K$18='5.Variables'!$B$76,+'5.Variables'!$F79,+IF(K$18='5.Variables'!$B$90,+'5.Variables'!$F93,+IF(K$18='5.Variables'!$B$104,+'5.Variables'!$F107,0))))))</f>
        <v>0</v>
      </c>
      <c r="L35" s="667">
        <f>IF(L$18='5.Variables'!$B$16,+'5.Variables'!$F27,+IF(L$18='5.Variables'!$B$39,+'5.Variables'!$F51,+IF(L$18='5.Variables'!$B$62,+'5.Variables'!$F65,+IF(L$18='5.Variables'!$B$76,+'5.Variables'!$F79,+IF(L$18='5.Variables'!$B$90,+'5.Variables'!$F93,+IF(L$18='5.Variables'!$B$104,+'5.Variables'!$F107,0))))))</f>
        <v>30</v>
      </c>
      <c r="M35" s="667">
        <f>IF(M$18='5.Variables'!$B$16,+'5.Variables'!$F27,+IF(M$18='5.Variables'!$B$39,+'5.Variables'!$F51,+IF(M$18='5.Variables'!$B$62,+'5.Variables'!$F65,+IF(M$18='5.Variables'!$B$76,+'5.Variables'!$F79,+IF(M$18='5.Variables'!$B$90,+'5.Variables'!$F93,+IF(M$18='5.Variables'!$B$104,+'5.Variables'!$F107,0))))))</f>
        <v>352</v>
      </c>
      <c r="N35" s="667">
        <f>IF(N$18='5.Variables'!$B$16,+'5.Variables'!$F27,+IF(N$18='5.Variables'!$B$39,+'5.Variables'!$F51,+IF(N$18='5.Variables'!$B$62,+'5.Variables'!$F65,+IF(N$18='5.Variables'!$B$76,+'5.Variables'!$F79,+IF(N$18='5.Variables'!$B$90,+'5.Variables'!$F93,+IF(N$18='5.Variables'!$B$104,+'5.Variables'!$F107,0))))))</f>
        <v>1</v>
      </c>
      <c r="O35" s="1052">
        <v>9717</v>
      </c>
      <c r="P35" s="232"/>
      <c r="Q35" s="530">
        <f t="shared" si="0"/>
        <v>20434383.402264517</v>
      </c>
      <c r="R35" s="250"/>
      <c r="S35" s="499"/>
      <c r="T35" s="523" t="s">
        <v>1</v>
      </c>
      <c r="U35" s="523">
        <v>6597.7371974824373</v>
      </c>
      <c r="V35" s="523">
        <v>289.07310634530438</v>
      </c>
      <c r="W35" s="523">
        <v>22.823766904145316</v>
      </c>
      <c r="X35" s="523">
        <v>3.9817459924063896E-44</v>
      </c>
      <c r="Y35" s="523">
        <v>6025.0312367561346</v>
      </c>
      <c r="Z35" s="523">
        <v>7170.44315820874</v>
      </c>
      <c r="AA35" s="523">
        <v>6025.0312367561346</v>
      </c>
      <c r="AB35" s="523">
        <v>7170.44315820874</v>
      </c>
      <c r="AC35" s="248"/>
      <c r="AD35" s="232"/>
      <c r="AE35" s="232"/>
      <c r="AF35" s="232"/>
      <c r="AG35" s="232"/>
      <c r="AH35" s="232"/>
      <c r="AI35" s="232"/>
      <c r="AJ35" s="232"/>
      <c r="AK35" s="232"/>
      <c r="AL35" s="232"/>
    </row>
    <row r="36" spans="1:38" ht="15">
      <c r="A36" s="484">
        <f t="shared" si="1"/>
        <v>17</v>
      </c>
      <c r="B36" s="985" t="str">
        <f>CONCATENATE('3. Consumption by Rate Class'!B41,"-",'3. Consumption by Rate Class'!C41)</f>
        <v>2012-May</v>
      </c>
      <c r="C36" s="982">
        <v>20532741</v>
      </c>
      <c r="D36" s="983"/>
      <c r="E36" s="984"/>
      <c r="F36" s="984"/>
      <c r="G36" s="989"/>
      <c r="H36" s="989"/>
      <c r="I36" s="530">
        <f t="shared" si="2"/>
        <v>20532741</v>
      </c>
      <c r="J36" s="667">
        <f>IF(J$18='5.Variables'!$B$16,+'5.Variables'!$G28,+IF(J$18='5.Variables'!$B$39,+'5.Variables'!$G51,+IF(J$18='5.Variables'!$B$62,+'5.Variables'!$G65,+IF(J$18='5.Variables'!$B$76,+'5.Variables'!$G79,+IF(J$18='5.Variables'!$B$90,+'5.Variables'!$G93,+IF(J$18='5.Variables'!$B$104,+'5.Variables'!$G107,0))))))</f>
        <v>136</v>
      </c>
      <c r="K36" s="667">
        <f>IF(K$18='5.Variables'!$B$16,+'5.Variables'!$G27,+IF(K$18='5.Variables'!$B$39,+'5.Variables'!$G51,+IF(K$18='5.Variables'!$B$62,+'5.Variables'!$G65,+IF(K$18='5.Variables'!$B$76,+'5.Variables'!$G79,+IF(K$18='5.Variables'!$B$90,+'5.Variables'!$G93,+IF(K$18='5.Variables'!$B$104,+'5.Variables'!$G107,0))))))</f>
        <v>5.6</v>
      </c>
      <c r="L36" s="667">
        <f>IF(L$18='5.Variables'!$B$16,+'5.Variables'!$G27,+IF(L$18='5.Variables'!$B$39,+'5.Variables'!$G51,+IF(L$18='5.Variables'!$B$62,+'5.Variables'!$G65,+IF(L$18='5.Variables'!$B$76,+'5.Variables'!$G79,+IF(L$18='5.Variables'!$B$90,+'5.Variables'!$G93,+IF(L$18='5.Variables'!$B$104,+'5.Variables'!$G107,0))))))</f>
        <v>31</v>
      </c>
      <c r="M36" s="667">
        <f>IF(M$18='5.Variables'!$B$16,+'5.Variables'!$G27,+IF(M$18='5.Variables'!$B$39,+'5.Variables'!$G51,+IF(M$18='5.Variables'!$B$62,+'5.Variables'!$G65,+IF(M$18='5.Variables'!$B$76,+'5.Variables'!$G79,+IF(M$18='5.Variables'!$B$90,+'5.Variables'!$G93,+IF(M$18='5.Variables'!$B$104,+'5.Variables'!$G107,0))))))</f>
        <v>336</v>
      </c>
      <c r="N36" s="667">
        <f>IF(N$18='5.Variables'!$B$16,+'5.Variables'!$G27,+IF(N$18='5.Variables'!$B$39,+'5.Variables'!$G51,+IF(N$18='5.Variables'!$B$62,+'5.Variables'!$G65,+IF(N$18='5.Variables'!$B$76,+'5.Variables'!$G79,+IF(N$18='5.Variables'!$B$90,+'5.Variables'!$G93,+IF(N$18='5.Variables'!$B$104,+'5.Variables'!$G107,0))))))</f>
        <v>1</v>
      </c>
      <c r="O36" s="1052">
        <v>9721</v>
      </c>
      <c r="P36" s="232"/>
      <c r="Q36" s="530">
        <f t="shared" si="0"/>
        <v>19470714.503310472</v>
      </c>
      <c r="R36" s="250"/>
      <c r="S36" s="499"/>
      <c r="T36" s="523" t="s">
        <v>2</v>
      </c>
      <c r="U36" s="523">
        <v>39964.958944971222</v>
      </c>
      <c r="V36" s="523">
        <v>3253.2647137973031</v>
      </c>
      <c r="W36" s="523">
        <v>12.284570258140164</v>
      </c>
      <c r="X36" s="523">
        <v>1.5123045454008421E-22</v>
      </c>
      <c r="Y36" s="523">
        <v>33519.654790019245</v>
      </c>
      <c r="Z36" s="523">
        <v>46410.263099923199</v>
      </c>
      <c r="AA36" s="523">
        <v>33519.654790019245</v>
      </c>
      <c r="AB36" s="523">
        <v>46410.263099923199</v>
      </c>
      <c r="AC36" s="248"/>
      <c r="AD36" s="232"/>
      <c r="AE36" s="232"/>
      <c r="AF36" s="232"/>
      <c r="AG36" s="232"/>
      <c r="AH36" s="232"/>
      <c r="AI36" s="232"/>
      <c r="AJ36" s="232"/>
      <c r="AK36" s="232"/>
      <c r="AL36" s="232"/>
    </row>
    <row r="37" spans="1:38" ht="15">
      <c r="A37" s="484">
        <f t="shared" si="1"/>
        <v>18</v>
      </c>
      <c r="B37" s="985" t="str">
        <f>CONCATENATE('3. Consumption by Rate Class'!B42,"-",'3. Consumption by Rate Class'!C42)</f>
        <v>2012-June</v>
      </c>
      <c r="C37" s="982">
        <v>21256195</v>
      </c>
      <c r="D37" s="983"/>
      <c r="E37" s="984"/>
      <c r="F37" s="984"/>
      <c r="G37" s="989"/>
      <c r="H37" s="989"/>
      <c r="I37" s="530">
        <f t="shared" si="2"/>
        <v>21256195</v>
      </c>
      <c r="J37" s="667">
        <f>IF(J$18='5.Variables'!$B$16,+'5.Variables'!$H28,+IF(J$18='5.Variables'!$B$39,+'5.Variables'!$H51,+IF(J$18='5.Variables'!$B$62,+'5.Variables'!$H65,+IF(J$18='5.Variables'!$B$76,+'5.Variables'!$H79,+IF(J$18='5.Variables'!$B$90,+'5.Variables'!$H93,+IF(J$18='5.Variables'!$B$104,+'5.Variables'!$H107,0))))))</f>
        <v>36.6</v>
      </c>
      <c r="K37" s="667">
        <f>IF(K$18='5.Variables'!$B$16,+'5.Variables'!$H27,+IF(K$18='5.Variables'!$B$39,+'5.Variables'!$H51,+IF(K$18='5.Variables'!$B$62,+'5.Variables'!$H65,+IF(K$18='5.Variables'!$B$76,+'5.Variables'!$H79,+IF(K$18='5.Variables'!$B$90,+'5.Variables'!$H93,+IF(K$18='5.Variables'!$B$104,+'5.Variables'!$H107,0))))))</f>
        <v>39.299999999999997</v>
      </c>
      <c r="L37" s="667">
        <f>IF(L$18='5.Variables'!$B$16,+'5.Variables'!$H27,+IF(L$18='5.Variables'!$B$39,+'5.Variables'!$H51,+IF(L$18='5.Variables'!$B$62,+'5.Variables'!$H65,+IF(L$18='5.Variables'!$B$76,+'5.Variables'!$H79,+IF(L$18='5.Variables'!$B$90,+'5.Variables'!$H93,+IF(L$18='5.Variables'!$B$104,+'5.Variables'!$H107,0))))))</f>
        <v>30</v>
      </c>
      <c r="M37" s="667">
        <f>IF(M$18='5.Variables'!$B$16,+'5.Variables'!$H27,+IF(M$18='5.Variables'!$B$39,+'5.Variables'!$H51,+IF(M$18='5.Variables'!$B$62,+'5.Variables'!$H65,+IF(M$18='5.Variables'!$B$76,+'5.Variables'!$H79,+IF(M$18='5.Variables'!$B$90,+'5.Variables'!$H93,+IF(M$18='5.Variables'!$B$104,+'5.Variables'!$H107,0))))))</f>
        <v>336</v>
      </c>
      <c r="N37" s="667">
        <f>IF(N$18='5.Variables'!$B$16,+'5.Variables'!$H27,+IF(N$18='5.Variables'!$B$39,+'5.Variables'!$H51,+IF(N$18='5.Variables'!$B$62,+'5.Variables'!$H65,+IF(N$18='5.Variables'!$B$76,+'5.Variables'!$H79,+IF(N$18='5.Variables'!$B$90,+'5.Variables'!$H93,+IF(N$18='5.Variables'!$B$104,+'5.Variables'!$H107,0))))))</f>
        <v>0</v>
      </c>
      <c r="O37" s="1052">
        <v>9722</v>
      </c>
      <c r="P37" s="232"/>
      <c r="Q37" s="530">
        <f t="shared" si="0"/>
        <v>20455790.740936812</v>
      </c>
      <c r="R37" s="250"/>
      <c r="S37" s="499"/>
      <c r="T37" s="523" t="s">
        <v>238</v>
      </c>
      <c r="U37" s="523">
        <v>376581.33103322249</v>
      </c>
      <c r="V37" s="523">
        <v>72589.602083413964</v>
      </c>
      <c r="W37" s="523">
        <v>5.1878136843963736</v>
      </c>
      <c r="X37" s="523">
        <v>9.4542452693666927E-7</v>
      </c>
      <c r="Y37" s="523">
        <v>232768.2370878371</v>
      </c>
      <c r="Z37" s="523">
        <v>520394.42497860792</v>
      </c>
      <c r="AA37" s="523">
        <v>232768.2370878371</v>
      </c>
      <c r="AB37" s="523">
        <v>520394.42497860792</v>
      </c>
      <c r="AC37" s="248"/>
      <c r="AD37" s="232"/>
      <c r="AE37" s="232"/>
      <c r="AF37" s="232"/>
      <c r="AG37" s="232"/>
      <c r="AH37" s="232"/>
      <c r="AI37" s="232"/>
      <c r="AJ37" s="232"/>
      <c r="AK37" s="232"/>
      <c r="AL37" s="232"/>
    </row>
    <row r="38" spans="1:38" ht="15">
      <c r="A38" s="484">
        <f t="shared" si="1"/>
        <v>19</v>
      </c>
      <c r="B38" s="985" t="str">
        <f>CONCATENATE('3. Consumption by Rate Class'!B43,"-",'3. Consumption by Rate Class'!C43)</f>
        <v>2012-July</v>
      </c>
      <c r="C38" s="982">
        <v>23878303</v>
      </c>
      <c r="D38" s="983"/>
      <c r="E38" s="984"/>
      <c r="F38" s="984"/>
      <c r="G38" s="989"/>
      <c r="H38" s="989"/>
      <c r="I38" s="530">
        <f t="shared" si="2"/>
        <v>23878303</v>
      </c>
      <c r="J38" s="667">
        <f>IF(J$18='5.Variables'!$B$16,+'5.Variables'!$I28,+IF(J$18='5.Variables'!$B$39,+'5.Variables'!$I51,+IF(J$18='5.Variables'!$B$62,+'5.Variables'!$I65,+IF(J$18='5.Variables'!$B$76,+'5.Variables'!$I79,+IF(J$18='5.Variables'!$B$90,+'5.Variables'!$I93,+IF(J$18='5.Variables'!$B$104,+'5.Variables'!$I107,0))))))</f>
        <v>0</v>
      </c>
      <c r="K38" s="667">
        <f>IF(K$18='5.Variables'!$B$16,+'5.Variables'!$I27,+IF(K$18='5.Variables'!$B$39,+'5.Variables'!$I51,+IF(K$18='5.Variables'!$B$62,+'5.Variables'!$I65,+IF(K$18='5.Variables'!$B$76,+'5.Variables'!$I79,+IF(K$18='5.Variables'!$B$90,+'5.Variables'!$I93,+IF(K$18='5.Variables'!$B$104,+'5.Variables'!$I107,0))))))</f>
        <v>120.3</v>
      </c>
      <c r="L38" s="667">
        <f>IF(L$18='5.Variables'!$B$16,+'5.Variables'!$I27,+IF(L$18='5.Variables'!$B$39,+'5.Variables'!$I51,+IF(L$18='5.Variables'!$B$62,+'5.Variables'!$I65,+IF(L$18='5.Variables'!$B$76,+'5.Variables'!$I79,+IF(L$18='5.Variables'!$B$90,+'5.Variables'!$I93,+IF(L$18='5.Variables'!$B$104,+'5.Variables'!$I107,0))))))</f>
        <v>31</v>
      </c>
      <c r="M38" s="667">
        <f>IF(M$18='5.Variables'!$B$16,+'5.Variables'!$I27,+IF(M$18='5.Variables'!$B$39,+'5.Variables'!$I51,+IF(M$18='5.Variables'!$B$62,+'5.Variables'!$I65,+IF(M$18='5.Variables'!$B$76,+'5.Variables'!$I79,+IF(M$18='5.Variables'!$B$90,+'5.Variables'!$I93,+IF(M$18='5.Variables'!$B$104,+'5.Variables'!$I107,0))))))</f>
        <v>352</v>
      </c>
      <c r="N38" s="667">
        <f>IF(N$18='5.Variables'!$B$16,+'5.Variables'!$I27,+IF(N$18='5.Variables'!$B$39,+'5.Variables'!$I51,+IF(N$18='5.Variables'!$B$62,+'5.Variables'!$I65,+IF(N$18='5.Variables'!$B$76,+'5.Variables'!$I79,+IF(N$18='5.Variables'!$B$90,+'5.Variables'!$I93,+IF(N$18='5.Variables'!$B$104,+'5.Variables'!$I107,0))))))</f>
        <v>0</v>
      </c>
      <c r="O38" s="1052">
        <v>9734</v>
      </c>
      <c r="P38" s="232"/>
      <c r="Q38" s="530">
        <f t="shared" si="0"/>
        <v>23943263.476596814</v>
      </c>
      <c r="R38" s="250"/>
      <c r="S38" s="499"/>
      <c r="T38" s="822" t="s">
        <v>384</v>
      </c>
      <c r="U38" s="523">
        <v>7199.681969497723</v>
      </c>
      <c r="V38" s="523">
        <v>3349.3592149615447</v>
      </c>
      <c r="W38" s="523">
        <v>2.1495699647075286</v>
      </c>
      <c r="X38" s="523">
        <v>3.372183595191721E-2</v>
      </c>
      <c r="Y38" s="523">
        <v>563.99727619139867</v>
      </c>
      <c r="Z38" s="523">
        <v>13835.366662804048</v>
      </c>
      <c r="AA38" s="523">
        <v>563.99727619139867</v>
      </c>
      <c r="AB38" s="523">
        <v>13835.366662804048</v>
      </c>
      <c r="AC38" s="248"/>
      <c r="AD38" s="232"/>
      <c r="AE38" s="232"/>
      <c r="AF38" s="232"/>
      <c r="AG38" s="232"/>
      <c r="AH38" s="232"/>
      <c r="AI38" s="232"/>
      <c r="AJ38" s="232"/>
      <c r="AK38" s="232"/>
      <c r="AL38" s="232"/>
    </row>
    <row r="39" spans="1:38" ht="15">
      <c r="A39" s="484">
        <f t="shared" si="1"/>
        <v>20</v>
      </c>
      <c r="B39" s="985" t="str">
        <f>CONCATENATE('3. Consumption by Rate Class'!B44,"-",'3. Consumption by Rate Class'!C44)</f>
        <v>2012-August</v>
      </c>
      <c r="C39" s="982">
        <v>22916905</v>
      </c>
      <c r="D39" s="983"/>
      <c r="E39" s="984"/>
      <c r="F39" s="984"/>
      <c r="G39" s="989"/>
      <c r="H39" s="989"/>
      <c r="I39" s="530">
        <f t="shared" si="2"/>
        <v>22916905</v>
      </c>
      <c r="J39" s="667">
        <f>IF(J$18='5.Variables'!$B$16,+'5.Variables'!$J28,+IF(J$18='5.Variables'!$B$39,+'5.Variables'!$J51,+IF(J$18='5.Variables'!$B$62,+'5.Variables'!$J65,+IF(J$18='5.Variables'!$B$76,+'5.Variables'!$J79,+IF(J$18='5.Variables'!$B$90,+'5.Variables'!$J93,+IF(J$18='5.Variables'!$B$104,+'5.Variables'!$J107,0))))))</f>
        <v>7.3</v>
      </c>
      <c r="K39" s="667">
        <f>IF(K$18='5.Variables'!$B$16,+'5.Variables'!$J27,+IF(K$18='5.Variables'!$B$39,+'5.Variables'!$J51,+IF(K$18='5.Variables'!$B$62,+'5.Variables'!$J65,+IF(K$18='5.Variables'!$B$76,+'5.Variables'!$J79,+IF(K$18='5.Variables'!$B$90,+'5.Variables'!$J93,+IF(K$18='5.Variables'!$B$104,+'5.Variables'!$J107,0))))))</f>
        <v>74.2</v>
      </c>
      <c r="L39" s="667">
        <f>IF(L$18='5.Variables'!$B$16,+'5.Variables'!$J27,+IF(L$18='5.Variables'!$B$39,+'5.Variables'!$J51,+IF(L$18='5.Variables'!$B$62,+'5.Variables'!$J65,+IF(L$18='5.Variables'!$B$76,+'5.Variables'!$J79,+IF(L$18='5.Variables'!$B$90,+'5.Variables'!$J93,+IF(L$18='5.Variables'!$B$104,+'5.Variables'!$J107,0))))))</f>
        <v>31</v>
      </c>
      <c r="M39" s="667">
        <f>IF(M$18='5.Variables'!$B$16,+'5.Variables'!$J27,+IF(M$18='5.Variables'!$B$39,+'5.Variables'!$J51,+IF(M$18='5.Variables'!$B$62,+'5.Variables'!$J65,+IF(M$18='5.Variables'!$B$76,+'5.Variables'!$J79,+IF(M$18='5.Variables'!$B$90,+'5.Variables'!$J93,+IF(M$18='5.Variables'!$B$104,+'5.Variables'!$J107,0))))))</f>
        <v>320</v>
      </c>
      <c r="N39" s="667">
        <f>IF(N$18='5.Variables'!$B$16,+'5.Variables'!$J27,+IF(N$18='5.Variables'!$B$39,+'5.Variables'!$J51,+IF(N$18='5.Variables'!$B$62,+'5.Variables'!$J65,+IF(N$18='5.Variables'!$B$76,+'5.Variables'!$J79,+IF(N$18='5.Variables'!$B$90,+'5.Variables'!$J93,+IF(N$18='5.Variables'!$B$104,+'5.Variables'!$J107,0))))))</f>
        <v>0</v>
      </c>
      <c r="O39" s="1052">
        <v>9758</v>
      </c>
      <c r="P39" s="232"/>
      <c r="Q39" s="530">
        <f t="shared" si="0"/>
        <v>21918676.527751334</v>
      </c>
      <c r="R39" s="250"/>
      <c r="S39" s="499"/>
      <c r="T39" s="523" t="s">
        <v>340</v>
      </c>
      <c r="U39" s="523">
        <v>-670652.52964378975</v>
      </c>
      <c r="V39" s="523">
        <v>125856.25207092288</v>
      </c>
      <c r="W39" s="523">
        <v>-5.3287184276380772</v>
      </c>
      <c r="X39" s="523">
        <v>5.1106343410760102E-7</v>
      </c>
      <c r="Y39" s="523">
        <v>-919996.46435624314</v>
      </c>
      <c r="Z39" s="523">
        <v>-421308.59493133641</v>
      </c>
      <c r="AA39" s="523">
        <v>-919996.46435624314</v>
      </c>
      <c r="AB39" s="523">
        <v>-421308.59493133641</v>
      </c>
      <c r="AC39" s="248"/>
      <c r="AD39" s="232"/>
      <c r="AE39" s="232"/>
      <c r="AF39" s="232"/>
      <c r="AG39" s="232"/>
      <c r="AH39" s="232"/>
      <c r="AI39" s="232"/>
      <c r="AJ39" s="232"/>
      <c r="AK39" s="232"/>
      <c r="AL39" s="232"/>
    </row>
    <row r="40" spans="1:38" ht="15.75" thickBot="1">
      <c r="A40" s="484">
        <f t="shared" si="1"/>
        <v>21</v>
      </c>
      <c r="B40" s="985" t="str">
        <f>CONCATENATE('3. Consumption by Rate Class'!B45,"-",'3. Consumption by Rate Class'!C45)</f>
        <v>2012-September</v>
      </c>
      <c r="C40" s="982">
        <v>20363041</v>
      </c>
      <c r="D40" s="983"/>
      <c r="E40" s="984"/>
      <c r="F40" s="984"/>
      <c r="G40" s="989"/>
      <c r="H40" s="989"/>
      <c r="I40" s="530">
        <f t="shared" si="2"/>
        <v>20363041</v>
      </c>
      <c r="J40" s="667">
        <f>IF(J$18='5.Variables'!$B$16,+'5.Variables'!$K28,+IF(J$18='5.Variables'!$B$39,+'5.Variables'!$K51,+IF(J$18='5.Variables'!$B$62,+'5.Variables'!$K65,+IF(J$18='5.Variables'!$B$76,+'5.Variables'!$K79,+IF(J$18='5.Variables'!$B$90,+'5.Variables'!$K93,+IF(J$18='5.Variables'!$B$104,+'5.Variables'!$K107,0))))))</f>
        <v>87.5</v>
      </c>
      <c r="K40" s="667">
        <f>IF(K$18='5.Variables'!$B$16,+'5.Variables'!$K27,+IF(K$18='5.Variables'!$B$39,+'5.Variables'!$K51,+IF(K$18='5.Variables'!$B$62,+'5.Variables'!$K65,+IF(K$18='5.Variables'!$B$76,+'5.Variables'!$K79,+IF(K$18='5.Variables'!$B$90,+'5.Variables'!$K93,+IF(K$18='5.Variables'!$B$104,+'5.Variables'!$K107,0))))))</f>
        <v>18.2</v>
      </c>
      <c r="L40" s="667">
        <f>IF(L$18='5.Variables'!$B$16,+'5.Variables'!$K27,+IF(L$18='5.Variables'!$B$39,+'5.Variables'!$K51,+IF(L$18='5.Variables'!$B$62,+'5.Variables'!$K65,+IF(L$18='5.Variables'!$B$76,+'5.Variables'!$K79,+IF(L$18='5.Variables'!$B$90,+'5.Variables'!$K93,+IF(L$18='5.Variables'!$B$104,+'5.Variables'!$K107,0))))))</f>
        <v>30</v>
      </c>
      <c r="M40" s="667">
        <f>IF(M$18='5.Variables'!$B$16,+'5.Variables'!$K27,+IF(M$18='5.Variables'!$B$39,+'5.Variables'!$K51,+IF(M$18='5.Variables'!$B$62,+'5.Variables'!$K65,+IF(M$18='5.Variables'!$B$76,+'5.Variables'!$K79,+IF(M$18='5.Variables'!$B$90,+'5.Variables'!$K93,+IF(M$18='5.Variables'!$B$104,+'5.Variables'!$K107,0))))))</f>
        <v>336</v>
      </c>
      <c r="N40" s="667">
        <f>IF(N$18='5.Variables'!$B$16,+'5.Variables'!$K27,+IF(N$18='5.Variables'!$B$39,+'5.Variables'!$K51,+IF(N$18='5.Variables'!$B$62,+'5.Variables'!$K65,+IF(N$18='5.Variables'!$B$76,+'5.Variables'!$K79,+IF(N$18='5.Variables'!$B$90,+'5.Variables'!$K93,+IF(N$18='5.Variables'!$B$104,+'5.Variables'!$K107,0))))))</f>
        <v>1</v>
      </c>
      <c r="O40" s="1052">
        <v>9768</v>
      </c>
      <c r="P40" s="232"/>
      <c r="Q40" s="530">
        <f t="shared" si="0"/>
        <v>19277748.400905989</v>
      </c>
      <c r="R40" s="250"/>
      <c r="S40" s="499"/>
      <c r="T40" s="1054" t="s">
        <v>395</v>
      </c>
      <c r="U40" s="1055">
        <v>-1456.2203747479894</v>
      </c>
      <c r="V40" s="1055">
        <v>207.33295558328541</v>
      </c>
      <c r="W40" s="1055">
        <v>-7.0235837358862483</v>
      </c>
      <c r="X40" s="1056">
        <v>1.7760311309442478E-10</v>
      </c>
      <c r="Y40" s="1056">
        <v>-1867.0240492357116</v>
      </c>
      <c r="Z40" s="1056">
        <v>-1045.4167002602671</v>
      </c>
      <c r="AA40" s="1056">
        <v>-1867.0240492357116</v>
      </c>
      <c r="AB40" s="1056">
        <v>-1045.4167002602671</v>
      </c>
      <c r="AC40" s="248"/>
      <c r="AD40" s="232"/>
      <c r="AE40" s="232"/>
      <c r="AF40" s="232"/>
      <c r="AG40" s="232"/>
      <c r="AH40" s="232"/>
      <c r="AI40" s="232"/>
      <c r="AJ40" s="232"/>
      <c r="AK40" s="232"/>
      <c r="AL40" s="232"/>
    </row>
    <row r="41" spans="1:38">
      <c r="A41" s="484">
        <f t="shared" si="1"/>
        <v>22</v>
      </c>
      <c r="B41" s="985" t="str">
        <f>CONCATENATE('3. Consumption by Rate Class'!B46,"-",'3. Consumption by Rate Class'!C46)</f>
        <v>2012-October</v>
      </c>
      <c r="C41" s="982">
        <v>20987563</v>
      </c>
      <c r="D41" s="983"/>
      <c r="E41" s="984"/>
      <c r="F41" s="984"/>
      <c r="G41" s="989"/>
      <c r="H41" s="989"/>
      <c r="I41" s="530">
        <f t="shared" si="2"/>
        <v>20987563</v>
      </c>
      <c r="J41" s="667">
        <f>IF(J$18='5.Variables'!$B$16,+'5.Variables'!$L28,+IF(J$18='5.Variables'!$B$39,+'5.Variables'!$L51,+IF(J$18='5.Variables'!$B$62,+'5.Variables'!$L65,+IF(J$18='5.Variables'!$B$76,+'5.Variables'!$L79,+IF(J$18='5.Variables'!$B$90,+'5.Variables'!$L93,+IF(J$18='5.Variables'!$B$104,+'5.Variables'!$L107,0))))))</f>
        <v>245.1</v>
      </c>
      <c r="K41" s="667">
        <f>IF(K$18='5.Variables'!$B$16,+'5.Variables'!$L27,+IF(K$18='5.Variables'!$B$39,+'5.Variables'!$L51,+IF(K$18='5.Variables'!$B$62,+'5.Variables'!$L65,+IF(K$18='5.Variables'!$B$76,+'5.Variables'!$L79,+IF(K$18='5.Variables'!$B$90,+'5.Variables'!$L93,+IF(K$18='5.Variables'!$B$104,+'5.Variables'!$L107,0))))))</f>
        <v>0</v>
      </c>
      <c r="L41" s="667">
        <f>IF(L$18='5.Variables'!$B$16,+'5.Variables'!$L27,+IF(L$18='5.Variables'!$B$39,+'5.Variables'!$L51,+IF(L$18='5.Variables'!$B$62,+'5.Variables'!$L65,+IF(L$18='5.Variables'!$B$76,+'5.Variables'!$L79,+IF(L$18='5.Variables'!$B$90,+'5.Variables'!$L93,+IF(L$18='5.Variables'!$B$104,+'5.Variables'!$L107,0))))))</f>
        <v>31</v>
      </c>
      <c r="M41" s="667">
        <f>IF(M$18='5.Variables'!$B$16,+'5.Variables'!$L27,+IF(M$18='5.Variables'!$B$39,+'5.Variables'!$L51,+IF(M$18='5.Variables'!$B$62,+'5.Variables'!$L65,+IF(M$18='5.Variables'!$B$76,+'5.Variables'!$L79,+IF(M$18='5.Variables'!$B$90,+'5.Variables'!$L93,+IF(M$18='5.Variables'!$B$104,+'5.Variables'!$L107,0))))))</f>
        <v>352</v>
      </c>
      <c r="N41" s="667">
        <f>IF(N$18='5.Variables'!$B$16,+'5.Variables'!$L27,+IF(N$18='5.Variables'!$B$39,+'5.Variables'!$L51,+IF(N$18='5.Variables'!$B$62,+'5.Variables'!$L65,+IF(N$18='5.Variables'!$B$76,+'5.Variables'!$L79,+IF(N$18='5.Variables'!$B$90,+'5.Variables'!$L93,+IF(N$18='5.Variables'!$B$104,+'5.Variables'!$L107,0))))))</f>
        <v>1</v>
      </c>
      <c r="O41" s="1052">
        <v>9752</v>
      </c>
      <c r="P41" s="232"/>
      <c r="Q41" s="530">
        <f t="shared" si="0"/>
        <v>20081949.772975933</v>
      </c>
      <c r="R41" s="250"/>
      <c r="S41" s="232"/>
      <c r="AC41" s="248"/>
      <c r="AD41" s="232"/>
      <c r="AE41" s="232"/>
      <c r="AF41" s="232"/>
      <c r="AG41" s="232"/>
      <c r="AH41" s="232"/>
      <c r="AI41" s="232"/>
      <c r="AJ41" s="232"/>
      <c r="AK41" s="232"/>
      <c r="AL41" s="232"/>
    </row>
    <row r="42" spans="1:38">
      <c r="A42" s="484">
        <f t="shared" si="1"/>
        <v>23</v>
      </c>
      <c r="B42" s="985" t="str">
        <f>CONCATENATE('3. Consumption by Rate Class'!B47,"-",'3. Consumption by Rate Class'!C47)</f>
        <v>2012-November</v>
      </c>
      <c r="C42" s="999">
        <v>21546676</v>
      </c>
      <c r="D42" s="1000"/>
      <c r="E42" s="1001"/>
      <c r="F42" s="984"/>
      <c r="G42" s="989"/>
      <c r="H42" s="989"/>
      <c r="I42" s="530">
        <f t="shared" si="2"/>
        <v>21546676</v>
      </c>
      <c r="J42" s="667">
        <f>IF(J$18='5.Variables'!$B$16,+'5.Variables'!$M28,+IF(J$18='5.Variables'!$B$39,+'5.Variables'!$M51,+IF(J$18='5.Variables'!$B$62,+'5.Variables'!$M65,+IF(J$18='5.Variables'!$B$76,+'5.Variables'!$M79,+IF(J$18='5.Variables'!$B$90,+'5.Variables'!$M93,+IF(J$18='5.Variables'!$B$104,+'5.Variables'!$M107,0))))))</f>
        <v>449.4</v>
      </c>
      <c r="K42" s="667">
        <f>IF(K$18='5.Variables'!$B$16,+'5.Variables'!$M27,+IF(K$18='5.Variables'!$B$39,+'5.Variables'!$M51,+IF(K$18='5.Variables'!$B$62,+'5.Variables'!$M65,+IF(K$18='5.Variables'!$B$76,+'5.Variables'!$M79,+IF(K$18='5.Variables'!$B$90,+'5.Variables'!$M93,+IF(K$18='5.Variables'!$B$104,+'5.Variables'!$M107,0))))))</f>
        <v>0</v>
      </c>
      <c r="L42" s="667">
        <f>IF(L$18='5.Variables'!$B$16,+'5.Variables'!$M27,+IF(L$18='5.Variables'!$B$39,+'5.Variables'!$M51,+IF(L$18='5.Variables'!$B$62,+'5.Variables'!$M65,+IF(L$18='5.Variables'!$B$76,+'5.Variables'!$M79,+IF(L$18='5.Variables'!$B$90,+'5.Variables'!$M93,+IF(L$18='5.Variables'!$B$104,+'5.Variables'!$M107,0))))))</f>
        <v>30</v>
      </c>
      <c r="M42" s="667">
        <f>IF(M$18='5.Variables'!$B$16,+'5.Variables'!$M27,+IF(M$18='5.Variables'!$B$39,+'5.Variables'!$M51,+IF(M$18='5.Variables'!$B$62,+'5.Variables'!$M65,+IF(M$18='5.Variables'!$B$76,+'5.Variables'!$M79,+IF(M$18='5.Variables'!$B$90,+'5.Variables'!$M93,+IF(M$18='5.Variables'!$B$104,+'5.Variables'!$M107,0))))))</f>
        <v>304</v>
      </c>
      <c r="N42" s="667">
        <f>IF(N$18='5.Variables'!$B$16,+'5.Variables'!$M27,+IF(N$18='5.Variables'!$B$39,+'5.Variables'!$M51,+IF(N$18='5.Variables'!$B$62,+'5.Variables'!$M65,+IF(N$18='5.Variables'!$B$76,+'5.Variables'!$M79,+IF(N$18='5.Variables'!$B$90,+'5.Variables'!$M93,+IF(N$18='5.Variables'!$B$104,+'5.Variables'!$M107,0))))))</f>
        <v>1</v>
      </c>
      <c r="O42" s="1052">
        <v>9751</v>
      </c>
      <c r="P42" s="232"/>
      <c r="Q42" s="530">
        <f t="shared" si="0"/>
        <v>20707700.416852482</v>
      </c>
      <c r="R42" s="250"/>
      <c r="S42" s="232"/>
      <c r="T42" s="980" t="s">
        <v>386</v>
      </c>
      <c r="U42" s="981"/>
      <c r="V42" s="981"/>
      <c r="W42" s="981"/>
      <c r="X42"/>
      <c r="Y42"/>
      <c r="Z42"/>
      <c r="AA42"/>
      <c r="AB42"/>
      <c r="AC42" s="248"/>
      <c r="AD42" s="232"/>
      <c r="AE42" s="232"/>
      <c r="AF42" s="232"/>
      <c r="AG42" s="232"/>
      <c r="AH42" s="232"/>
      <c r="AI42" s="232"/>
      <c r="AJ42" s="232"/>
      <c r="AK42" s="232"/>
      <c r="AL42" s="232"/>
    </row>
    <row r="43" spans="1:38" ht="13.5" customHeight="1">
      <c r="A43" s="484">
        <f t="shared" si="1"/>
        <v>24</v>
      </c>
      <c r="B43" s="501" t="str">
        <f>CONCATENATE('3. Consumption by Rate Class'!B48,"-",'3. Consumption by Rate Class'!C48)</f>
        <v>2012-December</v>
      </c>
      <c r="C43" s="650">
        <v>21986713</v>
      </c>
      <c r="D43" s="1004"/>
      <c r="E43" s="1005"/>
      <c r="F43" s="777"/>
      <c r="G43" s="994"/>
      <c r="H43" s="994"/>
      <c r="I43" s="995">
        <f t="shared" si="2"/>
        <v>21986713</v>
      </c>
      <c r="J43" s="667">
        <f>IF(J$18='5.Variables'!$B$16,+'5.Variables'!$N28,+IF(J$18='5.Variables'!$B$39,+'5.Variables'!$N51,+IF(J$18='5.Variables'!$B$62,+'5.Variables'!$N65,+IF(J$18='5.Variables'!$B$76,+'5.Variables'!$N79,+IF(J$18='5.Variables'!$B$90,+'5.Variables'!$N93,+IF(J$18='5.Variables'!$B$104,+'5.Variables'!$N107,0))))))</f>
        <v>535.79999999999995</v>
      </c>
      <c r="K43" s="667">
        <f>IF(K$18='5.Variables'!$B$16,+'5.Variables'!$N27,+IF(K$18='5.Variables'!$B$39,+'5.Variables'!$N51,+IF(K$18='5.Variables'!$B$62,+'5.Variables'!$N65,+IF(K$18='5.Variables'!$B$76,+'5.Variables'!$N79,+IF(K$18='5.Variables'!$B$90,+'5.Variables'!$N93,+IF(K$18='5.Variables'!$B$104,+'5.Variables'!$N107,0))))))</f>
        <v>0</v>
      </c>
      <c r="L43" s="667">
        <f>IF(L$18='5.Variables'!$B$16,+'5.Variables'!$N27,+IF(L$18='5.Variables'!$B$39,+'5.Variables'!$N51,+IF(L$18='5.Variables'!$B$62,+'5.Variables'!$N65,+IF(L$18='5.Variables'!$B$76,+'5.Variables'!$N79,+IF(L$18='5.Variables'!$B$90,+'5.Variables'!$N93,+IF(L$18='5.Variables'!$B$104,+'5.Variables'!$N107,0))))))</f>
        <v>31</v>
      </c>
      <c r="M43" s="667">
        <f>IF(M$18='5.Variables'!$B$16,+'5.Variables'!$N27,+IF(M$18='5.Variables'!$B$39,+'5.Variables'!$N51,+IF(M$18='5.Variables'!$B$62,+'5.Variables'!$N65,+IF(M$18='5.Variables'!$B$76,+'5.Variables'!$N79,+IF(M$18='5.Variables'!$B$90,+'5.Variables'!$N93,+IF(M$18='5.Variables'!$B$104,+'5.Variables'!$N107,0))))))</f>
        <v>336</v>
      </c>
      <c r="N43" s="667">
        <f>IF(N$18='5.Variables'!$B$16,+'5.Variables'!$N27,+IF(N$18='5.Variables'!$B$39,+'5.Variables'!$N51,+IF(N$18='5.Variables'!$B$62,+'5.Variables'!$N65,+IF(N$18='5.Variables'!$B$76,+'5.Variables'!$N79,+IF(N$18='5.Variables'!$B$90,+'5.Variables'!$N93,+IF(N$18='5.Variables'!$B$104,+'5.Variables'!$N107,0))))))</f>
        <v>0</v>
      </c>
      <c r="O43" s="1052">
        <v>9772</v>
      </c>
      <c r="P43" s="232"/>
      <c r="Q43" s="530">
        <f t="shared" si="0"/>
        <v>22555389.594415899</v>
      </c>
      <c r="R43" s="250">
        <f>SUM(Q32:Q43)</f>
        <v>254793336.5537082</v>
      </c>
      <c r="S43" s="232"/>
      <c r="T43"/>
      <c r="U43"/>
      <c r="V43"/>
      <c r="W43"/>
      <c r="X43"/>
      <c r="Y43"/>
      <c r="Z43"/>
      <c r="AA43"/>
      <c r="AB43"/>
      <c r="AC43" s="248"/>
      <c r="AD43" s="232"/>
      <c r="AE43" s="232"/>
      <c r="AF43" s="232"/>
      <c r="AG43" s="232"/>
      <c r="AH43" s="232"/>
      <c r="AI43" s="232"/>
      <c r="AJ43" s="232"/>
      <c r="AK43" s="232"/>
      <c r="AL43" s="232"/>
    </row>
    <row r="44" spans="1:38">
      <c r="A44" s="484">
        <f t="shared" si="1"/>
        <v>25</v>
      </c>
      <c r="B44" s="985" t="str">
        <f>CONCATENATE('3. Consumption by Rate Class'!B49,"-",'3. Consumption by Rate Class'!C49)</f>
        <v>2013-January</v>
      </c>
      <c r="C44" s="982">
        <v>24525821</v>
      </c>
      <c r="D44" s="983"/>
      <c r="E44" s="984"/>
      <c r="F44" s="984"/>
      <c r="G44" s="989"/>
      <c r="H44" s="989"/>
      <c r="I44" s="530">
        <f t="shared" si="2"/>
        <v>24525821</v>
      </c>
      <c r="J44" s="667">
        <f>IF(J$18='5.Variables'!$B$16,+'5.Variables'!$C29,+IF(J$18='5.Variables'!$B$39,+'5.Variables'!$C52,+IF(J$18='5.Variables'!$B$62,+'5.Variables'!$C66,+IF(J$18='5.Variables'!$B$76,+'5.Variables'!$C80,+IF(J$18='5.Variables'!$B$90,+'5.Variables'!$C94,+IF(J$18='5.Variables'!$B$104,+'5.Variables'!$C108,0))))))</f>
        <v>649.6</v>
      </c>
      <c r="K44" s="667">
        <f>IF(K$18='5.Variables'!$B$16,+'5.Variables'!$C28,+IF(K$18='5.Variables'!$B$39,+'5.Variables'!$C52,+IF(K$18='5.Variables'!$B$62,+'5.Variables'!$C66,+IF(K$18='5.Variables'!$B$76,+'5.Variables'!$C80,+IF(K$18='5.Variables'!$B$90,+'5.Variables'!$C94,+IF(K$18='5.Variables'!$B$104,+'5.Variables'!$C108,0))))))</f>
        <v>0</v>
      </c>
      <c r="L44" s="667">
        <f>IF(L$18='5.Variables'!$B$16,+'5.Variables'!$C28,+IF(L$18='5.Variables'!$B$39,+'5.Variables'!$C52,+IF(L$18='5.Variables'!$B$62,+'5.Variables'!$C66,+IF(L$18='5.Variables'!$B$76,+'5.Variables'!$C80,+IF(L$18='5.Variables'!$B$90,+'5.Variables'!$C94,+IF(L$18='5.Variables'!$B$104,+'5.Variables'!$C108,0))))))</f>
        <v>31</v>
      </c>
      <c r="M44" s="667">
        <f>IF(M$18='5.Variables'!$B$16,+'5.Variables'!$C28,+IF(M$18='5.Variables'!$B$39,+'5.Variables'!$C52,+IF(M$18='5.Variables'!$B$62,+'5.Variables'!$C66,+IF(M$18='5.Variables'!$B$76,+'5.Variables'!$C80,+IF(M$18='5.Variables'!$B$90,+'5.Variables'!$C94,+IF(M$18='5.Variables'!$B$104,+'5.Variables'!$C108,0))))))</f>
        <v>352</v>
      </c>
      <c r="N44" s="667">
        <f>IF(N$18='5.Variables'!$B$16,+'5.Variables'!$C28,+IF(N$18='5.Variables'!$B$39,+'5.Variables'!$C52,+IF(N$18='5.Variables'!$B$62,+'5.Variables'!$C66,+IF(N$18='5.Variables'!$B$76,+'5.Variables'!$C80,+IF(N$18='5.Variables'!$B$90,+'5.Variables'!$C94,+IF(N$18='5.Variables'!$B$104,+'5.Variables'!$C108,0))))))</f>
        <v>0</v>
      </c>
      <c r="O44" s="1052">
        <v>9780</v>
      </c>
      <c r="P44" s="232"/>
      <c r="Q44" s="530">
        <f t="shared" si="0"/>
        <v>23421414.999001365</v>
      </c>
      <c r="R44" s="250"/>
      <c r="S44" s="232"/>
      <c r="T44" s="251" t="s">
        <v>163</v>
      </c>
      <c r="U44" s="246"/>
      <c r="V44" s="246"/>
      <c r="W44" s="246"/>
      <c r="X44" s="246"/>
      <c r="Y44" s="246"/>
      <c r="Z44" s="246"/>
      <c r="AA44" s="246"/>
      <c r="AB44" s="246"/>
      <c r="AC44" s="248"/>
      <c r="AD44" s="232"/>
      <c r="AE44" s="232"/>
      <c r="AF44" s="232"/>
      <c r="AG44" s="232"/>
      <c r="AH44" s="232"/>
      <c r="AI44" s="232"/>
      <c r="AJ44" s="232"/>
      <c r="AK44" s="232"/>
      <c r="AL44" s="232"/>
    </row>
    <row r="45" spans="1:38">
      <c r="A45" s="484">
        <f t="shared" si="1"/>
        <v>26</v>
      </c>
      <c r="B45" s="985" t="str">
        <f>CONCATENATE('3. Consumption by Rate Class'!B50,"-",'3. Consumption by Rate Class'!C50)</f>
        <v>2013-February</v>
      </c>
      <c r="C45" s="982">
        <v>22406076</v>
      </c>
      <c r="D45" s="983"/>
      <c r="E45" s="984"/>
      <c r="F45" s="984"/>
      <c r="G45" s="989"/>
      <c r="H45" s="989"/>
      <c r="I45" s="530">
        <f t="shared" si="2"/>
        <v>22406076</v>
      </c>
      <c r="J45" s="667">
        <f>IF(J$18='5.Variables'!$B$16,+'5.Variables'!$D29,+IF(J$18='5.Variables'!$B$39,+'5.Variables'!$D52,+IF(J$18='5.Variables'!$B$62,+'5.Variables'!$D66,+IF(J$18='5.Variables'!$B$76,+'5.Variables'!$D80,+IF(J$18='5.Variables'!$B$90,+'5.Variables'!$D94,+IF(J$18='5.Variables'!$B$104,+'5.Variables'!$D108,0))))))</f>
        <v>633.29999999999995</v>
      </c>
      <c r="K45" s="667">
        <f>IF(K$18='5.Variables'!$B$16,+'5.Variables'!$D28,+IF(K$18='5.Variables'!$B$39,+'5.Variables'!$D52,+IF(K$18='5.Variables'!$B$62,+'5.Variables'!$D66,+IF(K$18='5.Variables'!$B$76,+'5.Variables'!$D80,+IF(K$18='5.Variables'!$B$90,+'5.Variables'!$D94,+IF(K$18='5.Variables'!$B$104,+'5.Variables'!$D108,0))))))</f>
        <v>0</v>
      </c>
      <c r="L45" s="667">
        <f>IF(L$18='5.Variables'!$B$16,+'5.Variables'!$D28,+IF(L$18='5.Variables'!$B$39,+'5.Variables'!$D52,+IF(L$18='5.Variables'!$B$62,+'5.Variables'!$D66,+IF(L$18='5.Variables'!$B$76,+'5.Variables'!$D80,+IF(L$18='5.Variables'!$B$90,+'5.Variables'!$D94,+IF(L$18='5.Variables'!$B$104,+'5.Variables'!$D108,0))))))</f>
        <v>28</v>
      </c>
      <c r="M45" s="667">
        <f>IF(M$18='5.Variables'!$B$16,+'5.Variables'!$D28,+IF(M$18='5.Variables'!$B$39,+'5.Variables'!$D52,+IF(M$18='5.Variables'!$B$62,+'5.Variables'!$D66,+IF(M$18='5.Variables'!$B$76,+'5.Variables'!$D80,+IF(M$18='5.Variables'!$B$90,+'5.Variables'!$D94,+IF(M$18='5.Variables'!$B$104,+'5.Variables'!$D108,0))))))</f>
        <v>304</v>
      </c>
      <c r="N45" s="667">
        <f>IF(N$18='5.Variables'!$B$16,+'5.Variables'!$D28,+IF(N$18='5.Variables'!$B$39,+'5.Variables'!$D52,+IF(N$18='5.Variables'!$B$62,+'5.Variables'!$D66,+IF(N$18='5.Variables'!$B$76,+'5.Variables'!$D80,+IF(N$18='5.Variables'!$B$90,+'5.Variables'!$D94,+IF(N$18='5.Variables'!$B$104,+'5.Variables'!$D108,0))))))</f>
        <v>0</v>
      </c>
      <c r="O45" s="1052">
        <v>9792</v>
      </c>
      <c r="P45" s="232"/>
      <c r="Q45" s="530">
        <f t="shared" si="0"/>
        <v>21838555.155046843</v>
      </c>
      <c r="R45" s="250"/>
      <c r="S45" s="232"/>
      <c r="T45" s="1046" t="s">
        <v>33</v>
      </c>
      <c r="U45" s="1046" t="s">
        <v>270</v>
      </c>
      <c r="V45" s="1046" t="s">
        <v>271</v>
      </c>
      <c r="W45" s="1046" t="s">
        <v>272</v>
      </c>
      <c r="X45" s="1046" t="s">
        <v>271</v>
      </c>
      <c r="Y45" s="1046" t="s">
        <v>273</v>
      </c>
      <c r="Z45" s="232"/>
      <c r="AA45" s="232"/>
      <c r="AB45" s="232"/>
      <c r="AC45" s="248"/>
      <c r="AD45" s="232"/>
      <c r="AE45" s="232"/>
      <c r="AF45" s="232"/>
      <c r="AG45" s="232"/>
      <c r="AH45" s="232"/>
      <c r="AI45" s="232"/>
      <c r="AJ45" s="232"/>
      <c r="AK45" s="232"/>
      <c r="AL45" s="232"/>
    </row>
    <row r="46" spans="1:38">
      <c r="A46" s="484">
        <f t="shared" si="1"/>
        <v>27</v>
      </c>
      <c r="B46" s="985" t="str">
        <f>CONCATENATE('3. Consumption by Rate Class'!B51,"-",'3. Consumption by Rate Class'!C51)</f>
        <v>2013-March</v>
      </c>
      <c r="C46" s="982">
        <v>22949758</v>
      </c>
      <c r="D46" s="983"/>
      <c r="E46" s="984"/>
      <c r="F46" s="984"/>
      <c r="G46" s="989"/>
      <c r="H46" s="989"/>
      <c r="I46" s="530">
        <f t="shared" si="2"/>
        <v>22949758</v>
      </c>
      <c r="J46" s="667">
        <f>IF(J$18='5.Variables'!$B$16,+'5.Variables'!$E29,+IF(J$18='5.Variables'!$B$39,+'5.Variables'!$E52,+IF(J$18='5.Variables'!$B$62,+'5.Variables'!$E66,+IF(J$18='5.Variables'!$B$76,+'5.Variables'!$E80,+IF(J$18='5.Variables'!$B$90,+'5.Variables'!$E94,+IF(J$18='5.Variables'!$B$104,+'5.Variables'!$E108,0))))))</f>
        <v>556.1</v>
      </c>
      <c r="K46" s="667">
        <f>IF(K$18='5.Variables'!$B$16,+'5.Variables'!$E28,+IF(K$18='5.Variables'!$B$39,+'5.Variables'!$E52,+IF(K$18='5.Variables'!$B$62,+'5.Variables'!$E66,+IF(K$18='5.Variables'!$B$76,+'5.Variables'!$E80,+IF(K$18='5.Variables'!$B$90,+'5.Variables'!$E94,+IF(K$18='5.Variables'!$B$104,+'5.Variables'!$E108,0))))))</f>
        <v>0</v>
      </c>
      <c r="L46" s="667">
        <f>IF(L$18='5.Variables'!$B$16,+'5.Variables'!$E28,+IF(L$18='5.Variables'!$B$39,+'5.Variables'!$E52,+IF(L$18='5.Variables'!$B$62,+'5.Variables'!$E66,+IF(L$18='5.Variables'!$B$76,+'5.Variables'!$E80,+IF(L$18='5.Variables'!$B$90,+'5.Variables'!$E94,+IF(L$18='5.Variables'!$B$104,+'5.Variables'!$E108,0))))))</f>
        <v>31</v>
      </c>
      <c r="M46" s="667">
        <f>IF(M$18='5.Variables'!$B$16,+'5.Variables'!$E28,+IF(M$18='5.Variables'!$B$39,+'5.Variables'!$E52,+IF(M$18='5.Variables'!$B$62,+'5.Variables'!$E66,+IF(M$18='5.Variables'!$B$76,+'5.Variables'!$E80,+IF(M$18='5.Variables'!$B$90,+'5.Variables'!$E94,+IF(M$18='5.Variables'!$B$104,+'5.Variables'!$E108,0))))))</f>
        <v>320</v>
      </c>
      <c r="N46" s="667">
        <f>IF(N$18='5.Variables'!$B$16,+'5.Variables'!$E28,+IF(N$18='5.Variables'!$B$39,+'5.Variables'!$E52,+IF(N$18='5.Variables'!$B$62,+'5.Variables'!$E66,+IF(N$18='5.Variables'!$B$76,+'5.Variables'!$E80,+IF(N$18='5.Variables'!$B$90,+'5.Variables'!$E94,+IF(N$18='5.Variables'!$B$104,+'5.Variables'!$E108,0))))))</f>
        <v>1</v>
      </c>
      <c r="O46" s="1052">
        <v>9796</v>
      </c>
      <c r="P46" s="232"/>
      <c r="Q46" s="530">
        <f t="shared" si="0"/>
        <v>21903500.218369044</v>
      </c>
      <c r="R46" s="250"/>
      <c r="S46" s="232"/>
      <c r="T46" s="1043">
        <f>'4. Customer Growth'!B17</f>
        <v>2011</v>
      </c>
      <c r="U46" s="1058">
        <f>SUM(I20:I31)</f>
        <v>262348777</v>
      </c>
      <c r="V46" s="1044"/>
      <c r="W46" s="1058">
        <f>R31</f>
        <v>254409161.08035713</v>
      </c>
      <c r="X46" s="1044"/>
      <c r="Y46" s="1045">
        <f t="shared" ref="Y46:Y55" si="3">(W46-U46)/U46</f>
        <v>-3.0263590364070444E-2</v>
      </c>
      <c r="Z46" s="232"/>
      <c r="AA46" s="232"/>
      <c r="AB46" s="232"/>
      <c r="AC46" s="248"/>
      <c r="AD46" s="232"/>
      <c r="AE46" s="232"/>
      <c r="AF46" s="232"/>
      <c r="AG46" s="232"/>
      <c r="AH46" s="232"/>
      <c r="AI46" s="232"/>
      <c r="AJ46" s="232"/>
      <c r="AK46" s="232"/>
      <c r="AL46" s="232"/>
    </row>
    <row r="47" spans="1:38">
      <c r="A47" s="484">
        <f t="shared" si="1"/>
        <v>28</v>
      </c>
      <c r="B47" s="985" t="str">
        <f>CONCATENATE('3. Consumption by Rate Class'!B52,"-",'3. Consumption by Rate Class'!C52)</f>
        <v>2013-April</v>
      </c>
      <c r="C47" s="982">
        <v>21342594</v>
      </c>
      <c r="D47" s="983"/>
      <c r="E47" s="984"/>
      <c r="F47" s="984"/>
      <c r="G47" s="989"/>
      <c r="H47" s="989"/>
      <c r="I47" s="530">
        <f t="shared" si="2"/>
        <v>21342594</v>
      </c>
      <c r="J47" s="667">
        <f>IF(J$18='5.Variables'!$B$16,+'5.Variables'!$F29,+IF(J$18='5.Variables'!$B$39,+'5.Variables'!$F52,+IF(J$18='5.Variables'!$B$62,+'5.Variables'!$F66,+IF(J$18='5.Variables'!$B$76,+'5.Variables'!$F80,+IF(J$18='5.Variables'!$B$90,+'5.Variables'!$F94,+IF(J$18='5.Variables'!$B$104,+'5.Variables'!$F108,0))))))</f>
        <v>383.6</v>
      </c>
      <c r="K47" s="667">
        <f>IF(K$18='5.Variables'!$B$16,+'5.Variables'!$F28,+IF(K$18='5.Variables'!$B$39,+'5.Variables'!$F52,+IF(K$18='5.Variables'!$B$62,+'5.Variables'!$F66,+IF(K$18='5.Variables'!$B$76,+'5.Variables'!$F80,+IF(K$18='5.Variables'!$B$90,+'5.Variables'!$F94,+IF(K$18='5.Variables'!$B$104,+'5.Variables'!$F108,0))))))</f>
        <v>0</v>
      </c>
      <c r="L47" s="667">
        <f>IF(L$18='5.Variables'!$B$16,+'5.Variables'!$F28,+IF(L$18='5.Variables'!$B$39,+'5.Variables'!$F52,+IF(L$18='5.Variables'!$B$62,+'5.Variables'!$F66,+IF(L$18='5.Variables'!$B$76,+'5.Variables'!$F80,+IF(L$18='5.Variables'!$B$90,+'5.Variables'!$F94,+IF(L$18='5.Variables'!$B$104,+'5.Variables'!$F108,0))))))</f>
        <v>30</v>
      </c>
      <c r="M47" s="667">
        <f>IF(M$18='5.Variables'!$B$16,+'5.Variables'!$F28,+IF(M$18='5.Variables'!$B$39,+'5.Variables'!$F52,+IF(M$18='5.Variables'!$B$62,+'5.Variables'!$F66,+IF(M$18='5.Variables'!$B$76,+'5.Variables'!$F80,+IF(M$18='5.Variables'!$B$90,+'5.Variables'!$F94,+IF(M$18='5.Variables'!$B$104,+'5.Variables'!$F108,0))))))</f>
        <v>352</v>
      </c>
      <c r="N47" s="667">
        <f>IF(N$18='5.Variables'!$B$16,+'5.Variables'!$F28,+IF(N$18='5.Variables'!$B$39,+'5.Variables'!$F52,+IF(N$18='5.Variables'!$B$62,+'5.Variables'!$F66,+IF(N$18='5.Variables'!$B$76,+'5.Variables'!$F80,+IF(N$18='5.Variables'!$B$90,+'5.Variables'!$F94,+IF(N$18='5.Variables'!$B$104,+'5.Variables'!$F108,0))))))</f>
        <v>1</v>
      </c>
      <c r="O47" s="1052">
        <v>9804</v>
      </c>
      <c r="P47" s="232"/>
      <c r="Q47" s="530">
        <f t="shared" si="0"/>
        <v>20619207.043794025</v>
      </c>
      <c r="R47" s="250"/>
      <c r="S47" s="232"/>
      <c r="T47" s="1043">
        <f>'4. Customer Growth'!B18</f>
        <v>2012</v>
      </c>
      <c r="U47" s="1058">
        <f>SUM(I32:I43)</f>
        <v>264021825</v>
      </c>
      <c r="V47" s="1045">
        <f>(U47-U46)/U46</f>
        <v>6.3771900106856603E-3</v>
      </c>
      <c r="W47" s="1058">
        <f>R43</f>
        <v>254793336.5537082</v>
      </c>
      <c r="X47" s="1045">
        <f>(W47-W46)/W46</f>
        <v>1.5100693375963631E-3</v>
      </c>
      <c r="Y47" s="1045">
        <f t="shared" si="3"/>
        <v>-3.4953506007663587E-2</v>
      </c>
      <c r="Z47" s="232"/>
      <c r="AA47" s="232"/>
      <c r="AB47" s="232"/>
      <c r="AC47" s="232"/>
      <c r="AD47" s="232"/>
      <c r="AE47" s="232"/>
      <c r="AF47" s="232"/>
      <c r="AG47" s="232"/>
      <c r="AH47" s="232"/>
      <c r="AI47" s="232"/>
      <c r="AJ47" s="232"/>
      <c r="AK47" s="232"/>
      <c r="AL47" s="232"/>
    </row>
    <row r="48" spans="1:38">
      <c r="A48" s="484">
        <f t="shared" si="1"/>
        <v>29</v>
      </c>
      <c r="B48" s="985" t="str">
        <f>CONCATENATE('3. Consumption by Rate Class'!B53,"-",'3. Consumption by Rate Class'!C53)</f>
        <v>2013-May</v>
      </c>
      <c r="C48" s="982">
        <v>19856595</v>
      </c>
      <c r="D48" s="983"/>
      <c r="E48" s="984"/>
      <c r="F48" s="984"/>
      <c r="G48" s="989"/>
      <c r="H48" s="989"/>
      <c r="I48" s="530">
        <f t="shared" si="2"/>
        <v>19856595</v>
      </c>
      <c r="J48" s="667">
        <f>IF(J$18='5.Variables'!$B$16,+'5.Variables'!$G29,+IF(J$18='5.Variables'!$B$39,+'5.Variables'!$G52,+IF(J$18='5.Variables'!$B$62,+'5.Variables'!$G66,+IF(J$18='5.Variables'!$B$76,+'5.Variables'!$G80,+IF(J$18='5.Variables'!$B$90,+'5.Variables'!$G94,+IF(J$18='5.Variables'!$B$104,+'5.Variables'!$G108,0))))))</f>
        <v>171.6</v>
      </c>
      <c r="K48" s="667">
        <f>IF(K$18='5.Variables'!$B$16,+'5.Variables'!$G28,+IF(K$18='5.Variables'!$B$39,+'5.Variables'!$G52,+IF(K$18='5.Variables'!$B$62,+'5.Variables'!$G66,+IF(K$18='5.Variables'!$B$76,+'5.Variables'!$G80,+IF(K$18='5.Variables'!$B$90,+'5.Variables'!$G94,+IF(K$18='5.Variables'!$B$104,+'5.Variables'!$G108,0))))))</f>
        <v>0.1</v>
      </c>
      <c r="L48" s="667">
        <f>IF(L$18='5.Variables'!$B$16,+'5.Variables'!$G28,+IF(L$18='5.Variables'!$B$39,+'5.Variables'!$G52,+IF(L$18='5.Variables'!$B$62,+'5.Variables'!$G66,+IF(L$18='5.Variables'!$B$76,+'5.Variables'!$G80,+IF(L$18='5.Variables'!$B$90,+'5.Variables'!$G94,+IF(L$18='5.Variables'!$B$104,+'5.Variables'!$G108,0))))))</f>
        <v>31</v>
      </c>
      <c r="M48" s="667">
        <f>IF(M$18='5.Variables'!$B$16,+'5.Variables'!$G28,+IF(M$18='5.Variables'!$B$39,+'5.Variables'!$G52,+IF(M$18='5.Variables'!$B$62,+'5.Variables'!$G66,+IF(M$18='5.Variables'!$B$76,+'5.Variables'!$G80,+IF(M$18='5.Variables'!$B$90,+'5.Variables'!$G94,+IF(M$18='5.Variables'!$B$104,+'5.Variables'!$G108,0))))))</f>
        <v>352</v>
      </c>
      <c r="N48" s="667">
        <f>IF(N$18='5.Variables'!$B$16,+'5.Variables'!$G28,+IF(N$18='5.Variables'!$B$39,+'5.Variables'!$G52,+IF(N$18='5.Variables'!$B$62,+'5.Variables'!$G66,+IF(N$18='5.Variables'!$B$76,+'5.Variables'!$G80,+IF(N$18='5.Variables'!$B$90,+'5.Variables'!$G94,+IF(N$18='5.Variables'!$B$104,+'5.Variables'!$G108,0))))))</f>
        <v>1</v>
      </c>
      <c r="O48" s="1052">
        <v>9820</v>
      </c>
      <c r="P48" s="232"/>
      <c r="Q48" s="530">
        <f t="shared" si="0"/>
        <v>19601080.584855471</v>
      </c>
      <c r="R48" s="250"/>
      <c r="S48" s="232"/>
      <c r="T48" s="1043">
        <f>'4. Customer Growth'!B19</f>
        <v>2013</v>
      </c>
      <c r="U48" s="1058">
        <f>SUM(I44:I55)</f>
        <v>257528109</v>
      </c>
      <c r="V48" s="1045">
        <f t="shared" ref="V48:X55" si="4">(U48-U47)/U47</f>
        <v>-2.459537578001364E-2</v>
      </c>
      <c r="W48" s="1058">
        <f>R55</f>
        <v>253261076.70423049</v>
      </c>
      <c r="X48" s="1045">
        <f t="shared" si="4"/>
        <v>-6.0137359563746731E-3</v>
      </c>
      <c r="Y48" s="1045">
        <f t="shared" si="3"/>
        <v>-1.6569190494733578E-2</v>
      </c>
      <c r="Z48" s="232"/>
      <c r="AA48" s="232"/>
      <c r="AB48" s="232"/>
      <c r="AC48" s="232"/>
      <c r="AD48" s="232"/>
      <c r="AE48" s="232"/>
      <c r="AF48" s="232"/>
      <c r="AG48" s="232"/>
      <c r="AH48" s="232"/>
      <c r="AI48" s="232"/>
      <c r="AJ48" s="232"/>
      <c r="AK48" s="232"/>
      <c r="AL48" s="232"/>
    </row>
    <row r="49" spans="1:38">
      <c r="A49" s="484">
        <f t="shared" si="1"/>
        <v>30</v>
      </c>
      <c r="B49" s="985" t="str">
        <f>CONCATENATE('3. Consumption by Rate Class'!B54,"-",'3. Consumption by Rate Class'!C54)</f>
        <v>2013-June</v>
      </c>
      <c r="C49" s="982">
        <v>19952203</v>
      </c>
      <c r="D49" s="983"/>
      <c r="E49" s="984"/>
      <c r="F49" s="984"/>
      <c r="G49" s="989"/>
      <c r="H49" s="989"/>
      <c r="I49" s="530">
        <f t="shared" si="2"/>
        <v>19952203</v>
      </c>
      <c r="J49" s="667">
        <f>IF(J$18='5.Variables'!$B$16,+'5.Variables'!$H29,+IF(J$18='5.Variables'!$B$39,+'5.Variables'!$H52,+IF(J$18='5.Variables'!$B$62,+'5.Variables'!$H66,+IF(J$18='5.Variables'!$B$76,+'5.Variables'!$H80,+IF(J$18='5.Variables'!$B$90,+'5.Variables'!$H94,+IF(J$18='5.Variables'!$B$104,+'5.Variables'!$H108,0))))))</f>
        <v>67.099999999999994</v>
      </c>
      <c r="K49" s="667">
        <f>IF(K$18='5.Variables'!$B$16,+'5.Variables'!$H28,+IF(K$18='5.Variables'!$B$39,+'5.Variables'!$H52,+IF(K$18='5.Variables'!$B$62,+'5.Variables'!$H66,+IF(K$18='5.Variables'!$B$76,+'5.Variables'!$H80,+IF(K$18='5.Variables'!$B$90,+'5.Variables'!$H94,+IF(K$18='5.Variables'!$B$104,+'5.Variables'!$H108,0))))))</f>
        <v>13.3</v>
      </c>
      <c r="L49" s="667">
        <f>IF(L$18='5.Variables'!$B$16,+'5.Variables'!$H28,+IF(L$18='5.Variables'!$B$39,+'5.Variables'!$H52,+IF(L$18='5.Variables'!$B$62,+'5.Variables'!$H66,+IF(L$18='5.Variables'!$B$76,+'5.Variables'!$H80,+IF(L$18='5.Variables'!$B$90,+'5.Variables'!$H94,+IF(L$18='5.Variables'!$B$104,+'5.Variables'!$H108,0))))))</f>
        <v>30</v>
      </c>
      <c r="M49" s="667">
        <f>IF(M$18='5.Variables'!$B$16,+'5.Variables'!$H28,+IF(M$18='5.Variables'!$B$39,+'5.Variables'!$H52,+IF(M$18='5.Variables'!$B$62,+'5.Variables'!$H66,+IF(M$18='5.Variables'!$B$76,+'5.Variables'!$H80,+IF(M$18='5.Variables'!$B$90,+'5.Variables'!$H94,+IF(M$18='5.Variables'!$B$104,+'5.Variables'!$H108,0))))))</f>
        <v>320</v>
      </c>
      <c r="N49" s="667">
        <f>IF(N$18='5.Variables'!$B$16,+'5.Variables'!$H28,+IF(N$18='5.Variables'!$B$39,+'5.Variables'!$H52,+IF(N$18='5.Variables'!$B$62,+'5.Variables'!$H66,+IF(N$18='5.Variables'!$B$76,+'5.Variables'!$H80,+IF(N$18='5.Variables'!$B$90,+'5.Variables'!$H94,+IF(N$18='5.Variables'!$B$104,+'5.Variables'!$H108,0))))))</f>
        <v>0</v>
      </c>
      <c r="O49" s="1052">
        <v>9832</v>
      </c>
      <c r="P49" s="232"/>
      <c r="Q49" s="530">
        <f t="shared" si="0"/>
        <v>19502847.881378815</v>
      </c>
      <c r="R49" s="250"/>
      <c r="S49" s="232"/>
      <c r="T49" s="1043">
        <f>'4. Customer Growth'!B20</f>
        <v>2014</v>
      </c>
      <c r="U49" s="1058">
        <f>SUM(I56:I67)</f>
        <v>250323660.07999995</v>
      </c>
      <c r="V49" s="1045">
        <f t="shared" si="4"/>
        <v>-2.79753885817569E-2</v>
      </c>
      <c r="W49" s="1058">
        <f>R67</f>
        <v>252761267.78320035</v>
      </c>
      <c r="X49" s="1045">
        <f t="shared" si="4"/>
        <v>-1.9734928380401424E-3</v>
      </c>
      <c r="Y49" s="1045">
        <f t="shared" si="3"/>
        <v>9.737823833437775E-3</v>
      </c>
      <c r="Z49" s="232"/>
      <c r="AA49" s="232"/>
      <c r="AB49" s="232"/>
      <c r="AC49" s="232"/>
      <c r="AD49" s="232"/>
      <c r="AE49" s="232"/>
      <c r="AF49" s="232"/>
      <c r="AG49" s="232"/>
      <c r="AH49" s="232"/>
      <c r="AI49" s="232"/>
      <c r="AJ49" s="232"/>
      <c r="AK49" s="232"/>
      <c r="AL49" s="232"/>
    </row>
    <row r="50" spans="1:38">
      <c r="A50" s="484">
        <f t="shared" si="1"/>
        <v>31</v>
      </c>
      <c r="B50" s="985" t="str">
        <f>CONCATENATE('3. Consumption by Rate Class'!B55,"-",'3. Consumption by Rate Class'!C55)</f>
        <v>2013-July</v>
      </c>
      <c r="C50" s="982">
        <v>22595752</v>
      </c>
      <c r="D50" s="983"/>
      <c r="E50" s="984"/>
      <c r="F50" s="984"/>
      <c r="G50" s="989"/>
      <c r="H50" s="989"/>
      <c r="I50" s="530">
        <f t="shared" si="2"/>
        <v>22595752</v>
      </c>
      <c r="J50" s="667">
        <f>IF(J$18='5.Variables'!$B$16,+'5.Variables'!$I29,+IF(J$18='5.Variables'!$B$39,+'5.Variables'!$I52,+IF(J$18='5.Variables'!$B$62,+'5.Variables'!$I66,+IF(J$18='5.Variables'!$B$76,+'5.Variables'!$I80,+IF(J$18='5.Variables'!$B$90,+'5.Variables'!$I94,+IF(J$18='5.Variables'!$B$104,+'5.Variables'!$I108,0))))))</f>
        <v>9.3000000000000007</v>
      </c>
      <c r="K50" s="667">
        <f>IF(K$18='5.Variables'!$B$16,+'5.Variables'!$I28,+IF(K$18='5.Variables'!$B$39,+'5.Variables'!$I52,+IF(K$18='5.Variables'!$B$62,+'5.Variables'!$I66,+IF(K$18='5.Variables'!$B$76,+'5.Variables'!$I80,+IF(K$18='5.Variables'!$B$90,+'5.Variables'!$I94,+IF(K$18='5.Variables'!$B$104,+'5.Variables'!$I108,0))))))</f>
        <v>72</v>
      </c>
      <c r="L50" s="667">
        <f>IF(L$18='5.Variables'!$B$16,+'5.Variables'!$I28,+IF(L$18='5.Variables'!$B$39,+'5.Variables'!$I52,+IF(L$18='5.Variables'!$B$62,+'5.Variables'!$I66,+IF(L$18='5.Variables'!$B$76,+'5.Variables'!$I80,+IF(L$18='5.Variables'!$B$90,+'5.Variables'!$I94,+IF(L$18='5.Variables'!$B$104,+'5.Variables'!$I108,0))))))</f>
        <v>31</v>
      </c>
      <c r="M50" s="667">
        <f>IF(M$18='5.Variables'!$B$16,+'5.Variables'!$I28,+IF(M$18='5.Variables'!$B$39,+'5.Variables'!$I52,+IF(M$18='5.Variables'!$B$62,+'5.Variables'!$I66,+IF(M$18='5.Variables'!$B$76,+'5.Variables'!$I80,+IF(M$18='5.Variables'!$B$90,+'5.Variables'!$I94,+IF(M$18='5.Variables'!$B$104,+'5.Variables'!$I108,0))))))</f>
        <v>352</v>
      </c>
      <c r="N50" s="667">
        <f>IF(N$18='5.Variables'!$B$16,+'5.Variables'!$I28,+IF(N$18='5.Variables'!$B$39,+'5.Variables'!$I52,+IF(N$18='5.Variables'!$B$62,+'5.Variables'!$I66,+IF(N$18='5.Variables'!$B$76,+'5.Variables'!$I80,+IF(N$18='5.Variables'!$B$90,+'5.Variables'!$I94,+IF(N$18='5.Variables'!$B$104,+'5.Variables'!$I108,0))))))</f>
        <v>0</v>
      </c>
      <c r="O50" s="1052">
        <v>9841</v>
      </c>
      <c r="P50" s="232"/>
      <c r="Q50" s="530">
        <f t="shared" si="0"/>
        <v>22074421.91549129</v>
      </c>
      <c r="R50" s="250"/>
      <c r="S50" s="232"/>
      <c r="T50" s="1043">
        <f>'4. Customer Growth'!B21</f>
        <v>2015</v>
      </c>
      <c r="U50" s="1058">
        <f>SUM(I68:I79)</f>
        <v>248042590.17000005</v>
      </c>
      <c r="V50" s="1045">
        <f t="shared" si="4"/>
        <v>-9.112482253059535E-3</v>
      </c>
      <c r="W50" s="1058">
        <f>R79</f>
        <v>253070139.99597791</v>
      </c>
      <c r="X50" s="1045">
        <f t="shared" si="4"/>
        <v>1.2219918640481041E-3</v>
      </c>
      <c r="Y50" s="1045">
        <f t="shared" si="3"/>
        <v>2.0268897460440759E-2</v>
      </c>
      <c r="Z50" s="232"/>
      <c r="AA50" s="232"/>
      <c r="AB50" s="232"/>
      <c r="AC50" s="232"/>
      <c r="AD50" s="232"/>
      <c r="AE50" s="232"/>
      <c r="AF50" s="232"/>
      <c r="AG50" s="232"/>
      <c r="AH50" s="232"/>
      <c r="AI50" s="232"/>
      <c r="AJ50" s="232"/>
      <c r="AK50" s="232"/>
      <c r="AL50" s="232"/>
    </row>
    <row r="51" spans="1:38">
      <c r="A51" s="484">
        <f t="shared" si="1"/>
        <v>32</v>
      </c>
      <c r="B51" s="985" t="str">
        <f>CONCATENATE('3. Consumption by Rate Class'!B56,"-",'3. Consumption by Rate Class'!C56)</f>
        <v>2013-August</v>
      </c>
      <c r="C51" s="982">
        <v>20483499</v>
      </c>
      <c r="D51" s="983"/>
      <c r="E51" s="984"/>
      <c r="F51" s="984"/>
      <c r="G51" s="989"/>
      <c r="H51" s="989"/>
      <c r="I51" s="530">
        <f t="shared" si="2"/>
        <v>20483499</v>
      </c>
      <c r="J51" s="667">
        <f>IF(J$18='5.Variables'!$B$16,+'5.Variables'!$J29,+IF(J$18='5.Variables'!$B$39,+'5.Variables'!$J52,+IF(J$18='5.Variables'!$B$62,+'5.Variables'!$J66,+IF(J$18='5.Variables'!$B$76,+'5.Variables'!$J80,+IF(J$18='5.Variables'!$B$90,+'5.Variables'!$J94,+IF(J$18='5.Variables'!$B$104,+'5.Variables'!$J108,0))))))</f>
        <v>18.5</v>
      </c>
      <c r="K51" s="667">
        <f>IF(K$18='5.Variables'!$B$16,+'5.Variables'!$J28,+IF(K$18='5.Variables'!$B$39,+'5.Variables'!$J52,+IF(K$18='5.Variables'!$B$62,+'5.Variables'!$J66,+IF(K$18='5.Variables'!$B$76,+'5.Variables'!$J80,+IF(K$18='5.Variables'!$B$90,+'5.Variables'!$J94,+IF(K$18='5.Variables'!$B$104,+'5.Variables'!$J108,0))))))</f>
        <v>40.6</v>
      </c>
      <c r="L51" s="667">
        <f>IF(L$18='5.Variables'!$B$16,+'5.Variables'!$J28,+IF(L$18='5.Variables'!$B$39,+'5.Variables'!$J52,+IF(L$18='5.Variables'!$B$62,+'5.Variables'!$J66,+IF(L$18='5.Variables'!$B$76,+'5.Variables'!$J80,+IF(L$18='5.Variables'!$B$90,+'5.Variables'!$J94,+IF(L$18='5.Variables'!$B$104,+'5.Variables'!$J108,0))))))</f>
        <v>31</v>
      </c>
      <c r="M51" s="667">
        <f>IF(M$18='5.Variables'!$B$16,+'5.Variables'!$J28,+IF(M$18='5.Variables'!$B$39,+'5.Variables'!$J52,+IF(M$18='5.Variables'!$B$62,+'5.Variables'!$J66,+IF(M$18='5.Variables'!$B$76,+'5.Variables'!$J80,+IF(M$18='5.Variables'!$B$90,+'5.Variables'!$J94,+IF(M$18='5.Variables'!$B$104,+'5.Variables'!$J108,0))))))</f>
        <v>336</v>
      </c>
      <c r="N51" s="667">
        <f>IF(N$18='5.Variables'!$B$16,+'5.Variables'!$J28,+IF(N$18='5.Variables'!$B$39,+'5.Variables'!$J52,+IF(N$18='5.Variables'!$B$62,+'5.Variables'!$J66,+IF(N$18='5.Variables'!$B$76,+'5.Variables'!$J80,+IF(N$18='5.Variables'!$B$90,+'5.Variables'!$J94,+IF(N$18='5.Variables'!$B$104,+'5.Variables'!$J108,0))))))</f>
        <v>0</v>
      </c>
      <c r="O51" s="1052">
        <v>9840</v>
      </c>
      <c r="P51" s="232"/>
      <c r="Q51" s="530">
        <f t="shared" si="0"/>
        <v>20765025.475324068</v>
      </c>
      <c r="R51" s="250"/>
      <c r="S51" s="232"/>
      <c r="T51" s="1043">
        <f>'4. Customer Growth'!B22</f>
        <v>2016</v>
      </c>
      <c r="U51" s="1058">
        <f>SUM(I80:I91)</f>
        <v>245731772.13</v>
      </c>
      <c r="V51" s="1045">
        <f t="shared" si="4"/>
        <v>-9.3162147614097007E-3</v>
      </c>
      <c r="W51" s="1058">
        <f>R91</f>
        <v>252375485.51351339</v>
      </c>
      <c r="X51" s="1045">
        <f t="shared" si="4"/>
        <v>-2.7449089113222224E-3</v>
      </c>
      <c r="Y51" s="1045">
        <f t="shared" si="3"/>
        <v>2.7036444355264949E-2</v>
      </c>
      <c r="Z51" s="232"/>
      <c r="AA51" s="232"/>
      <c r="AB51" s="232"/>
      <c r="AC51" s="232"/>
      <c r="AD51" s="232"/>
      <c r="AE51" s="232"/>
      <c r="AF51" s="232"/>
      <c r="AG51" s="232"/>
      <c r="AH51" s="232"/>
      <c r="AI51" s="232"/>
      <c r="AJ51" s="232"/>
      <c r="AK51" s="232"/>
      <c r="AL51" s="232"/>
    </row>
    <row r="52" spans="1:38">
      <c r="A52" s="484">
        <f t="shared" si="1"/>
        <v>33</v>
      </c>
      <c r="B52" s="985" t="str">
        <f>CONCATENATE('3. Consumption by Rate Class'!B57,"-",'3. Consumption by Rate Class'!C57)</f>
        <v>2013-September</v>
      </c>
      <c r="C52" s="982">
        <v>18849394</v>
      </c>
      <c r="D52" s="983"/>
      <c r="E52" s="984"/>
      <c r="F52" s="984"/>
      <c r="G52" s="989"/>
      <c r="H52" s="989"/>
      <c r="I52" s="530">
        <f t="shared" si="2"/>
        <v>18849394</v>
      </c>
      <c r="J52" s="667">
        <f>IF(J$18='5.Variables'!$B$16,+'5.Variables'!$K29,+IF(J$18='5.Variables'!$B$39,+'5.Variables'!$K52,+IF(J$18='5.Variables'!$B$62,+'5.Variables'!$K66,+IF(J$18='5.Variables'!$B$76,+'5.Variables'!$K80,+IF(J$18='5.Variables'!$B$90,+'5.Variables'!$K94,+IF(J$18='5.Variables'!$B$104,+'5.Variables'!$K108,0))))))</f>
        <v>110.4</v>
      </c>
      <c r="K52" s="667">
        <f>IF(K$18='5.Variables'!$B$16,+'5.Variables'!$K28,+IF(K$18='5.Variables'!$B$39,+'5.Variables'!$K52,+IF(K$18='5.Variables'!$B$62,+'5.Variables'!$K66,+IF(K$18='5.Variables'!$B$76,+'5.Variables'!$K80,+IF(K$18='5.Variables'!$B$90,+'5.Variables'!$K94,+IF(K$18='5.Variables'!$B$104,+'5.Variables'!$K108,0))))))</f>
        <v>14.5</v>
      </c>
      <c r="L52" s="667">
        <f>IF(L$18='5.Variables'!$B$16,+'5.Variables'!$K28,+IF(L$18='5.Variables'!$B$39,+'5.Variables'!$K52,+IF(L$18='5.Variables'!$B$62,+'5.Variables'!$K66,+IF(L$18='5.Variables'!$B$76,+'5.Variables'!$K80,+IF(L$18='5.Variables'!$B$90,+'5.Variables'!$K94,+IF(L$18='5.Variables'!$B$104,+'5.Variables'!$K108,0))))))</f>
        <v>30</v>
      </c>
      <c r="M52" s="667">
        <f>IF(M$18='5.Variables'!$B$16,+'5.Variables'!$K28,+IF(M$18='5.Variables'!$B$39,+'5.Variables'!$K52,+IF(M$18='5.Variables'!$B$62,+'5.Variables'!$K66,+IF(M$18='5.Variables'!$B$76,+'5.Variables'!$K80,+IF(M$18='5.Variables'!$B$90,+'5.Variables'!$K94,+IF(M$18='5.Variables'!$B$104,+'5.Variables'!$K108,0))))))</f>
        <v>320</v>
      </c>
      <c r="N52" s="667">
        <f>IF(N$18='5.Variables'!$B$16,+'5.Variables'!$K28,+IF(N$18='5.Variables'!$B$39,+'5.Variables'!$K52,+IF(N$18='5.Variables'!$B$62,+'5.Variables'!$K66,+IF(N$18='5.Variables'!$B$76,+'5.Variables'!$K80,+IF(N$18='5.Variables'!$B$90,+'5.Variables'!$K94,+IF(N$18='5.Variables'!$B$104,+'5.Variables'!$K108,0))))))</f>
        <v>1</v>
      </c>
      <c r="O52" s="1052">
        <v>9872</v>
      </c>
      <c r="P52" s="232"/>
      <c r="Q52" s="530">
        <f t="shared" ref="Q52:Q83" si="5">$U$34+(J52*$U$35)+(K52*$U$36)+(L52*$U$37)+(M52*$U$38)+(N52*$U$39)+(O52+$U$40)</f>
        <v>19165875.323119983</v>
      </c>
      <c r="R52" s="250"/>
      <c r="S52" s="232"/>
      <c r="T52" s="1043">
        <f>'4. Customer Growth'!B23</f>
        <v>2017</v>
      </c>
      <c r="U52" s="1058">
        <f>SUM(I92:I103)</f>
        <v>240806896.24000001</v>
      </c>
      <c r="V52" s="1045">
        <f t="shared" si="4"/>
        <v>-2.0041673273713128E-2</v>
      </c>
      <c r="W52" s="1058">
        <f>R103:R103</f>
        <v>251482150.84897441</v>
      </c>
      <c r="X52" s="1045">
        <f t="shared" si="4"/>
        <v>-3.5397045902508866E-3</v>
      </c>
      <c r="Y52" s="1045">
        <f t="shared" si="3"/>
        <v>4.4331183100067506E-2</v>
      </c>
      <c r="Z52" s="232"/>
      <c r="AA52" s="232"/>
      <c r="AB52" s="232"/>
      <c r="AC52" s="232"/>
      <c r="AD52" s="232"/>
      <c r="AE52" s="232"/>
      <c r="AF52" s="232"/>
      <c r="AG52" s="232"/>
      <c r="AH52" s="232"/>
      <c r="AI52" s="232"/>
      <c r="AJ52" s="232"/>
      <c r="AK52" s="232"/>
      <c r="AL52" s="232"/>
    </row>
    <row r="53" spans="1:38">
      <c r="A53" s="484">
        <f t="shared" si="1"/>
        <v>34</v>
      </c>
      <c r="B53" s="985" t="str">
        <f>CONCATENATE('3. Consumption by Rate Class'!B58,"-",'3. Consumption by Rate Class'!C58)</f>
        <v>2013-October</v>
      </c>
      <c r="C53" s="982">
        <v>20065544</v>
      </c>
      <c r="D53" s="983"/>
      <c r="E53" s="984"/>
      <c r="F53" s="984"/>
      <c r="G53" s="989"/>
      <c r="H53" s="989"/>
      <c r="I53" s="530">
        <f t="shared" si="2"/>
        <v>20065544</v>
      </c>
      <c r="J53" s="667">
        <f>IF(J$18='5.Variables'!$B$16,+'5.Variables'!$L29,+IF(J$18='5.Variables'!$B$39,+'5.Variables'!$L52,+IF(J$18='5.Variables'!$B$62,+'5.Variables'!$L66,+IF(J$18='5.Variables'!$B$76,+'5.Variables'!$L80,+IF(J$18='5.Variables'!$B$90,+'5.Variables'!$L94,+IF(J$18='5.Variables'!$B$104,+'5.Variables'!$L108,0))))))</f>
        <v>202.2</v>
      </c>
      <c r="K53" s="667">
        <f>IF(K$18='5.Variables'!$B$16,+'5.Variables'!$L28,+IF(K$18='5.Variables'!$B$39,+'5.Variables'!$L52,+IF(K$18='5.Variables'!$B$62,+'5.Variables'!$L66,+IF(K$18='5.Variables'!$B$76,+'5.Variables'!$L80,+IF(K$18='5.Variables'!$B$90,+'5.Variables'!$L94,+IF(K$18='5.Variables'!$B$104,+'5.Variables'!$L108,0))))))</f>
        <v>0</v>
      </c>
      <c r="L53" s="667">
        <f>IF(L$18='5.Variables'!$B$16,+'5.Variables'!$L28,+IF(L$18='5.Variables'!$B$39,+'5.Variables'!$L52,+IF(L$18='5.Variables'!$B$62,+'5.Variables'!$L66,+IF(L$18='5.Variables'!$B$76,+'5.Variables'!$L80,+IF(L$18='5.Variables'!$B$90,+'5.Variables'!$L94,+IF(L$18='5.Variables'!$B$104,+'5.Variables'!$L108,0))))))</f>
        <v>31</v>
      </c>
      <c r="M53" s="667">
        <f>IF(M$18='5.Variables'!$B$16,+'5.Variables'!$L28,+IF(M$18='5.Variables'!$B$39,+'5.Variables'!$L52,+IF(M$18='5.Variables'!$B$62,+'5.Variables'!$L66,+IF(M$18='5.Variables'!$B$76,+'5.Variables'!$L80,+IF(M$18='5.Variables'!$B$90,+'5.Variables'!$L94,+IF(M$18='5.Variables'!$B$104,+'5.Variables'!$L108,0))))))</f>
        <v>352</v>
      </c>
      <c r="N53" s="667">
        <f>IF(N$18='5.Variables'!$B$16,+'5.Variables'!$L28,+IF(N$18='5.Variables'!$B$39,+'5.Variables'!$L52,+IF(N$18='5.Variables'!$B$62,+'5.Variables'!$L66,+IF(N$18='5.Variables'!$B$76,+'5.Variables'!$L80,+IF(N$18='5.Variables'!$B$90,+'5.Variables'!$L94,+IF(N$18='5.Variables'!$B$104,+'5.Variables'!$L108,0))))))</f>
        <v>1</v>
      </c>
      <c r="O53" s="1052">
        <v>9882</v>
      </c>
      <c r="P53" s="232"/>
      <c r="Q53" s="530">
        <f t="shared" si="5"/>
        <v>19799036.847203936</v>
      </c>
      <c r="R53" s="250"/>
      <c r="S53" s="232"/>
      <c r="T53" s="1043">
        <f>'4. Customer Growth'!B24</f>
        <v>2018</v>
      </c>
      <c r="U53" s="1058">
        <f>SUM(I104:I115)</f>
        <v>254570985.03999996</v>
      </c>
      <c r="V53" s="1045">
        <f t="shared" si="4"/>
        <v>5.7158200263010675E-2</v>
      </c>
      <c r="W53" s="1058">
        <f>R115</f>
        <v>259096002.29926127</v>
      </c>
      <c r="X53" s="1045">
        <f t="shared" si="4"/>
        <v>3.027591192688384E-2</v>
      </c>
      <c r="Y53" s="1045">
        <f t="shared" si="3"/>
        <v>1.7775070707882548E-2</v>
      </c>
      <c r="Z53" s="232"/>
      <c r="AA53" s="232"/>
      <c r="AB53" s="232"/>
      <c r="AC53" s="232"/>
      <c r="AD53" s="232"/>
      <c r="AE53" s="232"/>
      <c r="AF53" s="232"/>
      <c r="AG53" s="232"/>
      <c r="AH53" s="232"/>
      <c r="AI53" s="232"/>
      <c r="AJ53" s="232"/>
      <c r="AK53" s="232"/>
      <c r="AL53" s="232"/>
    </row>
    <row r="54" spans="1:38">
      <c r="A54" s="484">
        <f t="shared" si="1"/>
        <v>35</v>
      </c>
      <c r="B54" s="985" t="str">
        <f>CONCATENATE('3. Consumption by Rate Class'!B59,"-",'3. Consumption by Rate Class'!C59)</f>
        <v>2013-November</v>
      </c>
      <c r="C54" s="982">
        <v>21282596</v>
      </c>
      <c r="D54" s="983"/>
      <c r="E54" s="984"/>
      <c r="F54" s="984"/>
      <c r="G54" s="989"/>
      <c r="H54" s="989"/>
      <c r="I54" s="530">
        <f t="shared" si="2"/>
        <v>21282596</v>
      </c>
      <c r="J54" s="667">
        <f>IF(J$18='5.Variables'!$B$16,+'5.Variables'!$M29,+IF(J$18='5.Variables'!$B$39,+'5.Variables'!$M52,+IF(J$18='5.Variables'!$B$62,+'5.Variables'!$M66,+IF(J$18='5.Variables'!$B$76,+'5.Variables'!$M80,+IF(J$18='5.Variables'!$B$90,+'5.Variables'!$M94,+IF(J$18='5.Variables'!$B$104,+'5.Variables'!$M108,0))))))</f>
        <v>481.9</v>
      </c>
      <c r="K54" s="667">
        <f>IF(K$18='5.Variables'!$B$16,+'5.Variables'!$M28,+IF(K$18='5.Variables'!$B$39,+'5.Variables'!$M52,+IF(K$18='5.Variables'!$B$62,+'5.Variables'!$M66,+IF(K$18='5.Variables'!$B$76,+'5.Variables'!$M80,+IF(K$18='5.Variables'!$B$90,+'5.Variables'!$M94,+IF(K$18='5.Variables'!$B$104,+'5.Variables'!$M108,0))))))</f>
        <v>0</v>
      </c>
      <c r="L54" s="667">
        <f>IF(L$18='5.Variables'!$B$16,+'5.Variables'!$M28,+IF(L$18='5.Variables'!$B$39,+'5.Variables'!$M52,+IF(L$18='5.Variables'!$B$62,+'5.Variables'!$M66,+IF(L$18='5.Variables'!$B$76,+'5.Variables'!$M80,+IF(L$18='5.Variables'!$B$90,+'5.Variables'!$M94,+IF(L$18='5.Variables'!$B$104,+'5.Variables'!$M108,0))))))</f>
        <v>30</v>
      </c>
      <c r="M54" s="667">
        <f>IF(M$18='5.Variables'!$B$16,+'5.Variables'!$M28,+IF(M$18='5.Variables'!$B$39,+'5.Variables'!$M52,+IF(M$18='5.Variables'!$B$62,+'5.Variables'!$M66,+IF(M$18='5.Variables'!$B$76,+'5.Variables'!$M80,+IF(M$18='5.Variables'!$B$90,+'5.Variables'!$M94,+IF(M$18='5.Variables'!$B$104,+'5.Variables'!$M108,0))))))</f>
        <v>336</v>
      </c>
      <c r="N54" s="667">
        <f>IF(N$18='5.Variables'!$B$16,+'5.Variables'!$M28,+IF(N$18='5.Variables'!$B$39,+'5.Variables'!$M52,+IF(N$18='5.Variables'!$B$62,+'5.Variables'!$M66,+IF(N$18='5.Variables'!$B$76,+'5.Variables'!$M80,+IF(N$18='5.Variables'!$B$90,+'5.Variables'!$M94,+IF(N$18='5.Variables'!$B$104,+'5.Variables'!$M108,0))))))</f>
        <v>1</v>
      </c>
      <c r="O54" s="1052">
        <v>9925</v>
      </c>
      <c r="P54" s="232"/>
      <c r="Q54" s="530">
        <f t="shared" si="5"/>
        <v>21152690.698794585</v>
      </c>
      <c r="R54" s="250"/>
      <c r="S54" s="232"/>
      <c r="T54" s="1043">
        <f>'4. Customer Growth'!B25</f>
        <v>2019</v>
      </c>
      <c r="U54" s="1058">
        <f>SUM(I116:I127)</f>
        <v>245663815.89999998</v>
      </c>
      <c r="V54" s="1045">
        <f t="shared" si="4"/>
        <v>-3.4988940859070915E-2</v>
      </c>
      <c r="W54" s="1058">
        <f>R127</f>
        <v>254184211.63141453</v>
      </c>
      <c r="X54" s="1045">
        <f t="shared" si="4"/>
        <v>-1.8957415877739088E-2</v>
      </c>
      <c r="Y54" s="1045">
        <f t="shared" si="3"/>
        <v>3.468315307323433E-2</v>
      </c>
      <c r="Z54" s="232"/>
      <c r="AA54" s="232"/>
      <c r="AB54" s="232"/>
      <c r="AC54" s="232"/>
      <c r="AD54" s="232"/>
      <c r="AE54" s="232"/>
      <c r="AF54" s="232"/>
      <c r="AG54" s="232"/>
      <c r="AH54" s="232"/>
      <c r="AI54" s="232"/>
      <c r="AJ54" s="232"/>
      <c r="AK54" s="232"/>
      <c r="AL54" s="232"/>
    </row>
    <row r="55" spans="1:38">
      <c r="A55" s="484">
        <f t="shared" si="1"/>
        <v>36</v>
      </c>
      <c r="B55" s="501" t="str">
        <f>CONCATENATE('3. Consumption by Rate Class'!B60,"-",'3. Consumption by Rate Class'!C60)</f>
        <v>2013-December</v>
      </c>
      <c r="C55" s="650">
        <v>23218277</v>
      </c>
      <c r="D55" s="778"/>
      <c r="E55" s="777"/>
      <c r="F55" s="777"/>
      <c r="G55" s="994"/>
      <c r="H55" s="994"/>
      <c r="I55" s="995">
        <f t="shared" si="2"/>
        <v>23218277</v>
      </c>
      <c r="J55" s="667">
        <f>IF(J$18='5.Variables'!$B$16,+'5.Variables'!$N29,+IF(J$18='5.Variables'!$B$39,+'5.Variables'!$N52,+IF(J$18='5.Variables'!$B$62,+'5.Variables'!$N66,+IF(J$18='5.Variables'!$B$76,+'5.Variables'!$N80,+IF(J$18='5.Variables'!$B$90,+'5.Variables'!$N94,+IF(J$18='5.Variables'!$B$104,+'5.Variables'!$N108,0))))))</f>
        <v>683.9</v>
      </c>
      <c r="K55" s="667">
        <f>IF(K$18='5.Variables'!$B$16,+'5.Variables'!$N28,+IF(K$18='5.Variables'!$B$39,+'5.Variables'!$N52,+IF(K$18='5.Variables'!$B$62,+'5.Variables'!$N66,+IF(K$18='5.Variables'!$B$76,+'5.Variables'!$N80,+IF(K$18='5.Variables'!$B$90,+'5.Variables'!$N94,+IF(K$18='5.Variables'!$B$104,+'5.Variables'!$N108,0))))))</f>
        <v>0</v>
      </c>
      <c r="L55" s="667">
        <f>IF(L$18='5.Variables'!$B$16,+'5.Variables'!$N28,+IF(L$18='5.Variables'!$B$39,+'5.Variables'!$N52,+IF(L$18='5.Variables'!$B$62,+'5.Variables'!$N66,+IF(L$18='5.Variables'!$B$76,+'5.Variables'!$N80,+IF(L$18='5.Variables'!$B$90,+'5.Variables'!$N94,+IF(L$18='5.Variables'!$B$104,+'5.Variables'!$N108,0))))))</f>
        <v>31</v>
      </c>
      <c r="M55" s="667">
        <f>IF(M$18='5.Variables'!$B$16,+'5.Variables'!$N28,+IF(M$18='5.Variables'!$B$39,+'5.Variables'!$N52,+IF(M$18='5.Variables'!$B$62,+'5.Variables'!$N66,+IF(M$18='5.Variables'!$B$76,+'5.Variables'!$N80,+IF(M$18='5.Variables'!$B$90,+'5.Variables'!$N94,+IF(M$18='5.Variables'!$B$104,+'5.Variables'!$N108,0))))))</f>
        <v>320</v>
      </c>
      <c r="N55" s="667">
        <f>IF(N$18='5.Variables'!$B$16,+'5.Variables'!$N28,+IF(N$18='5.Variables'!$B$39,+'5.Variables'!$N52,+IF(N$18='5.Variables'!$B$62,+'5.Variables'!$N66,+IF(N$18='5.Variables'!$B$76,+'5.Variables'!$N80,+IF(N$18='5.Variables'!$B$90,+'5.Variables'!$N94,+IF(N$18='5.Variables'!$B$104,+'5.Variables'!$N108,0))))))</f>
        <v>0</v>
      </c>
      <c r="O55" s="1052">
        <v>9873</v>
      </c>
      <c r="P55" s="232"/>
      <c r="Q55" s="530">
        <f t="shared" si="5"/>
        <v>23417420.561851088</v>
      </c>
      <c r="R55" s="250">
        <f>SUM(Q44:Q55)</f>
        <v>253261076.70423049</v>
      </c>
      <c r="S55" s="232"/>
      <c r="T55" s="1043">
        <f>'4. Customer Growth'!B26</f>
        <v>2020</v>
      </c>
      <c r="U55" s="1058">
        <f>SUM(I128:I139)</f>
        <v>247239798.66666663</v>
      </c>
      <c r="V55" s="1045">
        <f t="shared" si="4"/>
        <v>6.4152010376170784E-3</v>
      </c>
      <c r="W55" s="1058">
        <f>R139</f>
        <v>256707769.52352279</v>
      </c>
      <c r="X55" s="1045">
        <f t="shared" si="4"/>
        <v>9.928067034185438E-3</v>
      </c>
      <c r="Y55" s="1045">
        <f t="shared" si="3"/>
        <v>3.8294687618723816E-2</v>
      </c>
      <c r="Z55" s="232"/>
      <c r="AA55" s="232"/>
      <c r="AB55" s="232"/>
      <c r="AC55" s="232"/>
      <c r="AD55" s="232"/>
      <c r="AE55" s="232"/>
      <c r="AF55" s="232"/>
      <c r="AG55" s="232"/>
      <c r="AH55" s="232"/>
      <c r="AI55" s="232"/>
      <c r="AJ55" s="232"/>
      <c r="AK55" s="232"/>
      <c r="AL55" s="232"/>
    </row>
    <row r="56" spans="1:38">
      <c r="A56" s="484">
        <f t="shared" si="1"/>
        <v>37</v>
      </c>
      <c r="B56" s="985" t="str">
        <f>CONCATENATE('3. Consumption by Rate Class'!B61,"-",'3. Consumption by Rate Class'!C61)</f>
        <v>2014-January</v>
      </c>
      <c r="C56" s="982">
        <v>24436238.559999999</v>
      </c>
      <c r="D56" s="983"/>
      <c r="E56" s="984"/>
      <c r="F56" s="984"/>
      <c r="G56" s="989"/>
      <c r="H56" s="989"/>
      <c r="I56" s="530">
        <f t="shared" si="2"/>
        <v>24436238.559999999</v>
      </c>
      <c r="J56" s="667">
        <f>IF(J$18='5.Variables'!$B$16,+'5.Variables'!$C30,+IF(J$18='5.Variables'!$B$39,+'5.Variables'!$C53,+IF(J$18='5.Variables'!$B$62,+'5.Variables'!$C67,+IF(J$18='5.Variables'!$B$76,+'5.Variables'!$C81,+IF(J$18='5.Variables'!$B$90,+'5.Variables'!$C95,+IF(J$18='5.Variables'!$B$104,+'5.Variables'!$C109,0))))))</f>
        <v>792.3</v>
      </c>
      <c r="K56" s="667">
        <f>IF(K$18='5.Variables'!$B$16,+'5.Variables'!$C29,+IF(K$18='5.Variables'!$B$39,+'5.Variables'!$C53,+IF(K$18='5.Variables'!$B$62,+'5.Variables'!$C67,+IF(K$18='5.Variables'!$B$76,+'5.Variables'!$C81,+IF(K$18='5.Variables'!$B$90,+'5.Variables'!$C95,+IF(K$18='5.Variables'!$B$104,+'5.Variables'!$C109,0))))))</f>
        <v>0</v>
      </c>
      <c r="L56" s="667">
        <f>IF(L$18='5.Variables'!$B$16,+'5.Variables'!$C29,+IF(L$18='5.Variables'!$B$39,+'5.Variables'!$C53,+IF(L$18='5.Variables'!$B$62,+'5.Variables'!$C67,+IF(L$18='5.Variables'!$B$76,+'5.Variables'!$C81,+IF(L$18='5.Variables'!$B$90,+'5.Variables'!$C95,+IF(L$18='5.Variables'!$B$104,+'5.Variables'!$C109,0))))))</f>
        <v>31</v>
      </c>
      <c r="M56" s="667">
        <f>IF(M$18='5.Variables'!$B$16,+'5.Variables'!$C29,+IF(M$18='5.Variables'!$B$39,+'5.Variables'!$C53,+IF(M$18='5.Variables'!$B$62,+'5.Variables'!$C67,+IF(M$18='5.Variables'!$B$76,+'5.Variables'!$C81,+IF(M$18='5.Variables'!$B$90,+'5.Variables'!$C95,+IF(M$18='5.Variables'!$B$104,+'5.Variables'!$C109,0))))))</f>
        <v>352</v>
      </c>
      <c r="N56" s="667">
        <f>IF(N$18='5.Variables'!$B$16,+'5.Variables'!$C29,+IF(N$18='5.Variables'!$B$39,+'5.Variables'!$C53,+IF(N$18='5.Variables'!$B$62,+'5.Variables'!$C67,+IF(N$18='5.Variables'!$B$76,+'5.Variables'!$C81,+IF(N$18='5.Variables'!$B$90,+'5.Variables'!$C95,+IF(N$18='5.Variables'!$B$104,+'5.Variables'!$C109,0))))))</f>
        <v>0</v>
      </c>
      <c r="O56" s="1052">
        <v>9883</v>
      </c>
      <c r="P56" s="232"/>
      <c r="Q56" s="530">
        <f t="shared" si="5"/>
        <v>24363015.097082112</v>
      </c>
      <c r="R56" s="250"/>
      <c r="S56" s="232"/>
      <c r="T56" s="671"/>
      <c r="U56" s="672"/>
      <c r="V56" s="673"/>
      <c r="W56" s="672"/>
      <c r="X56" s="673"/>
      <c r="Y56" s="673"/>
      <c r="Z56" s="232"/>
      <c r="AA56" s="232"/>
      <c r="AB56" s="232"/>
      <c r="AC56" s="232"/>
      <c r="AD56" s="232"/>
      <c r="AE56" s="232"/>
      <c r="AF56" s="232"/>
      <c r="AG56" s="232"/>
      <c r="AH56" s="232"/>
      <c r="AI56" s="232"/>
      <c r="AJ56" s="232"/>
      <c r="AK56" s="232"/>
      <c r="AL56" s="232"/>
    </row>
    <row r="57" spans="1:38">
      <c r="A57" s="484">
        <f t="shared" si="1"/>
        <v>38</v>
      </c>
      <c r="B57" s="985" t="str">
        <f>CONCATENATE('3. Consumption by Rate Class'!B62,"-",'3. Consumption by Rate Class'!C62)</f>
        <v>2014-February</v>
      </c>
      <c r="C57" s="982">
        <v>21999576.149999999</v>
      </c>
      <c r="D57" s="983"/>
      <c r="E57" s="984"/>
      <c r="F57" s="984"/>
      <c r="G57" s="989"/>
      <c r="H57" s="989"/>
      <c r="I57" s="530">
        <f t="shared" si="2"/>
        <v>21999576.149999999</v>
      </c>
      <c r="J57" s="667">
        <f>IF(J$18='5.Variables'!$B$16,+'5.Variables'!$D30,+IF(J$18='5.Variables'!$B$39,+'5.Variables'!$D53,+IF(J$18='5.Variables'!$B$62,+'5.Variables'!$D67,+IF(J$18='5.Variables'!$B$76,+'5.Variables'!$D81,+IF(J$18='5.Variables'!$B$90,+'5.Variables'!$D95,+IF(J$18='5.Variables'!$B$104,+'5.Variables'!$D109,0))))))</f>
        <v>714.7</v>
      </c>
      <c r="K57" s="667">
        <f>IF(K$18='5.Variables'!$B$16,+'5.Variables'!$D29,+IF(K$18='5.Variables'!$B$39,+'5.Variables'!$D53,+IF(K$18='5.Variables'!$B$62,+'5.Variables'!$D67,+IF(K$18='5.Variables'!$B$76,+'5.Variables'!$D81,+IF(K$18='5.Variables'!$B$90,+'5.Variables'!$D95,+IF(K$18='5.Variables'!$B$104,+'5.Variables'!$D109,0))))))</f>
        <v>0</v>
      </c>
      <c r="L57" s="667">
        <f>IF(L$18='5.Variables'!$B$16,+'5.Variables'!$D29,+IF(L$18='5.Variables'!$B$39,+'5.Variables'!$D53,+IF(L$18='5.Variables'!$B$62,+'5.Variables'!$D67,+IF(L$18='5.Variables'!$B$76,+'5.Variables'!$D81,+IF(L$18='5.Variables'!$B$90,+'5.Variables'!$D95,+IF(L$18='5.Variables'!$B$104,+'5.Variables'!$D109,0))))))</f>
        <v>28</v>
      </c>
      <c r="M57" s="667">
        <f>IF(M$18='5.Variables'!$B$16,+'5.Variables'!$D29,+IF(M$18='5.Variables'!$B$39,+'5.Variables'!$D53,+IF(M$18='5.Variables'!$B$62,+'5.Variables'!$D67,+IF(M$18='5.Variables'!$B$76,+'5.Variables'!$D81,+IF(M$18='5.Variables'!$B$90,+'5.Variables'!$D95,+IF(M$18='5.Variables'!$B$104,+'5.Variables'!$D109,0))))))</f>
        <v>304</v>
      </c>
      <c r="N57" s="667">
        <f>IF(N$18='5.Variables'!$B$16,+'5.Variables'!$D29,+IF(N$18='5.Variables'!$B$39,+'5.Variables'!$D53,+IF(N$18='5.Variables'!$B$62,+'5.Variables'!$D67,+IF(N$18='5.Variables'!$B$76,+'5.Variables'!$D81,+IF(N$18='5.Variables'!$B$90,+'5.Variables'!$D95,+IF(N$18='5.Variables'!$B$104,+'5.Variables'!$D109,0))))))</f>
        <v>0</v>
      </c>
      <c r="O57" s="1052">
        <v>9892</v>
      </c>
      <c r="P57" s="232"/>
      <c r="Q57" s="530">
        <f t="shared" si="5"/>
        <v>22375710.962921914</v>
      </c>
      <c r="R57" s="250"/>
      <c r="S57" s="232"/>
      <c r="T57" s="232"/>
      <c r="U57" s="254"/>
      <c r="V57" s="254"/>
      <c r="W57" s="255"/>
      <c r="X57" s="232"/>
      <c r="Y57" s="232"/>
      <c r="Z57" s="232"/>
      <c r="AA57" s="232"/>
      <c r="AB57" s="232"/>
      <c r="AC57" s="232"/>
      <c r="AD57" s="232"/>
      <c r="AE57" s="232"/>
      <c r="AF57" s="232"/>
      <c r="AG57" s="232"/>
      <c r="AH57" s="232"/>
      <c r="AI57" s="232"/>
      <c r="AJ57" s="232"/>
      <c r="AK57" s="232"/>
      <c r="AL57" s="232"/>
    </row>
    <row r="58" spans="1:38">
      <c r="A58" s="484">
        <f t="shared" si="1"/>
        <v>39</v>
      </c>
      <c r="B58" s="985" t="str">
        <f>CONCATENATE('3. Consumption by Rate Class'!B63,"-",'3. Consumption by Rate Class'!C63)</f>
        <v>2014-March</v>
      </c>
      <c r="C58" s="982">
        <v>23407004.460000001</v>
      </c>
      <c r="D58" s="983"/>
      <c r="E58" s="984"/>
      <c r="F58" s="984"/>
      <c r="G58" s="989"/>
      <c r="H58" s="989"/>
      <c r="I58" s="530">
        <f t="shared" si="2"/>
        <v>23407004.460000001</v>
      </c>
      <c r="J58" s="667">
        <f>IF(J$18='5.Variables'!$B$16,+'5.Variables'!$E30,+IF(J$18='5.Variables'!$B$39,+'5.Variables'!$E53,+IF(J$18='5.Variables'!$B$62,+'5.Variables'!$E67,+IF(J$18='5.Variables'!$B$76,+'5.Variables'!$E81,+IF(J$18='5.Variables'!$B$90,+'5.Variables'!$E95,+IF(J$18='5.Variables'!$B$104,+'5.Variables'!$E109,0))))))</f>
        <v>692.7</v>
      </c>
      <c r="K58" s="667">
        <f>IF(K$18='5.Variables'!$B$16,+'5.Variables'!$E29,+IF(K$18='5.Variables'!$B$39,+'5.Variables'!$E53,+IF(K$18='5.Variables'!$B$62,+'5.Variables'!$E67,+IF(K$18='5.Variables'!$B$76,+'5.Variables'!$E81,+IF(K$18='5.Variables'!$B$90,+'5.Variables'!$E95,+IF(K$18='5.Variables'!$B$104,+'5.Variables'!$E109,0))))))</f>
        <v>0</v>
      </c>
      <c r="L58" s="667">
        <f>IF(L$18='5.Variables'!$B$16,+'5.Variables'!$E29,+IF(L$18='5.Variables'!$B$39,+'5.Variables'!$E53,+IF(L$18='5.Variables'!$B$62,+'5.Variables'!$E67,+IF(L$18='5.Variables'!$B$76,+'5.Variables'!$E81,+IF(L$18='5.Variables'!$B$90,+'5.Variables'!$E95,+IF(L$18='5.Variables'!$B$104,+'5.Variables'!$E109,0))))))</f>
        <v>31</v>
      </c>
      <c r="M58" s="667">
        <f>IF(M$18='5.Variables'!$B$16,+'5.Variables'!$E29,+IF(M$18='5.Variables'!$B$39,+'5.Variables'!$E53,+IF(M$18='5.Variables'!$B$62,+'5.Variables'!$E67,+IF(M$18='5.Variables'!$B$76,+'5.Variables'!$E81,+IF(M$18='5.Variables'!$B$90,+'5.Variables'!$E95,+IF(M$18='5.Variables'!$B$104,+'5.Variables'!$E109,0))))))</f>
        <v>336</v>
      </c>
      <c r="N58" s="667">
        <f>IF(N$18='5.Variables'!$B$16,+'5.Variables'!$E29,+IF(N$18='5.Variables'!$B$39,+'5.Variables'!$E53,+IF(N$18='5.Variables'!$B$62,+'5.Variables'!$E67,+IF(N$18='5.Variables'!$B$76,+'5.Variables'!$E81,+IF(N$18='5.Variables'!$B$90,+'5.Variables'!$E95,+IF(N$18='5.Variables'!$B$104,+'5.Variables'!$E109,0))))))</f>
        <v>1</v>
      </c>
      <c r="O58" s="1052">
        <v>9904</v>
      </c>
      <c r="P58" s="232"/>
      <c r="Q58" s="530">
        <f t="shared" si="5"/>
        <v>22920054.031057104</v>
      </c>
      <c r="R58" s="250"/>
      <c r="S58" s="232"/>
      <c r="T58" s="236" t="s">
        <v>33</v>
      </c>
      <c r="U58" s="236" t="s">
        <v>43</v>
      </c>
      <c r="V58" s="236" t="s">
        <v>31</v>
      </c>
      <c r="W58" s="236" t="s">
        <v>30</v>
      </c>
      <c r="X58" s="232"/>
      <c r="Y58" s="232"/>
      <c r="Z58" s="232"/>
      <c r="AA58" s="232"/>
      <c r="AB58" s="232"/>
      <c r="AC58" s="232"/>
      <c r="AD58" s="232"/>
      <c r="AE58" s="232"/>
      <c r="AF58" s="232"/>
      <c r="AG58" s="232"/>
      <c r="AH58" s="232"/>
      <c r="AI58" s="232"/>
      <c r="AJ58" s="232"/>
      <c r="AK58" s="232"/>
      <c r="AL58" s="232"/>
    </row>
    <row r="59" spans="1:38">
      <c r="A59" s="484">
        <f t="shared" si="1"/>
        <v>40</v>
      </c>
      <c r="B59" s="985" t="str">
        <f>CONCATENATE('3. Consumption by Rate Class'!B64,"-",'3. Consumption by Rate Class'!C64)</f>
        <v>2014-April</v>
      </c>
      <c r="C59" s="982">
        <v>19803681.960000001</v>
      </c>
      <c r="D59" s="983"/>
      <c r="E59" s="984"/>
      <c r="F59" s="984"/>
      <c r="G59" s="989"/>
      <c r="H59" s="989"/>
      <c r="I59" s="530">
        <f t="shared" si="2"/>
        <v>19803681.960000001</v>
      </c>
      <c r="J59" s="667">
        <f>IF(J$18='5.Variables'!$B$16,+'5.Variables'!$F30,+IF(J$18='5.Variables'!$B$39,+'5.Variables'!$F53,+IF(J$18='5.Variables'!$B$62,+'5.Variables'!$F67,+IF(J$18='5.Variables'!$B$76,+'5.Variables'!$F81,+IF(J$18='5.Variables'!$B$90,+'5.Variables'!$F95,+IF(J$18='5.Variables'!$B$104,+'5.Variables'!$F109,0))))))</f>
        <v>394.2</v>
      </c>
      <c r="K59" s="667">
        <f>IF(K$18='5.Variables'!$B$16,+'5.Variables'!$F29,+IF(K$18='5.Variables'!$B$39,+'5.Variables'!$F53,+IF(K$18='5.Variables'!$B$62,+'5.Variables'!$F67,+IF(K$18='5.Variables'!$B$76,+'5.Variables'!$F81,+IF(K$18='5.Variables'!$B$90,+'5.Variables'!$F95,+IF(K$18='5.Variables'!$B$104,+'5.Variables'!$F109,0))))))</f>
        <v>0</v>
      </c>
      <c r="L59" s="667">
        <f>IF(L$18='5.Variables'!$B$16,+'5.Variables'!$F29,+IF(L$18='5.Variables'!$B$39,+'5.Variables'!$F53,+IF(L$18='5.Variables'!$B$62,+'5.Variables'!$F67,+IF(L$18='5.Variables'!$B$76,+'5.Variables'!$F81,+IF(L$18='5.Variables'!$B$90,+'5.Variables'!$F95,+IF(L$18='5.Variables'!$B$104,+'5.Variables'!$F109,0))))))</f>
        <v>30</v>
      </c>
      <c r="M59" s="667">
        <f>IF(M$18='5.Variables'!$B$16,+'5.Variables'!$F29,+IF(M$18='5.Variables'!$B$39,+'5.Variables'!$F53,+IF(M$18='5.Variables'!$B$62,+'5.Variables'!$F67,+IF(M$18='5.Variables'!$B$76,+'5.Variables'!$F81,+IF(M$18='5.Variables'!$B$90,+'5.Variables'!$F95,+IF(M$18='5.Variables'!$B$104,+'5.Variables'!$F109,0))))))</f>
        <v>336</v>
      </c>
      <c r="N59" s="667">
        <f>IF(N$18='5.Variables'!$B$16,+'5.Variables'!$F29,+IF(N$18='5.Variables'!$B$39,+'5.Variables'!$F53,+IF(N$18='5.Variables'!$B$62,+'5.Variables'!$F67,+IF(N$18='5.Variables'!$B$76,+'5.Variables'!$F81,+IF(N$18='5.Variables'!$B$90,+'5.Variables'!$F95,+IF(N$18='5.Variables'!$B$104,+'5.Variables'!$F109,0))))))</f>
        <v>1</v>
      </c>
      <c r="O59" s="1052">
        <v>9928</v>
      </c>
      <c r="P59" s="232"/>
      <c r="Q59" s="530">
        <f t="shared" si="5"/>
        <v>20574072.146575376</v>
      </c>
      <c r="R59" s="250"/>
      <c r="S59" s="232"/>
      <c r="T59" s="237">
        <f>'4. Customer Growth'!B17</f>
        <v>2011</v>
      </c>
      <c r="U59" s="252">
        <f>U46</f>
        <v>262348777</v>
      </c>
      <c r="V59" s="252">
        <f t="shared" ref="V59:V68" si="6">W46</f>
        <v>254409161.08035713</v>
      </c>
      <c r="W59" s="253">
        <f>IF(ABS(U59-V59)=0,0,ABS(U59-V59)/U59)</f>
        <v>3.0263590364070444E-2</v>
      </c>
      <c r="X59" s="232"/>
      <c r="Y59" s="232"/>
      <c r="Z59" s="232"/>
      <c r="AA59" s="232"/>
      <c r="AB59" s="232"/>
      <c r="AC59" s="232"/>
      <c r="AD59" s="232"/>
      <c r="AE59" s="232"/>
      <c r="AF59" s="232"/>
      <c r="AG59" s="232"/>
      <c r="AH59" s="232"/>
      <c r="AI59" s="232"/>
      <c r="AJ59" s="232"/>
      <c r="AK59" s="232"/>
      <c r="AL59" s="232"/>
    </row>
    <row r="60" spans="1:38">
      <c r="A60" s="484">
        <f t="shared" si="1"/>
        <v>41</v>
      </c>
      <c r="B60" s="985" t="str">
        <f>CONCATENATE('3. Consumption by Rate Class'!B65,"-",'3. Consumption by Rate Class'!C65)</f>
        <v>2014-May</v>
      </c>
      <c r="C60" s="982">
        <v>18789087.73</v>
      </c>
      <c r="D60" s="983"/>
      <c r="E60" s="984"/>
      <c r="F60" s="984"/>
      <c r="G60" s="989"/>
      <c r="H60" s="989"/>
      <c r="I60" s="530">
        <f t="shared" si="2"/>
        <v>18789087.73</v>
      </c>
      <c r="J60" s="667">
        <f>IF(J$18='5.Variables'!$B$16,+'5.Variables'!$G30,+IF(J$18='5.Variables'!$B$39,+'5.Variables'!$G53,+IF(J$18='5.Variables'!$B$62,+'5.Variables'!$G67,+IF(J$18='5.Variables'!$B$76,+'5.Variables'!$G81,+IF(J$18='5.Variables'!$B$90,+'5.Variables'!$G95,+IF(J$18='5.Variables'!$B$104,+'5.Variables'!$G109,0))))))</f>
        <v>218.9</v>
      </c>
      <c r="K60" s="667">
        <f>IF(K$18='5.Variables'!$B$16,+'5.Variables'!$G29,+IF(K$18='5.Variables'!$B$39,+'5.Variables'!$G53,+IF(K$18='5.Variables'!$B$62,+'5.Variables'!$G67,+IF(K$18='5.Variables'!$B$76,+'5.Variables'!$G81,+IF(K$18='5.Variables'!$B$90,+'5.Variables'!$G95,+IF(K$18='5.Variables'!$B$104,+'5.Variables'!$G109,0))))))</f>
        <v>0</v>
      </c>
      <c r="L60" s="667">
        <f>IF(L$18='5.Variables'!$B$16,+'5.Variables'!$G29,+IF(L$18='5.Variables'!$B$39,+'5.Variables'!$G53,+IF(L$18='5.Variables'!$B$62,+'5.Variables'!$G67,+IF(L$18='5.Variables'!$B$76,+'5.Variables'!$G81,+IF(L$18='5.Variables'!$B$90,+'5.Variables'!$G95,+IF(L$18='5.Variables'!$B$104,+'5.Variables'!$G109,0))))))</f>
        <v>31</v>
      </c>
      <c r="M60" s="667">
        <f>IF(M$18='5.Variables'!$B$16,+'5.Variables'!$G29,+IF(M$18='5.Variables'!$B$39,+'5.Variables'!$G53,+IF(M$18='5.Variables'!$B$62,+'5.Variables'!$G67,+IF(M$18='5.Variables'!$B$76,+'5.Variables'!$G81,+IF(M$18='5.Variables'!$B$90,+'5.Variables'!$G95,+IF(M$18='5.Variables'!$B$104,+'5.Variables'!$G109,0))))))</f>
        <v>336</v>
      </c>
      <c r="N60" s="667">
        <f>IF(N$18='5.Variables'!$B$16,+'5.Variables'!$G29,+IF(N$18='5.Variables'!$B$39,+'5.Variables'!$G53,+IF(N$18='5.Variables'!$B$62,+'5.Variables'!$G67,+IF(N$18='5.Variables'!$B$76,+'5.Variables'!$G81,+IF(N$18='5.Variables'!$B$90,+'5.Variables'!$G95,+IF(N$18='5.Variables'!$B$104,+'5.Variables'!$G109,0))))))</f>
        <v>1</v>
      </c>
      <c r="O60" s="1052">
        <v>9936</v>
      </c>
      <c r="P60" s="232"/>
      <c r="Q60" s="530">
        <f t="shared" si="5"/>
        <v>19794078.146889929</v>
      </c>
      <c r="R60" s="250"/>
      <c r="S60" s="232"/>
      <c r="T60" s="237">
        <f>'4. Customer Growth'!B18</f>
        <v>2012</v>
      </c>
      <c r="U60" s="252">
        <f>U47</f>
        <v>264021825</v>
      </c>
      <c r="V60" s="252">
        <f t="shared" si="6"/>
        <v>254793336.5537082</v>
      </c>
      <c r="W60" s="253">
        <f t="shared" ref="W60:W68" si="7">IF(ABS(U60-V60)=0,0,ABS(U60-V60)/U60)</f>
        <v>3.4953506007663587E-2</v>
      </c>
      <c r="X60" s="256"/>
      <c r="Y60" s="232"/>
      <c r="Z60" s="232"/>
      <c r="AA60" s="232"/>
      <c r="AB60" s="232"/>
      <c r="AC60" s="232"/>
      <c r="AD60" s="232"/>
      <c r="AE60" s="232"/>
      <c r="AF60" s="232"/>
      <c r="AG60" s="232"/>
      <c r="AH60" s="232"/>
      <c r="AI60" s="232"/>
      <c r="AJ60" s="232"/>
      <c r="AK60" s="232"/>
      <c r="AL60" s="232"/>
    </row>
    <row r="61" spans="1:38">
      <c r="A61" s="484">
        <f t="shared" si="1"/>
        <v>42</v>
      </c>
      <c r="B61" s="985" t="str">
        <f>CONCATENATE('3. Consumption by Rate Class'!B66,"-",'3. Consumption by Rate Class'!C66)</f>
        <v>2014-June</v>
      </c>
      <c r="C61" s="982">
        <v>19194905.280000001</v>
      </c>
      <c r="D61" s="983"/>
      <c r="E61" s="984"/>
      <c r="F61" s="984"/>
      <c r="G61" s="989"/>
      <c r="H61" s="989"/>
      <c r="I61" s="530">
        <f t="shared" si="2"/>
        <v>19194905.280000001</v>
      </c>
      <c r="J61" s="667">
        <f>IF(J$18='5.Variables'!$B$16,+'5.Variables'!$H30,+IF(J$18='5.Variables'!$B$39,+'5.Variables'!$H53,+IF(J$18='5.Variables'!$B$62,+'5.Variables'!$H67,+IF(J$18='5.Variables'!$B$76,+'5.Variables'!$H81,+IF(J$18='5.Variables'!$B$90,+'5.Variables'!$H95,+IF(J$18='5.Variables'!$B$104,+'5.Variables'!$H109,0))))))</f>
        <v>61.9</v>
      </c>
      <c r="K61" s="667">
        <f>IF(K$18='5.Variables'!$B$16,+'5.Variables'!$H29,+IF(K$18='5.Variables'!$B$39,+'5.Variables'!$H53,+IF(K$18='5.Variables'!$B$62,+'5.Variables'!$H67,+IF(K$18='5.Variables'!$B$76,+'5.Variables'!$H81,+IF(K$18='5.Variables'!$B$90,+'5.Variables'!$H95,+IF(K$18='5.Variables'!$B$104,+'5.Variables'!$H109,0))))))</f>
        <v>17.5</v>
      </c>
      <c r="L61" s="667">
        <f>IF(L$18='5.Variables'!$B$16,+'5.Variables'!$H29,+IF(L$18='5.Variables'!$B$39,+'5.Variables'!$H53,+IF(L$18='5.Variables'!$B$62,+'5.Variables'!$H67,+IF(L$18='5.Variables'!$B$76,+'5.Variables'!$H81,+IF(L$18='5.Variables'!$B$90,+'5.Variables'!$H95,+IF(L$18='5.Variables'!$B$104,+'5.Variables'!$H109,0))))))</f>
        <v>30</v>
      </c>
      <c r="M61" s="667">
        <f>IF(M$18='5.Variables'!$B$16,+'5.Variables'!$H29,+IF(M$18='5.Variables'!$B$39,+'5.Variables'!$H53,+IF(M$18='5.Variables'!$B$62,+'5.Variables'!$H67,+IF(M$18='5.Variables'!$B$76,+'5.Variables'!$H81,+IF(M$18='5.Variables'!$B$90,+'5.Variables'!$H95,+IF(M$18='5.Variables'!$B$104,+'5.Variables'!$H109,0))))))</f>
        <v>336</v>
      </c>
      <c r="N61" s="667">
        <f>IF(N$18='5.Variables'!$B$16,+'5.Variables'!$H29,+IF(N$18='5.Variables'!$B$39,+'5.Variables'!$H53,+IF(N$18='5.Variables'!$B$62,+'5.Variables'!$H67,+IF(N$18='5.Variables'!$B$76,+'5.Variables'!$H81,+IF(N$18='5.Variables'!$B$90,+'5.Variables'!$H95,+IF(N$18='5.Variables'!$B$104,+'5.Variables'!$H109,0))))))</f>
        <v>0</v>
      </c>
      <c r="O61" s="1052">
        <v>9957</v>
      </c>
      <c r="P61" s="232"/>
      <c r="Q61" s="530">
        <f t="shared" si="5"/>
        <v>19751712.387032747</v>
      </c>
      <c r="R61" s="250"/>
      <c r="S61" s="232"/>
      <c r="T61" s="237">
        <f>'4. Customer Growth'!B19</f>
        <v>2013</v>
      </c>
      <c r="U61" s="252">
        <f t="shared" ref="U61:U68" si="8">U48</f>
        <v>257528109</v>
      </c>
      <c r="V61" s="252">
        <f t="shared" si="6"/>
        <v>253261076.70423049</v>
      </c>
      <c r="W61" s="253">
        <f t="shared" si="7"/>
        <v>1.6569190494733578E-2</v>
      </c>
      <c r="X61" s="256"/>
      <c r="Y61" s="232"/>
      <c r="Z61" s="232"/>
      <c r="AA61" s="232"/>
      <c r="AB61" s="232"/>
      <c r="AC61" s="232"/>
      <c r="AD61" s="232"/>
      <c r="AE61" s="232"/>
      <c r="AF61" s="232"/>
      <c r="AG61" s="232"/>
      <c r="AH61" s="232"/>
      <c r="AI61" s="232"/>
      <c r="AJ61" s="232"/>
      <c r="AK61" s="232"/>
      <c r="AL61" s="232"/>
    </row>
    <row r="62" spans="1:38">
      <c r="A62" s="484">
        <f t="shared" si="1"/>
        <v>43</v>
      </c>
      <c r="B62" s="985" t="str">
        <f>CONCATENATE('3. Consumption by Rate Class'!B67,"-",'3. Consumption by Rate Class'!C67)</f>
        <v>2014-July</v>
      </c>
      <c r="C62" s="982">
        <v>20208703.25</v>
      </c>
      <c r="D62" s="983"/>
      <c r="E62" s="984"/>
      <c r="F62" s="984"/>
      <c r="G62" s="989"/>
      <c r="H62" s="989"/>
      <c r="I62" s="530">
        <f t="shared" si="2"/>
        <v>20208703.25</v>
      </c>
      <c r="J62" s="667">
        <f>IF(J$18='5.Variables'!$B$16,+'5.Variables'!$I30,+IF(J$18='5.Variables'!$B$39,+'5.Variables'!$I53,+IF(J$18='5.Variables'!$B$62,+'5.Variables'!$I67,+IF(J$18='5.Variables'!$B$76,+'5.Variables'!$I81,+IF(J$18='5.Variables'!$B$90,+'5.Variables'!$I95,+IF(J$18='5.Variables'!$B$104,+'5.Variables'!$I109,0))))))</f>
        <v>36.9</v>
      </c>
      <c r="K62" s="667">
        <f>IF(K$18='5.Variables'!$B$16,+'5.Variables'!$I29,+IF(K$18='5.Variables'!$B$39,+'5.Variables'!$I53,+IF(K$18='5.Variables'!$B$62,+'5.Variables'!$I67,+IF(K$18='5.Variables'!$B$76,+'5.Variables'!$I81,+IF(K$18='5.Variables'!$B$90,+'5.Variables'!$I95,+IF(K$18='5.Variables'!$B$104,+'5.Variables'!$I109,0))))))</f>
        <v>18.8</v>
      </c>
      <c r="L62" s="667">
        <f>IF(L$18='5.Variables'!$B$16,+'5.Variables'!$I29,+IF(L$18='5.Variables'!$B$39,+'5.Variables'!$I53,+IF(L$18='5.Variables'!$B$62,+'5.Variables'!$I67,+IF(L$18='5.Variables'!$B$76,+'5.Variables'!$I81,+IF(L$18='5.Variables'!$B$90,+'5.Variables'!$I95,+IF(L$18='5.Variables'!$B$104,+'5.Variables'!$I109,0))))))</f>
        <v>31</v>
      </c>
      <c r="M62" s="667">
        <f>IF(M$18='5.Variables'!$B$16,+'5.Variables'!$I29,+IF(M$18='5.Variables'!$B$39,+'5.Variables'!$I53,+IF(M$18='5.Variables'!$B$62,+'5.Variables'!$I67,+IF(M$18='5.Variables'!$B$76,+'5.Variables'!$I81,+IF(M$18='5.Variables'!$B$90,+'5.Variables'!$I95,+IF(M$18='5.Variables'!$B$104,+'5.Variables'!$I109,0))))))</f>
        <v>352</v>
      </c>
      <c r="N62" s="667">
        <f>IF(N$18='5.Variables'!$B$16,+'5.Variables'!$I29,+IF(N$18='5.Variables'!$B$39,+'5.Variables'!$I53,+IF(N$18='5.Variables'!$B$62,+'5.Variables'!$I67,+IF(N$18='5.Variables'!$B$76,+'5.Variables'!$I81,+IF(N$18='5.Variables'!$B$90,+'5.Variables'!$I95,+IF(N$18='5.Variables'!$B$104,+'5.Variables'!$I109,0))))))</f>
        <v>0</v>
      </c>
      <c r="O62" s="1052">
        <v>9968</v>
      </c>
      <c r="P62" s="232"/>
      <c r="Q62" s="530">
        <f t="shared" si="5"/>
        <v>20130510.646269336</v>
      </c>
      <c r="R62" s="250"/>
      <c r="S62" s="232"/>
      <c r="T62" s="237">
        <f>'4. Customer Growth'!B20</f>
        <v>2014</v>
      </c>
      <c r="U62" s="252">
        <f t="shared" si="8"/>
        <v>250323660.07999995</v>
      </c>
      <c r="V62" s="252">
        <f t="shared" si="6"/>
        <v>252761267.78320035</v>
      </c>
      <c r="W62" s="253">
        <f t="shared" si="7"/>
        <v>9.737823833437775E-3</v>
      </c>
      <c r="X62" s="256"/>
      <c r="Y62" s="232"/>
      <c r="Z62" s="232"/>
      <c r="AA62" s="232"/>
      <c r="AB62" s="232"/>
      <c r="AC62" s="232"/>
      <c r="AD62" s="232"/>
      <c r="AE62" s="232"/>
      <c r="AF62" s="232"/>
      <c r="AG62" s="232"/>
      <c r="AH62" s="232"/>
      <c r="AI62" s="232"/>
      <c r="AJ62" s="232"/>
      <c r="AK62" s="232"/>
      <c r="AL62" s="232"/>
    </row>
    <row r="63" spans="1:38">
      <c r="A63" s="484">
        <f t="shared" si="1"/>
        <v>44</v>
      </c>
      <c r="B63" s="985" t="str">
        <f>CONCATENATE('3. Consumption by Rate Class'!B68,"-",'3. Consumption by Rate Class'!C68)</f>
        <v>2014-August</v>
      </c>
      <c r="C63" s="982">
        <v>19892388.48</v>
      </c>
      <c r="D63" s="983"/>
      <c r="E63" s="984"/>
      <c r="F63" s="984"/>
      <c r="G63" s="989"/>
      <c r="H63" s="989"/>
      <c r="I63" s="530">
        <f t="shared" si="2"/>
        <v>19892388.48</v>
      </c>
      <c r="J63" s="667">
        <f>IF(J$18='5.Variables'!$B$16,+'5.Variables'!$J30,+IF(J$18='5.Variables'!$B$39,+'5.Variables'!$J53,+IF(J$18='5.Variables'!$B$62,+'5.Variables'!$J67,+IF(J$18='5.Variables'!$B$76,+'5.Variables'!$J81,+IF(J$18='5.Variables'!$B$90,+'5.Variables'!$J95,+IF(J$18='5.Variables'!$B$104,+'5.Variables'!$J109,0))))))</f>
        <v>26.9</v>
      </c>
      <c r="K63" s="667">
        <f>IF(K$18='5.Variables'!$B$16,+'5.Variables'!$J29,+IF(K$18='5.Variables'!$B$39,+'5.Variables'!$J53,+IF(K$18='5.Variables'!$B$62,+'5.Variables'!$J67,+IF(K$18='5.Variables'!$B$76,+'5.Variables'!$J81,+IF(K$18='5.Variables'!$B$90,+'5.Variables'!$J95,+IF(K$18='5.Variables'!$B$104,+'5.Variables'!$J109,0))))))</f>
        <v>33.299999999999997</v>
      </c>
      <c r="L63" s="667">
        <f>IF(L$18='5.Variables'!$B$16,+'5.Variables'!$J29,+IF(L$18='5.Variables'!$B$39,+'5.Variables'!$J53,+IF(L$18='5.Variables'!$B$62,+'5.Variables'!$J67,+IF(L$18='5.Variables'!$B$76,+'5.Variables'!$J81,+IF(L$18='5.Variables'!$B$90,+'5.Variables'!$J95,+IF(L$18='5.Variables'!$B$104,+'5.Variables'!$J109,0))))))</f>
        <v>31</v>
      </c>
      <c r="M63" s="667">
        <f>IF(M$18='5.Variables'!$B$16,+'5.Variables'!$J29,+IF(M$18='5.Variables'!$B$39,+'5.Variables'!$J53,+IF(M$18='5.Variables'!$B$62,+'5.Variables'!$J67,+IF(M$18='5.Variables'!$B$76,+'5.Variables'!$J81,+IF(M$18='5.Variables'!$B$90,+'5.Variables'!$J95,+IF(M$18='5.Variables'!$B$104,+'5.Variables'!$J109,0))))))</f>
        <v>320</v>
      </c>
      <c r="N63" s="667">
        <f>IF(N$18='5.Variables'!$B$16,+'5.Variables'!$J29,+IF(N$18='5.Variables'!$B$39,+'5.Variables'!$J53,+IF(N$18='5.Variables'!$B$62,+'5.Variables'!$J67,+IF(N$18='5.Variables'!$B$76,+'5.Variables'!$J81,+IF(N$18='5.Variables'!$B$90,+'5.Variables'!$J95,+IF(N$18='5.Variables'!$B$104,+'5.Variables'!$J109,0))))))</f>
        <v>0</v>
      </c>
      <c r="O63" s="1052">
        <v>9971</v>
      </c>
      <c r="P63" s="232"/>
      <c r="Q63" s="530">
        <f t="shared" si="5"/>
        <v>20413638.35597267</v>
      </c>
      <c r="R63" s="250"/>
      <c r="S63" s="232"/>
      <c r="T63" s="237">
        <f>'4. Customer Growth'!B21</f>
        <v>2015</v>
      </c>
      <c r="U63" s="252">
        <f t="shared" si="8"/>
        <v>248042590.17000005</v>
      </c>
      <c r="V63" s="252">
        <f t="shared" si="6"/>
        <v>253070139.99597791</v>
      </c>
      <c r="W63" s="253">
        <f t="shared" si="7"/>
        <v>2.0268897460440759E-2</v>
      </c>
      <c r="X63" s="256"/>
      <c r="Y63" s="232"/>
      <c r="Z63" s="232"/>
      <c r="AA63" s="232"/>
      <c r="AB63" s="232"/>
      <c r="AC63" s="232"/>
      <c r="AD63" s="232"/>
      <c r="AE63" s="232"/>
      <c r="AF63" s="232"/>
      <c r="AG63" s="232"/>
      <c r="AH63" s="232"/>
      <c r="AI63" s="232"/>
      <c r="AJ63" s="232"/>
      <c r="AK63" s="232"/>
      <c r="AL63" s="232"/>
    </row>
    <row r="64" spans="1:38">
      <c r="A64" s="484">
        <f t="shared" si="1"/>
        <v>45</v>
      </c>
      <c r="B64" s="985" t="str">
        <f>CONCATENATE('3. Consumption by Rate Class'!B69,"-",'3. Consumption by Rate Class'!C69)</f>
        <v>2014-September</v>
      </c>
      <c r="C64" s="982">
        <v>19587580.949999999</v>
      </c>
      <c r="D64" s="983"/>
      <c r="E64" s="984"/>
      <c r="F64" s="984"/>
      <c r="G64" s="989"/>
      <c r="H64" s="989"/>
      <c r="I64" s="530">
        <f>C64-D64+E64+F64</f>
        <v>19587580.949999999</v>
      </c>
      <c r="J64" s="667">
        <f>IF(J$18='5.Variables'!$B$16,+'5.Variables'!$K30,+IF(J$18='5.Variables'!$B$39,+'5.Variables'!$K53,+IF(J$18='5.Variables'!$B$62,+'5.Variables'!$K67,+IF(J$18='5.Variables'!$B$76,+'5.Variables'!$K81,+IF(J$18='5.Variables'!$B$90,+'5.Variables'!$K95,+IF(J$18='5.Variables'!$B$104,+'5.Variables'!$K109,0))))))</f>
        <v>97.3</v>
      </c>
      <c r="K64" s="667">
        <f>IF(K$18='5.Variables'!$B$16,+'5.Variables'!$K29,+IF(K$18='5.Variables'!$B$39,+'5.Variables'!$K53,+IF(K$18='5.Variables'!$B$62,+'5.Variables'!$K67,+IF(K$18='5.Variables'!$B$76,+'5.Variables'!$K81,+IF(K$18='5.Variables'!$B$90,+'5.Variables'!$K95,+IF(K$18='5.Variables'!$B$104,+'5.Variables'!$K109,0))))))</f>
        <v>10.1</v>
      </c>
      <c r="L64" s="667">
        <f>IF(L$18='5.Variables'!$B$16,+'5.Variables'!$K29,+IF(L$18='5.Variables'!$B$39,+'5.Variables'!$K53,+IF(L$18='5.Variables'!$B$62,+'5.Variables'!$K67,+IF(L$18='5.Variables'!$B$76,+'5.Variables'!$K81,+IF(L$18='5.Variables'!$B$90,+'5.Variables'!$K95,+IF(L$18='5.Variables'!$B$104,+'5.Variables'!$K109,0))))))</f>
        <v>30</v>
      </c>
      <c r="M64" s="667">
        <f>IF(M$18='5.Variables'!$B$16,+'5.Variables'!$K29,+IF(M$18='5.Variables'!$B$39,+'5.Variables'!$K53,+IF(M$18='5.Variables'!$B$62,+'5.Variables'!$K67,+IF(M$18='5.Variables'!$B$76,+'5.Variables'!$K81,+IF(M$18='5.Variables'!$B$90,+'5.Variables'!$K95,+IF(M$18='5.Variables'!$B$104,+'5.Variables'!$K109,0))))))</f>
        <v>336</v>
      </c>
      <c r="N64" s="667">
        <f>IF(N$18='5.Variables'!$B$16,+'5.Variables'!$K29,+IF(N$18='5.Variables'!$B$39,+'5.Variables'!$K53,+IF(N$18='5.Variables'!$B$62,+'5.Variables'!$K67,+IF(N$18='5.Variables'!$B$76,+'5.Variables'!$K81,+IF(N$18='5.Variables'!$B$90,+'5.Variables'!$K95,+IF(N$18='5.Variables'!$B$104,+'5.Variables'!$K109,0))))))</f>
        <v>1</v>
      </c>
      <c r="O64" s="1052">
        <v>10028</v>
      </c>
      <c r="P64" s="232"/>
      <c r="Q64" s="530">
        <f t="shared" si="5"/>
        <v>19018950.057987049</v>
      </c>
      <c r="R64" s="250"/>
      <c r="S64" s="232"/>
      <c r="T64" s="237">
        <f>'4. Customer Growth'!B22</f>
        <v>2016</v>
      </c>
      <c r="U64" s="252">
        <f t="shared" si="8"/>
        <v>245731772.13</v>
      </c>
      <c r="V64" s="252">
        <f t="shared" si="6"/>
        <v>252375485.51351339</v>
      </c>
      <c r="W64" s="253">
        <f t="shared" si="7"/>
        <v>2.7036444355264949E-2</v>
      </c>
      <c r="X64" s="256"/>
      <c r="Y64" s="232"/>
      <c r="Z64" s="232"/>
      <c r="AA64" s="232"/>
      <c r="AB64" s="232"/>
      <c r="AC64" s="232"/>
      <c r="AD64" s="232"/>
      <c r="AE64" s="232"/>
      <c r="AF64" s="232"/>
      <c r="AG64" s="232"/>
      <c r="AH64" s="232"/>
      <c r="AI64" s="232"/>
      <c r="AJ64" s="232"/>
      <c r="AK64" s="232"/>
      <c r="AL64" s="232"/>
    </row>
    <row r="65" spans="1:38">
      <c r="A65" s="484">
        <f t="shared" si="1"/>
        <v>46</v>
      </c>
      <c r="B65" s="985" t="str">
        <f>CONCATENATE('3. Consumption by Rate Class'!B70,"-",'3. Consumption by Rate Class'!C70)</f>
        <v>2014-October</v>
      </c>
      <c r="C65" s="982">
        <v>19752445.309999999</v>
      </c>
      <c r="D65" s="983"/>
      <c r="E65" s="984"/>
      <c r="F65" s="984"/>
      <c r="G65" s="990"/>
      <c r="H65" s="989"/>
      <c r="I65" s="530">
        <f t="shared" si="2"/>
        <v>19752445.309999999</v>
      </c>
      <c r="J65" s="667">
        <f>IF(J$18='5.Variables'!$B$16,+'5.Variables'!$L30,+IF(J$18='5.Variables'!$B$39,+'5.Variables'!$L53,+IF(J$18='5.Variables'!$B$62,+'5.Variables'!$L67,+IF(J$18='5.Variables'!$B$76,+'5.Variables'!$L81,+IF(J$18='5.Variables'!$B$90,+'5.Variables'!$L95,+IF(J$18='5.Variables'!$B$104,+'5.Variables'!$L109,0))))))</f>
        <v>231.4</v>
      </c>
      <c r="K65" s="667">
        <f>IF(K$18='5.Variables'!$B$16,+'5.Variables'!$L29,+IF(K$18='5.Variables'!$B$39,+'5.Variables'!$L53,+IF(K$18='5.Variables'!$B$62,+'5.Variables'!$L67,+IF(K$18='5.Variables'!$B$76,+'5.Variables'!$L81,+IF(K$18='5.Variables'!$B$90,+'5.Variables'!$L95,+IF(K$18='5.Variables'!$B$104,+'5.Variables'!$L109,0))))))</f>
        <v>0</v>
      </c>
      <c r="L65" s="667">
        <f>IF(L$18='5.Variables'!$B$16,+'5.Variables'!$L29,+IF(L$18='5.Variables'!$B$39,+'5.Variables'!$L53,+IF(L$18='5.Variables'!$B$62,+'5.Variables'!$L67,+IF(L$18='5.Variables'!$B$76,+'5.Variables'!$L81,+IF(L$18='5.Variables'!$B$90,+'5.Variables'!$L95,+IF(L$18='5.Variables'!$B$104,+'5.Variables'!$L109,0))))))</f>
        <v>31</v>
      </c>
      <c r="M65" s="667">
        <f>IF(M$18='5.Variables'!$B$16,+'5.Variables'!$L29,+IF(M$18='5.Variables'!$B$39,+'5.Variables'!$L53,+IF(M$18='5.Variables'!$B$62,+'5.Variables'!$L67,+IF(M$18='5.Variables'!$B$76,+'5.Variables'!$L81,+IF(M$18='5.Variables'!$B$90,+'5.Variables'!$L95,+IF(M$18='5.Variables'!$B$104,+'5.Variables'!$L109,0))))))</f>
        <v>352</v>
      </c>
      <c r="N65" s="667">
        <f>IF(N$18='5.Variables'!$B$16,+'5.Variables'!$L29,+IF(N$18='5.Variables'!$B$39,+'5.Variables'!$L53,+IF(N$18='5.Variables'!$B$62,+'5.Variables'!$L67,+IF(N$18='5.Variables'!$B$76,+'5.Variables'!$L81,+IF(N$18='5.Variables'!$B$90,+'5.Variables'!$L95,+IF(N$18='5.Variables'!$B$104,+'5.Variables'!$L109,0))))))</f>
        <v>1</v>
      </c>
      <c r="O65" s="1052">
        <v>10040</v>
      </c>
      <c r="P65" s="232"/>
      <c r="Q65" s="530">
        <f t="shared" si="5"/>
        <v>19991848.773370422</v>
      </c>
      <c r="R65" s="250"/>
      <c r="S65" s="232"/>
      <c r="T65" s="237">
        <f>'4. Customer Growth'!B23</f>
        <v>2017</v>
      </c>
      <c r="U65" s="252">
        <f t="shared" si="8"/>
        <v>240806896.24000001</v>
      </c>
      <c r="V65" s="252">
        <f t="shared" si="6"/>
        <v>251482150.84897441</v>
      </c>
      <c r="W65" s="253">
        <f t="shared" si="7"/>
        <v>4.4331183100067506E-2</v>
      </c>
      <c r="X65" s="256"/>
      <c r="Y65" s="232"/>
      <c r="Z65" s="232"/>
      <c r="AA65" s="232"/>
      <c r="AB65" s="232"/>
      <c r="AC65" s="232"/>
      <c r="AD65" s="232"/>
      <c r="AE65" s="232"/>
      <c r="AF65" s="232"/>
      <c r="AG65" s="232"/>
      <c r="AH65" s="232"/>
      <c r="AI65" s="232"/>
      <c r="AJ65" s="232"/>
      <c r="AK65" s="232"/>
      <c r="AL65" s="232"/>
    </row>
    <row r="66" spans="1:38">
      <c r="A66" s="484">
        <f t="shared" si="1"/>
        <v>47</v>
      </c>
      <c r="B66" s="985" t="str">
        <f>CONCATENATE('3. Consumption by Rate Class'!B71,"-",'3. Consumption by Rate Class'!C71)</f>
        <v>2014-November</v>
      </c>
      <c r="C66" s="982">
        <v>21153365.510000002</v>
      </c>
      <c r="D66" s="983"/>
      <c r="E66" s="984"/>
      <c r="F66" s="984"/>
      <c r="G66" s="990"/>
      <c r="H66" s="989"/>
      <c r="I66" s="530">
        <f t="shared" si="2"/>
        <v>21153365.510000002</v>
      </c>
      <c r="J66" s="667">
        <f>IF(J$18='5.Variables'!$B$16,+'5.Variables'!$M30,+IF(J$18='5.Variables'!$B$39,+'5.Variables'!$M53,+IF(J$18='5.Variables'!$B$62,+'5.Variables'!$M67,+IF(J$18='5.Variables'!$B$76,+'5.Variables'!$M81,+IF(J$18='5.Variables'!$B$90,+'5.Variables'!$M95,+IF(J$18='5.Variables'!$B$104,+'5.Variables'!$M109,0))))))</f>
        <v>473.2</v>
      </c>
      <c r="K66" s="667">
        <f>IF(K$18='5.Variables'!$B$16,+'5.Variables'!$M29,+IF(K$18='5.Variables'!$B$39,+'5.Variables'!$M53,+IF(K$18='5.Variables'!$B$62,+'5.Variables'!$M67,+IF(K$18='5.Variables'!$B$76,+'5.Variables'!$M81,+IF(K$18='5.Variables'!$B$90,+'5.Variables'!$M95,+IF(K$18='5.Variables'!$B$104,+'5.Variables'!$M109,0))))))</f>
        <v>0</v>
      </c>
      <c r="L66" s="667">
        <f>IF(L$18='5.Variables'!$B$16,+'5.Variables'!$M29,+IF(L$18='5.Variables'!$B$39,+'5.Variables'!$M53,+IF(L$18='5.Variables'!$B$62,+'5.Variables'!$M67,+IF(L$18='5.Variables'!$B$76,+'5.Variables'!$M81,+IF(L$18='5.Variables'!$B$90,+'5.Variables'!$M95,+IF(L$18='5.Variables'!$B$104,+'5.Variables'!$M109,0))))))</f>
        <v>30</v>
      </c>
      <c r="M66" s="667">
        <f>IF(M$18='5.Variables'!$B$16,+'5.Variables'!$M29,+IF(M$18='5.Variables'!$B$39,+'5.Variables'!$M53,+IF(M$18='5.Variables'!$B$62,+'5.Variables'!$M67,+IF(M$18='5.Variables'!$B$76,+'5.Variables'!$M81,+IF(M$18='5.Variables'!$B$90,+'5.Variables'!$M95,+IF(M$18='5.Variables'!$B$104,+'5.Variables'!$M109,0))))))</f>
        <v>320</v>
      </c>
      <c r="N66" s="667">
        <f>IF(N$18='5.Variables'!$B$16,+'5.Variables'!$M29,+IF(N$18='5.Variables'!$B$39,+'5.Variables'!$M53,+IF(N$18='5.Variables'!$B$62,+'5.Variables'!$M67,+IF(N$18='5.Variables'!$B$76,+'5.Variables'!$M81,+IF(N$18='5.Variables'!$B$90,+'5.Variables'!$M95,+IF(N$18='5.Variables'!$B$104,+'5.Variables'!$M109,0))))))</f>
        <v>1</v>
      </c>
      <c r="O66" s="1052">
        <v>10041</v>
      </c>
      <c r="P66" s="232"/>
      <c r="Q66" s="530">
        <f t="shared" si="5"/>
        <v>20980211.473664526</v>
      </c>
      <c r="R66" s="250"/>
      <c r="S66" s="232"/>
      <c r="T66" s="237">
        <f>'4. Customer Growth'!B24</f>
        <v>2018</v>
      </c>
      <c r="U66" s="252">
        <f t="shared" si="8"/>
        <v>254570985.03999996</v>
      </c>
      <c r="V66" s="252">
        <f t="shared" si="6"/>
        <v>259096002.29926127</v>
      </c>
      <c r="W66" s="253">
        <f t="shared" si="7"/>
        <v>1.7775070707882548E-2</v>
      </c>
      <c r="X66" s="256"/>
      <c r="Y66" s="232"/>
      <c r="Z66" s="232"/>
      <c r="AA66" s="232"/>
      <c r="AB66" s="232"/>
      <c r="AC66" s="232"/>
      <c r="AD66" s="232"/>
      <c r="AE66" s="232"/>
      <c r="AF66" s="232"/>
      <c r="AG66" s="232"/>
      <c r="AH66" s="232"/>
      <c r="AI66" s="232"/>
      <c r="AJ66" s="232"/>
      <c r="AK66" s="232"/>
      <c r="AL66" s="232"/>
    </row>
    <row r="67" spans="1:38">
      <c r="A67" s="484">
        <f t="shared" si="1"/>
        <v>48</v>
      </c>
      <c r="B67" s="501" t="str">
        <f>CONCATENATE('3. Consumption by Rate Class'!B72,"-",'3. Consumption by Rate Class'!C72)</f>
        <v>2014-December</v>
      </c>
      <c r="C67" s="650">
        <v>22098682.440000001</v>
      </c>
      <c r="D67" s="778"/>
      <c r="E67" s="777"/>
      <c r="F67" s="777"/>
      <c r="G67" s="1006"/>
      <c r="H67" s="994"/>
      <c r="I67" s="995">
        <f t="shared" si="2"/>
        <v>22098682.440000001</v>
      </c>
      <c r="J67" s="667">
        <f>IF(J$18='5.Variables'!$B$16,+'5.Variables'!$N30,+IF(J$18='5.Variables'!$B$39,+'5.Variables'!$N53,+IF(J$18='5.Variables'!$B$62,+'5.Variables'!$N67,+IF(J$18='5.Variables'!$B$76,+'5.Variables'!$N81,+IF(J$18='5.Variables'!$B$90,+'5.Variables'!$N95,+IF(J$18='5.Variables'!$B$104,+'5.Variables'!$N109,0))))))</f>
        <v>519.4</v>
      </c>
      <c r="K67" s="667">
        <f>IF(K$18='5.Variables'!$B$16,+'5.Variables'!$N29,+IF(K$18='5.Variables'!$B$39,+'5.Variables'!$N53,+IF(K$18='5.Variables'!$B$62,+'5.Variables'!$N67,+IF(K$18='5.Variables'!$B$76,+'5.Variables'!$N81,+IF(K$18='5.Variables'!$B$90,+'5.Variables'!$N95,+IF(K$18='5.Variables'!$B$104,+'5.Variables'!$N109,0))))))</f>
        <v>0</v>
      </c>
      <c r="L67" s="667">
        <f>IF(L$18='5.Variables'!$B$16,+'5.Variables'!$N29,+IF(L$18='5.Variables'!$B$39,+'5.Variables'!$N53,+IF(L$18='5.Variables'!$B$62,+'5.Variables'!$N67,+IF(L$18='5.Variables'!$B$76,+'5.Variables'!$N81,+IF(L$18='5.Variables'!$B$90,+'5.Variables'!$N95,+IF(L$18='5.Variables'!$B$104,+'5.Variables'!$N109,0))))))</f>
        <v>31</v>
      </c>
      <c r="M67" s="667">
        <f>IF(M$18='5.Variables'!$B$16,+'5.Variables'!$N29,+IF(M$18='5.Variables'!$B$39,+'5.Variables'!$N53,+IF(M$18='5.Variables'!$B$62,+'5.Variables'!$N67,+IF(M$18='5.Variables'!$B$76,+'5.Variables'!$N81,+IF(M$18='5.Variables'!$B$90,+'5.Variables'!$N95,+IF(M$18='5.Variables'!$B$104,+'5.Variables'!$N109,0))))))</f>
        <v>336</v>
      </c>
      <c r="N67" s="667">
        <f>IF(N$18='5.Variables'!$B$16,+'5.Variables'!$N29,+IF(N$18='5.Variables'!$B$39,+'5.Variables'!$N53,+IF(N$18='5.Variables'!$B$62,+'5.Variables'!$N67,+IF(N$18='5.Variables'!$B$76,+'5.Variables'!$N81,+IF(N$18='5.Variables'!$B$90,+'5.Variables'!$N95,+IF(N$18='5.Variables'!$B$104,+'5.Variables'!$N109,0))))))</f>
        <v>0</v>
      </c>
      <c r="O67" s="1052">
        <v>10051</v>
      </c>
      <c r="P67" s="232"/>
      <c r="Q67" s="530">
        <f t="shared" si="5"/>
        <v>22447465.704377186</v>
      </c>
      <c r="R67" s="250">
        <f>SUM(Q56:Q67)</f>
        <v>252761267.78320035</v>
      </c>
      <c r="S67" s="232"/>
      <c r="T67" s="237">
        <f>'4. Customer Growth'!B25</f>
        <v>2019</v>
      </c>
      <c r="U67" s="252">
        <f t="shared" si="8"/>
        <v>245663815.89999998</v>
      </c>
      <c r="V67" s="252">
        <f t="shared" si="6"/>
        <v>254184211.63141453</v>
      </c>
      <c r="W67" s="253">
        <f t="shared" si="7"/>
        <v>3.468315307323433E-2</v>
      </c>
      <c r="X67" s="256"/>
      <c r="Y67" s="232"/>
      <c r="Z67" s="232"/>
      <c r="AA67" s="232"/>
      <c r="AB67" s="232"/>
      <c r="AC67" s="232"/>
      <c r="AD67" s="232"/>
      <c r="AE67" s="232"/>
      <c r="AF67" s="232"/>
      <c r="AG67" s="232"/>
      <c r="AH67" s="232"/>
      <c r="AI67" s="232"/>
      <c r="AJ67" s="232"/>
      <c r="AK67" s="232"/>
      <c r="AL67" s="232"/>
    </row>
    <row r="68" spans="1:38">
      <c r="A68" s="484">
        <f t="shared" si="1"/>
        <v>49</v>
      </c>
      <c r="B68" s="985" t="str">
        <f>CONCATENATE('3. Consumption by Rate Class'!B73,"-",'3. Consumption by Rate Class'!C73)</f>
        <v>2015-January</v>
      </c>
      <c r="C68" s="982">
        <v>24460867.329999998</v>
      </c>
      <c r="D68" s="983"/>
      <c r="E68" s="984"/>
      <c r="F68" s="984"/>
      <c r="G68" s="990"/>
      <c r="H68" s="989"/>
      <c r="I68" s="530">
        <f t="shared" si="2"/>
        <v>24460867.329999998</v>
      </c>
      <c r="J68" s="667">
        <f>IF(J$18='5.Variables'!$B$16,+'5.Variables'!$C31,+IF(J$18='5.Variables'!$B$39,+'5.Variables'!$C54,+IF(J$18='5.Variables'!$B$62,+'5.Variables'!$C68,+IF(J$18='5.Variables'!$B$76,+'5.Variables'!$C82,+IF(J$18='5.Variables'!$B$90,+'5.Variables'!$C96,+IF(J$18='5.Variables'!$B$104,+'5.Variables'!$C110,0))))))</f>
        <v>759.2</v>
      </c>
      <c r="K68" s="667">
        <f>IF(K$18='5.Variables'!$B$16,+'5.Variables'!$C30,+IF(K$18='5.Variables'!$B$39,+'5.Variables'!$C54,+IF(K$18='5.Variables'!$B$62,+'5.Variables'!$C68,+IF(K$18='5.Variables'!$B$76,+'5.Variables'!$C82,+IF(K$18='5.Variables'!$B$90,+'5.Variables'!$C96,+IF(K$18='5.Variables'!$B$104,+'5.Variables'!$C110,0))))))</f>
        <v>0</v>
      </c>
      <c r="L68" s="667">
        <f>IF(L$18='5.Variables'!$B$16,+'5.Variables'!$C30,+IF(L$18='5.Variables'!$B$39,+'5.Variables'!$C54,+IF(L$18='5.Variables'!$B$62,+'5.Variables'!$C68,+IF(L$18='5.Variables'!$B$76,+'5.Variables'!$C82,+IF(L$18='5.Variables'!$B$90,+'5.Variables'!$C96,+IF(L$18='5.Variables'!$B$104,+'5.Variables'!$C110,0))))))</f>
        <v>31</v>
      </c>
      <c r="M68" s="667">
        <f>IF(M$18='5.Variables'!$B$16,+'5.Variables'!$C30,+IF(M$18='5.Variables'!$B$39,+'5.Variables'!$C54,+IF(M$18='5.Variables'!$B$62,+'5.Variables'!$C68,+IF(M$18='5.Variables'!$B$76,+'5.Variables'!$C82,+IF(M$18='5.Variables'!$B$90,+'5.Variables'!$C96,+IF(M$18='5.Variables'!$B$104,+'5.Variables'!$C110,0))))))</f>
        <v>336</v>
      </c>
      <c r="N68" s="667">
        <f>IF(N$18='5.Variables'!$B$16,+'5.Variables'!$C30,+IF(N$18='5.Variables'!$B$39,+'5.Variables'!$C54,+IF(N$18='5.Variables'!$B$62,+'5.Variables'!$C68,+IF(N$18='5.Variables'!$B$76,+'5.Variables'!$C82,+IF(N$18='5.Variables'!$B$90,+'5.Variables'!$C96,+IF(N$18='5.Variables'!$B$104,+'5.Variables'!$C110,0))))))</f>
        <v>0</v>
      </c>
      <c r="O68" s="1052">
        <v>10053</v>
      </c>
      <c r="P68" s="232"/>
      <c r="Q68" s="530">
        <f t="shared" si="5"/>
        <v>24029605.084333476</v>
      </c>
      <c r="R68" s="250"/>
      <c r="S68" s="232"/>
      <c r="T68" s="237">
        <f>'4. Customer Growth'!B26</f>
        <v>2020</v>
      </c>
      <c r="U68" s="252">
        <f t="shared" si="8"/>
        <v>247239798.66666663</v>
      </c>
      <c r="V68" s="252">
        <f t="shared" si="6"/>
        <v>256707769.52352279</v>
      </c>
      <c r="W68" s="253">
        <f t="shared" si="7"/>
        <v>3.8294687618723816E-2</v>
      </c>
      <c r="X68" s="256"/>
      <c r="Y68" s="232"/>
      <c r="Z68" s="232"/>
      <c r="AA68" s="232"/>
      <c r="AB68" s="232"/>
      <c r="AC68" s="232"/>
      <c r="AD68" s="232"/>
      <c r="AE68" s="232"/>
      <c r="AF68" s="232"/>
      <c r="AG68" s="232"/>
      <c r="AH68" s="232"/>
      <c r="AI68" s="232"/>
      <c r="AJ68" s="232"/>
      <c r="AK68" s="232"/>
      <c r="AL68" s="232"/>
    </row>
    <row r="69" spans="1:38">
      <c r="A69" s="484">
        <f t="shared" si="1"/>
        <v>50</v>
      </c>
      <c r="B69" s="985" t="str">
        <f>CONCATENATE('3. Consumption by Rate Class'!B74,"-",'3. Consumption by Rate Class'!C74)</f>
        <v>2015-February</v>
      </c>
      <c r="C69" s="982">
        <v>23190222.68</v>
      </c>
      <c r="D69" s="983"/>
      <c r="E69" s="984"/>
      <c r="F69" s="984"/>
      <c r="G69" s="990"/>
      <c r="H69" s="989"/>
      <c r="I69" s="530">
        <f t="shared" si="2"/>
        <v>23190222.68</v>
      </c>
      <c r="J69" s="667">
        <f>IF(J$18='5.Variables'!$B$16,+'5.Variables'!$D31,+IF(J$18='5.Variables'!$B$39,+'5.Variables'!$D54,+IF(J$18='5.Variables'!$B$62,+'5.Variables'!$D68,+IF(J$18='5.Variables'!$B$76,+'5.Variables'!$D82,+IF(J$18='5.Variables'!$B$90,+'5.Variables'!$D96,+IF(J$18='5.Variables'!$B$104,+'5.Variables'!$D110,0))))))</f>
        <v>842.5</v>
      </c>
      <c r="K69" s="667">
        <f>IF(K$18='5.Variables'!$B$16,+'5.Variables'!$D30,+IF(K$18='5.Variables'!$B$39,+'5.Variables'!$D54,+IF(K$18='5.Variables'!$B$62,+'5.Variables'!$D68,+IF(K$18='5.Variables'!$B$76,+'5.Variables'!$D82,+IF(K$18='5.Variables'!$B$90,+'5.Variables'!$D96,+IF(K$18='5.Variables'!$B$104,+'5.Variables'!$D110,0))))))</f>
        <v>0</v>
      </c>
      <c r="L69" s="667">
        <f>IF(L$18='5.Variables'!$B$16,+'5.Variables'!$D30,+IF(L$18='5.Variables'!$B$39,+'5.Variables'!$D54,+IF(L$18='5.Variables'!$B$62,+'5.Variables'!$D68,+IF(L$18='5.Variables'!$B$76,+'5.Variables'!$D82,+IF(L$18='5.Variables'!$B$90,+'5.Variables'!$D96,+IF(L$18='5.Variables'!$B$104,+'5.Variables'!$D110,0))))))</f>
        <v>28</v>
      </c>
      <c r="M69" s="667">
        <f>IF(M$18='5.Variables'!$B$16,+'5.Variables'!$D30,+IF(M$18='5.Variables'!$B$39,+'5.Variables'!$D54,+IF(M$18='5.Variables'!$B$62,+'5.Variables'!$D68,+IF(M$18='5.Variables'!$B$76,+'5.Variables'!$D82,+IF(M$18='5.Variables'!$B$90,+'5.Variables'!$D96,+IF(M$18='5.Variables'!$B$104,+'5.Variables'!$D110,0))))))</f>
        <v>304</v>
      </c>
      <c r="N69" s="667">
        <f>IF(N$18='5.Variables'!$B$16,+'5.Variables'!$D30,+IF(N$18='5.Variables'!$B$39,+'5.Variables'!$D54,+IF(N$18='5.Variables'!$B$62,+'5.Variables'!$D68,+IF(N$18='5.Variables'!$B$76,+'5.Variables'!$D82,+IF(N$18='5.Variables'!$B$90,+'5.Variables'!$D96,+IF(N$18='5.Variables'!$B$104,+'5.Variables'!$D110,0))))))</f>
        <v>0</v>
      </c>
      <c r="O69" s="1052">
        <v>10054</v>
      </c>
      <c r="P69" s="232"/>
      <c r="Q69" s="530">
        <f t="shared" si="5"/>
        <v>23219063.776760168</v>
      </c>
      <c r="R69" s="250"/>
      <c r="S69" s="232"/>
      <c r="T69" s="257" t="s">
        <v>46</v>
      </c>
      <c r="U69" s="257"/>
      <c r="V69" s="257"/>
      <c r="W69" s="258">
        <f>AVERAGE(W59:W68)</f>
        <v>2.7391354701551927E-2</v>
      </c>
      <c r="X69" s="232"/>
      <c r="Y69" s="232"/>
      <c r="Z69" s="232"/>
      <c r="AA69" s="232"/>
      <c r="AB69" s="232"/>
      <c r="AC69" s="232"/>
      <c r="AD69" s="232"/>
      <c r="AE69" s="232"/>
      <c r="AF69" s="232"/>
      <c r="AG69" s="232"/>
      <c r="AH69" s="232"/>
      <c r="AI69" s="232"/>
      <c r="AJ69" s="232"/>
      <c r="AK69" s="232"/>
      <c r="AL69" s="232"/>
    </row>
    <row r="70" spans="1:38">
      <c r="A70" s="484">
        <f t="shared" si="1"/>
        <v>51</v>
      </c>
      <c r="B70" s="985" t="str">
        <f>CONCATENATE('3. Consumption by Rate Class'!B75,"-",'3. Consumption by Rate Class'!C75)</f>
        <v>2015-March</v>
      </c>
      <c r="C70" s="982">
        <v>22718708.77</v>
      </c>
      <c r="D70" s="983"/>
      <c r="E70" s="984"/>
      <c r="F70" s="984"/>
      <c r="G70" s="990"/>
      <c r="H70" s="989"/>
      <c r="I70" s="530">
        <f t="shared" si="2"/>
        <v>22718708.77</v>
      </c>
      <c r="J70" s="667">
        <f>IF(J$18='5.Variables'!$B$16,+'5.Variables'!$E31,+IF(J$18='5.Variables'!$B$39,+'5.Variables'!$E54,+IF(J$18='5.Variables'!$B$62,+'5.Variables'!$E68,+IF(J$18='5.Variables'!$B$76,+'5.Variables'!$E82,+IF(J$18='5.Variables'!$B$90,+'5.Variables'!$E96,+IF(J$18='5.Variables'!$B$104,+'5.Variables'!$E110,0))))))</f>
        <v>639.70000000000005</v>
      </c>
      <c r="K70" s="667">
        <f>IF(K$18='5.Variables'!$B$16,+'5.Variables'!$E30,+IF(K$18='5.Variables'!$B$39,+'5.Variables'!$E54,+IF(K$18='5.Variables'!$B$62,+'5.Variables'!$E68,+IF(K$18='5.Variables'!$B$76,+'5.Variables'!$E82,+IF(K$18='5.Variables'!$B$90,+'5.Variables'!$E96,+IF(K$18='5.Variables'!$B$104,+'5.Variables'!$E110,0))))))</f>
        <v>0</v>
      </c>
      <c r="L70" s="667">
        <f>IF(L$18='5.Variables'!$B$16,+'5.Variables'!$E30,+IF(L$18='5.Variables'!$B$39,+'5.Variables'!$E54,+IF(L$18='5.Variables'!$B$62,+'5.Variables'!$E68,+IF(L$18='5.Variables'!$B$76,+'5.Variables'!$E82,+IF(L$18='5.Variables'!$B$90,+'5.Variables'!$E96,+IF(L$18='5.Variables'!$B$104,+'5.Variables'!$E110,0))))))</f>
        <v>31</v>
      </c>
      <c r="M70" s="667">
        <f>IF(M$18='5.Variables'!$B$16,+'5.Variables'!$E30,+IF(M$18='5.Variables'!$B$39,+'5.Variables'!$E54,+IF(M$18='5.Variables'!$B$62,+'5.Variables'!$E68,+IF(M$18='5.Variables'!$B$76,+'5.Variables'!$E82,+IF(M$18='5.Variables'!$B$90,+'5.Variables'!$E96,+IF(M$18='5.Variables'!$B$104,+'5.Variables'!$E110,0))))))</f>
        <v>352</v>
      </c>
      <c r="N70" s="667">
        <f>IF(N$18='5.Variables'!$B$16,+'5.Variables'!$E30,+IF(N$18='5.Variables'!$B$39,+'5.Variables'!$E54,+IF(N$18='5.Variables'!$B$62,+'5.Variables'!$E68,+IF(N$18='5.Variables'!$B$76,+'5.Variables'!$E82,+IF(N$18='5.Variables'!$B$90,+'5.Variables'!$E96,+IF(N$18='5.Variables'!$B$104,+'5.Variables'!$E110,0))))))</f>
        <v>1</v>
      </c>
      <c r="O70" s="1052">
        <v>10056</v>
      </c>
      <c r="P70" s="232"/>
      <c r="Q70" s="530">
        <f t="shared" si="5"/>
        <v>22685720.871102501</v>
      </c>
      <c r="R70" s="250"/>
      <c r="S70" s="232"/>
      <c r="T70" s="257" t="s">
        <v>62</v>
      </c>
      <c r="U70" s="232"/>
      <c r="V70" s="232"/>
      <c r="W70" s="258">
        <f>MEDIAN(W59:W68)</f>
        <v>2.8650017359667698E-2</v>
      </c>
      <c r="X70" s="232"/>
      <c r="Y70" s="232"/>
      <c r="Z70" s="232"/>
      <c r="AA70" s="232"/>
      <c r="AB70" s="232"/>
      <c r="AC70" s="232"/>
      <c r="AD70" s="232"/>
      <c r="AE70" s="232"/>
      <c r="AF70" s="232"/>
      <c r="AG70" s="232"/>
      <c r="AH70" s="232"/>
      <c r="AI70" s="232"/>
      <c r="AJ70" s="232"/>
      <c r="AK70" s="232"/>
      <c r="AL70" s="232"/>
    </row>
    <row r="71" spans="1:38">
      <c r="A71" s="484">
        <f t="shared" si="1"/>
        <v>52</v>
      </c>
      <c r="B71" s="985" t="str">
        <f>CONCATENATE('3. Consumption by Rate Class'!B76,"-",'3. Consumption by Rate Class'!C76)</f>
        <v>2015-April</v>
      </c>
      <c r="C71" s="982">
        <v>19473534.43</v>
      </c>
      <c r="D71" s="983"/>
      <c r="E71" s="984"/>
      <c r="F71" s="984"/>
      <c r="G71" s="990"/>
      <c r="H71" s="989"/>
      <c r="I71" s="530">
        <f t="shared" si="2"/>
        <v>19473534.43</v>
      </c>
      <c r="J71" s="667">
        <f>IF(J$18='5.Variables'!$B$16,+'5.Variables'!$F31,+IF(J$18='5.Variables'!$B$39,+'5.Variables'!$F54,+IF(J$18='5.Variables'!$B$62,+'5.Variables'!$F68,+IF(J$18='5.Variables'!$B$76,+'5.Variables'!$F82,+IF(J$18='5.Variables'!$B$90,+'5.Variables'!$F96,+IF(J$18='5.Variables'!$B$104,+'5.Variables'!$F110,0))))))</f>
        <v>351</v>
      </c>
      <c r="K71" s="667">
        <f>IF(K$18='5.Variables'!$B$16,+'5.Variables'!$F30,+IF(K$18='5.Variables'!$B$39,+'5.Variables'!$F54,+IF(K$18='5.Variables'!$B$62,+'5.Variables'!$F68,+IF(K$18='5.Variables'!$B$76,+'5.Variables'!$F82,+IF(K$18='5.Variables'!$B$90,+'5.Variables'!$F96,+IF(K$18='5.Variables'!$B$104,+'5.Variables'!$F110,0))))))</f>
        <v>0</v>
      </c>
      <c r="L71" s="667">
        <f>IF(L$18='5.Variables'!$B$16,+'5.Variables'!$F30,+IF(L$18='5.Variables'!$B$39,+'5.Variables'!$F54,+IF(L$18='5.Variables'!$B$62,+'5.Variables'!$F68,+IF(L$18='5.Variables'!$B$76,+'5.Variables'!$F82,+IF(L$18='5.Variables'!$B$90,+'5.Variables'!$F96,+IF(L$18='5.Variables'!$B$104,+'5.Variables'!$F110,0))))))</f>
        <v>30</v>
      </c>
      <c r="M71" s="667">
        <f>IF(M$18='5.Variables'!$B$16,+'5.Variables'!$F30,+IF(M$18='5.Variables'!$B$39,+'5.Variables'!$F54,+IF(M$18='5.Variables'!$B$62,+'5.Variables'!$F68,+IF(M$18='5.Variables'!$B$76,+'5.Variables'!$F82,+IF(M$18='5.Variables'!$B$90,+'5.Variables'!$F96,+IF(M$18='5.Variables'!$B$104,+'5.Variables'!$F110,0))))))</f>
        <v>336</v>
      </c>
      <c r="N71" s="667">
        <f>IF(N$18='5.Variables'!$B$16,+'5.Variables'!$F30,+IF(N$18='5.Variables'!$B$39,+'5.Variables'!$F54,+IF(N$18='5.Variables'!$B$62,+'5.Variables'!$F68,+IF(N$18='5.Variables'!$B$76,+'5.Variables'!$F82,+IF(N$18='5.Variables'!$B$90,+'5.Variables'!$F96,+IF(N$18='5.Variables'!$B$104,+'5.Variables'!$F110,0))))))</f>
        <v>1</v>
      </c>
      <c r="O71" s="1052">
        <v>10062</v>
      </c>
      <c r="P71" s="232"/>
      <c r="Q71" s="530">
        <f t="shared" si="5"/>
        <v>20289183.899644133</v>
      </c>
      <c r="R71" s="250"/>
      <c r="S71" s="232"/>
      <c r="T71" s="232"/>
      <c r="U71" s="232"/>
      <c r="V71" s="232"/>
      <c r="W71" s="232"/>
      <c r="X71" s="232"/>
      <c r="Y71" s="232"/>
      <c r="Z71" s="232"/>
      <c r="AA71" s="232"/>
      <c r="AB71" s="232"/>
      <c r="AC71" s="232"/>
      <c r="AD71" s="232"/>
      <c r="AE71" s="232"/>
      <c r="AF71" s="232"/>
      <c r="AG71" s="232"/>
      <c r="AH71" s="232"/>
      <c r="AI71" s="232"/>
      <c r="AJ71" s="232"/>
      <c r="AK71" s="232"/>
      <c r="AL71" s="232"/>
    </row>
    <row r="72" spans="1:38">
      <c r="A72" s="484">
        <f t="shared" si="1"/>
        <v>53</v>
      </c>
      <c r="B72" s="985" t="str">
        <f>CONCATENATE('3. Consumption by Rate Class'!B77,"-",'3. Consumption by Rate Class'!C77)</f>
        <v>2015-May</v>
      </c>
      <c r="C72" s="982">
        <v>18576601.109999999</v>
      </c>
      <c r="D72" s="983"/>
      <c r="E72" s="984"/>
      <c r="F72" s="984"/>
      <c r="G72" s="990"/>
      <c r="H72" s="989"/>
      <c r="I72" s="530">
        <f t="shared" si="2"/>
        <v>18576601.109999999</v>
      </c>
      <c r="J72" s="667">
        <f>IF(J$18='5.Variables'!$B$16,+'5.Variables'!$G31,+IF(J$18='5.Variables'!$B$39,+'5.Variables'!$G54,+IF(J$18='5.Variables'!$B$62,+'5.Variables'!$G68,+IF(J$18='5.Variables'!$B$76,+'5.Variables'!$G82,+IF(J$18='5.Variables'!$B$90,+'5.Variables'!$G96,+IF(J$18='5.Variables'!$B$104,+'5.Variables'!$G110,0))))))</f>
        <v>183.4</v>
      </c>
      <c r="K72" s="667">
        <f>IF(K$18='5.Variables'!$B$16,+'5.Variables'!$G30,+IF(K$18='5.Variables'!$B$39,+'5.Variables'!$G54,+IF(K$18='5.Variables'!$B$62,+'5.Variables'!$G68,+IF(K$18='5.Variables'!$B$76,+'5.Variables'!$G82,+IF(K$18='5.Variables'!$B$90,+'5.Variables'!$G96,+IF(K$18='5.Variables'!$B$104,+'5.Variables'!$G110,0))))))</f>
        <v>0</v>
      </c>
      <c r="L72" s="667">
        <f>IF(L$18='5.Variables'!$B$16,+'5.Variables'!$G30,+IF(L$18='5.Variables'!$B$39,+'5.Variables'!$G54,+IF(L$18='5.Variables'!$B$62,+'5.Variables'!$G68,+IF(L$18='5.Variables'!$B$76,+'5.Variables'!$G82,+IF(L$18='5.Variables'!$B$90,+'5.Variables'!$G96,+IF(L$18='5.Variables'!$B$104,+'5.Variables'!$G110,0))))))</f>
        <v>31</v>
      </c>
      <c r="M72" s="667">
        <f>IF(M$18='5.Variables'!$B$16,+'5.Variables'!$G30,+IF(M$18='5.Variables'!$B$39,+'5.Variables'!$G54,+IF(M$18='5.Variables'!$B$62,+'5.Variables'!$G68,+IF(M$18='5.Variables'!$B$76,+'5.Variables'!$G82,+IF(M$18='5.Variables'!$B$90,+'5.Variables'!$G96,+IF(M$18='5.Variables'!$B$104,+'5.Variables'!$G110,0))))))</f>
        <v>320</v>
      </c>
      <c r="N72" s="667">
        <f>IF(N$18='5.Variables'!$B$16,+'5.Variables'!$G30,+IF(N$18='5.Variables'!$B$39,+'5.Variables'!$G54,+IF(N$18='5.Variables'!$B$62,+'5.Variables'!$G68,+IF(N$18='5.Variables'!$B$76,+'5.Variables'!$G82,+IF(N$18='5.Variables'!$B$90,+'5.Variables'!$G96,+IF(N$18='5.Variables'!$B$104,+'5.Variables'!$G110,0))))))</f>
        <v>1</v>
      </c>
      <c r="O72" s="1052">
        <v>10070</v>
      </c>
      <c r="P72" s="232"/>
      <c r="Q72" s="530">
        <f t="shared" si="5"/>
        <v>19444797.56486734</v>
      </c>
      <c r="R72" s="250"/>
      <c r="S72" s="232"/>
      <c r="T72" s="232" t="s">
        <v>123</v>
      </c>
      <c r="U72" s="232"/>
      <c r="V72" s="232"/>
      <c r="W72" s="232"/>
      <c r="X72" s="232"/>
      <c r="Y72" s="232"/>
      <c r="Z72" s="232"/>
      <c r="AA72" s="232"/>
      <c r="AB72" s="232"/>
      <c r="AC72" s="232"/>
      <c r="AD72" s="232"/>
      <c r="AE72" s="232"/>
      <c r="AF72" s="232"/>
      <c r="AG72" s="232"/>
      <c r="AH72" s="232"/>
      <c r="AI72" s="232"/>
      <c r="AJ72" s="232"/>
      <c r="AK72" s="232"/>
      <c r="AL72" s="232"/>
    </row>
    <row r="73" spans="1:38">
      <c r="A73" s="484">
        <f t="shared" si="1"/>
        <v>54</v>
      </c>
      <c r="B73" s="985" t="str">
        <f>CONCATENATE('3. Consumption by Rate Class'!B78,"-",'3. Consumption by Rate Class'!C78)</f>
        <v>2015-June</v>
      </c>
      <c r="C73" s="982">
        <v>19026485.850000001</v>
      </c>
      <c r="D73" s="983"/>
      <c r="E73" s="984"/>
      <c r="F73" s="984"/>
      <c r="G73" s="990"/>
      <c r="H73" s="989"/>
      <c r="I73" s="530">
        <f t="shared" si="2"/>
        <v>19026485.850000001</v>
      </c>
      <c r="J73" s="667">
        <f>IF(J$18='5.Variables'!$B$16,+'5.Variables'!$H31,+IF(J$18='5.Variables'!$B$39,+'5.Variables'!$H54,+IF(J$18='5.Variables'!$B$62,+'5.Variables'!$H68,+IF(J$18='5.Variables'!$B$76,+'5.Variables'!$H82,+IF(J$18='5.Variables'!$B$90,+'5.Variables'!$H96,+IF(J$18='5.Variables'!$B$104,+'5.Variables'!$H110,0))))))</f>
        <v>88.3</v>
      </c>
      <c r="K73" s="667">
        <f>IF(K$18='5.Variables'!$B$16,+'5.Variables'!$H30,+IF(K$18='5.Variables'!$B$39,+'5.Variables'!$H54,+IF(K$18='5.Variables'!$B$62,+'5.Variables'!$H68,+IF(K$18='5.Variables'!$B$76,+'5.Variables'!$H82,+IF(K$18='5.Variables'!$B$90,+'5.Variables'!$H96,+IF(K$18='5.Variables'!$B$104,+'5.Variables'!$H110,0))))))</f>
        <v>5.6</v>
      </c>
      <c r="L73" s="667">
        <f>IF(L$18='5.Variables'!$B$16,+'5.Variables'!$H30,+IF(L$18='5.Variables'!$B$39,+'5.Variables'!$H54,+IF(L$18='5.Variables'!$B$62,+'5.Variables'!$H68,+IF(L$18='5.Variables'!$B$76,+'5.Variables'!$H82,+IF(L$18='5.Variables'!$B$90,+'5.Variables'!$H96,+IF(L$18='5.Variables'!$B$104,+'5.Variables'!$H110,0))))))</f>
        <v>30</v>
      </c>
      <c r="M73" s="667">
        <f>IF(M$18='5.Variables'!$B$16,+'5.Variables'!$H30,+IF(M$18='5.Variables'!$B$39,+'5.Variables'!$H54,+IF(M$18='5.Variables'!$B$62,+'5.Variables'!$H68,+IF(M$18='5.Variables'!$B$76,+'5.Variables'!$H82,+IF(M$18='5.Variables'!$B$90,+'5.Variables'!$H96,+IF(M$18='5.Variables'!$B$104,+'5.Variables'!$H110,0))))))</f>
        <v>352</v>
      </c>
      <c r="N73" s="667">
        <f>IF(N$18='5.Variables'!$B$16,+'5.Variables'!$H30,+IF(N$18='5.Variables'!$B$39,+'5.Variables'!$H54,+IF(N$18='5.Variables'!$B$62,+'5.Variables'!$H68,+IF(N$18='5.Variables'!$B$76,+'5.Variables'!$H82,+IF(N$18='5.Variables'!$B$90,+'5.Variables'!$H96,+IF(N$18='5.Variables'!$B$104,+'5.Variables'!$H110,0))))))</f>
        <v>0</v>
      </c>
      <c r="O73" s="1052">
        <v>10078</v>
      </c>
      <c r="P73" s="232"/>
      <c r="Q73" s="530">
        <f t="shared" si="5"/>
        <v>19565625.549113091</v>
      </c>
      <c r="R73" s="250"/>
      <c r="S73" s="232"/>
      <c r="T73" s="232" t="s">
        <v>165</v>
      </c>
      <c r="U73" s="232"/>
      <c r="V73" s="232"/>
      <c r="W73" s="232"/>
      <c r="X73" s="232"/>
      <c r="Y73" s="232"/>
      <c r="Z73" s="232"/>
      <c r="AA73" s="232"/>
      <c r="AB73" s="232"/>
      <c r="AC73" s="232"/>
      <c r="AD73" s="232"/>
      <c r="AE73" s="232"/>
      <c r="AF73" s="232"/>
      <c r="AG73" s="232"/>
      <c r="AH73" s="232"/>
      <c r="AI73" s="232"/>
      <c r="AJ73" s="232"/>
      <c r="AK73" s="232"/>
      <c r="AL73" s="232"/>
    </row>
    <row r="74" spans="1:38">
      <c r="A74" s="484">
        <f t="shared" si="1"/>
        <v>55</v>
      </c>
      <c r="B74" s="985" t="str">
        <f>CONCATENATE('3. Consumption by Rate Class'!B79,"-",'3. Consumption by Rate Class'!C79)</f>
        <v>2015-July</v>
      </c>
      <c r="C74" s="982">
        <v>20495166.43</v>
      </c>
      <c r="D74" s="983"/>
      <c r="E74" s="984"/>
      <c r="F74" s="984"/>
      <c r="G74" s="990"/>
      <c r="H74" s="989"/>
      <c r="I74" s="530">
        <f t="shared" si="2"/>
        <v>20495166.43</v>
      </c>
      <c r="J74" s="667">
        <f>IF(J$18='5.Variables'!$B$16,+'5.Variables'!$I31,+IF(J$18='5.Variables'!$B$39,+'5.Variables'!$I54,+IF(J$18='5.Variables'!$B$62,+'5.Variables'!$I68,+IF(J$18='5.Variables'!$B$76,+'5.Variables'!$I82,+IF(J$18='5.Variables'!$B$90,+'5.Variables'!$I96,+IF(J$18='5.Variables'!$B$104,+'5.Variables'!$I110,0))))))</f>
        <v>18.5</v>
      </c>
      <c r="K74" s="667">
        <f>IF(K$18='5.Variables'!$B$16,+'5.Variables'!$I30,+IF(K$18='5.Variables'!$B$39,+'5.Variables'!$I54,+IF(K$18='5.Variables'!$B$62,+'5.Variables'!$I68,+IF(K$18='5.Variables'!$B$76,+'5.Variables'!$I82,+IF(K$18='5.Variables'!$B$90,+'5.Variables'!$I96,+IF(K$18='5.Variables'!$B$104,+'5.Variables'!$I110,0))))))</f>
        <v>37</v>
      </c>
      <c r="L74" s="667">
        <f>IF(L$18='5.Variables'!$B$16,+'5.Variables'!$I30,+IF(L$18='5.Variables'!$B$39,+'5.Variables'!$I54,+IF(L$18='5.Variables'!$B$62,+'5.Variables'!$I68,+IF(L$18='5.Variables'!$B$76,+'5.Variables'!$I82,+IF(L$18='5.Variables'!$B$90,+'5.Variables'!$I96,+IF(L$18='5.Variables'!$B$104,+'5.Variables'!$I110,0))))))</f>
        <v>31</v>
      </c>
      <c r="M74" s="667">
        <f>IF(M$18='5.Variables'!$B$16,+'5.Variables'!$I30,+IF(M$18='5.Variables'!$B$39,+'5.Variables'!$I54,+IF(M$18='5.Variables'!$B$62,+'5.Variables'!$I68,+IF(M$18='5.Variables'!$B$76,+'5.Variables'!$I82,+IF(M$18='5.Variables'!$B$90,+'5.Variables'!$I96,+IF(M$18='5.Variables'!$B$104,+'5.Variables'!$I110,0))))))</f>
        <v>352</v>
      </c>
      <c r="N74" s="667">
        <f>IF(N$18='5.Variables'!$B$16,+'5.Variables'!$I30,+IF(N$18='5.Variables'!$B$39,+'5.Variables'!$I54,+IF(N$18='5.Variables'!$B$62,+'5.Variables'!$I68,+IF(N$18='5.Variables'!$B$76,+'5.Variables'!$I82,+IF(N$18='5.Variables'!$B$90,+'5.Variables'!$I96,+IF(N$18='5.Variables'!$B$104,+'5.Variables'!$I110,0))))))</f>
        <v>0</v>
      </c>
      <c r="O74" s="1052">
        <v>10088</v>
      </c>
      <c r="P74" s="232"/>
      <c r="Q74" s="530">
        <f t="shared" si="5"/>
        <v>20736594.534634136</v>
      </c>
      <c r="R74" s="250"/>
      <c r="S74" s="232"/>
      <c r="T74" s="232"/>
      <c r="U74" s="232"/>
      <c r="V74" s="232"/>
      <c r="W74" s="232"/>
      <c r="X74" s="232"/>
      <c r="Y74" s="232"/>
      <c r="Z74" s="232"/>
      <c r="AA74" s="232"/>
      <c r="AB74" s="232"/>
      <c r="AC74" s="232"/>
      <c r="AD74" s="232"/>
      <c r="AE74" s="232"/>
      <c r="AF74" s="232"/>
      <c r="AG74" s="232"/>
      <c r="AH74" s="232"/>
      <c r="AI74" s="232"/>
      <c r="AJ74" s="232"/>
      <c r="AK74" s="232"/>
      <c r="AL74" s="232"/>
    </row>
    <row r="75" spans="1:38">
      <c r="A75" s="484">
        <f t="shared" si="1"/>
        <v>56</v>
      </c>
      <c r="B75" s="985" t="str">
        <f>CONCATENATE('3. Consumption by Rate Class'!B80,"-",'3. Consumption by Rate Class'!C80)</f>
        <v>2015-August</v>
      </c>
      <c r="C75" s="982">
        <v>20293688.649999999</v>
      </c>
      <c r="D75" s="983"/>
      <c r="E75" s="984"/>
      <c r="F75" s="984"/>
      <c r="G75" s="990"/>
      <c r="H75" s="989"/>
      <c r="I75" s="530">
        <f t="shared" si="2"/>
        <v>20293688.649999999</v>
      </c>
      <c r="J75" s="667">
        <f>IF(J$18='5.Variables'!$B$16,+'5.Variables'!$J31,+IF(J$18='5.Variables'!$B$39,+'5.Variables'!$J54,+IF(J$18='5.Variables'!$B$62,+'5.Variables'!$J68,+IF(J$18='5.Variables'!$B$76,+'5.Variables'!$J82,+IF(J$18='5.Variables'!$B$90,+'5.Variables'!$J96,+IF(J$18='5.Variables'!$B$104,+'5.Variables'!$J110,0))))))</f>
        <v>12.9</v>
      </c>
      <c r="K75" s="667">
        <f>IF(K$18='5.Variables'!$B$16,+'5.Variables'!$J30,+IF(K$18='5.Variables'!$B$39,+'5.Variables'!$J54,+IF(K$18='5.Variables'!$B$62,+'5.Variables'!$J68,+IF(K$18='5.Variables'!$B$76,+'5.Variables'!$J82,+IF(K$18='5.Variables'!$B$90,+'5.Variables'!$J96,+IF(K$18='5.Variables'!$B$104,+'5.Variables'!$J110,0))))))</f>
        <v>44.7</v>
      </c>
      <c r="L75" s="667">
        <f>IF(L$18='5.Variables'!$B$16,+'5.Variables'!$J30,+IF(L$18='5.Variables'!$B$39,+'5.Variables'!$J54,+IF(L$18='5.Variables'!$B$62,+'5.Variables'!$J68,+IF(L$18='5.Variables'!$B$76,+'5.Variables'!$J82,+IF(L$18='5.Variables'!$B$90,+'5.Variables'!$J96,+IF(L$18='5.Variables'!$B$104,+'5.Variables'!$J110,0))))))</f>
        <v>31</v>
      </c>
      <c r="M75" s="667">
        <f>IF(M$18='5.Variables'!$B$16,+'5.Variables'!$J30,+IF(M$18='5.Variables'!$B$39,+'5.Variables'!$J54,+IF(M$18='5.Variables'!$B$62,+'5.Variables'!$J68,+IF(M$18='5.Variables'!$B$76,+'5.Variables'!$J82,+IF(M$18='5.Variables'!$B$90,+'5.Variables'!$J96,+IF(M$18='5.Variables'!$B$104,+'5.Variables'!$J110,0))))))</f>
        <v>320</v>
      </c>
      <c r="N75" s="667">
        <f>IF(N$18='5.Variables'!$B$16,+'5.Variables'!$J30,+IF(N$18='5.Variables'!$B$39,+'5.Variables'!$J54,+IF(N$18='5.Variables'!$B$62,+'5.Variables'!$J68,+IF(N$18='5.Variables'!$B$76,+'5.Variables'!$J82,+IF(N$18='5.Variables'!$B$90,+'5.Variables'!$J96,+IF(N$18='5.Variables'!$B$104,+'5.Variables'!$J110,0))))))</f>
        <v>0</v>
      </c>
      <c r="O75" s="1052">
        <v>10107</v>
      </c>
      <c r="P75" s="232"/>
      <c r="Q75" s="530">
        <f t="shared" si="5"/>
        <v>20777006.567180585</v>
      </c>
      <c r="R75" s="250"/>
      <c r="S75" s="232"/>
      <c r="T75" s="512" t="s">
        <v>33</v>
      </c>
      <c r="U75" s="512" t="s">
        <v>239</v>
      </c>
      <c r="V75" s="513" t="s">
        <v>45</v>
      </c>
      <c r="W75" s="232"/>
      <c r="X75" s="232"/>
      <c r="Y75" s="232"/>
      <c r="Z75" s="232"/>
      <c r="AA75" s="232"/>
      <c r="AB75" s="232"/>
      <c r="AC75" s="232"/>
      <c r="AD75" s="232"/>
      <c r="AE75" s="232"/>
      <c r="AF75" s="232"/>
      <c r="AG75" s="232"/>
      <c r="AH75" s="232"/>
      <c r="AI75" s="232"/>
      <c r="AJ75" s="232"/>
      <c r="AK75" s="232"/>
      <c r="AL75" s="232"/>
    </row>
    <row r="76" spans="1:38">
      <c r="A76" s="484">
        <f t="shared" si="1"/>
        <v>57</v>
      </c>
      <c r="B76" s="985" t="str">
        <f>CONCATENATE('3. Consumption by Rate Class'!B81,"-",'3. Consumption by Rate Class'!C81)</f>
        <v>2015-September</v>
      </c>
      <c r="C76" s="982">
        <v>20207479.829999998</v>
      </c>
      <c r="D76" s="983"/>
      <c r="E76" s="984"/>
      <c r="F76" s="984"/>
      <c r="G76" s="989"/>
      <c r="H76" s="989"/>
      <c r="I76" s="530">
        <f t="shared" si="2"/>
        <v>20207479.829999998</v>
      </c>
      <c r="J76" s="667">
        <f>IF(J$18='5.Variables'!$B$16,+'5.Variables'!$K31,+IF(J$18='5.Variables'!$B$39,+'5.Variables'!$K54,+IF(J$18='5.Variables'!$B$62,+'5.Variables'!$K68,+IF(J$18='5.Variables'!$B$76,+'5.Variables'!$K82,+IF(J$18='5.Variables'!$B$90,+'5.Variables'!$K96,+IF(J$18='5.Variables'!$B$104,+'5.Variables'!$K110,0))))))</f>
        <v>43.1</v>
      </c>
      <c r="K76" s="667">
        <f>IF(K$18='5.Variables'!$B$16,+'5.Variables'!$K30,+IF(K$18='5.Variables'!$B$39,+'5.Variables'!$K54,+IF(K$18='5.Variables'!$B$62,+'5.Variables'!$K68,+IF(K$18='5.Variables'!$B$76,+'5.Variables'!$K82,+IF(K$18='5.Variables'!$B$90,+'5.Variables'!$K96,+IF(K$18='5.Variables'!$B$104,+'5.Variables'!$K110,0))))))</f>
        <v>41.7</v>
      </c>
      <c r="L76" s="667">
        <f>IF(L$18='5.Variables'!$B$16,+'5.Variables'!$K30,+IF(L$18='5.Variables'!$B$39,+'5.Variables'!$K54,+IF(L$18='5.Variables'!$B$62,+'5.Variables'!$K68,+IF(L$18='5.Variables'!$B$76,+'5.Variables'!$K82,+IF(L$18='5.Variables'!$B$90,+'5.Variables'!$K96,+IF(L$18='5.Variables'!$B$104,+'5.Variables'!$K110,0))))))</f>
        <v>30</v>
      </c>
      <c r="M76" s="667">
        <f>IF(M$18='5.Variables'!$B$16,+'5.Variables'!$K30,+IF(M$18='5.Variables'!$B$39,+'5.Variables'!$K54,+IF(M$18='5.Variables'!$B$62,+'5.Variables'!$K68,+IF(M$18='5.Variables'!$B$76,+'5.Variables'!$K82,+IF(M$18='5.Variables'!$B$90,+'5.Variables'!$K96,+IF(M$18='5.Variables'!$B$104,+'5.Variables'!$K110,0))))))</f>
        <v>336</v>
      </c>
      <c r="N76" s="667">
        <f>IF(N$18='5.Variables'!$B$16,+'5.Variables'!$K30,+IF(N$18='5.Variables'!$B$39,+'5.Variables'!$K54,+IF(N$18='5.Variables'!$B$62,+'5.Variables'!$K68,+IF(N$18='5.Variables'!$B$76,+'5.Variables'!$K82,+IF(N$18='5.Variables'!$B$90,+'5.Variables'!$K96,+IF(N$18='5.Variables'!$B$104,+'5.Variables'!$K110,0))))))</f>
        <v>1</v>
      </c>
      <c r="O76" s="1052">
        <v>10123</v>
      </c>
      <c r="P76" s="232"/>
      <c r="Q76" s="530">
        <f t="shared" si="5"/>
        <v>19924340.404544592</v>
      </c>
      <c r="R76" s="250"/>
      <c r="S76" s="232"/>
      <c r="T76" s="511">
        <v>2015</v>
      </c>
      <c r="U76" s="509">
        <f>R151</f>
        <v>254214060.19341606</v>
      </c>
      <c r="V76" s="510">
        <f>(U76-U68)/U68</f>
        <v>2.8208490560018062E-2</v>
      </c>
      <c r="W76" s="232"/>
      <c r="X76" s="232"/>
      <c r="Y76" s="232"/>
      <c r="Z76" s="232"/>
      <c r="AA76" s="232"/>
      <c r="AB76" s="232"/>
      <c r="AC76" s="232"/>
      <c r="AD76" s="232"/>
      <c r="AE76" s="232"/>
      <c r="AF76" s="232"/>
      <c r="AG76" s="232"/>
      <c r="AH76" s="232"/>
      <c r="AI76" s="232"/>
      <c r="AJ76" s="232"/>
      <c r="AK76" s="232"/>
      <c r="AL76" s="232"/>
    </row>
    <row r="77" spans="1:38">
      <c r="A77" s="484">
        <f t="shared" si="1"/>
        <v>58</v>
      </c>
      <c r="B77" s="985" t="str">
        <f>CONCATENATE('3. Consumption by Rate Class'!B82,"-",'3. Consumption by Rate Class'!C82)</f>
        <v>2015-October</v>
      </c>
      <c r="C77" s="982">
        <v>19050393.309999999</v>
      </c>
      <c r="D77" s="983"/>
      <c r="E77" s="984"/>
      <c r="F77" s="984"/>
      <c r="G77" s="989"/>
      <c r="H77" s="989"/>
      <c r="I77" s="530">
        <f t="shared" si="2"/>
        <v>19050393.309999999</v>
      </c>
      <c r="J77" s="667">
        <f>IF(J$18='5.Variables'!$B$16,+'5.Variables'!$L31,+IF(J$18='5.Variables'!$B$39,+'5.Variables'!$L54,+IF(J$18='5.Variables'!$B$62,+'5.Variables'!$L68,+IF(J$18='5.Variables'!$B$76,+'5.Variables'!$L82,+IF(J$18='5.Variables'!$B$90,+'5.Variables'!$L96,+IF(J$18='5.Variables'!$B$104,+'5.Variables'!$L110,0))))))</f>
        <v>271.10000000000002</v>
      </c>
      <c r="K77" s="667">
        <f>IF(K$18='5.Variables'!$B$16,+'5.Variables'!$L30,+IF(K$18='5.Variables'!$B$39,+'5.Variables'!$L54,+IF(K$18='5.Variables'!$B$62,+'5.Variables'!$L68,+IF(K$18='5.Variables'!$B$76,+'5.Variables'!$L82,+IF(K$18='5.Variables'!$B$90,+'5.Variables'!$L96,+IF(K$18='5.Variables'!$B$104,+'5.Variables'!$L110,0))))))</f>
        <v>0</v>
      </c>
      <c r="L77" s="667">
        <f>IF(L$18='5.Variables'!$B$16,+'5.Variables'!$L30,+IF(L$18='5.Variables'!$B$39,+'5.Variables'!$L54,+IF(L$18='5.Variables'!$B$62,+'5.Variables'!$L68,+IF(L$18='5.Variables'!$B$76,+'5.Variables'!$L82,+IF(L$18='5.Variables'!$B$90,+'5.Variables'!$L96,+IF(L$18='5.Variables'!$B$104,+'5.Variables'!$L110,0))))))</f>
        <v>31</v>
      </c>
      <c r="M77" s="667">
        <f>IF(M$18='5.Variables'!$B$16,+'5.Variables'!$L30,+IF(M$18='5.Variables'!$B$39,+'5.Variables'!$L54,+IF(M$18='5.Variables'!$B$62,+'5.Variables'!$L68,+IF(M$18='5.Variables'!$B$76,+'5.Variables'!$L82,+IF(M$18='5.Variables'!$B$90,+'5.Variables'!$L96,+IF(M$18='5.Variables'!$B$104,+'5.Variables'!$L110,0))))))</f>
        <v>336</v>
      </c>
      <c r="N77" s="667">
        <f>IF(N$18='5.Variables'!$B$16,+'5.Variables'!$L30,+IF(N$18='5.Variables'!$B$39,+'5.Variables'!$L54,+IF(N$18='5.Variables'!$B$62,+'5.Variables'!$L68,+IF(N$18='5.Variables'!$B$76,+'5.Variables'!$L82,+IF(N$18='5.Variables'!$B$90,+'5.Variables'!$L96,+IF(N$18='5.Variables'!$B$104,+'5.Variables'!$L110,0))))))</f>
        <v>1</v>
      </c>
      <c r="O77" s="1052">
        <v>10130</v>
      </c>
      <c r="P77" s="232"/>
      <c r="Q77" s="530">
        <f t="shared" si="5"/>
        <v>20138674.02859851</v>
      </c>
      <c r="R77" s="250"/>
      <c r="S77" s="232"/>
      <c r="T77" s="511">
        <v>2016</v>
      </c>
      <c r="U77" s="509">
        <f>R163</f>
        <v>254194550.10472196</v>
      </c>
      <c r="V77" s="510">
        <f>(U77-U76)/U76</f>
        <v>-7.6746694023342255E-5</v>
      </c>
      <c r="W77" s="232"/>
      <c r="X77" s="232"/>
      <c r="Y77" s="232"/>
      <c r="Z77" s="232"/>
      <c r="AA77" s="232"/>
      <c r="AB77" s="232"/>
      <c r="AC77" s="232"/>
      <c r="AD77" s="232"/>
      <c r="AE77" s="232"/>
      <c r="AF77" s="232"/>
      <c r="AG77" s="232"/>
      <c r="AH77" s="232"/>
      <c r="AI77" s="232"/>
      <c r="AJ77" s="232"/>
      <c r="AK77" s="232"/>
      <c r="AL77" s="232"/>
    </row>
    <row r="78" spans="1:38">
      <c r="A78" s="484">
        <f t="shared" si="1"/>
        <v>59</v>
      </c>
      <c r="B78" s="985" t="str">
        <f>CONCATENATE('3. Consumption by Rate Class'!B83,"-",'3. Consumption by Rate Class'!C83)</f>
        <v>2015-November</v>
      </c>
      <c r="C78" s="982">
        <v>19373156.129999999</v>
      </c>
      <c r="D78" s="983"/>
      <c r="E78" s="984"/>
      <c r="F78" s="984"/>
      <c r="G78" s="989"/>
      <c r="H78" s="989"/>
      <c r="I78" s="530">
        <f t="shared" si="2"/>
        <v>19373156.129999999</v>
      </c>
      <c r="J78" s="667">
        <f>IF(J$18='5.Variables'!$B$16,+'5.Variables'!$M31,+IF(J$18='5.Variables'!$B$39,+'5.Variables'!$M54,+IF(J$18='5.Variables'!$B$62,+'5.Variables'!$M68,+IF(J$18='5.Variables'!$B$76,+'5.Variables'!$M82,+IF(J$18='5.Variables'!$B$90,+'5.Variables'!$M96,+IF(J$18='5.Variables'!$B$104,+'5.Variables'!$M110,0))))))</f>
        <v>349.8</v>
      </c>
      <c r="K78" s="667">
        <f>IF(K$18='5.Variables'!$B$16,+'5.Variables'!$M30,+IF(K$18='5.Variables'!$B$39,+'5.Variables'!$M54,+IF(K$18='5.Variables'!$B$62,+'5.Variables'!$M68,+IF(K$18='5.Variables'!$B$76,+'5.Variables'!$M82,+IF(K$18='5.Variables'!$B$90,+'5.Variables'!$M96,+IF(K$18='5.Variables'!$B$104,+'5.Variables'!$M110,0))))))</f>
        <v>0</v>
      </c>
      <c r="L78" s="667">
        <f>IF(L$18='5.Variables'!$B$16,+'5.Variables'!$M30,+IF(L$18='5.Variables'!$B$39,+'5.Variables'!$M54,+IF(L$18='5.Variables'!$B$62,+'5.Variables'!$M68,+IF(L$18='5.Variables'!$B$76,+'5.Variables'!$M82,+IF(L$18='5.Variables'!$B$90,+'5.Variables'!$M96,+IF(L$18='5.Variables'!$B$104,+'5.Variables'!$M110,0))))))</f>
        <v>30</v>
      </c>
      <c r="M78" s="667">
        <f>IF(M$18='5.Variables'!$B$16,+'5.Variables'!$M30,+IF(M$18='5.Variables'!$B$39,+'5.Variables'!$M54,+IF(M$18='5.Variables'!$B$62,+'5.Variables'!$M68,+IF(M$18='5.Variables'!$B$76,+'5.Variables'!$M82,+IF(M$18='5.Variables'!$B$90,+'5.Variables'!$M96,+IF(M$18='5.Variables'!$B$104,+'5.Variables'!$M110,0))))))</f>
        <v>336</v>
      </c>
      <c r="N78" s="667">
        <f>IF(N$18='5.Variables'!$B$16,+'5.Variables'!$M30,+IF(N$18='5.Variables'!$B$39,+'5.Variables'!$M54,+IF(N$18='5.Variables'!$B$62,+'5.Variables'!$M68,+IF(N$18='5.Variables'!$B$76,+'5.Variables'!$M82,+IF(N$18='5.Variables'!$B$90,+'5.Variables'!$M96,+IF(N$18='5.Variables'!$B$104,+'5.Variables'!$M110,0))))))</f>
        <v>1</v>
      </c>
      <c r="O78" s="1052">
        <v>10133</v>
      </c>
      <c r="P78" s="232"/>
      <c r="Q78" s="530">
        <f t="shared" si="5"/>
        <v>20281337.615007155</v>
      </c>
      <c r="R78" s="250"/>
      <c r="S78" s="232"/>
      <c r="T78" s="232"/>
      <c r="U78" s="232"/>
      <c r="V78" s="232"/>
      <c r="W78" s="232"/>
      <c r="X78" s="232"/>
      <c r="Y78" s="232"/>
      <c r="Z78" s="232"/>
      <c r="AA78" s="232"/>
      <c r="AB78" s="232"/>
      <c r="AC78" s="232"/>
      <c r="AD78" s="232"/>
      <c r="AE78" s="232"/>
      <c r="AF78" s="232"/>
      <c r="AG78" s="232"/>
      <c r="AH78" s="232"/>
      <c r="AI78" s="232"/>
      <c r="AJ78" s="232"/>
      <c r="AK78" s="232"/>
      <c r="AL78" s="232"/>
    </row>
    <row r="79" spans="1:38">
      <c r="A79" s="484">
        <f t="shared" si="1"/>
        <v>60</v>
      </c>
      <c r="B79" s="501" t="str">
        <f>CONCATENATE('3. Consumption by Rate Class'!B84,"-",'3. Consumption by Rate Class'!C84)</f>
        <v>2015-December</v>
      </c>
      <c r="C79" s="650">
        <f>20176285.65+1000000</f>
        <v>21176285.649999999</v>
      </c>
      <c r="D79" s="778"/>
      <c r="E79" s="777"/>
      <c r="F79" s="777"/>
      <c r="G79" s="994"/>
      <c r="H79" s="994"/>
      <c r="I79" s="995">
        <f t="shared" si="2"/>
        <v>21176285.649999999</v>
      </c>
      <c r="J79" s="667">
        <f>IF(J$18='5.Variables'!$B$16,+'5.Variables'!$N31,+IF(J$18='5.Variables'!$B$39,+'5.Variables'!$N54,+IF(J$18='5.Variables'!$B$62,+'5.Variables'!$N68,+IF(J$18='5.Variables'!$B$76,+'5.Variables'!$N82,+IF(J$18='5.Variables'!$B$90,+'5.Variables'!$N96,+IF(J$18='5.Variables'!$B$104,+'5.Variables'!$N110,0))))))</f>
        <v>430.8</v>
      </c>
      <c r="K79" s="667">
        <f>IF(K$18='5.Variables'!$B$16,+'5.Variables'!$N30,+IF(K$18='5.Variables'!$B$39,+'5.Variables'!$N54,+IF(K$18='5.Variables'!$B$62,+'5.Variables'!$N68,+IF(K$18='5.Variables'!$B$76,+'5.Variables'!$N82,+IF(K$18='5.Variables'!$B$90,+'5.Variables'!$N96,+IF(K$18='5.Variables'!$B$104,+'5.Variables'!$N110,0))))))</f>
        <v>0</v>
      </c>
      <c r="L79" s="667">
        <f>IF(L$18='5.Variables'!$B$16,+'5.Variables'!$N30,+IF(L$18='5.Variables'!$B$39,+'5.Variables'!$N54,+IF(L$18='5.Variables'!$B$62,+'5.Variables'!$N68,+IF(L$18='5.Variables'!$B$76,+'5.Variables'!$N82,+IF(L$18='5.Variables'!$B$90,+'5.Variables'!$N96,+IF(L$18='5.Variables'!$B$104,+'5.Variables'!$N110,0))))))</f>
        <v>31</v>
      </c>
      <c r="M79" s="667">
        <f>IF(M$18='5.Variables'!$B$16,+'5.Variables'!$N30,+IF(M$18='5.Variables'!$B$39,+'5.Variables'!$N54,+IF(M$18='5.Variables'!$B$62,+'5.Variables'!$N68,+IF(M$18='5.Variables'!$B$76,+'5.Variables'!$N82,+IF(M$18='5.Variables'!$B$90,+'5.Variables'!$N96,+IF(M$18='5.Variables'!$B$104,+'5.Variables'!$N110,0))))))</f>
        <v>352</v>
      </c>
      <c r="N79" s="667">
        <f>IF(N$18='5.Variables'!$B$16,+'5.Variables'!$N30,+IF(N$18='5.Variables'!$B$39,+'5.Variables'!$N54,+IF(N$18='5.Variables'!$B$62,+'5.Variables'!$N68,+IF(N$18='5.Variables'!$B$76,+'5.Variables'!$N82,+IF(N$18='5.Variables'!$B$90,+'5.Variables'!$N96,+IF(N$18='5.Variables'!$B$104,+'5.Variables'!$N110,0))))))</f>
        <v>0</v>
      </c>
      <c r="O79" s="1052">
        <v>10140</v>
      </c>
      <c r="P79" s="232"/>
      <c r="Q79" s="530">
        <f t="shared" si="5"/>
        <v>21978190.100192208</v>
      </c>
      <c r="R79" s="250">
        <f>SUM(Q68:Q79)</f>
        <v>253070139.99597791</v>
      </c>
      <c r="S79" s="232"/>
      <c r="T79" s="259"/>
      <c r="U79" s="232"/>
      <c r="V79" s="232"/>
      <c r="W79" s="232"/>
      <c r="X79" s="232"/>
      <c r="Y79" s="232"/>
      <c r="Z79" s="232"/>
      <c r="AA79" s="232"/>
      <c r="AB79" s="232"/>
      <c r="AC79" s="232"/>
      <c r="AD79" s="232"/>
      <c r="AE79" s="232"/>
      <c r="AF79" s="232"/>
      <c r="AG79" s="232"/>
      <c r="AH79" s="232"/>
      <c r="AI79" s="232"/>
      <c r="AJ79" s="232"/>
      <c r="AK79" s="232"/>
      <c r="AL79" s="232"/>
    </row>
    <row r="80" spans="1:38">
      <c r="A80" s="484">
        <f t="shared" si="1"/>
        <v>61</v>
      </c>
      <c r="B80" s="985" t="str">
        <f>CONCATENATE('3. Consumption by Rate Class'!B85,"-",'3. Consumption by Rate Class'!C85)</f>
        <v>2016-January</v>
      </c>
      <c r="C80" s="982">
        <f>22375444.29</f>
        <v>22375444.289999999</v>
      </c>
      <c r="D80" s="983"/>
      <c r="E80" s="984"/>
      <c r="F80" s="989"/>
      <c r="G80" s="989"/>
      <c r="H80" s="989"/>
      <c r="I80" s="530">
        <f t="shared" si="2"/>
        <v>22375444.289999999</v>
      </c>
      <c r="J80" s="667">
        <f>IF(J$18='5.Variables'!$B$16,+'5.Variables'!$C32,+IF(J$18='5.Variables'!$B$39,+'5.Variables'!$C55,+IF(J$18='5.Variables'!$B$62,+'5.Variables'!$C69,+IF(J$18='5.Variables'!$B$76,+'5.Variables'!$C83,+IF(J$18='5.Variables'!$B$90,+'5.Variables'!$C97,+IF(J$18='5.Variables'!$B$104,+'5.Variables'!$C111,0))))))</f>
        <v>427.4</v>
      </c>
      <c r="K80" s="667">
        <f>IF(K$18='5.Variables'!$B$16,+'5.Variables'!$C31,+IF(K$18='5.Variables'!$B$39,+'5.Variables'!$C55,+IF(K$18='5.Variables'!$B$62,+'5.Variables'!$C69,+IF(K$18='5.Variables'!$B$76,+'5.Variables'!$C83,+IF(K$18='5.Variables'!$B$90,+'5.Variables'!$C97,+IF(K$18='5.Variables'!$B$104,+'5.Variables'!$C111,0))))))</f>
        <v>0</v>
      </c>
      <c r="L80" s="667">
        <f>IF(L$18='5.Variables'!$B$16,+'5.Variables'!$C31,+IF(L$18='5.Variables'!$B$39,+'5.Variables'!$C55,+IF(L$18='5.Variables'!$B$62,+'5.Variables'!$C69,+IF(L$18='5.Variables'!$B$76,+'5.Variables'!$C83,+IF(L$18='5.Variables'!$B$90,+'5.Variables'!$C97,+IF(L$18='5.Variables'!$B$104,+'5.Variables'!$C111,0))))))</f>
        <v>31</v>
      </c>
      <c r="M80" s="667">
        <f>IF(M$18='5.Variables'!$B$16,+'5.Variables'!$C31,+IF(M$18='5.Variables'!$B$39,+'5.Variables'!$C55,+IF(M$18='5.Variables'!$B$62,+'5.Variables'!$C69,+IF(M$18='5.Variables'!$B$76,+'5.Variables'!$C83,+IF(M$18='5.Variables'!$B$90,+'5.Variables'!$C97,+IF(M$18='5.Variables'!$B$104,+'5.Variables'!$C111,0))))))</f>
        <v>320</v>
      </c>
      <c r="N80" s="667">
        <f>IF(N$18='5.Variables'!$B$16,+'5.Variables'!$C31,+IF(N$18='5.Variables'!$B$39,+'5.Variables'!$C55,+IF(N$18='5.Variables'!$B$62,+'5.Variables'!$C69,+IF(N$18='5.Variables'!$B$76,+'5.Variables'!$C83,+IF(N$18='5.Variables'!$B$90,+'5.Variables'!$C97,+IF(N$18='5.Variables'!$B$104,+'5.Variables'!$C111,0))))))</f>
        <v>0</v>
      </c>
      <c r="O80" s="1052">
        <v>10147</v>
      </c>
      <c r="P80" s="232"/>
      <c r="Q80" s="530">
        <f t="shared" si="5"/>
        <v>21725374.970696844</v>
      </c>
      <c r="R80" s="250"/>
      <c r="S80" s="232"/>
      <c r="T80" s="259"/>
      <c r="U80" s="232"/>
      <c r="V80" s="232"/>
      <c r="W80" s="232"/>
      <c r="X80" s="232"/>
      <c r="Y80" s="232"/>
      <c r="Z80" s="232"/>
      <c r="AA80" s="232"/>
      <c r="AB80" s="232"/>
      <c r="AC80" s="232"/>
      <c r="AD80" s="232"/>
      <c r="AE80" s="232"/>
      <c r="AF80" s="232"/>
      <c r="AG80" s="232"/>
      <c r="AH80" s="232"/>
      <c r="AI80" s="232"/>
      <c r="AJ80" s="232"/>
      <c r="AK80" s="232"/>
      <c r="AL80" s="232"/>
    </row>
    <row r="81" spans="1:38">
      <c r="A81" s="484">
        <f t="shared" si="1"/>
        <v>62</v>
      </c>
      <c r="B81" s="985" t="str">
        <f>CONCATENATE('3. Consumption by Rate Class'!B86,"-",'3. Consumption by Rate Class'!C86)</f>
        <v>2016-February</v>
      </c>
      <c r="C81" s="982">
        <v>21018846.629999999</v>
      </c>
      <c r="D81" s="983"/>
      <c r="E81" s="984"/>
      <c r="F81" s="989"/>
      <c r="G81" s="989"/>
      <c r="H81" s="989"/>
      <c r="I81" s="530">
        <f t="shared" si="2"/>
        <v>21018846.629999999</v>
      </c>
      <c r="J81" s="667">
        <f>IF(J$18='5.Variables'!$B$16,+'5.Variables'!$D32,+IF(J$18='5.Variables'!$B$39,+'5.Variables'!$D55,+IF(J$18='5.Variables'!$B$62,+'5.Variables'!$D69,+IF(J$18='5.Variables'!$B$76,+'5.Variables'!$D83,+IF(J$18='5.Variables'!$B$90,+'5.Variables'!$D97,+IF(J$18='5.Variables'!$B$104,+'5.Variables'!$D111,0))))))</f>
        <v>417.3</v>
      </c>
      <c r="K81" s="667">
        <f>IF(K$18='5.Variables'!$B$16,+'5.Variables'!$D31,+IF(K$18='5.Variables'!$B$39,+'5.Variables'!$D55,+IF(K$18='5.Variables'!$B$62,+'5.Variables'!$D69,+IF(K$18='5.Variables'!$B$76,+'5.Variables'!$D83,+IF(K$18='5.Variables'!$B$90,+'5.Variables'!$D97,+IF(K$18='5.Variables'!$B$104,+'5.Variables'!$D111,0))))))</f>
        <v>0</v>
      </c>
      <c r="L81" s="667">
        <f>IF(L$18='5.Variables'!$B$16,+'5.Variables'!$D31,+IF(L$18='5.Variables'!$B$39,+'5.Variables'!$D55,+IF(L$18='5.Variables'!$B$62,+'5.Variables'!$D69,+IF(L$18='5.Variables'!$B$76,+'5.Variables'!$D83,+IF(L$18='5.Variables'!$B$90,+'5.Variables'!$D97,+IF(L$18='5.Variables'!$B$104,+'5.Variables'!$D111,0))))))</f>
        <v>29</v>
      </c>
      <c r="M81" s="667">
        <f>IF(M$18='5.Variables'!$B$16,+'5.Variables'!$D31,+IF(M$18='5.Variables'!$B$39,+'5.Variables'!$D55,+IF(M$18='5.Variables'!$B$62,+'5.Variables'!$D69,+IF(M$18='5.Variables'!$B$76,+'5.Variables'!$D83,+IF(M$18='5.Variables'!$B$90,+'5.Variables'!$D97,+IF(M$18='5.Variables'!$B$104,+'5.Variables'!$D111,0))))))</f>
        <v>336</v>
      </c>
      <c r="N81" s="667">
        <f>IF(N$18='5.Variables'!$B$16,+'5.Variables'!$D31,+IF(N$18='5.Variables'!$B$39,+'5.Variables'!$D55,+IF(N$18='5.Variables'!$B$62,+'5.Variables'!$D69,+IF(N$18='5.Variables'!$B$76,+'5.Variables'!$D83,+IF(N$18='5.Variables'!$B$90,+'5.Variables'!$D97,+IF(N$18='5.Variables'!$B$104,+'5.Variables'!$D111,0))))))</f>
        <v>0</v>
      </c>
      <c r="O81" s="1052">
        <v>10149</v>
      </c>
      <c r="P81" s="232"/>
      <c r="Q81" s="530">
        <f t="shared" si="5"/>
        <v>21020772.074447785</v>
      </c>
      <c r="R81" s="250"/>
      <c r="S81" s="232"/>
      <c r="T81" s="259"/>
      <c r="U81" s="232"/>
      <c r="V81" s="232"/>
      <c r="W81" s="232"/>
      <c r="X81" s="232"/>
      <c r="Y81" s="232"/>
      <c r="Z81" s="232"/>
      <c r="AA81" s="232"/>
      <c r="AB81" s="232"/>
      <c r="AC81" s="232"/>
      <c r="AD81" s="232"/>
      <c r="AE81" s="232"/>
      <c r="AF81" s="232"/>
      <c r="AG81" s="232"/>
      <c r="AH81" s="232"/>
      <c r="AI81" s="232"/>
      <c r="AJ81" s="232"/>
      <c r="AK81" s="232"/>
      <c r="AL81" s="232"/>
    </row>
    <row r="82" spans="1:38">
      <c r="A82" s="484">
        <f t="shared" si="1"/>
        <v>63</v>
      </c>
      <c r="B82" s="985" t="str">
        <f>CONCATENATE('3. Consumption by Rate Class'!B87,"-",'3. Consumption by Rate Class'!C87)</f>
        <v>2016-March</v>
      </c>
      <c r="C82" s="982">
        <v>20957335.350000001</v>
      </c>
      <c r="D82" s="983"/>
      <c r="E82" s="984"/>
      <c r="F82" s="989"/>
      <c r="G82" s="989"/>
      <c r="H82" s="989"/>
      <c r="I82" s="530">
        <f t="shared" si="2"/>
        <v>20957335.350000001</v>
      </c>
      <c r="J82" s="667">
        <f>IF(J$18='5.Variables'!$B$16,+'5.Variables'!$E32,+IF(J$18='5.Variables'!$B$39,+'5.Variables'!$E55,+IF(J$18='5.Variables'!$B$62,+'5.Variables'!$E69,+IF(J$18='5.Variables'!$B$76,+'5.Variables'!$E83,+IF(J$18='5.Variables'!$B$90,+'5.Variables'!$E97,+IF(J$18='5.Variables'!$B$104,+'5.Variables'!$E111,0))))))</f>
        <v>255.9</v>
      </c>
      <c r="K82" s="667">
        <f>IF(K$18='5.Variables'!$B$16,+'5.Variables'!$E31,+IF(K$18='5.Variables'!$B$39,+'5.Variables'!$E55,+IF(K$18='5.Variables'!$B$62,+'5.Variables'!$E69,+IF(K$18='5.Variables'!$B$76,+'5.Variables'!$E83,+IF(K$18='5.Variables'!$B$90,+'5.Variables'!$E97,+IF(K$18='5.Variables'!$B$104,+'5.Variables'!$E111,0))))))</f>
        <v>0</v>
      </c>
      <c r="L82" s="667">
        <f>IF(L$18='5.Variables'!$B$16,+'5.Variables'!$E31,+IF(L$18='5.Variables'!$B$39,+'5.Variables'!$E55,+IF(L$18='5.Variables'!$B$62,+'5.Variables'!$E69,+IF(L$18='5.Variables'!$B$76,+'5.Variables'!$E83,+IF(L$18='5.Variables'!$B$90,+'5.Variables'!$E97,+IF(L$18='5.Variables'!$B$104,+'5.Variables'!$E111,0))))))</f>
        <v>31</v>
      </c>
      <c r="M82" s="667">
        <f>IF(M$18='5.Variables'!$B$16,+'5.Variables'!$E31,+IF(M$18='5.Variables'!$B$39,+'5.Variables'!$E55,+IF(M$18='5.Variables'!$B$62,+'5.Variables'!$E69,+IF(M$18='5.Variables'!$B$76,+'5.Variables'!$E83,+IF(M$18='5.Variables'!$B$90,+'5.Variables'!$E97,+IF(M$18='5.Variables'!$B$104,+'5.Variables'!$E111,0))))))</f>
        <v>368</v>
      </c>
      <c r="N82" s="667">
        <f>IF(N$18='5.Variables'!$B$16,+'5.Variables'!$E31,+IF(N$18='5.Variables'!$B$39,+'5.Variables'!$E55,+IF(N$18='5.Variables'!$B$62,+'5.Variables'!$E69,+IF(N$18='5.Variables'!$B$76,+'5.Variables'!$E83,+IF(N$18='5.Variables'!$B$90,+'5.Variables'!$E97,+IF(N$18='5.Variables'!$B$104,+'5.Variables'!$E111,0))))))</f>
        <v>1</v>
      </c>
      <c r="O82" s="1052">
        <v>10159</v>
      </c>
      <c r="P82" s="232"/>
      <c r="Q82" s="530">
        <f t="shared" si="5"/>
        <v>20268807.246220708</v>
      </c>
      <c r="R82" s="250"/>
      <c r="S82" s="232"/>
      <c r="T82" s="259"/>
      <c r="U82" s="232"/>
      <c r="V82" s="232"/>
      <c r="W82" s="232"/>
      <c r="X82" s="232"/>
      <c r="Y82" s="232"/>
      <c r="Z82" s="232"/>
      <c r="AA82" s="232"/>
      <c r="AB82" s="232"/>
      <c r="AC82" s="232"/>
      <c r="AD82" s="232"/>
      <c r="AE82" s="232"/>
      <c r="AF82" s="232"/>
      <c r="AG82" s="232"/>
      <c r="AH82" s="232"/>
      <c r="AI82" s="232"/>
      <c r="AJ82" s="232"/>
      <c r="AK82" s="232"/>
      <c r="AL82" s="232"/>
    </row>
    <row r="83" spans="1:38">
      <c r="A83" s="484">
        <f t="shared" si="1"/>
        <v>64</v>
      </c>
      <c r="B83" s="985" t="str">
        <f>CONCATENATE('3. Consumption by Rate Class'!B88,"-",'3. Consumption by Rate Class'!C88)</f>
        <v>2016-April</v>
      </c>
      <c r="C83" s="982">
        <v>19123126.940000001</v>
      </c>
      <c r="D83" s="983"/>
      <c r="E83" s="984"/>
      <c r="F83" s="989"/>
      <c r="G83" s="989"/>
      <c r="H83" s="989"/>
      <c r="I83" s="530">
        <f t="shared" si="2"/>
        <v>19123126.940000001</v>
      </c>
      <c r="J83" s="667">
        <f>IF(J$18='5.Variables'!$B$16,+'5.Variables'!$F32,+IF(J$18='5.Variables'!$B$39,+'5.Variables'!$F55,+IF(J$18='5.Variables'!$B$62,+'5.Variables'!$F69,+IF(J$18='5.Variables'!$B$76,+'5.Variables'!$F83,+IF(J$18='5.Variables'!$B$90,+'5.Variables'!$F97,+IF(J$18='5.Variables'!$B$104,+'5.Variables'!$F111,0))))))</f>
        <v>334.1</v>
      </c>
      <c r="K83" s="667">
        <f>IF(K$18='5.Variables'!$B$16,+'5.Variables'!$F31,+IF(K$18='5.Variables'!$B$39,+'5.Variables'!$F55,+IF(K$18='5.Variables'!$B$62,+'5.Variables'!$F69,+IF(K$18='5.Variables'!$B$76,+'5.Variables'!$F83,+IF(K$18='5.Variables'!$B$90,+'5.Variables'!$F97,+IF(K$18='5.Variables'!$B$104,+'5.Variables'!$F111,0))))))</f>
        <v>0</v>
      </c>
      <c r="L83" s="667">
        <f>IF(L$18='5.Variables'!$B$16,+'5.Variables'!$F31,+IF(L$18='5.Variables'!$B$39,+'5.Variables'!$F55,+IF(L$18='5.Variables'!$B$62,+'5.Variables'!$F69,+IF(L$18='5.Variables'!$B$76,+'5.Variables'!$F83,+IF(L$18='5.Variables'!$B$90,+'5.Variables'!$F97,+IF(L$18='5.Variables'!$B$104,+'5.Variables'!$F111,0))))))</f>
        <v>30</v>
      </c>
      <c r="M83" s="667">
        <f>IF(M$18='5.Variables'!$B$16,+'5.Variables'!$F31,+IF(M$18='5.Variables'!$B$39,+'5.Variables'!$F55,+IF(M$18='5.Variables'!$B$62,+'5.Variables'!$F69,+IF(M$18='5.Variables'!$B$76,+'5.Variables'!$F83,+IF(M$18='5.Variables'!$B$90,+'5.Variables'!$F97,+IF(M$18='5.Variables'!$B$104,+'5.Variables'!$F111,0))))))</f>
        <v>320</v>
      </c>
      <c r="N83" s="667">
        <f>IF(N$18='5.Variables'!$B$16,+'5.Variables'!$F31,+IF(N$18='5.Variables'!$B$39,+'5.Variables'!$F55,+IF(N$18='5.Variables'!$B$62,+'5.Variables'!$F69,+IF(N$18='5.Variables'!$B$76,+'5.Variables'!$F83,+IF(N$18='5.Variables'!$B$90,+'5.Variables'!$F97,+IF(N$18='5.Variables'!$B$104,+'5.Variables'!$F111,0))))))</f>
        <v>1</v>
      </c>
      <c r="O83" s="1052">
        <v>10166</v>
      </c>
      <c r="P83" s="232"/>
      <c r="Q83" s="530">
        <f t="shared" si="5"/>
        <v>20062591.229494721</v>
      </c>
      <c r="R83" s="250"/>
      <c r="S83" s="232"/>
      <c r="T83" s="232"/>
      <c r="U83" s="232"/>
      <c r="V83" s="232"/>
      <c r="W83" s="232"/>
      <c r="X83" s="232"/>
      <c r="Y83" s="232"/>
      <c r="Z83" s="232"/>
      <c r="AA83" s="232"/>
      <c r="AB83" s="232"/>
      <c r="AC83" s="232"/>
      <c r="AD83" s="232"/>
      <c r="AE83" s="232"/>
      <c r="AF83" s="232"/>
      <c r="AG83" s="232"/>
      <c r="AH83" s="232"/>
      <c r="AI83" s="232"/>
      <c r="AJ83" s="232"/>
      <c r="AK83" s="232"/>
      <c r="AL83" s="232"/>
    </row>
    <row r="84" spans="1:38">
      <c r="A84" s="484">
        <f t="shared" si="1"/>
        <v>65</v>
      </c>
      <c r="B84" s="985" t="str">
        <f>CONCATENATE('3. Consumption by Rate Class'!B89,"-",'3. Consumption by Rate Class'!C89)</f>
        <v>2016-May</v>
      </c>
      <c r="C84" s="982">
        <v>18834392.510000002</v>
      </c>
      <c r="D84" s="983"/>
      <c r="E84" s="984"/>
      <c r="F84" s="989"/>
      <c r="G84" s="989"/>
      <c r="H84" s="989"/>
      <c r="I84" s="530">
        <f t="shared" si="2"/>
        <v>18834392.510000002</v>
      </c>
      <c r="J84" s="667">
        <f>IF(J$18='5.Variables'!$B$16,+'5.Variables'!$G32,+IF(J$18='5.Variables'!$B$39,+'5.Variables'!$G55,+IF(J$18='5.Variables'!$B$62,+'5.Variables'!$G69,+IF(J$18='5.Variables'!$B$76,+'5.Variables'!$G83,+IF(J$18='5.Variables'!$B$90,+'5.Variables'!$G97,+IF(J$18='5.Variables'!$B$104,+'5.Variables'!$G111,0))))))</f>
        <v>204.8</v>
      </c>
      <c r="K84" s="667">
        <f>IF(K$18='5.Variables'!$B$16,+'5.Variables'!$G31,+IF(K$18='5.Variables'!$B$39,+'5.Variables'!$G55,+IF(K$18='5.Variables'!$B$62,+'5.Variables'!$G69,+IF(K$18='5.Variables'!$B$76,+'5.Variables'!$G83,+IF(K$18='5.Variables'!$B$90,+'5.Variables'!$G97,+IF(K$18='5.Variables'!$B$104,+'5.Variables'!$G111,0))))))</f>
        <v>5.3</v>
      </c>
      <c r="L84" s="667">
        <f>IF(L$18='5.Variables'!$B$16,+'5.Variables'!$G31,+IF(L$18='5.Variables'!$B$39,+'5.Variables'!$G55,+IF(L$18='5.Variables'!$B$62,+'5.Variables'!$G69,+IF(L$18='5.Variables'!$B$76,+'5.Variables'!$G83,+IF(L$18='5.Variables'!$B$90,+'5.Variables'!$G97,+IF(L$18='5.Variables'!$B$104,+'5.Variables'!$G111,0))))))</f>
        <v>31</v>
      </c>
      <c r="M84" s="667">
        <f>IF(M$18='5.Variables'!$B$16,+'5.Variables'!$G31,+IF(M$18='5.Variables'!$B$39,+'5.Variables'!$G55,+IF(M$18='5.Variables'!$B$62,+'5.Variables'!$G69,+IF(M$18='5.Variables'!$B$76,+'5.Variables'!$G83,+IF(M$18='5.Variables'!$B$90,+'5.Variables'!$G97,+IF(M$18='5.Variables'!$B$104,+'5.Variables'!$G111,0))))))</f>
        <v>336</v>
      </c>
      <c r="N84" s="667">
        <f>IF(N$18='5.Variables'!$B$16,+'5.Variables'!$G31,+IF(N$18='5.Variables'!$B$39,+'5.Variables'!$G55,+IF(N$18='5.Variables'!$B$62,+'5.Variables'!$G69,+IF(N$18='5.Variables'!$B$76,+'5.Variables'!$G83,+IF(N$18='5.Variables'!$B$90,+'5.Variables'!$G97,+IF(N$18='5.Variables'!$B$104,+'5.Variables'!$G111,0))))))</f>
        <v>1</v>
      </c>
      <c r="O84" s="1052">
        <v>10171</v>
      </c>
      <c r="P84" s="232"/>
      <c r="Q84" s="530">
        <f t="shared" ref="Q84:Q115" si="9">$U$34+(J84*$U$35)+(K84*$U$36)+(L84*$U$37)+(M84*$U$38)+(N84*$U$39)+(O84+$U$40)</f>
        <v>19913099.33481377</v>
      </c>
      <c r="R84" s="250"/>
      <c r="S84" s="232"/>
      <c r="T84" s="232"/>
      <c r="U84" s="232"/>
      <c r="V84" s="232"/>
      <c r="W84" s="232"/>
      <c r="X84" s="232"/>
      <c r="Y84" s="232"/>
      <c r="Z84" s="232"/>
      <c r="AA84" s="232"/>
      <c r="AB84" s="232"/>
      <c r="AC84" s="232"/>
      <c r="AD84" s="232"/>
      <c r="AE84" s="232"/>
      <c r="AF84" s="232"/>
      <c r="AG84" s="232"/>
      <c r="AH84" s="232"/>
      <c r="AI84" s="232"/>
      <c r="AJ84" s="232"/>
      <c r="AK84" s="232"/>
      <c r="AL84" s="232"/>
    </row>
    <row r="85" spans="1:38">
      <c r="A85" s="484">
        <f t="shared" si="1"/>
        <v>66</v>
      </c>
      <c r="B85" s="985" t="str">
        <f>CONCATENATE('3. Consumption by Rate Class'!B90,"-",'3. Consumption by Rate Class'!C90)</f>
        <v>2016-June</v>
      </c>
      <c r="C85" s="982">
        <v>19090270.859999999</v>
      </c>
      <c r="D85" s="983"/>
      <c r="E85" s="984"/>
      <c r="F85" s="989"/>
      <c r="G85" s="989"/>
      <c r="H85" s="989"/>
      <c r="I85" s="530">
        <f t="shared" ref="I85:I139" si="10">C85-D85+E85+F85</f>
        <v>19090270.859999999</v>
      </c>
      <c r="J85" s="667">
        <f>IF(J$18='5.Variables'!$B$16,+'5.Variables'!$H32,+IF(J$18='5.Variables'!$B$39,+'5.Variables'!$H55,+IF(J$18='5.Variables'!$B$62,+'5.Variables'!$H69,+IF(J$18='5.Variables'!$B$76,+'5.Variables'!$H83,+IF(J$18='5.Variables'!$B$90,+'5.Variables'!$H97,+IF(J$18='5.Variables'!$B$104,+'5.Variables'!$H111,0))))))</f>
        <v>53.3</v>
      </c>
      <c r="K85" s="667">
        <f>IF(K$18='5.Variables'!$B$16,+'5.Variables'!$H31,+IF(K$18='5.Variables'!$B$39,+'5.Variables'!$H55,+IF(K$18='5.Variables'!$B$62,+'5.Variables'!$H69,+IF(K$18='5.Variables'!$B$76,+'5.Variables'!$H83,+IF(K$18='5.Variables'!$B$90,+'5.Variables'!$H97,+IF(K$18='5.Variables'!$B$104,+'5.Variables'!$H111,0))))))</f>
        <v>15.6</v>
      </c>
      <c r="L85" s="667">
        <f>IF(L$18='5.Variables'!$B$16,+'5.Variables'!$H31,+IF(L$18='5.Variables'!$B$39,+'5.Variables'!$H55,+IF(L$18='5.Variables'!$B$62,+'5.Variables'!$H69,+IF(L$18='5.Variables'!$B$76,+'5.Variables'!$H83,+IF(L$18='5.Variables'!$B$90,+'5.Variables'!$H97,+IF(L$18='5.Variables'!$B$104,+'5.Variables'!$H111,0))))))</f>
        <v>30</v>
      </c>
      <c r="M85" s="667">
        <f>IF(M$18='5.Variables'!$B$16,+'5.Variables'!$H31,+IF(M$18='5.Variables'!$B$39,+'5.Variables'!$H55,+IF(M$18='5.Variables'!$B$62,+'5.Variables'!$H69,+IF(M$18='5.Variables'!$B$76,+'5.Variables'!$H83,+IF(M$18='5.Variables'!$B$90,+'5.Variables'!$H97,+IF(M$18='5.Variables'!$B$104,+'5.Variables'!$H111,0))))))</f>
        <v>368</v>
      </c>
      <c r="N85" s="667">
        <f>IF(N$18='5.Variables'!$B$16,+'5.Variables'!$H31,+IF(N$18='5.Variables'!$B$39,+'5.Variables'!$H55,+IF(N$18='5.Variables'!$B$62,+'5.Variables'!$H69,+IF(N$18='5.Variables'!$B$76,+'5.Variables'!$H83,+IF(N$18='5.Variables'!$B$90,+'5.Variables'!$H97,+IF(N$18='5.Variables'!$B$104,+'5.Variables'!$H111,0))))))</f>
        <v>0</v>
      </c>
      <c r="O85" s="1052">
        <v>10163</v>
      </c>
      <c r="P85" s="232"/>
      <c r="Q85" s="530">
        <f t="shared" si="9"/>
        <v>19849634.248162884</v>
      </c>
      <c r="R85" s="250"/>
      <c r="S85" s="232"/>
      <c r="T85" s="232"/>
      <c r="U85" s="232"/>
      <c r="V85" s="232"/>
      <c r="W85" s="232"/>
      <c r="X85" s="232"/>
      <c r="Y85" s="232"/>
      <c r="Z85" s="232"/>
      <c r="AA85" s="232"/>
      <c r="AB85" s="232"/>
      <c r="AC85" s="232"/>
      <c r="AD85" s="232"/>
      <c r="AE85" s="232"/>
      <c r="AF85" s="232"/>
      <c r="AG85" s="232"/>
      <c r="AH85" s="232"/>
      <c r="AI85" s="232"/>
      <c r="AJ85" s="232"/>
      <c r="AK85" s="232"/>
      <c r="AL85" s="232"/>
    </row>
    <row r="86" spans="1:38">
      <c r="A86" s="484">
        <f t="shared" ref="A86:A149" si="11">+A85+1</f>
        <v>67</v>
      </c>
      <c r="B86" s="985" t="str">
        <f>CONCATENATE('3. Consumption by Rate Class'!B91,"-",'3. Consumption by Rate Class'!C91)</f>
        <v>2016-July</v>
      </c>
      <c r="C86" s="982">
        <f>20652474.45+2000000</f>
        <v>22652474.449999999</v>
      </c>
      <c r="D86" s="983"/>
      <c r="E86" s="984"/>
      <c r="F86" s="989"/>
      <c r="G86" s="989"/>
      <c r="H86" s="989"/>
      <c r="I86" s="530">
        <f t="shared" si="10"/>
        <v>22652474.449999999</v>
      </c>
      <c r="J86" s="667">
        <f>IF(J$18='5.Variables'!$B$16,+'5.Variables'!$I32,+IF(J$18='5.Variables'!$B$39,+'5.Variables'!$I55,+IF(J$18='5.Variables'!$B$62,+'5.Variables'!$I69,+IF(J$18='5.Variables'!$B$76,+'5.Variables'!$I83,+IF(J$18='5.Variables'!$B$90,+'5.Variables'!$I97,+IF(J$18='5.Variables'!$B$104,+'5.Variables'!$I111,0))))))</f>
        <v>5.4</v>
      </c>
      <c r="K86" s="667">
        <f>IF(K$18='5.Variables'!$B$16,+'5.Variables'!$I31,+IF(K$18='5.Variables'!$B$39,+'5.Variables'!$I55,+IF(K$18='5.Variables'!$B$62,+'5.Variables'!$I69,+IF(K$18='5.Variables'!$B$76,+'5.Variables'!$I83,+IF(K$18='5.Variables'!$B$90,+'5.Variables'!$I97,+IF(K$18='5.Variables'!$B$104,+'5.Variables'!$I111,0))))))</f>
        <v>102.1</v>
      </c>
      <c r="L86" s="667">
        <f>IF(L$18='5.Variables'!$B$16,+'5.Variables'!$I31,+IF(L$18='5.Variables'!$B$39,+'5.Variables'!$I55,+IF(L$18='5.Variables'!$B$62,+'5.Variables'!$I69,+IF(L$18='5.Variables'!$B$76,+'5.Variables'!$I83,+IF(L$18='5.Variables'!$B$90,+'5.Variables'!$I97,+IF(L$18='5.Variables'!$B$104,+'5.Variables'!$I111,0))))))</f>
        <v>31</v>
      </c>
      <c r="M86" s="667">
        <f>IF(M$18='5.Variables'!$B$16,+'5.Variables'!$I31,+IF(M$18='5.Variables'!$B$39,+'5.Variables'!$I55,+IF(M$18='5.Variables'!$B$62,+'5.Variables'!$I69,+IF(M$18='5.Variables'!$B$76,+'5.Variables'!$I83,+IF(M$18='5.Variables'!$B$90,+'5.Variables'!$I97,+IF(M$18='5.Variables'!$B$104,+'5.Variables'!$I111,0))))))</f>
        <v>320</v>
      </c>
      <c r="N86" s="667">
        <f>IF(N$18='5.Variables'!$B$16,+'5.Variables'!$I31,+IF(N$18='5.Variables'!$B$39,+'5.Variables'!$I55,+IF(N$18='5.Variables'!$B$62,+'5.Variables'!$I69,+IF(N$18='5.Variables'!$B$76,+'5.Variables'!$I83,+IF(N$18='5.Variables'!$B$90,+'5.Variables'!$I97,+IF(N$18='5.Variables'!$B$104,+'5.Variables'!$I111,0))))))</f>
        <v>0</v>
      </c>
      <c r="O86" s="1052">
        <v>10170</v>
      </c>
      <c r="P86" s="232"/>
      <c r="Q86" s="530">
        <f t="shared" si="9"/>
        <v>23021575.181640815</v>
      </c>
      <c r="R86" s="250"/>
      <c r="S86" s="232"/>
      <c r="T86" s="232"/>
      <c r="U86" s="232"/>
      <c r="V86" s="232"/>
      <c r="W86" s="232"/>
      <c r="X86" s="232"/>
      <c r="Y86" s="232"/>
      <c r="Z86" s="232"/>
      <c r="AA86" s="232"/>
      <c r="AB86" s="232"/>
      <c r="AC86" s="232"/>
      <c r="AD86" s="232"/>
      <c r="AE86" s="232"/>
      <c r="AF86" s="232"/>
      <c r="AG86" s="232"/>
      <c r="AH86" s="232"/>
      <c r="AI86" s="232"/>
      <c r="AJ86" s="232"/>
      <c r="AK86" s="232"/>
      <c r="AL86" s="232"/>
    </row>
    <row r="87" spans="1:38">
      <c r="A87" s="484">
        <f t="shared" si="11"/>
        <v>68</v>
      </c>
      <c r="B87" s="985" t="str">
        <f>CONCATENATE('3. Consumption by Rate Class'!B92,"-",'3. Consumption by Rate Class'!C92)</f>
        <v>2016-August</v>
      </c>
      <c r="C87" s="982">
        <v>22763342.920000002</v>
      </c>
      <c r="D87" s="983"/>
      <c r="E87" s="984"/>
      <c r="F87" s="989"/>
      <c r="G87" s="989"/>
      <c r="H87" s="989"/>
      <c r="I87" s="530">
        <f t="shared" si="10"/>
        <v>22763342.920000002</v>
      </c>
      <c r="J87" s="667">
        <f>IF(J$18='5.Variables'!$B$16,+'5.Variables'!$J32,+IF(J$18='5.Variables'!$B$39,+'5.Variables'!$J55,+IF(J$18='5.Variables'!$B$62,+'5.Variables'!$J69,+IF(J$18='5.Variables'!$B$76,+'5.Variables'!$J83,+IF(J$18='5.Variables'!$B$90,+'5.Variables'!$J97,+IF(J$18='5.Variables'!$B$104,+'5.Variables'!$J111,0))))))</f>
        <v>0.8</v>
      </c>
      <c r="K87" s="667">
        <f>IF(K$18='5.Variables'!$B$16,+'5.Variables'!$J31,+IF(K$18='5.Variables'!$B$39,+'5.Variables'!$J55,+IF(K$18='5.Variables'!$B$62,+'5.Variables'!$J69,+IF(K$18='5.Variables'!$B$76,+'5.Variables'!$J83,+IF(K$18='5.Variables'!$B$90,+'5.Variables'!$J97,+IF(K$18='5.Variables'!$B$104,+'5.Variables'!$J111,0))))))</f>
        <v>124.4</v>
      </c>
      <c r="L87" s="667">
        <f>IF(L$18='5.Variables'!$B$16,+'5.Variables'!$J31,+IF(L$18='5.Variables'!$B$39,+'5.Variables'!$J55,+IF(L$18='5.Variables'!$B$62,+'5.Variables'!$J69,+IF(L$18='5.Variables'!$B$76,+'5.Variables'!$J83,+IF(L$18='5.Variables'!$B$90,+'5.Variables'!$J97,+IF(L$18='5.Variables'!$B$104,+'5.Variables'!$J111,0))))))</f>
        <v>31</v>
      </c>
      <c r="M87" s="667">
        <f>IF(M$18='5.Variables'!$B$16,+'5.Variables'!$J31,+IF(M$18='5.Variables'!$B$39,+'5.Variables'!$J55,+IF(M$18='5.Variables'!$B$62,+'5.Variables'!$J69,+IF(M$18='5.Variables'!$B$76,+'5.Variables'!$J83,+IF(M$18='5.Variables'!$B$90,+'5.Variables'!$J97,+IF(M$18='5.Variables'!$B$104,+'5.Variables'!$J111,0))))))</f>
        <v>352</v>
      </c>
      <c r="N87" s="667">
        <f>IF(N$18='5.Variables'!$B$16,+'5.Variables'!$J31,+IF(N$18='5.Variables'!$B$39,+'5.Variables'!$J55,+IF(N$18='5.Variables'!$B$62,+'5.Variables'!$J69,+IF(N$18='5.Variables'!$B$76,+'5.Variables'!$J83,+IF(N$18='5.Variables'!$B$90,+'5.Variables'!$J97,+IF(N$18='5.Variables'!$B$104,+'5.Variables'!$J111,0))))))</f>
        <v>0</v>
      </c>
      <c r="O87" s="1052">
        <v>10208</v>
      </c>
      <c r="P87" s="232"/>
      <c r="Q87" s="530">
        <f t="shared" si="9"/>
        <v>24112871.998029184</v>
      </c>
      <c r="R87" s="250"/>
      <c r="S87" s="232"/>
      <c r="T87" s="232"/>
      <c r="U87" s="232"/>
      <c r="V87" s="232"/>
      <c r="W87" s="232"/>
      <c r="X87" s="232"/>
      <c r="Y87" s="232"/>
      <c r="Z87" s="232"/>
      <c r="AA87" s="232"/>
      <c r="AB87" s="232"/>
      <c r="AC87" s="232"/>
      <c r="AD87" s="232"/>
      <c r="AE87" s="232"/>
      <c r="AF87" s="232"/>
      <c r="AG87" s="232"/>
      <c r="AH87" s="232"/>
      <c r="AI87" s="232"/>
      <c r="AJ87" s="232"/>
      <c r="AK87" s="232"/>
      <c r="AL87" s="232"/>
    </row>
    <row r="88" spans="1:38">
      <c r="A88" s="484">
        <f t="shared" si="11"/>
        <v>69</v>
      </c>
      <c r="B88" s="985" t="str">
        <f>CONCATENATE('3. Consumption by Rate Class'!B93,"-",'3. Consumption by Rate Class'!C93)</f>
        <v>2016-September</v>
      </c>
      <c r="C88" s="982">
        <v>19334918.5</v>
      </c>
      <c r="D88" s="983"/>
      <c r="E88" s="984"/>
      <c r="F88" s="989"/>
      <c r="G88" s="989"/>
      <c r="H88" s="989"/>
      <c r="I88" s="530">
        <f t="shared" si="10"/>
        <v>19334918.5</v>
      </c>
      <c r="J88" s="667">
        <f>IF(J$18='5.Variables'!$B$16,+'5.Variables'!$K32,+IF(J$18='5.Variables'!$B$39,+'5.Variables'!$K55,+IF(J$18='5.Variables'!$B$62,+'5.Variables'!$K69,+IF(J$18='5.Variables'!$B$76,+'5.Variables'!$K83,+IF(J$18='5.Variables'!$B$90,+'5.Variables'!$K97,+IF(J$18='5.Variables'!$B$104,+'5.Variables'!$K111,0))))))</f>
        <v>38.9</v>
      </c>
      <c r="K88" s="667">
        <f>IF(K$18='5.Variables'!$B$16,+'5.Variables'!$K31,+IF(K$18='5.Variables'!$B$39,+'5.Variables'!$K55,+IF(K$18='5.Variables'!$B$62,+'5.Variables'!$K69,+IF(K$18='5.Variables'!$B$76,+'5.Variables'!$K83,+IF(K$18='5.Variables'!$B$90,+'5.Variables'!$K97,+IF(K$18='5.Variables'!$B$104,+'5.Variables'!$K111,0))))))</f>
        <v>31.5</v>
      </c>
      <c r="L88" s="667">
        <f>IF(L$18='5.Variables'!$B$16,+'5.Variables'!$K31,+IF(L$18='5.Variables'!$B$39,+'5.Variables'!$K55,+IF(L$18='5.Variables'!$B$62,+'5.Variables'!$K69,+IF(L$18='5.Variables'!$B$76,+'5.Variables'!$K83,+IF(L$18='5.Variables'!$B$90,+'5.Variables'!$K97,+IF(L$18='5.Variables'!$B$104,+'5.Variables'!$K111,0))))))</f>
        <v>30</v>
      </c>
      <c r="M88" s="667">
        <f>IF(M$18='5.Variables'!$B$16,+'5.Variables'!$K31,+IF(M$18='5.Variables'!$B$39,+'5.Variables'!$K55,+IF(M$18='5.Variables'!$B$62,+'5.Variables'!$K69,+IF(M$18='5.Variables'!$B$76,+'5.Variables'!$K83,+IF(M$18='5.Variables'!$B$90,+'5.Variables'!$K97,+IF(M$18='5.Variables'!$B$104,+'5.Variables'!$K111,0))))))</f>
        <v>336</v>
      </c>
      <c r="N88" s="667">
        <f>IF(N$18='5.Variables'!$B$16,+'5.Variables'!$K31,+IF(N$18='5.Variables'!$B$39,+'5.Variables'!$K55,+IF(N$18='5.Variables'!$B$62,+'5.Variables'!$K69,+IF(N$18='5.Variables'!$B$76,+'5.Variables'!$K83,+IF(N$18='5.Variables'!$B$90,+'5.Variables'!$K97,+IF(N$18='5.Variables'!$B$104,+'5.Variables'!$K111,0))))))</f>
        <v>1</v>
      </c>
      <c r="O88" s="1052">
        <v>10214</v>
      </c>
      <c r="P88" s="232"/>
      <c r="Q88" s="530">
        <f t="shared" si="9"/>
        <v>19489078.327076457</v>
      </c>
      <c r="R88" s="250"/>
      <c r="S88" s="232"/>
      <c r="T88" s="232"/>
      <c r="U88" s="232"/>
      <c r="V88" s="232"/>
      <c r="W88" s="232"/>
      <c r="X88" s="232"/>
      <c r="Y88" s="232"/>
      <c r="Z88" s="232"/>
      <c r="AA88" s="232"/>
      <c r="AB88" s="232"/>
      <c r="AC88" s="232"/>
      <c r="AD88" s="232"/>
      <c r="AE88" s="232"/>
      <c r="AF88" s="232"/>
      <c r="AG88" s="232"/>
      <c r="AH88" s="232"/>
      <c r="AI88" s="232"/>
      <c r="AJ88" s="232"/>
      <c r="AK88" s="232"/>
      <c r="AL88" s="232"/>
    </row>
    <row r="89" spans="1:38">
      <c r="A89" s="484">
        <f t="shared" si="11"/>
        <v>70</v>
      </c>
      <c r="B89" s="985" t="str">
        <f>CONCATENATE('3. Consumption by Rate Class'!B94,"-",'3. Consumption by Rate Class'!C94)</f>
        <v>2016-October</v>
      </c>
      <c r="C89" s="982">
        <v>18686084.739999998</v>
      </c>
      <c r="D89" s="983"/>
      <c r="E89" s="984"/>
      <c r="F89" s="989"/>
      <c r="G89" s="989"/>
      <c r="H89" s="989"/>
      <c r="I89" s="530">
        <f t="shared" si="10"/>
        <v>18686084.739999998</v>
      </c>
      <c r="J89" s="667">
        <f>IF(J$18='5.Variables'!$B$16,+'5.Variables'!$L32,+IF(J$18='5.Variables'!$B$39,+'5.Variables'!$L55,+IF(J$18='5.Variables'!$B$62,+'5.Variables'!$L69,+IF(J$18='5.Variables'!$B$76,+'5.Variables'!$L83,+IF(J$18='5.Variables'!$B$90,+'5.Variables'!$L97,+IF(J$18='5.Variables'!$B$104,+'5.Variables'!$L111,0))))))</f>
        <v>212.2</v>
      </c>
      <c r="K89" s="667">
        <f>IF(K$18='5.Variables'!$B$16,+'5.Variables'!$L31,+IF(K$18='5.Variables'!$B$39,+'5.Variables'!$L55,+IF(K$18='5.Variables'!$B$62,+'5.Variables'!$L69,+IF(K$18='5.Variables'!$B$76,+'5.Variables'!$L83,+IF(K$18='5.Variables'!$B$90,+'5.Variables'!$L97,+IF(K$18='5.Variables'!$B$104,+'5.Variables'!$L111,0))))))</f>
        <v>0</v>
      </c>
      <c r="L89" s="667">
        <f>IF(L$18='5.Variables'!$B$16,+'5.Variables'!$L31,+IF(L$18='5.Variables'!$B$39,+'5.Variables'!$L55,+IF(L$18='5.Variables'!$B$62,+'5.Variables'!$L69,+IF(L$18='5.Variables'!$B$76,+'5.Variables'!$L83,+IF(L$18='5.Variables'!$B$90,+'5.Variables'!$L97,+IF(L$18='5.Variables'!$B$104,+'5.Variables'!$L111,0))))))</f>
        <v>31</v>
      </c>
      <c r="M89" s="667">
        <f>IF(M$18='5.Variables'!$B$16,+'5.Variables'!$L31,+IF(M$18='5.Variables'!$B$39,+'5.Variables'!$L55,+IF(M$18='5.Variables'!$B$62,+'5.Variables'!$L69,+IF(M$18='5.Variables'!$B$76,+'5.Variables'!$L83,+IF(M$18='5.Variables'!$B$90,+'5.Variables'!$L97,+IF(M$18='5.Variables'!$B$104,+'5.Variables'!$L111,0))))))</f>
        <v>320</v>
      </c>
      <c r="N89" s="667">
        <f>IF(N$18='5.Variables'!$B$16,+'5.Variables'!$L31,+IF(N$18='5.Variables'!$B$39,+'5.Variables'!$L55,+IF(N$18='5.Variables'!$B$62,+'5.Variables'!$L69,+IF(N$18='5.Variables'!$B$76,+'5.Variables'!$L83,+IF(N$18='5.Variables'!$B$90,+'5.Variables'!$L97,+IF(N$18='5.Variables'!$B$104,+'5.Variables'!$L111,0))))))</f>
        <v>1</v>
      </c>
      <c r="O89" s="1052">
        <v>10215</v>
      </c>
      <c r="P89" s="232"/>
      <c r="Q89" s="530">
        <f t="shared" si="9"/>
        <v>19634957.396154832</v>
      </c>
      <c r="R89" s="250"/>
      <c r="S89" s="232"/>
      <c r="T89" s="232"/>
      <c r="U89" s="232"/>
      <c r="V89" s="232"/>
      <c r="W89" s="232"/>
      <c r="X89" s="232"/>
      <c r="Y89" s="232"/>
      <c r="Z89" s="232"/>
      <c r="AA89" s="232"/>
      <c r="AB89" s="232"/>
      <c r="AC89" s="232"/>
      <c r="AD89" s="232"/>
      <c r="AE89" s="232"/>
      <c r="AF89" s="232"/>
      <c r="AG89" s="232"/>
      <c r="AH89" s="232"/>
      <c r="AI89" s="232"/>
      <c r="AJ89" s="232"/>
      <c r="AK89" s="232"/>
      <c r="AL89" s="232"/>
    </row>
    <row r="90" spans="1:38">
      <c r="A90" s="484">
        <f t="shared" si="11"/>
        <v>71</v>
      </c>
      <c r="B90" s="985" t="str">
        <f>CONCATENATE('3. Consumption by Rate Class'!B95,"-",'3. Consumption by Rate Class'!C95)</f>
        <v>2016-November</v>
      </c>
      <c r="C90" s="982">
        <v>19432254.449999999</v>
      </c>
      <c r="D90" s="983"/>
      <c r="E90" s="984"/>
      <c r="F90" s="989"/>
      <c r="G90" s="989"/>
      <c r="H90" s="989"/>
      <c r="I90" s="530">
        <f t="shared" si="10"/>
        <v>19432254.449999999</v>
      </c>
      <c r="J90" s="667">
        <f>IF(J$18='5.Variables'!$B$16,+'5.Variables'!$M32,+IF(J$18='5.Variables'!$B$39,+'5.Variables'!$M55,+IF(J$18='5.Variables'!$B$62,+'5.Variables'!$M69,+IF(J$18='5.Variables'!$B$76,+'5.Variables'!$M83,+IF(J$18='5.Variables'!$B$90,+'5.Variables'!$M97,+IF(J$18='5.Variables'!$B$104,+'5.Variables'!$M111,0))))))</f>
        <v>378.9</v>
      </c>
      <c r="K90" s="667">
        <f>IF(K$18='5.Variables'!$B$16,+'5.Variables'!$M31,+IF(K$18='5.Variables'!$B$39,+'5.Variables'!$M55,+IF(K$18='5.Variables'!$B$62,+'5.Variables'!$M69,+IF(K$18='5.Variables'!$B$76,+'5.Variables'!$M83,+IF(K$18='5.Variables'!$B$90,+'5.Variables'!$M97,+IF(K$18='5.Variables'!$B$104,+'5.Variables'!$M111,0))))))</f>
        <v>0</v>
      </c>
      <c r="L90" s="667">
        <f>IF(L$18='5.Variables'!$B$16,+'5.Variables'!$M31,+IF(L$18='5.Variables'!$B$39,+'5.Variables'!$M55,+IF(L$18='5.Variables'!$B$62,+'5.Variables'!$M69,+IF(L$18='5.Variables'!$B$76,+'5.Variables'!$M83,+IF(L$18='5.Variables'!$B$90,+'5.Variables'!$M97,+IF(L$18='5.Variables'!$B$104,+'5.Variables'!$M111,0))))))</f>
        <v>30</v>
      </c>
      <c r="M90" s="667">
        <f>IF(M$18='5.Variables'!$B$16,+'5.Variables'!$M31,+IF(M$18='5.Variables'!$B$39,+'5.Variables'!$M55,+IF(M$18='5.Variables'!$B$62,+'5.Variables'!$M69,+IF(M$18='5.Variables'!$B$76,+'5.Variables'!$M83,+IF(M$18='5.Variables'!$B$90,+'5.Variables'!$M97,+IF(M$18='5.Variables'!$B$104,+'5.Variables'!$M111,0))))))</f>
        <v>352</v>
      </c>
      <c r="N90" s="667">
        <f>IF(N$18='5.Variables'!$B$16,+'5.Variables'!$M31,+IF(N$18='5.Variables'!$B$39,+'5.Variables'!$M55,+IF(N$18='5.Variables'!$B$62,+'5.Variables'!$M69,+IF(N$18='5.Variables'!$B$76,+'5.Variables'!$M83,+IF(N$18='5.Variables'!$B$90,+'5.Variables'!$M97,+IF(N$18='5.Variables'!$B$104,+'5.Variables'!$M111,0))))))</f>
        <v>1</v>
      </c>
      <c r="O90" s="1052">
        <v>10230</v>
      </c>
      <c r="P90" s="232"/>
      <c r="Q90" s="530">
        <f t="shared" si="9"/>
        <v>20588623.678965859</v>
      </c>
      <c r="R90" s="250"/>
      <c r="S90" s="232"/>
      <c r="T90" s="232"/>
      <c r="U90" s="232"/>
      <c r="V90" s="232"/>
      <c r="W90" s="232"/>
      <c r="X90" s="232"/>
      <c r="Y90" s="232"/>
      <c r="Z90" s="232"/>
      <c r="AA90" s="232"/>
      <c r="AB90" s="232"/>
      <c r="AC90" s="232"/>
      <c r="AD90" s="232"/>
      <c r="AE90" s="232"/>
      <c r="AF90" s="232"/>
      <c r="AG90" s="232"/>
      <c r="AH90" s="232"/>
      <c r="AI90" s="232"/>
      <c r="AJ90" s="232"/>
      <c r="AK90" s="232"/>
      <c r="AL90" s="232"/>
    </row>
    <row r="91" spans="1:38">
      <c r="A91" s="484">
        <f t="shared" si="11"/>
        <v>72</v>
      </c>
      <c r="B91" s="501" t="str">
        <f>CONCATENATE('3. Consumption by Rate Class'!B96,"-",'3. Consumption by Rate Class'!C96)</f>
        <v>2016-December</v>
      </c>
      <c r="C91" s="650">
        <f>21463280.49</f>
        <v>21463280.489999998</v>
      </c>
      <c r="D91" s="778"/>
      <c r="E91" s="777"/>
      <c r="F91" s="777"/>
      <c r="G91" s="994"/>
      <c r="H91" s="994"/>
      <c r="I91" s="995">
        <f t="shared" si="10"/>
        <v>21463280.489999998</v>
      </c>
      <c r="J91" s="667">
        <f>IF(J$18='5.Variables'!$B$16,+'5.Variables'!$N32,+IF(J$18='5.Variables'!$B$39,+'5.Variables'!$N55,+IF(J$18='5.Variables'!$B$62,+'5.Variables'!$N69,+IF(J$18='5.Variables'!$B$76,+'5.Variables'!$N83,+IF(J$18='5.Variables'!$B$90,+'5.Variables'!$N97,+IF(J$18='5.Variables'!$B$104,+'5.Variables'!$N111,0))))))</f>
        <v>573.29999999999995</v>
      </c>
      <c r="K91" s="667">
        <f>IF(K$18='5.Variables'!$B$16,+'5.Variables'!$N31,+IF(K$18='5.Variables'!$B$39,+'5.Variables'!$N55,+IF(K$18='5.Variables'!$B$62,+'5.Variables'!$N69,+IF(K$18='5.Variables'!$B$76,+'5.Variables'!$N83,+IF(K$18='5.Variables'!$B$90,+'5.Variables'!$N97,+IF(K$18='5.Variables'!$B$104,+'5.Variables'!$N111,0))))))</f>
        <v>0</v>
      </c>
      <c r="L91" s="667">
        <f>IF(L$18='5.Variables'!$B$16,+'5.Variables'!$N31,+IF(L$18='5.Variables'!$B$39,+'5.Variables'!$N55,+IF(L$18='5.Variables'!$B$62,+'5.Variables'!$N69,+IF(L$18='5.Variables'!$B$76,+'5.Variables'!$N83,+IF(L$18='5.Variables'!$B$90,+'5.Variables'!$N97,+IF(L$18='5.Variables'!$B$104,+'5.Variables'!$N111,0))))))</f>
        <v>31</v>
      </c>
      <c r="M91" s="667">
        <f>IF(M$18='5.Variables'!$B$16,+'5.Variables'!$N31,+IF(M$18='5.Variables'!$B$39,+'5.Variables'!$N55,+IF(M$18='5.Variables'!$B$62,+'5.Variables'!$N69,+IF(M$18='5.Variables'!$B$76,+'5.Variables'!$N83,+IF(M$18='5.Variables'!$B$90,+'5.Variables'!$N97,+IF(M$18='5.Variables'!$B$104,+'5.Variables'!$N111,0))))))</f>
        <v>320</v>
      </c>
      <c r="N91" s="667">
        <f>IF(N$18='5.Variables'!$B$16,+'5.Variables'!$N31,+IF(N$18='5.Variables'!$B$39,+'5.Variables'!$N55,+IF(N$18='5.Variables'!$B$62,+'5.Variables'!$N69,+IF(N$18='5.Variables'!$B$76,+'5.Variables'!$N83,+IF(N$18='5.Variables'!$B$90,+'5.Variables'!$N97,+IF(N$18='5.Variables'!$B$104,+'5.Variables'!$N111,0))))))</f>
        <v>0</v>
      </c>
      <c r="O91" s="1052">
        <v>10262</v>
      </c>
      <c r="P91" s="232"/>
      <c r="Q91" s="530">
        <f t="shared" si="9"/>
        <v>22688099.827809528</v>
      </c>
      <c r="R91" s="250">
        <f>SUM(Q80:Q91)</f>
        <v>252375485.51351339</v>
      </c>
      <c r="S91" s="232"/>
      <c r="T91" s="232"/>
      <c r="U91" s="232"/>
      <c r="V91" s="232"/>
      <c r="W91" s="232"/>
      <c r="X91" s="232"/>
      <c r="Y91" s="232"/>
      <c r="Z91" s="232"/>
      <c r="AA91" s="232"/>
      <c r="AB91" s="232"/>
      <c r="AC91" s="232"/>
      <c r="AD91" s="232"/>
      <c r="AE91" s="232"/>
      <c r="AF91" s="232"/>
      <c r="AG91" s="232"/>
      <c r="AH91" s="232"/>
      <c r="AI91" s="232"/>
      <c r="AJ91" s="232"/>
      <c r="AK91" s="232"/>
      <c r="AL91" s="232"/>
    </row>
    <row r="92" spans="1:38">
      <c r="A92" s="484">
        <f t="shared" si="11"/>
        <v>73</v>
      </c>
      <c r="B92" s="985" t="str">
        <f>CONCATENATE('3. Consumption by Rate Class'!B97,"-",'3. Consumption by Rate Class'!C97)</f>
        <v>2017-January</v>
      </c>
      <c r="C92" s="982">
        <v>21925824.48</v>
      </c>
      <c r="D92" s="983"/>
      <c r="E92" s="984"/>
      <c r="F92" s="989"/>
      <c r="G92" s="989"/>
      <c r="H92" s="989"/>
      <c r="I92" s="530">
        <f t="shared" si="10"/>
        <v>21925824.48</v>
      </c>
      <c r="J92" s="667">
        <f>IF(J$18='5.Variables'!$B$16,+'5.Variables'!$C33,+IF(J$18='5.Variables'!$B$39,+'5.Variables'!$C56,+IF(J$18='5.Variables'!$B$62,+'5.Variables'!$C70,+IF(J$18='5.Variables'!$B$76,+'5.Variables'!$C84,+IF(J$18='5.Variables'!$B$90,+'5.Variables'!$C98,+IF(J$18='5.Variables'!$B$104,+'5.Variables'!$C112,0))))))</f>
        <v>609.5</v>
      </c>
      <c r="K92" s="667">
        <f>IF(K$18='5.Variables'!$B$16,+'5.Variables'!$C32,+IF(K$18='5.Variables'!$B$39,+'5.Variables'!$C56,+IF(K$18='5.Variables'!$B$62,+'5.Variables'!$C70,+IF(K$18='5.Variables'!$B$76,+'5.Variables'!$C84,+IF(K$18='5.Variables'!$B$90,+'5.Variables'!$C98,+IF(K$18='5.Variables'!$B$104,+'5.Variables'!$C112,0))))))</f>
        <v>0</v>
      </c>
      <c r="L92" s="667">
        <f>IF(L$18='5.Variables'!$B$16,+'5.Variables'!$C32,+IF(L$18='5.Variables'!$B$39,+'5.Variables'!$C56,+IF(L$18='5.Variables'!$B$62,+'5.Variables'!$C70,+IF(L$18='5.Variables'!$B$76,+'5.Variables'!$C84,+IF(L$18='5.Variables'!$B$90,+'5.Variables'!$C98,+IF(L$18='5.Variables'!$B$104,+'5.Variables'!$C112,0))))))</f>
        <v>31</v>
      </c>
      <c r="M92" s="667">
        <f>IF(M$18='5.Variables'!$B$16,+'5.Variables'!$C32,+IF(M$18='5.Variables'!$B$39,+'5.Variables'!$C56,+IF(M$18='5.Variables'!$B$62,+'5.Variables'!$C70,+IF(M$18='5.Variables'!$B$76,+'5.Variables'!$C84,+IF(M$18='5.Variables'!$B$90,+'5.Variables'!$C98,+IF(M$18='5.Variables'!$B$104,+'5.Variables'!$C112,0))))))</f>
        <v>336</v>
      </c>
      <c r="N92" s="667">
        <f>IF(N$18='5.Variables'!$B$16,+'5.Variables'!$C32,+IF(N$18='5.Variables'!$B$39,+'5.Variables'!$C56,+IF(N$18='5.Variables'!$B$62,+'5.Variables'!$C70,+IF(N$18='5.Variables'!$B$76,+'5.Variables'!$C84,+IF(N$18='5.Variables'!$B$90,+'5.Variables'!$C98,+IF(N$18='5.Variables'!$B$104,+'5.Variables'!$C112,0))))))</f>
        <v>0</v>
      </c>
      <c r="O92" s="1052">
        <v>10240</v>
      </c>
      <c r="P92" s="232"/>
      <c r="Q92" s="530">
        <f t="shared" si="9"/>
        <v>23042110.825870354</v>
      </c>
      <c r="R92" s="250"/>
      <c r="S92" s="232"/>
      <c r="T92" s="232"/>
      <c r="U92" s="232"/>
      <c r="V92" s="232"/>
      <c r="W92" s="232"/>
      <c r="X92" s="232"/>
      <c r="Y92" s="232"/>
      <c r="Z92" s="232"/>
      <c r="AA92" s="232"/>
      <c r="AB92" s="232"/>
      <c r="AC92" s="232"/>
      <c r="AD92" s="232"/>
      <c r="AE92" s="232"/>
      <c r="AF92" s="232"/>
      <c r="AG92" s="232"/>
      <c r="AH92" s="232"/>
      <c r="AI92" s="232"/>
      <c r="AJ92" s="232"/>
      <c r="AK92" s="232"/>
      <c r="AL92" s="232"/>
    </row>
    <row r="93" spans="1:38">
      <c r="A93" s="484">
        <f t="shared" si="11"/>
        <v>74</v>
      </c>
      <c r="B93" s="985" t="str">
        <f>CONCATENATE('3. Consumption by Rate Class'!B98,"-",'3. Consumption by Rate Class'!C98)</f>
        <v>2017-February</v>
      </c>
      <c r="C93" s="982">
        <v>20023711.510000002</v>
      </c>
      <c r="D93" s="983"/>
      <c r="E93" s="984"/>
      <c r="F93" s="989"/>
      <c r="G93" s="989"/>
      <c r="H93" s="989"/>
      <c r="I93" s="530">
        <f t="shared" si="10"/>
        <v>20023711.510000002</v>
      </c>
      <c r="J93" s="667">
        <f>IF(J$18='5.Variables'!$B$16,+'5.Variables'!$D33+IF(J$18='5.Variables'!$B$39,+'5.Variables'!$D56,+IF(J$18='5.Variables'!$B$62,+'5.Variables'!$D70,+IF(J$18='5.Variables'!$B$76,+'5.Variables'!$D84,+IF(J$18='5.Variables'!$B$90,+'5.Variables'!$D98,+IF(J$18='5.Variables'!$B$104,+'5.Variables'!$D112,0))))))</f>
        <v>534</v>
      </c>
      <c r="K93" s="667">
        <f>IF(K$18='5.Variables'!$B$16,+'5.Variables'!$D32,+IF(K$18='5.Variables'!$B$39,+'5.Variables'!$D56,+IF(K$18='5.Variables'!$B$62,+'5.Variables'!$D70,+IF(K$18='5.Variables'!$B$76,+'5.Variables'!$D84,+IF(K$18='5.Variables'!$B$90,+'5.Variables'!$D98,+IF(K$18='5.Variables'!$B$104,+'5.Variables'!$D112,0))))))</f>
        <v>0</v>
      </c>
      <c r="L93" s="667">
        <f>IF(L$18='5.Variables'!$B$16,+'5.Variables'!$D32,+IF(L$18='5.Variables'!$B$39,+'5.Variables'!$D56,+IF(L$18='5.Variables'!$B$62,+'5.Variables'!$D70,+IF(L$18='5.Variables'!$B$76,+'5.Variables'!$D84,+IF(L$18='5.Variables'!$B$90,+'5.Variables'!$D98,+IF(L$18='5.Variables'!$B$104,+'5.Variables'!$D112,0))))))</f>
        <v>28</v>
      </c>
      <c r="M93" s="667">
        <f>IF(M$18='5.Variables'!$B$16,+'5.Variables'!$D32,+IF(M$18='5.Variables'!$B$39,+'5.Variables'!$D56,+IF(M$18='5.Variables'!$B$62,+'5.Variables'!$D70,+IF(M$18='5.Variables'!$B$76,+'5.Variables'!$D84,+IF(M$18='5.Variables'!$B$90,+'5.Variables'!$D98,+IF(M$18='5.Variables'!$B$104,+'5.Variables'!$D112,0))))))</f>
        <v>320</v>
      </c>
      <c r="N93" s="667">
        <f>IF(N$18='5.Variables'!$B$16,+'5.Variables'!$D32,+IF(N$18='5.Variables'!$B$39,+'5.Variables'!$D56,+IF(N$18='5.Variables'!$B$62,+'5.Variables'!$D70,+IF(N$18='5.Variables'!$B$76,+'5.Variables'!$D84,+IF(N$18='5.Variables'!$B$90,+'5.Variables'!$D98,+IF(N$18='5.Variables'!$B$104,+'5.Variables'!$D112,0))))))</f>
        <v>0</v>
      </c>
      <c r="O93" s="1052">
        <v>10250</v>
      </c>
      <c r="P93" s="232"/>
      <c r="Q93" s="530">
        <f t="shared" si="9"/>
        <v>21299052.762848802</v>
      </c>
      <c r="R93" s="250"/>
      <c r="S93" s="232"/>
      <c r="T93" s="232"/>
      <c r="U93" s="232"/>
      <c r="V93" s="232"/>
      <c r="W93" s="232"/>
      <c r="X93" s="232"/>
      <c r="Y93" s="232"/>
      <c r="Z93" s="232"/>
      <c r="AA93" s="232"/>
      <c r="AB93" s="232"/>
      <c r="AC93" s="232"/>
      <c r="AD93" s="232"/>
      <c r="AE93" s="232"/>
      <c r="AF93" s="232"/>
      <c r="AG93" s="232"/>
      <c r="AH93" s="232"/>
      <c r="AI93" s="232"/>
      <c r="AJ93" s="232"/>
      <c r="AK93" s="232"/>
      <c r="AL93" s="232"/>
    </row>
    <row r="94" spans="1:38">
      <c r="A94" s="484">
        <f t="shared" si="11"/>
        <v>75</v>
      </c>
      <c r="B94" s="985" t="str">
        <f>CONCATENATE('3. Consumption by Rate Class'!B99,"-",'3. Consumption by Rate Class'!C99)</f>
        <v>2017-March</v>
      </c>
      <c r="C94" s="982">
        <v>21990613.460000001</v>
      </c>
      <c r="D94" s="983"/>
      <c r="E94" s="984"/>
      <c r="F94" s="989"/>
      <c r="G94" s="989"/>
      <c r="H94" s="989"/>
      <c r="I94" s="530">
        <f t="shared" si="10"/>
        <v>21990613.460000001</v>
      </c>
      <c r="J94" s="667">
        <f>IF(J$18='5.Variables'!$B$16,+'5.Variables'!$E33,+IF(J$18='5.Variables'!$B$39,+'5.Variables'!$E56,+IF(J$18='5.Variables'!$B$62,+'5.Variables'!$E70,+IF(J$18='5.Variables'!$B$76,+'5.Variables'!$E84,+IF(J$18='5.Variables'!$B$90,+'5.Variables'!$E98,+IF(J$18='5.Variables'!$B$104,+'5.Variables'!$E112,0))))))</f>
        <v>606</v>
      </c>
      <c r="K94" s="667">
        <f>IF(K$18='5.Variables'!$B$16,+'5.Variables'!$E32,+IF(K$18='5.Variables'!$B$39,+'5.Variables'!$E56,+IF(K$18='5.Variables'!$B$62,+'5.Variables'!$E70,+IF(K$18='5.Variables'!$B$76,+'5.Variables'!$E84,+IF(K$18='5.Variables'!$B$90,+'5.Variables'!$E98,+IF(K$18='5.Variables'!$B$104,+'5.Variables'!$E112,0))))))</f>
        <v>0</v>
      </c>
      <c r="L94" s="667">
        <f>IF(L$18='5.Variables'!$B$16,+'5.Variables'!$E32,+IF(L$18='5.Variables'!$B$39,+'5.Variables'!$E56,+IF(L$18='5.Variables'!$B$62,+'5.Variables'!$E70,+IF(L$18='5.Variables'!$B$76,+'5.Variables'!$E84,+IF(L$18='5.Variables'!$B$90,+'5.Variables'!$E98,+IF(L$18='5.Variables'!$B$104,+'5.Variables'!$E112,0))))))</f>
        <v>31</v>
      </c>
      <c r="M94" s="667">
        <f>IF(M$18='5.Variables'!$B$16,+'5.Variables'!$E32,+IF(M$18='5.Variables'!$B$39,+'5.Variables'!$E56,+IF(M$18='5.Variables'!$B$62,+'5.Variables'!$E70,+IF(M$18='5.Variables'!$B$76,+'5.Variables'!$E84,+IF(M$18='5.Variables'!$B$90,+'5.Variables'!$E98,+IF(M$18='5.Variables'!$B$104,+'5.Variables'!$E112,0))))))</f>
        <v>368</v>
      </c>
      <c r="N94" s="667">
        <f>IF(N$18='5.Variables'!$B$16,+'5.Variables'!$E32,+IF(N$18='5.Variables'!$B$39,+'5.Variables'!$E56,+IF(N$18='5.Variables'!$B$62,+'5.Variables'!$E70,+IF(N$18='5.Variables'!$B$76,+'5.Variables'!$E84,+IF(N$18='5.Variables'!$B$90,+'5.Variables'!$E98,+IF(N$18='5.Variables'!$B$104,+'5.Variables'!$E112,0))))))</f>
        <v>1</v>
      </c>
      <c r="O94" s="1052">
        <v>10255</v>
      </c>
      <c r="P94" s="232"/>
      <c r="Q94" s="530">
        <f t="shared" si="9"/>
        <v>22578771.039059307</v>
      </c>
      <c r="R94" s="250"/>
      <c r="S94" s="232"/>
      <c r="T94" s="232"/>
      <c r="U94" s="232"/>
      <c r="V94" s="232"/>
      <c r="W94" s="232"/>
      <c r="X94" s="232"/>
      <c r="Y94" s="232"/>
      <c r="Z94" s="232"/>
      <c r="AA94" s="232"/>
      <c r="AB94" s="232"/>
      <c r="AC94" s="232"/>
      <c r="AD94" s="232"/>
      <c r="AE94" s="232"/>
      <c r="AF94" s="232"/>
      <c r="AG94" s="232"/>
      <c r="AH94" s="232"/>
      <c r="AI94" s="232"/>
      <c r="AJ94" s="232"/>
      <c r="AK94" s="232"/>
      <c r="AL94" s="232"/>
    </row>
    <row r="95" spans="1:38">
      <c r="A95" s="484">
        <f t="shared" si="11"/>
        <v>76</v>
      </c>
      <c r="B95" s="985" t="str">
        <f>CONCATENATE('3. Consumption by Rate Class'!B100,"-",'3. Consumption by Rate Class'!C100)</f>
        <v>2017-April</v>
      </c>
      <c r="C95" s="982">
        <v>18291643.18</v>
      </c>
      <c r="D95" s="983"/>
      <c r="E95" s="984"/>
      <c r="F95" s="989"/>
      <c r="G95" s="989"/>
      <c r="H95" s="989"/>
      <c r="I95" s="530">
        <f t="shared" si="10"/>
        <v>18291643.18</v>
      </c>
      <c r="J95" s="667">
        <f>IF(J$18='5.Variables'!$B$16,+'5.Variables'!$F33,+IF(J$18='5.Variables'!$B$39,+'5.Variables'!$F56,+IF(J$18='5.Variables'!$B$62,+'5.Variables'!$F70,+IF(J$18='5.Variables'!$B$76,+'5.Variables'!$F84,+IF(J$18='5.Variables'!$B$90,+'5.Variables'!$F98,+IF(J$18='5.Variables'!$B$104,+'5.Variables'!$F112,0))))))</f>
        <v>298.2</v>
      </c>
      <c r="K95" s="667">
        <f>IF(K$18='5.Variables'!$B$16,+'5.Variables'!$F32,+IF(K$18='5.Variables'!$B$39,+'5.Variables'!$F56,+IF(K$18='5.Variables'!$B$62,+'5.Variables'!$F70,+IF(K$18='5.Variables'!$B$76,+'5.Variables'!$F84,+IF(K$18='5.Variables'!$B$90,+'5.Variables'!$F98,+IF(K$18='5.Variables'!$B$104,+'5.Variables'!$F112,0))))))</f>
        <v>0</v>
      </c>
      <c r="L95" s="667">
        <f>IF(L$18='5.Variables'!$B$16,+'5.Variables'!$F32,+IF(L$18='5.Variables'!$B$39,+'5.Variables'!$F56,+IF(L$18='5.Variables'!$B$62,+'5.Variables'!$F70,+IF(L$18='5.Variables'!$B$76,+'5.Variables'!$F84,+IF(L$18='5.Variables'!$B$90,+'5.Variables'!$F98,+IF(L$18='5.Variables'!$B$104,+'5.Variables'!$F112,0))))))</f>
        <v>30</v>
      </c>
      <c r="M95" s="667">
        <f>IF(M$18='5.Variables'!$B$16,+'5.Variables'!$F32,+IF(M$18='5.Variables'!$B$39,+'5.Variables'!$F56,+IF(M$18='5.Variables'!$B$62,+'5.Variables'!$F70,+IF(M$18='5.Variables'!$B$76,+'5.Variables'!$F84,+IF(M$18='5.Variables'!$B$90,+'5.Variables'!$F98,+IF(M$18='5.Variables'!$B$104,+'5.Variables'!$F112,0))))))</f>
        <v>304</v>
      </c>
      <c r="N95" s="667">
        <f>IF(N$18='5.Variables'!$B$16,+'5.Variables'!$F32,+IF(N$18='5.Variables'!$B$39,+'5.Variables'!$F56,+IF(N$18='5.Variables'!$B$62,+'5.Variables'!$F70,+IF(N$18='5.Variables'!$B$76,+'5.Variables'!$F84,+IF(N$18='5.Variables'!$B$90,+'5.Variables'!$F98,+IF(N$18='5.Variables'!$B$104,+'5.Variables'!$F112,0))))))</f>
        <v>1</v>
      </c>
      <c r="O95" s="1052">
        <v>10267</v>
      </c>
      <c r="P95" s="232"/>
      <c r="Q95" s="530">
        <f t="shared" si="9"/>
        <v>19710638.552593134</v>
      </c>
      <c r="R95" s="250"/>
      <c r="S95" s="232"/>
      <c r="T95" s="232"/>
      <c r="U95" s="232"/>
      <c r="V95" s="232"/>
      <c r="W95" s="232"/>
      <c r="X95" s="232"/>
      <c r="Y95" s="232"/>
      <c r="Z95" s="232"/>
      <c r="AA95" s="232"/>
      <c r="AB95" s="232"/>
      <c r="AC95" s="232"/>
      <c r="AD95" s="232"/>
      <c r="AE95" s="232"/>
      <c r="AF95" s="232"/>
      <c r="AG95" s="232"/>
      <c r="AH95" s="232"/>
      <c r="AI95" s="232"/>
      <c r="AJ95" s="232"/>
      <c r="AK95" s="232"/>
      <c r="AL95" s="232"/>
    </row>
    <row r="96" spans="1:38">
      <c r="A96" s="484">
        <f t="shared" si="11"/>
        <v>77</v>
      </c>
      <c r="B96" s="985" t="str">
        <f>CONCATENATE('3. Consumption by Rate Class'!B101,"-",'3. Consumption by Rate Class'!C101)</f>
        <v>2017-May</v>
      </c>
      <c r="C96" s="982">
        <v>18534327.649999999</v>
      </c>
      <c r="D96" s="983"/>
      <c r="E96" s="984"/>
      <c r="F96" s="989"/>
      <c r="G96" s="989"/>
      <c r="H96" s="989"/>
      <c r="I96" s="530">
        <f t="shared" si="10"/>
        <v>18534327.649999999</v>
      </c>
      <c r="J96" s="667">
        <f>IF(J$18='5.Variables'!$B$16,+'5.Variables'!$G33,+IF(J$18='5.Variables'!$B$39,+'5.Variables'!$G56,+IF(J$18='5.Variables'!$B$62,+'5.Variables'!$G70,+IF(J$18='5.Variables'!$B$76,+'5.Variables'!$G84,+IF(J$18='5.Variables'!$B$90,+'5.Variables'!$G98,+IF(J$18='5.Variables'!$B$104,+'5.Variables'!$G112,0))))))</f>
        <v>226.1</v>
      </c>
      <c r="K96" s="667">
        <f>IF(K$18='5.Variables'!$B$16,+'5.Variables'!$G32,+IF(K$18='5.Variables'!$B$39,+'5.Variables'!$G56,+IF(K$18='5.Variables'!$B$62,+'5.Variables'!$G70,+IF(K$18='5.Variables'!$B$76,+'5.Variables'!$G84,+IF(K$18='5.Variables'!$B$90,+'5.Variables'!$G98,+IF(K$18='5.Variables'!$B$104,+'5.Variables'!$G112,0))))))</f>
        <v>0</v>
      </c>
      <c r="L96" s="667">
        <f>IF(L$18='5.Variables'!$B$16,+'5.Variables'!$G32,+IF(L$18='5.Variables'!$B$39,+'5.Variables'!$G56,+IF(L$18='5.Variables'!$B$62,+'5.Variables'!$G70,+IF(L$18='5.Variables'!$B$76,+'5.Variables'!$G84,+IF(L$18='5.Variables'!$B$90,+'5.Variables'!$G98,+IF(L$18='5.Variables'!$B$104,+'5.Variables'!$G112,0))))))</f>
        <v>31</v>
      </c>
      <c r="M96" s="667">
        <f>IF(M$18='5.Variables'!$B$16,+'5.Variables'!$G32,+IF(M$18='5.Variables'!$B$39,+'5.Variables'!$G56,+IF(M$18='5.Variables'!$B$62,+'5.Variables'!$G70,+IF(M$18='5.Variables'!$B$76,+'5.Variables'!$G84,+IF(M$18='5.Variables'!$B$90,+'5.Variables'!$G98,+IF(M$18='5.Variables'!$B$104,+'5.Variables'!$G112,0))))))</f>
        <v>352</v>
      </c>
      <c r="N96" s="667">
        <f>IF(N$18='5.Variables'!$B$16,+'5.Variables'!$G32,+IF(N$18='5.Variables'!$B$39,+'5.Variables'!$G56,+IF(N$18='5.Variables'!$B$62,+'5.Variables'!$G70,+IF(N$18='5.Variables'!$B$76,+'5.Variables'!$G84,+IF(N$18='5.Variables'!$B$90,+'5.Variables'!$G98,+IF(N$18='5.Variables'!$B$104,+'5.Variables'!$G112,0))))))</f>
        <v>1</v>
      </c>
      <c r="O96" s="1052">
        <v>10281</v>
      </c>
      <c r="P96" s="232"/>
      <c r="Q96" s="530">
        <f t="shared" si="9"/>
        <v>19957121.766223766</v>
      </c>
      <c r="R96" s="250"/>
      <c r="S96" s="232"/>
      <c r="T96" s="232"/>
      <c r="U96" s="232"/>
      <c r="V96" s="232"/>
      <c r="W96" s="232"/>
      <c r="X96" s="232"/>
      <c r="Y96" s="232"/>
      <c r="Z96" s="232"/>
      <c r="AA96" s="232"/>
      <c r="AB96" s="232"/>
      <c r="AC96" s="232"/>
      <c r="AD96" s="232"/>
      <c r="AE96" s="232"/>
      <c r="AF96" s="232"/>
      <c r="AG96" s="232"/>
      <c r="AH96" s="232"/>
      <c r="AI96" s="232"/>
      <c r="AJ96" s="232"/>
      <c r="AK96" s="232"/>
      <c r="AL96" s="232"/>
    </row>
    <row r="97" spans="1:38">
      <c r="A97" s="484">
        <f t="shared" si="11"/>
        <v>78</v>
      </c>
      <c r="B97" s="985" t="str">
        <f>CONCATENATE('3. Consumption by Rate Class'!B102,"-",'3. Consumption by Rate Class'!C102)</f>
        <v>2017-June</v>
      </c>
      <c r="C97" s="982">
        <v>18529689.539999999</v>
      </c>
      <c r="D97" s="983"/>
      <c r="E97" s="984"/>
      <c r="F97" s="989"/>
      <c r="G97" s="989"/>
      <c r="H97" s="989"/>
      <c r="I97" s="530">
        <f t="shared" si="10"/>
        <v>18529689.539999999</v>
      </c>
      <c r="J97" s="667">
        <f>IF(J$18='5.Variables'!$B$16,+'5.Variables'!$H33,+IF(J$18='5.Variables'!$B$39,+'5.Variables'!$H56,+IF(J$18='5.Variables'!$B$62,+'5.Variables'!$H70,+IF(J$18='5.Variables'!$B$76,+'5.Variables'!$H84,+IF(J$18='5.Variables'!$B$90,+'5.Variables'!$H98,+IF(J$18='5.Variables'!$B$104,+'5.Variables'!$H112,0))))))</f>
        <v>73.8</v>
      </c>
      <c r="K97" s="667">
        <f>IF(K$18='5.Variables'!$B$16,+'5.Variables'!$H32,+IF(K$18='5.Variables'!$B$39,+'5.Variables'!$H56,+IF(K$18='5.Variables'!$B$62,+'5.Variables'!$H70,+IF(K$18='5.Variables'!$B$76,+'5.Variables'!$H84,+IF(K$18='5.Variables'!$B$90,+'5.Variables'!$H98,+IF(K$18='5.Variables'!$B$104,+'5.Variables'!$H112,0))))))</f>
        <v>8.5</v>
      </c>
      <c r="L97" s="667">
        <f>IF(L$18='5.Variables'!$B$16,+'5.Variables'!$H32,+IF(L$18='5.Variables'!$B$39,+'5.Variables'!$H56,+IF(L$18='5.Variables'!$B$62,+'5.Variables'!$H70,+IF(L$18='5.Variables'!$B$76,+'5.Variables'!$H84,+IF(L$18='5.Variables'!$B$90,+'5.Variables'!$H98,+IF(L$18='5.Variables'!$B$104,+'5.Variables'!$H112,0))))))</f>
        <v>30</v>
      </c>
      <c r="M97" s="667">
        <f>IF(M$18='5.Variables'!$B$16,+'5.Variables'!$H32,+IF(M$18='5.Variables'!$B$39,+'5.Variables'!$H56,+IF(M$18='5.Variables'!$B$62,+'5.Variables'!$H70,+IF(M$18='5.Variables'!$B$76,+'5.Variables'!$H84,+IF(M$18='5.Variables'!$B$90,+'5.Variables'!$H98,+IF(M$18='5.Variables'!$B$104,+'5.Variables'!$H112,0))))))</f>
        <v>352</v>
      </c>
      <c r="N97" s="667">
        <f>IF(N$18='5.Variables'!$B$16,+'5.Variables'!$H32,+IF(N$18='5.Variables'!$B$39,+'5.Variables'!$H56,+IF(N$18='5.Variables'!$B$62,+'5.Variables'!$H70,+IF(N$18='5.Variables'!$B$76,+'5.Variables'!$H84,+IF(N$18='5.Variables'!$B$90,+'5.Variables'!$H98,+IF(N$18='5.Variables'!$B$104,+'5.Variables'!$H112,0))))))</f>
        <v>0</v>
      </c>
      <c r="O97" s="1052">
        <v>10300</v>
      </c>
      <c r="P97" s="232"/>
      <c r="Q97" s="530">
        <f t="shared" si="9"/>
        <v>19586078.740690012</v>
      </c>
      <c r="R97" s="250"/>
      <c r="S97" s="232"/>
      <c r="T97" s="232"/>
      <c r="U97" s="232"/>
      <c r="V97" s="232"/>
      <c r="W97" s="232"/>
      <c r="X97" s="232"/>
      <c r="Y97" s="232"/>
      <c r="Z97" s="232"/>
      <c r="AA97" s="232"/>
      <c r="AB97" s="232"/>
      <c r="AC97" s="232"/>
      <c r="AD97" s="232"/>
      <c r="AE97" s="232"/>
      <c r="AF97" s="232"/>
      <c r="AG97" s="232"/>
      <c r="AH97" s="232"/>
      <c r="AI97" s="232"/>
      <c r="AJ97" s="232"/>
      <c r="AK97" s="232"/>
      <c r="AL97" s="232"/>
    </row>
    <row r="98" spans="1:38">
      <c r="A98" s="484">
        <f t="shared" si="11"/>
        <v>79</v>
      </c>
      <c r="B98" s="985" t="str">
        <f>CONCATENATE('3. Consumption by Rate Class'!B103,"-",'3. Consumption by Rate Class'!C103)</f>
        <v>2017-July</v>
      </c>
      <c r="C98" s="982">
        <v>19814277.620000001</v>
      </c>
      <c r="D98" s="983"/>
      <c r="E98" s="984"/>
      <c r="F98" s="989"/>
      <c r="G98" s="989"/>
      <c r="H98" s="989"/>
      <c r="I98" s="530">
        <f t="shared" si="10"/>
        <v>19814277.620000001</v>
      </c>
      <c r="J98" s="667">
        <f>IF(J$18='5.Variables'!$B$16,+'5.Variables'!$I33,+IF(J$18='5.Variables'!$B$39,+'5.Variables'!$I56,+IF(J$18='5.Variables'!$B$62,+'5.Variables'!$I70,+IF(J$18='5.Variables'!$B$76,+'5.Variables'!$I84,+IF(J$18='5.Variables'!$B$90,+'5.Variables'!$I98,+IF(J$18='5.Variables'!$B$104,+'5.Variables'!$I112,0))))))</f>
        <v>3.4</v>
      </c>
      <c r="K98" s="667">
        <f>IF(K$18='5.Variables'!$B$16,+'5.Variables'!$I32,+IF(K$18='5.Variables'!$B$39,+'5.Variables'!$I56,+IF(K$18='5.Variables'!$B$62,+'5.Variables'!$I70,+IF(K$18='5.Variables'!$B$76,+'5.Variables'!$I84,+IF(K$18='5.Variables'!$B$90,+'5.Variables'!$I98,+IF(K$18='5.Variables'!$B$104,+'5.Variables'!$I112,0))))))</f>
        <v>52.4</v>
      </c>
      <c r="L98" s="667">
        <f>IF(L$18='5.Variables'!$B$16,+'5.Variables'!$I32,+IF(L$18='5.Variables'!$B$39,+'5.Variables'!$I56,+IF(L$18='5.Variables'!$B$62,+'5.Variables'!$I70,+IF(L$18='5.Variables'!$B$76,+'5.Variables'!$I84,+IF(L$18='5.Variables'!$B$90,+'5.Variables'!$I98,+IF(L$18='5.Variables'!$B$104,+'5.Variables'!$I112,0))))))</f>
        <v>31</v>
      </c>
      <c r="M98" s="667">
        <f>IF(M$18='5.Variables'!$B$16,+'5.Variables'!$I32,+IF(M$18='5.Variables'!$B$39,+'5.Variables'!$I56,+IF(M$18='5.Variables'!$B$62,+'5.Variables'!$I70,+IF(M$18='5.Variables'!$B$76,+'5.Variables'!$I84,+IF(M$18='5.Variables'!$B$90,+'5.Variables'!$I98,+IF(M$18='5.Variables'!$B$104,+'5.Variables'!$I112,0))))))</f>
        <v>320</v>
      </c>
      <c r="N98" s="667">
        <f>IF(N$18='5.Variables'!$B$16,+'5.Variables'!$I32,+IF(N$18='5.Variables'!$B$39,+'5.Variables'!$I56,+IF(N$18='5.Variables'!$B$62,+'5.Variables'!$I70,+IF(N$18='5.Variables'!$B$76,+'5.Variables'!$I84,+IF(N$18='5.Variables'!$B$90,+'5.Variables'!$I98,+IF(N$18='5.Variables'!$B$104,+'5.Variables'!$I112,0))))))</f>
        <v>0</v>
      </c>
      <c r="O98" s="1052">
        <v>10300</v>
      </c>
      <c r="P98" s="232"/>
      <c r="Q98" s="530">
        <f t="shared" si="9"/>
        <v>21022251.24768078</v>
      </c>
      <c r="R98" s="250"/>
      <c r="S98" s="232"/>
      <c r="T98" s="232"/>
      <c r="U98" s="232"/>
      <c r="V98" s="232"/>
      <c r="W98" s="232"/>
      <c r="X98" s="232"/>
      <c r="Y98" s="232"/>
      <c r="Z98" s="232"/>
      <c r="AA98" s="232"/>
      <c r="AB98" s="232"/>
      <c r="AC98" s="232"/>
      <c r="AD98" s="232"/>
      <c r="AE98" s="232"/>
      <c r="AF98" s="232"/>
      <c r="AG98" s="232"/>
      <c r="AH98" s="232"/>
      <c r="AI98" s="232"/>
      <c r="AJ98" s="232"/>
      <c r="AK98" s="232"/>
      <c r="AL98" s="232"/>
    </row>
    <row r="99" spans="1:38">
      <c r="A99" s="484">
        <f t="shared" si="11"/>
        <v>80</v>
      </c>
      <c r="B99" s="985" t="str">
        <f>CONCATENATE('3. Consumption by Rate Class'!B104,"-",'3. Consumption by Rate Class'!C104)</f>
        <v>2017-August</v>
      </c>
      <c r="C99" s="982">
        <v>20365731.670000002</v>
      </c>
      <c r="D99" s="983"/>
      <c r="E99" s="984"/>
      <c r="F99" s="989"/>
      <c r="G99" s="989"/>
      <c r="H99" s="989"/>
      <c r="I99" s="530">
        <f t="shared" si="10"/>
        <v>20365731.670000002</v>
      </c>
      <c r="J99" s="667">
        <f>IF(J$18='5.Variables'!$B$16,+'5.Variables'!$J33,+IF(J$18='5.Variables'!$B$39,+'5.Variables'!$J56,+IF(J$18='5.Variables'!$B$62,+'5.Variables'!$J70,+IF(J$18='5.Variables'!$B$76,+'5.Variables'!$J84,+IF(J$18='5.Variables'!$B$90,+'5.Variables'!$J98,+IF(J$18='5.Variables'!$B$104,+'5.Variables'!$J112,0))))))</f>
        <v>26</v>
      </c>
      <c r="K99" s="667">
        <f>IF(K$18='5.Variables'!$B$16,+'5.Variables'!$J32,+IF(K$18='5.Variables'!$B$39,+'5.Variables'!$J56,+IF(K$18='5.Variables'!$B$62,+'5.Variables'!$J70,+IF(K$18='5.Variables'!$B$76,+'5.Variables'!$J84,+IF(K$18='5.Variables'!$B$90,+'5.Variables'!$J98,+IF(K$18='5.Variables'!$B$104,+'5.Variables'!$J112,0))))))</f>
        <v>40.5</v>
      </c>
      <c r="L99" s="667">
        <f>IF(L$18='5.Variables'!$B$16,+'5.Variables'!$J32,+IF(L$18='5.Variables'!$B$39,+'5.Variables'!$J56,+IF(L$18='5.Variables'!$B$62,+'5.Variables'!$J70,+IF(L$18='5.Variables'!$B$76,+'5.Variables'!$J84,+IF(L$18='5.Variables'!$B$90,+'5.Variables'!$J98,+IF(L$18='5.Variables'!$B$104,+'5.Variables'!$J112,0))))))</f>
        <v>31</v>
      </c>
      <c r="M99" s="667">
        <f>IF(M$18='5.Variables'!$B$16,+'5.Variables'!$J32,+IF(M$18='5.Variables'!$B$39,+'5.Variables'!$J56,+IF(M$18='5.Variables'!$B$62,+'5.Variables'!$J70,+IF(M$18='5.Variables'!$B$76,+'5.Variables'!$J84,+IF(M$18='5.Variables'!$B$90,+'5.Variables'!$J98,+IF(M$18='5.Variables'!$B$104,+'5.Variables'!$J112,0))))))</f>
        <v>352</v>
      </c>
      <c r="N99" s="667">
        <f>IF(N$18='5.Variables'!$B$16,+'5.Variables'!$J32,+IF(N$18='5.Variables'!$B$39,+'5.Variables'!$J56,+IF(N$18='5.Variables'!$B$62,+'5.Variables'!$J70,+IF(N$18='5.Variables'!$B$76,+'5.Variables'!$J84,+IF(N$18='5.Variables'!$B$90,+'5.Variables'!$J98,+IF(N$18='5.Variables'!$B$104,+'5.Variables'!$J112,0))))))</f>
        <v>0</v>
      </c>
      <c r="O99" s="1052">
        <v>10309</v>
      </c>
      <c r="P99" s="232"/>
      <c r="Q99" s="530">
        <f t="shared" si="9"/>
        <v>20926175.919922654</v>
      </c>
      <c r="R99" s="250"/>
      <c r="S99" s="232"/>
      <c r="T99" s="232"/>
      <c r="U99" s="232"/>
      <c r="V99" s="232"/>
      <c r="W99" s="232"/>
      <c r="X99" s="232"/>
      <c r="Y99" s="232"/>
      <c r="Z99" s="232"/>
      <c r="AA99" s="232"/>
      <c r="AB99" s="232"/>
      <c r="AC99" s="232"/>
      <c r="AD99" s="232"/>
      <c r="AE99" s="232"/>
      <c r="AF99" s="232"/>
      <c r="AG99" s="232"/>
      <c r="AH99" s="232"/>
      <c r="AI99" s="232"/>
      <c r="AJ99" s="232"/>
      <c r="AK99" s="232"/>
      <c r="AL99" s="232"/>
    </row>
    <row r="100" spans="1:38">
      <c r="A100" s="484">
        <f t="shared" si="11"/>
        <v>81</v>
      </c>
      <c r="B100" s="985" t="str">
        <f>CONCATENATE('3. Consumption by Rate Class'!B105,"-",'3. Consumption by Rate Class'!C105)</f>
        <v>2017-September</v>
      </c>
      <c r="C100" s="982">
        <v>18873800.57</v>
      </c>
      <c r="D100" s="983"/>
      <c r="E100" s="984"/>
      <c r="F100" s="989"/>
      <c r="G100" s="989"/>
      <c r="H100" s="989"/>
      <c r="I100" s="530">
        <f t="shared" si="10"/>
        <v>18873800.57</v>
      </c>
      <c r="J100" s="667">
        <f>IF(J$18='5.Variables'!$B$16,+'5.Variables'!$K33,+IF(J$18='5.Variables'!$B$39,+'5.Variables'!$K56,+IF(J$18='5.Variables'!$B$62,+'5.Variables'!$K70,+IF(J$18='5.Variables'!$B$76,+'5.Variables'!$K84,+IF(J$18='5.Variables'!$B$90,+'5.Variables'!$K98,+IF(J$18='5.Variables'!$B$104,+'5.Variables'!$K112,0))))))</f>
        <v>57.6</v>
      </c>
      <c r="K100" s="667">
        <f>IF(K$18='5.Variables'!$B$16,+'5.Variables'!$K32,+IF(K$18='5.Variables'!$B$39,+'5.Variables'!$K56,+IF(K$18='5.Variables'!$B$62,+'5.Variables'!$K70,+IF(K$18='5.Variables'!$B$76,+'5.Variables'!$K84,+IF(K$18='5.Variables'!$B$90,+'5.Variables'!$K98,+IF(K$18='5.Variables'!$B$104,+'5.Variables'!$K112,0))))))</f>
        <v>33.6</v>
      </c>
      <c r="L100" s="667">
        <f>IF(L$18='5.Variables'!$B$16,+'5.Variables'!$K32,+IF(L$18='5.Variables'!$B$39,+'5.Variables'!$K56,+IF(L$18='5.Variables'!$B$62,+'5.Variables'!$K70,+IF(L$18='5.Variables'!$B$76,+'5.Variables'!$K84,+IF(L$18='5.Variables'!$B$90,+'5.Variables'!$K98,+IF(L$18='5.Variables'!$B$104,+'5.Variables'!$K112,0))))))</f>
        <v>30</v>
      </c>
      <c r="M100" s="667">
        <f>IF(M$18='5.Variables'!$B$16,+'5.Variables'!$K32,+IF(M$18='5.Variables'!$B$39,+'5.Variables'!$K56,+IF(M$18='5.Variables'!$B$62,+'5.Variables'!$K70,+IF(M$18='5.Variables'!$B$76,+'5.Variables'!$K84,+IF(M$18='5.Variables'!$B$90,+'5.Variables'!$K98,+IF(M$18='5.Variables'!$B$104,+'5.Variables'!$K112,0))))))</f>
        <v>320</v>
      </c>
      <c r="N100" s="667">
        <f>IF(N$18='5.Variables'!$B$16,+'5.Variables'!$K32,+IF(N$18='5.Variables'!$B$39,+'5.Variables'!$K56,+IF(N$18='5.Variables'!$B$62,+'5.Variables'!$K70,+IF(N$18='5.Variables'!$B$76,+'5.Variables'!$K84,+IF(N$18='5.Variables'!$B$90,+'5.Variables'!$K98,+IF(N$18='5.Variables'!$B$104,+'5.Variables'!$K112,0))))))</f>
        <v>1</v>
      </c>
      <c r="O100" s="1052">
        <v>10323</v>
      </c>
      <c r="P100" s="232"/>
      <c r="Q100" s="530">
        <f t="shared" si="9"/>
        <v>19581296.51494186</v>
      </c>
      <c r="R100" s="250"/>
      <c r="S100" s="232"/>
      <c r="T100" s="232"/>
      <c r="U100" s="232"/>
      <c r="V100" s="232"/>
      <c r="W100" s="232"/>
      <c r="X100" s="232"/>
      <c r="Y100" s="232"/>
      <c r="Z100" s="232"/>
      <c r="AA100" s="232"/>
      <c r="AB100" s="232"/>
      <c r="AC100" s="232"/>
      <c r="AD100" s="232"/>
      <c r="AE100" s="232"/>
      <c r="AF100" s="232"/>
      <c r="AG100" s="232"/>
      <c r="AH100" s="232"/>
      <c r="AI100" s="232"/>
      <c r="AJ100" s="232"/>
      <c r="AK100" s="232"/>
      <c r="AL100" s="232"/>
    </row>
    <row r="101" spans="1:38">
      <c r="A101" s="484">
        <f t="shared" si="11"/>
        <v>82</v>
      </c>
      <c r="B101" s="985" t="str">
        <f>CONCATENATE('3. Consumption by Rate Class'!B106,"-",'3. Consumption by Rate Class'!C106)</f>
        <v>2017-October</v>
      </c>
      <c r="C101" s="982">
        <v>19169810.359999999</v>
      </c>
      <c r="D101" s="983"/>
      <c r="E101" s="984"/>
      <c r="F101" s="989"/>
      <c r="G101" s="989"/>
      <c r="H101" s="989"/>
      <c r="I101" s="530">
        <f t="shared" si="10"/>
        <v>19169810.359999999</v>
      </c>
      <c r="J101" s="667">
        <f>IF(J$18='5.Variables'!$B$16,+'5.Variables'!$L33,+IF(J$18='5.Variables'!$B$39,+'5.Variables'!$L56,+IF(J$18='5.Variables'!$B$62,+'5.Variables'!$L70,+IF(J$18='5.Variables'!$B$76,+'5.Variables'!$L84,+IF(J$18='5.Variables'!$B$90,+'5.Variables'!$L98,+IF(J$18='5.Variables'!$B$104,+'5.Variables'!$L112,0))))))</f>
        <v>167</v>
      </c>
      <c r="K101" s="667">
        <f>IF(K$18='5.Variables'!$B$16,+'5.Variables'!$L32,+IF(K$18='5.Variables'!$B$39,+'5.Variables'!$L56,+IF(K$18='5.Variables'!$B$62,+'5.Variables'!$L70,+IF(K$18='5.Variables'!$B$76,+'5.Variables'!$L84,+IF(K$18='5.Variables'!$B$90,+'5.Variables'!$L98,+IF(K$18='5.Variables'!$B$104,+'5.Variables'!$L112,0))))))</f>
        <v>0.9</v>
      </c>
      <c r="L101" s="667">
        <f>IF(L$18='5.Variables'!$B$16,+'5.Variables'!$L32,+IF(L$18='5.Variables'!$B$39,+'5.Variables'!$L56,+IF(L$18='5.Variables'!$B$62,+'5.Variables'!$L70,+IF(L$18='5.Variables'!$B$76,+'5.Variables'!$L84,+IF(L$18='5.Variables'!$B$90,+'5.Variables'!$L98,+IF(L$18='5.Variables'!$B$104,+'5.Variables'!$L112,0))))))</f>
        <v>31</v>
      </c>
      <c r="M101" s="667">
        <f>IF(M$18='5.Variables'!$B$16,+'5.Variables'!$L32,+IF(M$18='5.Variables'!$B$39,+'5.Variables'!$L56,+IF(M$18='5.Variables'!$B$62,+'5.Variables'!$L70,+IF(M$18='5.Variables'!$B$76,+'5.Variables'!$L84,+IF(M$18='5.Variables'!$B$90,+'5.Variables'!$L98,+IF(M$18='5.Variables'!$B$104,+'5.Variables'!$L112,0))))))</f>
        <v>336</v>
      </c>
      <c r="N101" s="667">
        <f>IF(N$18='5.Variables'!$B$16,+'5.Variables'!$L32,+IF(N$18='5.Variables'!$B$39,+'5.Variables'!$L56,+IF(N$18='5.Variables'!$B$62,+'5.Variables'!$L70,+IF(N$18='5.Variables'!$B$76,+'5.Variables'!$L84,+IF(N$18='5.Variables'!$B$90,+'5.Variables'!$L98,+IF(N$18='5.Variables'!$B$104,+'5.Variables'!$L112,0))))))</f>
        <v>1</v>
      </c>
      <c r="O101" s="1052">
        <v>10344</v>
      </c>
      <c r="P101" s="232"/>
      <c r="Q101" s="530">
        <f t="shared" si="9"/>
        <v>19488032.049391061</v>
      </c>
      <c r="R101" s="250"/>
      <c r="S101" s="232"/>
      <c r="T101" s="232"/>
      <c r="U101" s="232"/>
      <c r="V101" s="232"/>
      <c r="W101" s="232"/>
      <c r="X101" s="232"/>
      <c r="Y101" s="232"/>
      <c r="Z101" s="232"/>
      <c r="AA101" s="232"/>
      <c r="AB101" s="232"/>
      <c r="AC101" s="232"/>
      <c r="AD101" s="232"/>
      <c r="AE101" s="232"/>
      <c r="AF101" s="232"/>
      <c r="AG101" s="232"/>
      <c r="AH101" s="232"/>
      <c r="AI101" s="232"/>
      <c r="AJ101" s="232"/>
      <c r="AK101" s="232"/>
      <c r="AL101" s="232"/>
    </row>
    <row r="102" spans="1:38">
      <c r="A102" s="484">
        <f t="shared" si="11"/>
        <v>83</v>
      </c>
      <c r="B102" s="985" t="str">
        <f>CONCATENATE('3. Consumption by Rate Class'!B107,"-",'3. Consumption by Rate Class'!C107)</f>
        <v>2017-November</v>
      </c>
      <c r="C102" s="982">
        <v>20523019.260000002</v>
      </c>
      <c r="D102" s="983"/>
      <c r="E102" s="984"/>
      <c r="F102" s="989"/>
      <c r="G102" s="989"/>
      <c r="H102" s="989"/>
      <c r="I102" s="530">
        <f t="shared" si="10"/>
        <v>20523019.260000002</v>
      </c>
      <c r="J102" s="667">
        <f>IF(J$18='5.Variables'!$B$16,+'5.Variables'!$M33,+IF(J$18='5.Variables'!$B$39,+'5.Variables'!$M56,+IF(J$18='5.Variables'!$B$62,+'5.Variables'!$M70,+IF(J$18='5.Variables'!$B$76,+'5.Variables'!$M84,+IF(J$18='5.Variables'!$B$90,+'5.Variables'!$M98,+IF(J$18='5.Variables'!$B$104,+'5.Variables'!$M112,0))))))</f>
        <v>407.2</v>
      </c>
      <c r="K102" s="667">
        <f>IF(K$18='5.Variables'!$B$16,+'5.Variables'!$M32,+IF(K$18='5.Variables'!$B$39,+'5.Variables'!$M56,+IF(K$18='5.Variables'!$B$62,+'5.Variables'!$M70,+IF(K$18='5.Variables'!$B$76,+'5.Variables'!$M84,+IF(K$18='5.Variables'!$B$90,+'5.Variables'!$M98,+IF(K$18='5.Variables'!$B$104,+'5.Variables'!$M112,0))))))</f>
        <v>0</v>
      </c>
      <c r="L102" s="667">
        <f>IF(L$18='5.Variables'!$B$16,+'5.Variables'!$M32,+IF(L$18='5.Variables'!$B$39,+'5.Variables'!$M56,+IF(L$18='5.Variables'!$B$62,+'5.Variables'!$M70,+IF(L$18='5.Variables'!$B$76,+'5.Variables'!$M84,+IF(L$18='5.Variables'!$B$90,+'5.Variables'!$M98,+IF(L$18='5.Variables'!$B$104,+'5.Variables'!$M112,0))))))</f>
        <v>30</v>
      </c>
      <c r="M102" s="667">
        <f>IF(M$18='5.Variables'!$B$16,+'5.Variables'!$M32,+IF(M$18='5.Variables'!$B$39,+'5.Variables'!$M56,+IF(M$18='5.Variables'!$B$62,+'5.Variables'!$M70,+IF(M$18='5.Variables'!$B$76,+'5.Variables'!$M84,+IF(M$18='5.Variables'!$B$90,+'5.Variables'!$M98,+IF(M$18='5.Variables'!$B$104,+'5.Variables'!$M112,0))))))</f>
        <v>352</v>
      </c>
      <c r="N102" s="667">
        <f>IF(N$18='5.Variables'!$B$16,+'5.Variables'!$M32,+IF(N$18='5.Variables'!$B$39,+'5.Variables'!$M56,+IF(N$18='5.Variables'!$B$62,+'5.Variables'!$M70,+IF(N$18='5.Variables'!$B$76,+'5.Variables'!$M84,+IF(N$18='5.Variables'!$B$90,+'5.Variables'!$M98,+IF(N$18='5.Variables'!$B$104,+'5.Variables'!$M112,0))))))</f>
        <v>1</v>
      </c>
      <c r="O102" s="1052">
        <v>10352</v>
      </c>
      <c r="P102" s="232"/>
      <c r="Q102" s="530">
        <f t="shared" si="9"/>
        <v>20775461.641654614</v>
      </c>
      <c r="R102" s="250"/>
      <c r="S102" s="232"/>
      <c r="T102" s="232"/>
      <c r="U102" s="232"/>
      <c r="V102" s="232"/>
      <c r="W102" s="232"/>
      <c r="X102" s="232"/>
      <c r="Y102" s="232"/>
      <c r="Z102" s="232"/>
      <c r="AA102" s="232"/>
      <c r="AB102" s="232"/>
      <c r="AC102" s="232"/>
      <c r="AD102" s="232"/>
      <c r="AE102" s="232"/>
      <c r="AF102" s="232"/>
      <c r="AG102" s="232"/>
      <c r="AH102" s="232"/>
      <c r="AI102" s="232"/>
      <c r="AJ102" s="232"/>
      <c r="AK102" s="232"/>
      <c r="AL102" s="232"/>
    </row>
    <row r="103" spans="1:38">
      <c r="A103" s="484">
        <f t="shared" si="11"/>
        <v>84</v>
      </c>
      <c r="B103" s="501" t="str">
        <f>CONCATENATE('3. Consumption by Rate Class'!B108,"-",'3. Consumption by Rate Class'!C108)</f>
        <v>2017-December</v>
      </c>
      <c r="C103" s="650">
        <v>22764446.940000001</v>
      </c>
      <c r="D103" s="778"/>
      <c r="E103" s="777"/>
      <c r="F103" s="777"/>
      <c r="G103" s="994"/>
      <c r="H103" s="994"/>
      <c r="I103" s="995">
        <f t="shared" si="10"/>
        <v>22764446.940000001</v>
      </c>
      <c r="J103" s="667">
        <f>IF(J$18='5.Variables'!$B$16,+'5.Variables'!$N33,+IF(J$18='5.Variables'!$B$39,+'5.Variables'!$N56,+IF(J$18='5.Variables'!$B$62,+'5.Variables'!$N70,+IF(J$18='5.Variables'!$B$76,+'5.Variables'!$N84,+IF(J$18='5.Variables'!$B$90,+'5.Variables'!$N98,+IF(J$18='5.Variables'!$B$104,+'5.Variables'!$N112,0))))))</f>
        <v>716.1</v>
      </c>
      <c r="K103" s="667">
        <f>IF(K$18='5.Variables'!$B$16,+'5.Variables'!$N32,+IF(K$18='5.Variables'!$B$39,+'5.Variables'!$N56,+IF(K$18='5.Variables'!$B$62,+'5.Variables'!$N70,+IF(K$18='5.Variables'!$B$76,+'5.Variables'!$N84,+IF(K$18='5.Variables'!$B$90,+'5.Variables'!$N98,+IF(K$18='5.Variables'!$B$104,+'5.Variables'!$N112,0))))))</f>
        <v>0</v>
      </c>
      <c r="L103" s="667">
        <f>IF(L$18='5.Variables'!$B$16,+'5.Variables'!$N32,+IF(L$18='5.Variables'!$B$39,+'5.Variables'!$N56,+IF(L$18='5.Variables'!$B$62,+'5.Variables'!$N70,+IF(L$18='5.Variables'!$B$76,+'5.Variables'!$N84,+IF(L$18='5.Variables'!$B$90,+'5.Variables'!$N98,+IF(L$18='5.Variables'!$B$104,+'5.Variables'!$N112,0))))))</f>
        <v>31</v>
      </c>
      <c r="M103" s="667">
        <f>IF(M$18='5.Variables'!$B$16,+'5.Variables'!$N32,+IF(M$18='5.Variables'!$B$39,+'5.Variables'!$N56,+IF(M$18='5.Variables'!$B$62,+'5.Variables'!$N70,+IF(M$18='5.Variables'!$B$76,+'5.Variables'!$N84,+IF(M$18='5.Variables'!$B$90,+'5.Variables'!$N98,+IF(M$18='5.Variables'!$B$104,+'5.Variables'!$N112,0))))))</f>
        <v>304</v>
      </c>
      <c r="N103" s="667">
        <f>IF(N$18='5.Variables'!$B$16,+'5.Variables'!$N32,+IF(N$18='5.Variables'!$B$39,+'5.Variables'!$N56,+IF(N$18='5.Variables'!$B$62,+'5.Variables'!$N70,+IF(N$18='5.Variables'!$B$76,+'5.Variables'!$N84,+IF(N$18='5.Variables'!$B$90,+'5.Variables'!$N98,+IF(N$18='5.Variables'!$B$104,+'5.Variables'!$N112,0))))))</f>
        <v>0</v>
      </c>
      <c r="O103" s="1052">
        <v>10360</v>
      </c>
      <c r="P103" s="232"/>
      <c r="Q103" s="530">
        <f t="shared" si="9"/>
        <v>23515159.788098056</v>
      </c>
      <c r="R103" s="250">
        <f>SUM(Q92:Q103)</f>
        <v>251482150.84897441</v>
      </c>
      <c r="S103" s="232"/>
      <c r="T103" s="232"/>
      <c r="U103" s="232"/>
      <c r="V103" s="232"/>
      <c r="W103" s="232"/>
      <c r="X103" s="232"/>
      <c r="Y103" s="232"/>
      <c r="Z103" s="232"/>
      <c r="AA103" s="232"/>
      <c r="AB103" s="232"/>
      <c r="AC103" s="232"/>
      <c r="AD103" s="232"/>
      <c r="AE103" s="232"/>
      <c r="AF103" s="232"/>
      <c r="AG103" s="232"/>
      <c r="AH103" s="232"/>
      <c r="AI103" s="232"/>
      <c r="AJ103" s="232"/>
      <c r="AK103" s="232"/>
      <c r="AL103" s="232"/>
    </row>
    <row r="104" spans="1:38">
      <c r="A104" s="484">
        <f t="shared" si="11"/>
        <v>85</v>
      </c>
      <c r="B104" s="985" t="str">
        <f>CONCATENATE('3. Consumption by Rate Class'!B109,"-",'3. Consumption by Rate Class'!C109)</f>
        <v>2018-January</v>
      </c>
      <c r="C104" s="982">
        <v>24199728.41</v>
      </c>
      <c r="D104" s="983"/>
      <c r="E104" s="984"/>
      <c r="F104" s="989"/>
      <c r="G104" s="989"/>
      <c r="H104" s="989"/>
      <c r="I104" s="530">
        <f t="shared" si="10"/>
        <v>24199728.41</v>
      </c>
      <c r="J104" s="667">
        <f>IF(J$18='5.Variables'!$B$16,+'5.Variables'!$C34,+IF(J$18='5.Variables'!$B$39,+'5.Variables'!$C57,+IF(J$18='5.Variables'!$B$62,+'5.Variables'!$C71,+IF(J$18='5.Variables'!$B$76,+'5.Variables'!$C85,+IF(J$18='5.Variables'!$B$90,+'5.Variables'!$C99,+IF(J$18='5.Variables'!$B$104,+'5.Variables'!$C113,0))))))</f>
        <v>752</v>
      </c>
      <c r="K104" s="667">
        <f>IF(K$18='5.Variables'!$B$16,+'5.Variables'!$C33,+IF(K$18='5.Variables'!$B$39,+'5.Variables'!$C57,+IF(K$18='5.Variables'!$B$62,+'5.Variables'!$C71,+IF(K$18='5.Variables'!$B$76,+'5.Variables'!$C85,+IF(K$18='5.Variables'!$B$90,+'5.Variables'!$C99,+IF(K$18='5.Variables'!$B$104,+'5.Variables'!$C113,0))))))</f>
        <v>0</v>
      </c>
      <c r="L104" s="667">
        <f>IF(L$18='5.Variables'!$B$16,+'5.Variables'!$C33,+IF(L$18='5.Variables'!$B$39,+'5.Variables'!$C57,+IF(L$18='5.Variables'!$B$62,+'5.Variables'!$C71,+IF(L$18='5.Variables'!$B$76,+'5.Variables'!$C85,+IF(L$18='5.Variables'!$B$90,+'5.Variables'!$C99,+IF(L$18='5.Variables'!$B$104,+'5.Variables'!$C113,0))))))</f>
        <v>31</v>
      </c>
      <c r="M104" s="667">
        <f>IF(M$18='5.Variables'!$B$16,+'5.Variables'!$C33,+IF(M$18='5.Variables'!$B$39,+'5.Variables'!$C57,+IF(M$18='5.Variables'!$B$62,+'5.Variables'!$C71,+IF(M$18='5.Variables'!$B$76,+'5.Variables'!$C85,+IF(M$18='5.Variables'!$B$90,+'5.Variables'!$C99,+IF(M$18='5.Variables'!$B$104,+'5.Variables'!$C113,0))))))</f>
        <v>352</v>
      </c>
      <c r="N104" s="667">
        <f>IF(N$18='5.Variables'!$B$16,+'5.Variables'!$C33,+IF(N$18='5.Variables'!$B$39,+'5.Variables'!$C57,+IF(N$18='5.Variables'!$B$62,+'5.Variables'!$C71,+IF(N$18='5.Variables'!$B$76,+'5.Variables'!$C85,+IF(N$18='5.Variables'!$B$90,+'5.Variables'!$C99,+IF(N$18='5.Variables'!$B$104,+'5.Variables'!$C113,0))))))</f>
        <v>0</v>
      </c>
      <c r="O104" s="1052">
        <v>10367</v>
      </c>
      <c r="P104" s="232"/>
      <c r="Q104" s="530">
        <f t="shared" si="9"/>
        <v>24097610.288023569</v>
      </c>
      <c r="R104" s="250"/>
      <c r="S104" s="232"/>
      <c r="T104" s="232"/>
      <c r="U104" s="232"/>
      <c r="V104" s="232"/>
      <c r="W104" s="232"/>
      <c r="X104" s="232"/>
      <c r="Y104" s="232"/>
      <c r="Z104" s="232"/>
      <c r="AA104" s="232"/>
      <c r="AB104" s="232"/>
      <c r="AC104" s="232"/>
      <c r="AD104" s="232"/>
      <c r="AE104" s="232"/>
      <c r="AF104" s="232"/>
      <c r="AG104" s="232"/>
      <c r="AH104" s="232"/>
      <c r="AI104" s="232"/>
      <c r="AJ104" s="232"/>
      <c r="AK104" s="232"/>
      <c r="AL104" s="232"/>
    </row>
    <row r="105" spans="1:38">
      <c r="A105" s="484">
        <f t="shared" si="11"/>
        <v>86</v>
      </c>
      <c r="B105" s="985" t="str">
        <f>CONCATENATE('3. Consumption by Rate Class'!B110,"-",'3. Consumption by Rate Class'!C110)</f>
        <v>2018-February</v>
      </c>
      <c r="C105" s="982">
        <v>20774413.300000001</v>
      </c>
      <c r="D105" s="983"/>
      <c r="E105" s="984"/>
      <c r="F105" s="989"/>
      <c r="G105" s="989"/>
      <c r="H105" s="989"/>
      <c r="I105" s="530">
        <f t="shared" si="10"/>
        <v>20774413.300000001</v>
      </c>
      <c r="J105" s="667">
        <f>IF(J$18='5.Variables'!$B$16,+'5.Variables'!$D34,+IF(J$18='5.Variables'!$B$39,+'5.Variables'!$D57,+IF(J$18='5.Variables'!$B$62,+'5.Variables'!$D71,+IF(J$18='5.Variables'!$B$76,+'5.Variables'!$D85,+IF(J$18='5.Variables'!$B$90,+'5.Variables'!$D99,+IF(J$18='5.Variables'!$B$104,+'5.Variables'!$D113,0))))))</f>
        <v>573.4</v>
      </c>
      <c r="K105" s="667">
        <f>IF(K$18='5.Variables'!$B$16,+'5.Variables'!$D33,+IF(K$18='5.Variables'!$B$39,+'5.Variables'!$D57,+IF(K$18='5.Variables'!$B$62,+'5.Variables'!$D71,+IF(K$18='5.Variables'!$B$76,+'5.Variables'!$D85,+IF(K$18='5.Variables'!$B$90,+'5.Variables'!$D99,+IF(K$18='5.Variables'!$B$104,+'5.Variables'!$D113,0))))))</f>
        <v>0</v>
      </c>
      <c r="L105" s="667">
        <f>IF(L$18='5.Variables'!$B$16,+'5.Variables'!$D33,+IF(L$18='5.Variables'!$B$39,+'5.Variables'!$D57,+IF(L$18='5.Variables'!$B$62,+'5.Variables'!$D71,+IF(L$18='5.Variables'!$B$76,+'5.Variables'!$D85,+IF(L$18='5.Variables'!$B$90,+'5.Variables'!$D99,+IF(L$18='5.Variables'!$B$104,+'5.Variables'!$D113,0))))))</f>
        <v>28</v>
      </c>
      <c r="M105" s="667">
        <f>IF(M$18='5.Variables'!$B$16,+'5.Variables'!$D33,+IF(M$18='5.Variables'!$B$39,+'5.Variables'!$D57,+IF(M$18='5.Variables'!$B$62,+'5.Variables'!$D71,+IF(M$18='5.Variables'!$B$76,+'5.Variables'!$D85,+IF(M$18='5.Variables'!$B$90,+'5.Variables'!$D99,+IF(M$18='5.Variables'!$B$104,+'5.Variables'!$D113,0))))))</f>
        <v>304</v>
      </c>
      <c r="N105" s="667">
        <f>IF(N$18='5.Variables'!$B$16,+'5.Variables'!$D33,+IF(N$18='5.Variables'!$B$39,+'5.Variables'!$D57,+IF(N$18='5.Variables'!$B$62,+'5.Variables'!$D71,+IF(N$18='5.Variables'!$B$76,+'5.Variables'!$D85,+IF(N$18='5.Variables'!$B$90,+'5.Variables'!$D99,+IF(N$18='5.Variables'!$B$104,+'5.Variables'!$D113,0))))))</f>
        <v>0</v>
      </c>
      <c r="O105" s="1052">
        <v>10376</v>
      </c>
      <c r="P105" s="232"/>
      <c r="Q105" s="530">
        <f t="shared" si="9"/>
        <v>21443934.696917646</v>
      </c>
      <c r="R105" s="250"/>
      <c r="S105" s="232"/>
      <c r="T105" s="232"/>
      <c r="U105" s="232"/>
      <c r="V105" s="232"/>
      <c r="W105" s="232"/>
      <c r="X105" s="232"/>
      <c r="Y105" s="232"/>
      <c r="Z105" s="232"/>
      <c r="AA105" s="232"/>
      <c r="AB105" s="232"/>
      <c r="AC105" s="232"/>
      <c r="AD105" s="232"/>
      <c r="AE105" s="232"/>
      <c r="AF105" s="232"/>
      <c r="AG105" s="232"/>
      <c r="AH105" s="232"/>
      <c r="AI105" s="232"/>
      <c r="AJ105" s="232"/>
      <c r="AK105" s="232"/>
      <c r="AL105" s="232"/>
    </row>
    <row r="106" spans="1:38">
      <c r="A106" s="484">
        <f t="shared" si="11"/>
        <v>87</v>
      </c>
      <c r="B106" s="985" t="str">
        <f>CONCATENATE('3. Consumption by Rate Class'!B111,"-",'3. Consumption by Rate Class'!C111)</f>
        <v>2018-March</v>
      </c>
      <c r="C106" s="982">
        <v>21629301.289999999</v>
      </c>
      <c r="D106" s="983"/>
      <c r="E106" s="984"/>
      <c r="F106" s="989"/>
      <c r="G106" s="989"/>
      <c r="H106" s="989"/>
      <c r="I106" s="530">
        <f t="shared" si="10"/>
        <v>21629301.289999999</v>
      </c>
      <c r="J106" s="667">
        <f>IF(J$18='5.Variables'!$B$16,+'5.Variables'!$E34,+IF(J$18='5.Variables'!$B$39,+'5.Variables'!$E57,+IF(J$18='5.Variables'!$B$62,+'5.Variables'!$E71,+IF(J$18='5.Variables'!$B$76,+'5.Variables'!$E85,+IF(J$18='5.Variables'!$B$90,+'5.Variables'!$E99,+IF(J$18='5.Variables'!$B$104,+'5.Variables'!$E113,0))))))</f>
        <v>528.1</v>
      </c>
      <c r="K106" s="667">
        <f>IF(K$18='5.Variables'!$B$16,+'5.Variables'!$E33,+IF(K$18='5.Variables'!$B$39,+'5.Variables'!$E57,+IF(K$18='5.Variables'!$B$62,+'5.Variables'!$E71,+IF(K$18='5.Variables'!$B$76,+'5.Variables'!$E85,+IF(K$18='5.Variables'!$B$90,+'5.Variables'!$E99,+IF(K$18='5.Variables'!$B$104,+'5.Variables'!$E113,0))))))</f>
        <v>0</v>
      </c>
      <c r="L106" s="667">
        <f>IF(L$18='5.Variables'!$B$16,+'5.Variables'!$E33,+IF(L$18='5.Variables'!$B$39,+'5.Variables'!$E57,+IF(L$18='5.Variables'!$B$62,+'5.Variables'!$E71,+IF(L$18='5.Variables'!$B$76,+'5.Variables'!$E85,+IF(L$18='5.Variables'!$B$90,+'5.Variables'!$E99,+IF(L$18='5.Variables'!$B$104,+'5.Variables'!$E113,0))))))</f>
        <v>31</v>
      </c>
      <c r="M106" s="667">
        <f>IF(M$18='5.Variables'!$B$16,+'5.Variables'!$E33,+IF(M$18='5.Variables'!$B$39,+'5.Variables'!$E57,+IF(M$18='5.Variables'!$B$62,+'5.Variables'!$E71,+IF(M$18='5.Variables'!$B$76,+'5.Variables'!$E85,+IF(M$18='5.Variables'!$B$90,+'5.Variables'!$E99,+IF(M$18='5.Variables'!$B$104,+'5.Variables'!$E113,0))))))</f>
        <v>352</v>
      </c>
      <c r="N106" s="667">
        <f>IF(N$18='5.Variables'!$B$16,+'5.Variables'!$E33,+IF(N$18='5.Variables'!$B$39,+'5.Variables'!$E57,+IF(N$18='5.Variables'!$B$62,+'5.Variables'!$E71,+IF(N$18='5.Variables'!$B$76,+'5.Variables'!$E85,+IF(N$18='5.Variables'!$B$90,+'5.Variables'!$E99,+IF(N$18='5.Variables'!$B$104,+'5.Variables'!$E113,0))))))</f>
        <v>1</v>
      </c>
      <c r="O106" s="1052">
        <v>10392</v>
      </c>
      <c r="P106" s="232"/>
      <c r="Q106" s="530">
        <f t="shared" si="9"/>
        <v>21949749.399863463</v>
      </c>
      <c r="R106" s="250"/>
      <c r="S106" s="232"/>
      <c r="T106" s="232"/>
      <c r="U106" s="232"/>
      <c r="V106" s="232"/>
      <c r="W106" s="232"/>
      <c r="X106" s="232"/>
      <c r="Y106" s="232"/>
      <c r="Z106" s="232"/>
      <c r="AA106" s="232"/>
      <c r="AB106" s="232"/>
      <c r="AC106" s="232"/>
      <c r="AD106" s="232"/>
      <c r="AE106" s="232"/>
      <c r="AF106" s="232"/>
      <c r="AG106" s="232"/>
      <c r="AH106" s="232"/>
      <c r="AI106" s="232"/>
      <c r="AJ106" s="232"/>
      <c r="AK106" s="232"/>
      <c r="AL106" s="232"/>
    </row>
    <row r="107" spans="1:38">
      <c r="A107" s="484">
        <f t="shared" si="11"/>
        <v>88</v>
      </c>
      <c r="B107" s="985" t="str">
        <f>CONCATENATE('3. Consumption by Rate Class'!B112,"-",'3. Consumption by Rate Class'!C112)</f>
        <v>2018-April</v>
      </c>
      <c r="C107" s="982">
        <v>20399707.710000001</v>
      </c>
      <c r="D107" s="983"/>
      <c r="E107" s="984"/>
      <c r="F107" s="989"/>
      <c r="G107" s="989"/>
      <c r="H107" s="989"/>
      <c r="I107" s="530">
        <f t="shared" si="10"/>
        <v>20399707.710000001</v>
      </c>
      <c r="J107" s="667">
        <f>IF(J$18='5.Variables'!$B$16,+'5.Variables'!$F34,+IF(J$18='5.Variables'!$B$39,+'5.Variables'!$F57,+IF(J$18='5.Variables'!$B$62,+'5.Variables'!$F71,+IF(J$18='5.Variables'!$B$76,+'5.Variables'!$F85,+IF(J$18='5.Variables'!$B$90,+'5.Variables'!$F99,+IF(J$18='5.Variables'!$B$104,+'5.Variables'!$F113,0))))))</f>
        <v>455.6</v>
      </c>
      <c r="K107" s="667">
        <f>IF(K$18='5.Variables'!$B$16,+'5.Variables'!$F33,+IF(K$18='5.Variables'!$B$39,+'5.Variables'!$F57,+IF(K$18='5.Variables'!$B$62,+'5.Variables'!$F71,+IF(K$18='5.Variables'!$B$76,+'5.Variables'!$F85,+IF(K$18='5.Variables'!$B$90,+'5.Variables'!$F99,+IF(K$18='5.Variables'!$B$104,+'5.Variables'!$F113,0))))))</f>
        <v>0</v>
      </c>
      <c r="L107" s="667">
        <f>IF(L$18='5.Variables'!$B$16,+'5.Variables'!$F33,+IF(L$18='5.Variables'!$B$39,+'5.Variables'!$F57,+IF(L$18='5.Variables'!$B$62,+'5.Variables'!$F71,+IF(L$18='5.Variables'!$B$76,+'5.Variables'!$F85,+IF(L$18='5.Variables'!$B$90,+'5.Variables'!$F99,+IF(L$18='5.Variables'!$B$104,+'5.Variables'!$F113,0))))))</f>
        <v>30</v>
      </c>
      <c r="M107" s="667">
        <f>IF(M$18='5.Variables'!$B$16,+'5.Variables'!$F33,+IF(M$18='5.Variables'!$B$39,+'5.Variables'!$F57,+IF(M$18='5.Variables'!$B$62,+'5.Variables'!$F71,+IF(M$18='5.Variables'!$B$76,+'5.Variables'!$F85,+IF(M$18='5.Variables'!$B$90,+'5.Variables'!$F99,+IF(M$18='5.Variables'!$B$104,+'5.Variables'!$F113,0))))))</f>
        <v>320</v>
      </c>
      <c r="N107" s="667">
        <f>IF(N$18='5.Variables'!$B$16,+'5.Variables'!$F33,+IF(N$18='5.Variables'!$B$39,+'5.Variables'!$F57,+IF(N$18='5.Variables'!$B$62,+'5.Variables'!$F71,+IF(N$18='5.Variables'!$B$76,+'5.Variables'!$F85,+IF(N$18='5.Variables'!$B$90,+'5.Variables'!$F99,+IF(N$18='5.Variables'!$B$104,+'5.Variables'!$F113,0))))))</f>
        <v>1</v>
      </c>
      <c r="O107" s="1052">
        <v>10412</v>
      </c>
      <c r="P107" s="232"/>
      <c r="Q107" s="530">
        <f t="shared" si="9"/>
        <v>20864462.298988834</v>
      </c>
      <c r="R107" s="250"/>
      <c r="S107" s="232"/>
      <c r="T107" s="232"/>
      <c r="U107" s="232"/>
      <c r="V107" s="232"/>
      <c r="W107" s="232"/>
      <c r="X107" s="232"/>
      <c r="Y107" s="232"/>
      <c r="Z107" s="232"/>
      <c r="AA107" s="232"/>
      <c r="AB107" s="232"/>
      <c r="AC107" s="232"/>
      <c r="AD107" s="232"/>
      <c r="AE107" s="232"/>
      <c r="AF107" s="232"/>
      <c r="AG107" s="232"/>
      <c r="AH107" s="232"/>
      <c r="AI107" s="232"/>
      <c r="AJ107" s="232"/>
      <c r="AK107" s="232"/>
      <c r="AL107" s="232"/>
    </row>
    <row r="108" spans="1:38">
      <c r="A108" s="484">
        <f t="shared" si="11"/>
        <v>89</v>
      </c>
      <c r="B108" s="985" t="str">
        <f>CONCATENATE('3. Consumption by Rate Class'!B113,"-",'3. Consumption by Rate Class'!C113)</f>
        <v>2018-May</v>
      </c>
      <c r="C108" s="982">
        <v>19312191.879999999</v>
      </c>
      <c r="D108" s="983"/>
      <c r="E108" s="984"/>
      <c r="F108" s="989"/>
      <c r="G108" s="989"/>
      <c r="H108" s="989"/>
      <c r="I108" s="530">
        <f t="shared" si="10"/>
        <v>19312191.879999999</v>
      </c>
      <c r="J108" s="667">
        <f>IF(J$18='5.Variables'!$B$16,+'5.Variables'!$G34,+IF(J$18='5.Variables'!$B$39,+'5.Variables'!$G57,+IF(J$18='5.Variables'!$B$62,+'5.Variables'!$G71,+IF(J$18='5.Variables'!$B$76,+'5.Variables'!$G85,+IF(J$18='5.Variables'!$B$90,+'5.Variables'!$G99,+IF(J$18='5.Variables'!$B$104,+'5.Variables'!$G113,0))))))</f>
        <v>161.4</v>
      </c>
      <c r="K108" s="667">
        <f>IF(K$18='5.Variables'!$B$16,+'5.Variables'!$G33,+IF(K$18='5.Variables'!$B$39,+'5.Variables'!$G57,+IF(K$18='5.Variables'!$B$62,+'5.Variables'!$G71,+IF(K$18='5.Variables'!$B$76,+'5.Variables'!$G85,+IF(K$18='5.Variables'!$B$90,+'5.Variables'!$G99,+IF(K$18='5.Variables'!$B$104,+'5.Variables'!$G113,0))))))</f>
        <v>4.8</v>
      </c>
      <c r="L108" s="667">
        <f>IF(L$18='5.Variables'!$B$16,+'5.Variables'!$G33,+IF(L$18='5.Variables'!$B$39,+'5.Variables'!$G57,+IF(L$18='5.Variables'!$B$62,+'5.Variables'!$G71,+IF(L$18='5.Variables'!$B$76,+'5.Variables'!$G85,+IF(L$18='5.Variables'!$B$90,+'5.Variables'!$G99,+IF(L$18='5.Variables'!$B$104,+'5.Variables'!$G113,0))))))</f>
        <v>31</v>
      </c>
      <c r="M108" s="667">
        <f>IF(M$18='5.Variables'!$B$16,+'5.Variables'!$G33,+IF(M$18='5.Variables'!$B$39,+'5.Variables'!$G57,+IF(M$18='5.Variables'!$B$62,+'5.Variables'!$G71,+IF(M$18='5.Variables'!$B$76,+'5.Variables'!$G85,+IF(M$18='5.Variables'!$B$90,+'5.Variables'!$G99,+IF(M$18='5.Variables'!$B$104,+'5.Variables'!$G113,0))))))</f>
        <v>352</v>
      </c>
      <c r="N108" s="667">
        <f>IF(N$18='5.Variables'!$B$16,+'5.Variables'!$G33,+IF(N$18='5.Variables'!$B$39,+'5.Variables'!$G57,+IF(N$18='5.Variables'!$B$62,+'5.Variables'!$G71,+IF(N$18='5.Variables'!$B$76,+'5.Variables'!$G85,+IF(N$18='5.Variables'!$B$90,+'5.Variables'!$G99,+IF(N$18='5.Variables'!$B$104,+'5.Variables'!$G113,0))))))</f>
        <v>1</v>
      </c>
      <c r="O108" s="1052">
        <v>10415</v>
      </c>
      <c r="P108" s="232"/>
      <c r="Q108" s="530">
        <f t="shared" si="9"/>
        <v>19722213.972482514</v>
      </c>
      <c r="R108" s="250"/>
      <c r="S108" s="232"/>
      <c r="T108" s="232"/>
      <c r="U108" s="232"/>
      <c r="V108" s="232"/>
      <c r="W108" s="232"/>
      <c r="X108" s="232"/>
      <c r="Y108" s="232"/>
      <c r="Z108" s="232"/>
      <c r="AA108" s="232"/>
      <c r="AB108" s="232"/>
      <c r="AC108" s="232"/>
      <c r="AD108" s="232"/>
      <c r="AE108" s="232"/>
      <c r="AF108" s="232"/>
      <c r="AG108" s="232"/>
      <c r="AH108" s="232"/>
      <c r="AI108" s="232"/>
      <c r="AJ108" s="232"/>
      <c r="AK108" s="232"/>
      <c r="AL108" s="232"/>
    </row>
    <row r="109" spans="1:38">
      <c r="A109" s="484">
        <f t="shared" si="11"/>
        <v>90</v>
      </c>
      <c r="B109" s="985" t="str">
        <f>CONCATENATE('3. Consumption by Rate Class'!B114,"-",'3. Consumption by Rate Class'!C114)</f>
        <v>2018-June</v>
      </c>
      <c r="C109" s="982">
        <v>19271102.23</v>
      </c>
      <c r="D109" s="983"/>
      <c r="E109" s="984"/>
      <c r="F109" s="989"/>
      <c r="G109" s="989"/>
      <c r="H109" s="989"/>
      <c r="I109" s="530">
        <f t="shared" si="10"/>
        <v>19271102.23</v>
      </c>
      <c r="J109" s="667">
        <f>IF(J$18='5.Variables'!$B$16,+'5.Variables'!$H34,+IF(J$18='5.Variables'!$B$39,+'5.Variables'!$H57,+IF(J$18='5.Variables'!$B$62,+'5.Variables'!$H71,+IF(J$18='5.Variables'!$B$76,+'5.Variables'!$H85,+IF(J$18='5.Variables'!$B$90,+'5.Variables'!$H99,+IF(J$18='5.Variables'!$B$104,+'5.Variables'!$H113,0))))))</f>
        <v>62.8</v>
      </c>
      <c r="K109" s="667">
        <f>IF(K$18='5.Variables'!$B$16,+'5.Variables'!$H33,+IF(K$18='5.Variables'!$B$39,+'5.Variables'!$H57,+IF(K$18='5.Variables'!$B$62,+'5.Variables'!$H71,+IF(K$18='5.Variables'!$B$76,+'5.Variables'!$H85,+IF(K$18='5.Variables'!$B$90,+'5.Variables'!$H99,+IF(K$18='5.Variables'!$B$104,+'5.Variables'!$H113,0))))))</f>
        <v>7.9</v>
      </c>
      <c r="L109" s="667">
        <f>IF(L$18='5.Variables'!$B$16,+'5.Variables'!$H33,+IF(L$18='5.Variables'!$B$39,+'5.Variables'!$H57,+IF(L$18='5.Variables'!$B$62,+'5.Variables'!$H71,+IF(L$18='5.Variables'!$B$76,+'5.Variables'!$H85,+IF(L$18='5.Variables'!$B$90,+'5.Variables'!$H99,+IF(L$18='5.Variables'!$B$104,+'5.Variables'!$H113,0))))))</f>
        <v>30</v>
      </c>
      <c r="M109" s="667">
        <f>IF(M$18='5.Variables'!$B$16,+'5.Variables'!$H33,+IF(M$18='5.Variables'!$B$39,+'5.Variables'!$H57,+IF(M$18='5.Variables'!$B$62,+'5.Variables'!$H71,+IF(M$18='5.Variables'!$B$76,+'5.Variables'!$H85,+IF(M$18='5.Variables'!$B$90,+'5.Variables'!$H99,+IF(M$18='5.Variables'!$B$104,+'5.Variables'!$H113,0))))))</f>
        <v>336</v>
      </c>
      <c r="N109" s="667">
        <f>IF(N$18='5.Variables'!$B$16,+'5.Variables'!$H33,+IF(N$18='5.Variables'!$B$39,+'5.Variables'!$H57,+IF(N$18='5.Variables'!$B$62,+'5.Variables'!$H71,+IF(N$18='5.Variables'!$B$76,+'5.Variables'!$H85,+IF(N$18='5.Variables'!$B$90,+'5.Variables'!$H99,+IF(N$18='5.Variables'!$B$104,+'5.Variables'!$H113,0))))))</f>
        <v>0</v>
      </c>
      <c r="O109" s="1052">
        <v>10419</v>
      </c>
      <c r="P109" s="232"/>
      <c r="Q109" s="530">
        <f t="shared" si="9"/>
        <v>19374448.744638756</v>
      </c>
      <c r="R109" s="250"/>
      <c r="S109" s="232"/>
      <c r="T109" s="232"/>
      <c r="U109" s="232"/>
      <c r="V109" s="232"/>
      <c r="W109" s="232"/>
      <c r="X109" s="232"/>
      <c r="Y109" s="232"/>
      <c r="Z109" s="232"/>
      <c r="AA109" s="232"/>
      <c r="AB109" s="232"/>
      <c r="AC109" s="232"/>
      <c r="AD109" s="232"/>
      <c r="AE109" s="232"/>
      <c r="AF109" s="232"/>
      <c r="AG109" s="232"/>
      <c r="AH109" s="232"/>
      <c r="AI109" s="232"/>
      <c r="AJ109" s="232"/>
      <c r="AK109" s="232"/>
      <c r="AL109" s="232"/>
    </row>
    <row r="110" spans="1:38">
      <c r="A110" s="484">
        <f t="shared" si="11"/>
        <v>91</v>
      </c>
      <c r="B110" s="985" t="str">
        <f>CONCATENATE('3. Consumption by Rate Class'!B115,"-",'3. Consumption by Rate Class'!C115)</f>
        <v>2018-July</v>
      </c>
      <c r="C110" s="982">
        <v>22315542.25</v>
      </c>
      <c r="D110" s="983"/>
      <c r="E110" s="984"/>
      <c r="F110" s="989"/>
      <c r="G110" s="989"/>
      <c r="H110" s="989"/>
      <c r="I110" s="530">
        <f t="shared" si="10"/>
        <v>22315542.25</v>
      </c>
      <c r="J110" s="667">
        <f>IF(J$18='5.Variables'!$B$16,+'5.Variables'!$I34,+IF(J$18='5.Variables'!$B$39,+'5.Variables'!$I57,+IF(J$18='5.Variables'!$B$62,+'5.Variables'!$I71,+IF(J$18='5.Variables'!$B$76,+'5.Variables'!$I85,+IF(J$18='5.Variables'!$B$90,+'5.Variables'!$I99,+IF(J$18='5.Variables'!$B$104,+'5.Variables'!$I113,0))))))</f>
        <v>0.6</v>
      </c>
      <c r="K110" s="667">
        <f>IF(K$18='5.Variables'!$B$16,+'5.Variables'!$I33,+IF(K$18='5.Variables'!$B$39,+'5.Variables'!$I57,+IF(K$18='5.Variables'!$B$62,+'5.Variables'!$I71,+IF(K$18='5.Variables'!$B$76,+'5.Variables'!$I85,+IF(K$18='5.Variables'!$B$90,+'5.Variables'!$I99,+IF(K$18='5.Variables'!$B$104,+'5.Variables'!$I113,0))))))</f>
        <v>99.6</v>
      </c>
      <c r="L110" s="667">
        <f>IF(L$18='5.Variables'!$B$16,+'5.Variables'!$I33,+IF(L$18='5.Variables'!$B$39,+'5.Variables'!$I57,+IF(L$18='5.Variables'!$B$62,+'5.Variables'!$I71,+IF(L$18='5.Variables'!$B$76,+'5.Variables'!$I85,+IF(L$18='5.Variables'!$B$90,+'5.Variables'!$I99,+IF(L$18='5.Variables'!$B$104,+'5.Variables'!$I113,0))))))</f>
        <v>31</v>
      </c>
      <c r="M110" s="667">
        <f>IF(M$18='5.Variables'!$B$16,+'5.Variables'!$I33,+IF(M$18='5.Variables'!$B$39,+'5.Variables'!$I57,+IF(M$18='5.Variables'!$B$62,+'5.Variables'!$I71,+IF(M$18='5.Variables'!$B$76,+'5.Variables'!$I85,+IF(M$18='5.Variables'!$B$90,+'5.Variables'!$I99,+IF(M$18='5.Variables'!$B$104,+'5.Variables'!$I113,0))))))</f>
        <v>336</v>
      </c>
      <c r="N110" s="667">
        <f>IF(N$18='5.Variables'!$B$16,+'5.Variables'!$I33,+IF(N$18='5.Variables'!$B$39,+'5.Variables'!$I57,+IF(N$18='5.Variables'!$B$62,+'5.Variables'!$I71,+IF(N$18='5.Variables'!$B$76,+'5.Variables'!$I85,+IF(N$18='5.Variables'!$B$90,+'5.Variables'!$I99,+IF(N$18='5.Variables'!$B$104,+'5.Variables'!$I113,0))))))</f>
        <v>0</v>
      </c>
      <c r="O110" s="1052">
        <v>10441</v>
      </c>
      <c r="P110" s="232"/>
      <c r="Q110" s="530">
        <f t="shared" si="9"/>
        <v>23005459.557242434</v>
      </c>
      <c r="R110" s="250"/>
      <c r="S110" s="232"/>
      <c r="T110" s="232"/>
      <c r="U110" s="232"/>
      <c r="V110" s="232"/>
      <c r="W110" s="232"/>
      <c r="X110" s="232"/>
      <c r="Y110" s="232"/>
      <c r="Z110" s="232"/>
      <c r="AA110" s="232"/>
      <c r="AB110" s="232"/>
      <c r="AC110" s="232"/>
      <c r="AD110" s="232"/>
      <c r="AE110" s="232"/>
      <c r="AF110" s="232"/>
      <c r="AG110" s="232"/>
      <c r="AH110" s="232"/>
      <c r="AI110" s="232"/>
      <c r="AJ110" s="232"/>
      <c r="AK110" s="232"/>
      <c r="AL110" s="232"/>
    </row>
    <row r="111" spans="1:38">
      <c r="A111" s="484">
        <f t="shared" si="11"/>
        <v>92</v>
      </c>
      <c r="B111" s="985" t="str">
        <f>CONCATENATE('3. Consumption by Rate Class'!B116,"-",'3. Consumption by Rate Class'!C116)</f>
        <v>2018-August</v>
      </c>
      <c r="C111" s="982">
        <v>22796500.539999999</v>
      </c>
      <c r="D111" s="983"/>
      <c r="E111" s="984"/>
      <c r="F111" s="989"/>
      <c r="G111" s="989"/>
      <c r="H111" s="989"/>
      <c r="I111" s="530">
        <f t="shared" si="10"/>
        <v>22796500.539999999</v>
      </c>
      <c r="J111" s="667">
        <f>IF(J$18='5.Variables'!$B$16,+'5.Variables'!$J34,+IF(J$18='5.Variables'!$B$39,+'5.Variables'!$J57,+IF(J$18='5.Variables'!$B$62,+'5.Variables'!$J71,+IF(J$18='5.Variables'!$B$76,+'5.Variables'!$J85,+IF(J$18='5.Variables'!$B$90,+'5.Variables'!$J99,+IF(J$18='5.Variables'!$B$104,+'5.Variables'!$J113,0))))))</f>
        <v>0.9</v>
      </c>
      <c r="K111" s="667">
        <f>IF(K$18='5.Variables'!$B$16,+'5.Variables'!$J33,+IF(K$18='5.Variables'!$B$39,+'5.Variables'!$J57,+IF(K$18='5.Variables'!$B$62,+'5.Variables'!$J71,+IF(K$18='5.Variables'!$B$76,+'5.Variables'!$J85,+IF(K$18='5.Variables'!$B$90,+'5.Variables'!$J99,+IF(K$18='5.Variables'!$B$104,+'5.Variables'!$J113,0))))))</f>
        <v>113.7</v>
      </c>
      <c r="L111" s="667">
        <f>IF(L$18='5.Variables'!$B$16,+'5.Variables'!$J33,+IF(L$18='5.Variables'!$B$39,+'5.Variables'!$J57,+IF(L$18='5.Variables'!$B$62,+'5.Variables'!$J71,+IF(L$18='5.Variables'!$B$76,+'5.Variables'!$J85,+IF(L$18='5.Variables'!$B$90,+'5.Variables'!$J99,+IF(L$18='5.Variables'!$B$104,+'5.Variables'!$J113,0))))))</f>
        <v>31</v>
      </c>
      <c r="M111" s="667">
        <f>IF(M$18='5.Variables'!$B$16,+'5.Variables'!$J33,+IF(M$18='5.Variables'!$B$39,+'5.Variables'!$J57,+IF(M$18='5.Variables'!$B$62,+'5.Variables'!$J71,+IF(M$18='5.Variables'!$B$76,+'5.Variables'!$J85,+IF(M$18='5.Variables'!$B$90,+'5.Variables'!$J99,+IF(M$18='5.Variables'!$B$104,+'5.Variables'!$J113,0))))))</f>
        <v>352</v>
      </c>
      <c r="N111" s="667">
        <f>IF(N$18='5.Variables'!$B$16,+'5.Variables'!$J33,+IF(N$18='5.Variables'!$B$39,+'5.Variables'!$J57,+IF(N$18='5.Variables'!$B$62,+'5.Variables'!$J71,+IF(N$18='5.Variables'!$B$76,+'5.Variables'!$J85,+IF(N$18='5.Variables'!$B$90,+'5.Variables'!$J99,+IF(N$18='5.Variables'!$B$104,+'5.Variables'!$J113,0))))))</f>
        <v>0</v>
      </c>
      <c r="O111" s="1052">
        <v>10450</v>
      </c>
      <c r="P111" s="232"/>
      <c r="Q111" s="530">
        <f t="shared" si="9"/>
        <v>23686148.711037736</v>
      </c>
      <c r="R111" s="250"/>
      <c r="S111" s="232"/>
      <c r="T111" s="232"/>
      <c r="U111" s="232"/>
      <c r="V111" s="232"/>
      <c r="W111" s="232"/>
      <c r="X111" s="232"/>
      <c r="Y111" s="232"/>
      <c r="Z111" s="232"/>
      <c r="AA111" s="232"/>
      <c r="AB111" s="232"/>
      <c r="AC111" s="232"/>
      <c r="AD111" s="232"/>
      <c r="AE111" s="232"/>
      <c r="AF111" s="232"/>
      <c r="AG111" s="232"/>
      <c r="AH111" s="232"/>
      <c r="AI111" s="232"/>
      <c r="AJ111" s="232"/>
      <c r="AK111" s="232"/>
      <c r="AL111" s="232"/>
    </row>
    <row r="112" spans="1:38">
      <c r="A112" s="484">
        <f t="shared" si="11"/>
        <v>93</v>
      </c>
      <c r="B112" s="985" t="str">
        <f>CONCATENATE('3. Consumption by Rate Class'!B117,"-",'3. Consumption by Rate Class'!C117)</f>
        <v>2018-September</v>
      </c>
      <c r="C112" s="982">
        <v>20589196.149999999</v>
      </c>
      <c r="D112" s="983"/>
      <c r="E112" s="984"/>
      <c r="F112" s="989"/>
      <c r="G112" s="989"/>
      <c r="H112" s="989"/>
      <c r="I112" s="530">
        <f t="shared" si="10"/>
        <v>20589196.149999999</v>
      </c>
      <c r="J112" s="667">
        <f>IF(J$18='5.Variables'!$B$16,+'5.Variables'!$K34,+IF(J$18='5.Variables'!$B$39,+'5.Variables'!$K57,+IF(J$18='5.Variables'!$B$62,+'5.Variables'!$K71,+IF(J$18='5.Variables'!$B$76,+'5.Variables'!$K85,+IF(J$18='5.Variables'!$B$90,+'5.Variables'!$K99,+IF(J$18='5.Variables'!$B$104,+'5.Variables'!$K113,0))))))</f>
        <v>56</v>
      </c>
      <c r="K112" s="667">
        <f>IF(K$18='5.Variables'!$B$16,+'5.Variables'!$K33,+IF(K$18='5.Variables'!$B$39,+'5.Variables'!$K57,+IF(K$18='5.Variables'!$B$62,+'5.Variables'!$K71,+IF(K$18='5.Variables'!$B$76,+'5.Variables'!$K85,+IF(K$18='5.Variables'!$B$90,+'5.Variables'!$K99,+IF(K$18='5.Variables'!$B$104,+'5.Variables'!$K113,0))))))</f>
        <v>52.1</v>
      </c>
      <c r="L112" s="667">
        <f>IF(L$18='5.Variables'!$B$16,+'5.Variables'!$K33,+IF(L$18='5.Variables'!$B$39,+'5.Variables'!$K57,+IF(L$18='5.Variables'!$B$62,+'5.Variables'!$K71,+IF(L$18='5.Variables'!$B$76,+'5.Variables'!$K85,+IF(L$18='5.Variables'!$B$90,+'5.Variables'!$K99,+IF(L$18='5.Variables'!$B$104,+'5.Variables'!$K113,0))))))</f>
        <v>30</v>
      </c>
      <c r="M112" s="667">
        <f>IF(M$18='5.Variables'!$B$16,+'5.Variables'!$K33,+IF(M$18='5.Variables'!$B$39,+'5.Variables'!$K57,+IF(M$18='5.Variables'!$B$62,+'5.Variables'!$K71,+IF(M$18='5.Variables'!$B$76,+'5.Variables'!$K85,+IF(M$18='5.Variables'!$B$90,+'5.Variables'!$K99,+IF(M$18='5.Variables'!$B$104,+'5.Variables'!$K113,0))))))</f>
        <v>304</v>
      </c>
      <c r="N112" s="667">
        <f>IF(N$18='5.Variables'!$B$16,+'5.Variables'!$K33,+IF(N$18='5.Variables'!$B$39,+'5.Variables'!$K57,+IF(N$18='5.Variables'!$B$62,+'5.Variables'!$K71,+IF(N$18='5.Variables'!$B$76,+'5.Variables'!$K85,+IF(N$18='5.Variables'!$B$90,+'5.Variables'!$K99,+IF(N$18='5.Variables'!$B$104,+'5.Variables'!$K113,0))))))</f>
        <v>1</v>
      </c>
      <c r="O112" s="1052">
        <v>10449</v>
      </c>
      <c r="P112" s="232"/>
      <c r="Q112" s="530">
        <f t="shared" si="9"/>
        <v>20195022.964395888</v>
      </c>
      <c r="R112" s="250"/>
      <c r="S112" s="232"/>
      <c r="T112" s="232"/>
      <c r="U112" s="232"/>
      <c r="V112" s="232"/>
      <c r="W112" s="232"/>
      <c r="X112" s="232"/>
      <c r="Y112" s="232"/>
      <c r="Z112" s="232"/>
      <c r="AA112" s="232"/>
      <c r="AB112" s="232"/>
      <c r="AC112" s="232"/>
      <c r="AD112" s="232"/>
      <c r="AE112" s="232"/>
      <c r="AF112" s="232"/>
      <c r="AG112" s="232"/>
      <c r="AH112" s="232"/>
      <c r="AI112" s="232"/>
      <c r="AJ112" s="232"/>
      <c r="AK112" s="232"/>
      <c r="AL112" s="232"/>
    </row>
    <row r="113" spans="1:38">
      <c r="A113" s="484">
        <f t="shared" si="11"/>
        <v>94</v>
      </c>
      <c r="B113" s="985" t="str">
        <f>CONCATENATE('3. Consumption by Rate Class'!B118,"-",'3. Consumption by Rate Class'!C118)</f>
        <v>2018-October</v>
      </c>
      <c r="C113" s="982">
        <v>20418670.07</v>
      </c>
      <c r="D113" s="983"/>
      <c r="E113" s="984"/>
      <c r="F113" s="989"/>
      <c r="G113" s="989"/>
      <c r="H113" s="989"/>
      <c r="I113" s="530">
        <f t="shared" si="10"/>
        <v>20418670.07</v>
      </c>
      <c r="J113" s="667">
        <f>IF(J$18='5.Variables'!$B$16,+'5.Variables'!$L34,+IF(J$18='5.Variables'!$B$39,+'5.Variables'!$L57,+IF(J$18='5.Variables'!$B$62,+'5.Variables'!$L71,+IF(J$18='5.Variables'!$B$76,+'5.Variables'!$L85,+IF(J$18='5.Variables'!$B$90,+'5.Variables'!$L99,+IF(J$18='5.Variables'!$B$104,+'5.Variables'!$L113,0))))))</f>
        <v>306.89999999999998</v>
      </c>
      <c r="K113" s="667">
        <f>IF(K$18='5.Variables'!$B$16,+'5.Variables'!$L33,+IF(K$18='5.Variables'!$B$39,+'5.Variables'!$L57,+IF(K$18='5.Variables'!$B$62,+'5.Variables'!$L71,+IF(K$18='5.Variables'!$B$76,+'5.Variables'!$L85,+IF(K$18='5.Variables'!$B$90,+'5.Variables'!$L99,+IF(K$18='5.Variables'!$B$104,+'5.Variables'!$L113,0))))))</f>
        <v>0</v>
      </c>
      <c r="L113" s="667">
        <f>IF(L$18='5.Variables'!$B$16,+'5.Variables'!$L33,+IF(L$18='5.Variables'!$B$39,+'5.Variables'!$L57,+IF(L$18='5.Variables'!$B$62,+'5.Variables'!$L71,+IF(L$18='5.Variables'!$B$76,+'5.Variables'!$L85,+IF(L$18='5.Variables'!$B$90,+'5.Variables'!$L99,+IF(L$18='5.Variables'!$B$104,+'5.Variables'!$L113,0))))))</f>
        <v>31</v>
      </c>
      <c r="M113" s="667">
        <f>IF(M$18='5.Variables'!$B$16,+'5.Variables'!$L33,+IF(M$18='5.Variables'!$B$39,+'5.Variables'!$L57,+IF(M$18='5.Variables'!$B$62,+'5.Variables'!$L71,+IF(M$18='5.Variables'!$B$76,+'5.Variables'!$L85,+IF(M$18='5.Variables'!$B$90,+'5.Variables'!$L99,+IF(M$18='5.Variables'!$B$104,+'5.Variables'!$L113,0))))))</f>
        <v>352</v>
      </c>
      <c r="N113" s="667">
        <f>IF(N$18='5.Variables'!$B$16,+'5.Variables'!$L33,+IF(N$18='5.Variables'!$B$39,+'5.Variables'!$L57,+IF(N$18='5.Variables'!$B$62,+'5.Variables'!$L71,+IF(N$18='5.Variables'!$B$76,+'5.Variables'!$L85,+IF(N$18='5.Variables'!$B$90,+'5.Variables'!$L99,+IF(N$18='5.Variables'!$B$104,+'5.Variables'!$L113,0))))))</f>
        <v>1</v>
      </c>
      <c r="O113" s="1052">
        <v>10454</v>
      </c>
      <c r="P113" s="232"/>
      <c r="Q113" s="530">
        <f t="shared" si="9"/>
        <v>20490391.931780346</v>
      </c>
      <c r="R113" s="250"/>
      <c r="S113" s="232"/>
      <c r="T113" s="232"/>
      <c r="U113" s="232"/>
      <c r="V113" s="232"/>
      <c r="W113" s="232"/>
      <c r="X113" s="232"/>
      <c r="Y113" s="232"/>
      <c r="Z113" s="232"/>
      <c r="AA113" s="232"/>
      <c r="AB113" s="232"/>
      <c r="AC113" s="232"/>
      <c r="AD113" s="232"/>
      <c r="AE113" s="232"/>
      <c r="AF113" s="232"/>
      <c r="AG113" s="232"/>
      <c r="AH113" s="232"/>
      <c r="AI113" s="232"/>
      <c r="AJ113" s="232"/>
      <c r="AK113" s="232"/>
      <c r="AL113" s="232"/>
    </row>
    <row r="114" spans="1:38">
      <c r="A114" s="484">
        <f t="shared" si="11"/>
        <v>95</v>
      </c>
      <c r="B114" s="985" t="str">
        <f>CONCATENATE('3. Consumption by Rate Class'!B119,"-",'3. Consumption by Rate Class'!C119)</f>
        <v>2018-November</v>
      </c>
      <c r="C114" s="982">
        <v>21385719.449999999</v>
      </c>
      <c r="D114" s="983"/>
      <c r="E114" s="984"/>
      <c r="F114" s="989"/>
      <c r="G114" s="989"/>
      <c r="H114" s="989"/>
      <c r="I114" s="530">
        <f t="shared" si="10"/>
        <v>21385719.449999999</v>
      </c>
      <c r="J114" s="667">
        <f>IF(J$18='5.Variables'!$B$16,+'5.Variables'!$M34,+IF(J$18='5.Variables'!$B$39,+'5.Variables'!$M57,+IF(J$18='5.Variables'!$B$62,+'5.Variables'!$M71,+IF(J$18='5.Variables'!$B$76,+'5.Variables'!$M85,+IF(J$18='5.Variables'!$B$90,+'5.Variables'!$M99,+IF(J$18='5.Variables'!$B$104,+'5.Variables'!$M113,0))))))</f>
        <v>467.6</v>
      </c>
      <c r="K114" s="667">
        <f>IF(K$18='5.Variables'!$B$16,+'5.Variables'!$M33,+IF(K$18='5.Variables'!$B$39,+'5.Variables'!$M57,+IF(K$18='5.Variables'!$B$62,+'5.Variables'!$M71,+IF(K$18='5.Variables'!$B$76,+'5.Variables'!$M85,+IF(K$18='5.Variables'!$B$90,+'5.Variables'!$M99,+IF(K$18='5.Variables'!$B$104,+'5.Variables'!$M113,0))))))</f>
        <v>0</v>
      </c>
      <c r="L114" s="667">
        <f>IF(L$18='5.Variables'!$B$16,+'5.Variables'!$M33,+IF(L$18='5.Variables'!$B$39,+'5.Variables'!$M57,+IF(L$18='5.Variables'!$B$62,+'5.Variables'!$M71,+IF(L$18='5.Variables'!$B$76,+'5.Variables'!$M85,+IF(L$18='5.Variables'!$B$90,+'5.Variables'!$M99,+IF(L$18='5.Variables'!$B$104,+'5.Variables'!$M113,0))))))</f>
        <v>30</v>
      </c>
      <c r="M114" s="667">
        <f>IF(M$18='5.Variables'!$B$16,+'5.Variables'!$M33,+IF(M$18='5.Variables'!$B$39,+'5.Variables'!$M57,+IF(M$18='5.Variables'!$B$62,+'5.Variables'!$M71,+IF(M$18='5.Variables'!$B$76,+'5.Variables'!$M85,+IF(M$18='5.Variables'!$B$90,+'5.Variables'!$M99,+IF(M$18='5.Variables'!$B$104,+'5.Variables'!$M113,0))))))</f>
        <v>418</v>
      </c>
      <c r="N114" s="667">
        <f>IF(N$18='5.Variables'!$B$16,+'5.Variables'!$M33,+IF(N$18='5.Variables'!$B$39,+'5.Variables'!$M57,+IF(N$18='5.Variables'!$B$62,+'5.Variables'!$M71,+IF(N$18='5.Variables'!$B$76,+'5.Variables'!$M85,+IF(N$18='5.Variables'!$B$90,+'5.Variables'!$M99,+IF(N$18='5.Variables'!$B$104,+'5.Variables'!$M113,0))))))</f>
        <v>1</v>
      </c>
      <c r="O114" s="1052">
        <v>10456</v>
      </c>
      <c r="P114" s="232"/>
      <c r="Q114" s="530">
        <f t="shared" si="9"/>
        <v>21649247.9783694</v>
      </c>
      <c r="R114" s="250"/>
      <c r="S114" s="232"/>
      <c r="T114" s="232"/>
      <c r="U114" s="232"/>
      <c r="V114" s="232"/>
      <c r="W114" s="232"/>
      <c r="X114" s="232"/>
      <c r="Y114" s="232"/>
      <c r="Z114" s="232"/>
      <c r="AA114" s="232"/>
      <c r="AB114" s="232"/>
      <c r="AC114" s="232"/>
      <c r="AD114" s="232"/>
      <c r="AE114" s="232"/>
      <c r="AF114" s="232"/>
      <c r="AG114" s="232"/>
      <c r="AH114" s="232"/>
      <c r="AI114" s="232"/>
      <c r="AJ114" s="232"/>
      <c r="AK114" s="232"/>
      <c r="AL114" s="232"/>
    </row>
    <row r="115" spans="1:38">
      <c r="A115" s="484">
        <f t="shared" si="11"/>
        <v>96</v>
      </c>
      <c r="B115" s="501" t="str">
        <f>CONCATENATE('3. Consumption by Rate Class'!B120,"-",'3. Consumption by Rate Class'!C120)</f>
        <v>2018-December</v>
      </c>
      <c r="C115" s="650">
        <v>21478911.760000002</v>
      </c>
      <c r="D115" s="778"/>
      <c r="E115" s="777"/>
      <c r="F115" s="777"/>
      <c r="G115" s="994"/>
      <c r="H115" s="994"/>
      <c r="I115" s="995">
        <f t="shared" si="10"/>
        <v>21478911.760000002</v>
      </c>
      <c r="J115" s="667">
        <f>IF(J$18='5.Variables'!$B$16,+'5.Variables'!$N34,+IF(J$18='5.Variables'!$B$39,+'5.Variables'!$N57,+IF(J$18='5.Variables'!$B$62,+'5.Variables'!$N71,+IF(J$18='5.Variables'!$B$76,+'5.Variables'!$N85,+IF(J$18='5.Variables'!$B$90,+'5.Variables'!$N99,+IF(J$18='5.Variables'!$B$104,+'5.Variables'!$N113,0))))))</f>
        <v>580</v>
      </c>
      <c r="K115" s="667">
        <f>IF(K$18='5.Variables'!$B$16,+'5.Variables'!$N33,+IF(K$18='5.Variables'!$B$39,+'5.Variables'!$N57,+IF(K$18='5.Variables'!$B$62,+'5.Variables'!$N71,+IF(K$18='5.Variables'!$B$76,+'5.Variables'!$N85,+IF(K$18='5.Variables'!$B$90,+'5.Variables'!$N99,+IF(K$18='5.Variables'!$B$104,+'5.Variables'!$N113,0))))))</f>
        <v>0</v>
      </c>
      <c r="L115" s="667">
        <f>IF(L$18='5.Variables'!$B$16,+'5.Variables'!$N33,+IF(L$18='5.Variables'!$B$39,+'5.Variables'!$N57,+IF(L$18='5.Variables'!$B$62,+'5.Variables'!$N71,+IF(L$18='5.Variables'!$B$76,+'5.Variables'!$N85,+IF(L$18='5.Variables'!$B$90,+'5.Variables'!$N99,+IF(L$18='5.Variables'!$B$104,+'5.Variables'!$N113,0))))))</f>
        <v>31</v>
      </c>
      <c r="M115" s="667">
        <f>IF(M$18='5.Variables'!$B$16,+'5.Variables'!$N33,+IF(M$18='5.Variables'!$B$39,+'5.Variables'!$N57,+IF(M$18='5.Variables'!$B$62,+'5.Variables'!$N71,+IF(M$18='5.Variables'!$B$76,+'5.Variables'!$N85,+IF(M$18='5.Variables'!$B$90,+'5.Variables'!$N99,+IF(M$18='5.Variables'!$B$104,+'5.Variables'!$N113,0))))))</f>
        <v>304</v>
      </c>
      <c r="N115" s="667">
        <f>IF(N$18='5.Variables'!$B$16,+'5.Variables'!$N33,+IF(N$18='5.Variables'!$B$39,+'5.Variables'!$N57,+IF(N$18='5.Variables'!$B$62,+'5.Variables'!$N71,+IF(N$18='5.Variables'!$B$76,+'5.Variables'!$N85,+IF(N$18='5.Variables'!$B$90,+'5.Variables'!$N99,+IF(N$18='5.Variables'!$B$104,+'5.Variables'!$N113,0))))))</f>
        <v>0</v>
      </c>
      <c r="O115" s="1052">
        <v>10464</v>
      </c>
      <c r="P115" s="232"/>
      <c r="Q115" s="530">
        <f t="shared" si="9"/>
        <v>22617311.755520698</v>
      </c>
      <c r="R115" s="250">
        <f>SUM(Q104:Q115)</f>
        <v>259096002.29926127</v>
      </c>
      <c r="S115" s="232"/>
      <c r="T115" s="232"/>
      <c r="U115" s="232"/>
      <c r="V115" s="232"/>
      <c r="W115" s="232"/>
      <c r="X115" s="232"/>
      <c r="Y115" s="232"/>
      <c r="Z115" s="232"/>
      <c r="AA115" s="232"/>
      <c r="AB115" s="232"/>
      <c r="AC115" s="232"/>
      <c r="AD115" s="232"/>
      <c r="AE115" s="232"/>
      <c r="AF115" s="232"/>
      <c r="AG115" s="232"/>
      <c r="AH115" s="232"/>
      <c r="AI115" s="232"/>
      <c r="AJ115" s="232"/>
      <c r="AK115" s="232"/>
      <c r="AL115" s="232"/>
    </row>
    <row r="116" spans="1:38">
      <c r="A116" s="484">
        <f t="shared" si="11"/>
        <v>97</v>
      </c>
      <c r="B116" s="985" t="str">
        <f>CONCATENATE('3. Consumption by Rate Class'!B121,"-",'3. Consumption by Rate Class'!C121)</f>
        <v>2019-January</v>
      </c>
      <c r="C116" s="982">
        <f>24419266.42</f>
        <v>24419266.420000002</v>
      </c>
      <c r="D116" s="983"/>
      <c r="E116" s="984"/>
      <c r="F116" s="989"/>
      <c r="G116" s="989"/>
      <c r="H116" s="989"/>
      <c r="I116" s="530">
        <f t="shared" si="10"/>
        <v>24419266.420000002</v>
      </c>
      <c r="J116" s="667">
        <f>IF(J$18='5.Variables'!$B$16,+'5.Variables'!$C35,+IF(J$18='5.Variables'!$B$39,+'5.Variables'!$C58,+IF(J$18='5.Variables'!$B$62,+'5.Variables'!$C72,+IF(J$18='5.Variables'!$B$76,+'5.Variables'!$C86,+IF(J$18='5.Variables'!$B$90,+'5.Variables'!$C100,+IF(J$18='5.Variables'!$B$104,+'5.Variables'!$C114,0))))))</f>
        <v>773</v>
      </c>
      <c r="K116" s="667">
        <f>IF(K$18='5.Variables'!$B$16,+'5.Variables'!$C34,+IF(K$18='5.Variables'!$B$39,+'5.Variables'!$C58,+IF(K$18='5.Variables'!$B$62,+'5.Variables'!$C72,+IF(K$18='5.Variables'!$B$76,+'5.Variables'!$C86,+IF(K$18='5.Variables'!$B$90,+'5.Variables'!$C100,+IF(K$18='5.Variables'!$B$104,+'5.Variables'!$C114,0))))))</f>
        <v>0</v>
      </c>
      <c r="L116" s="667">
        <f>IF(L$18='5.Variables'!$B$16,+'5.Variables'!$C34,+IF(L$18='5.Variables'!$B$39,+'5.Variables'!$C58,+IF(L$18='5.Variables'!$B$62,+'5.Variables'!$C72,+IF(L$18='5.Variables'!$B$76,+'5.Variables'!$C86,+IF(L$18='5.Variables'!$B$90,+'5.Variables'!$C100,+IF(L$18='5.Variables'!$B$104,+'5.Variables'!$C114,0))))))</f>
        <v>31</v>
      </c>
      <c r="M116" s="667">
        <f>IF(M$18='5.Variables'!$B$16,+'5.Variables'!$C34,+IF(M$18='5.Variables'!$B$39,+'5.Variables'!$C58,+IF(M$18='5.Variables'!$B$62,+'5.Variables'!$C72,+IF(M$18='5.Variables'!$B$76,+'5.Variables'!$C86,+IF(M$18='5.Variables'!$B$90,+'5.Variables'!$C100,+IF(M$18='5.Variables'!$B$104,+'5.Variables'!$C114,0))))))</f>
        <v>352</v>
      </c>
      <c r="N116" s="667">
        <f>IF(N$18='5.Variables'!$B$16,+'5.Variables'!$C34,+IF(N$18='5.Variables'!$B$39,+'5.Variables'!$C58,+IF(N$18='5.Variables'!$B$62,+'5.Variables'!$C72,+IF(N$18='5.Variables'!$B$76,+'5.Variables'!$C86,+IF(N$18='5.Variables'!$B$90,+'5.Variables'!$C100,+IF(N$18='5.Variables'!$B$104,+'5.Variables'!$C114,0))))))</f>
        <v>0</v>
      </c>
      <c r="O116" s="1052">
        <v>10475</v>
      </c>
      <c r="P116" s="232"/>
      <c r="Q116" s="530">
        <f t="shared" ref="Q116:Q147" si="12">$U$34+(J116*$U$35)+(K116*$U$36)+(L116*$U$37)+(M116*$U$38)+(N116*$U$39)+(O116+$U$40)</f>
        <v>24236270.769170698</v>
      </c>
      <c r="R116" s="250"/>
      <c r="S116" s="232"/>
      <c r="T116" s="232"/>
      <c r="U116" s="232"/>
      <c r="V116" s="232"/>
      <c r="W116" s="232"/>
      <c r="X116" s="232"/>
      <c r="Y116" s="232"/>
      <c r="Z116" s="232"/>
      <c r="AA116" s="232"/>
      <c r="AB116" s="232"/>
      <c r="AC116" s="232"/>
      <c r="AD116" s="232"/>
      <c r="AE116" s="232"/>
      <c r="AF116" s="232"/>
      <c r="AG116" s="232"/>
      <c r="AH116" s="232"/>
      <c r="AI116" s="232"/>
      <c r="AJ116" s="232"/>
      <c r="AK116" s="232"/>
      <c r="AL116" s="232"/>
    </row>
    <row r="117" spans="1:38">
      <c r="A117" s="484">
        <f t="shared" si="11"/>
        <v>98</v>
      </c>
      <c r="B117" s="985" t="str">
        <f>CONCATENATE('3. Consumption by Rate Class'!B122,"-",'3. Consumption by Rate Class'!C122)</f>
        <v>2019-February</v>
      </c>
      <c r="C117" s="982">
        <v>21639058.859999999</v>
      </c>
      <c r="D117" s="983"/>
      <c r="E117" s="984"/>
      <c r="F117" s="989"/>
      <c r="G117" s="989"/>
      <c r="H117" s="989"/>
      <c r="I117" s="530">
        <f t="shared" si="10"/>
        <v>21639058.859999999</v>
      </c>
      <c r="J117" s="667">
        <f>IF(J$18='5.Variables'!$B$16,+'5.Variables'!$D35,+IF(J$18='5.Variables'!$B$39,+'5.Variables'!$D58,+IF(J$18='5.Variables'!$B$62,+'5.Variables'!$D72,+IF(J$18='5.Variables'!$B$76,+'5.Variables'!$D86,+IF(J$18='5.Variables'!$B$90,+'5.Variables'!$D100,+IF(J$18='5.Variables'!$B$104,+'5.Variables'!$D114,0))))))</f>
        <v>624.70000000000005</v>
      </c>
      <c r="K117" s="667">
        <f>IF(K$18='5.Variables'!$B$16,+'5.Variables'!$D34,+IF(K$18='5.Variables'!$B$39,+'5.Variables'!$D58,+IF(K$18='5.Variables'!$B$62,+'5.Variables'!$D72,+IF(K$18='5.Variables'!$B$76,+'5.Variables'!$D86,+IF(K$18='5.Variables'!$B$90,+'5.Variables'!$D100,+IF(K$18='5.Variables'!$B$104,+'5.Variables'!$D114,0))))))</f>
        <v>0</v>
      </c>
      <c r="L117" s="667">
        <f>IF(L$18='5.Variables'!$B$16,+'5.Variables'!$D34,+IF(L$18='5.Variables'!$B$39,+'5.Variables'!$D58,+IF(L$18='5.Variables'!$B$62,+'5.Variables'!$D72,+IF(L$18='5.Variables'!$B$76,+'5.Variables'!$D86,+IF(L$18='5.Variables'!$B$90,+'5.Variables'!$D100,+IF(L$18='5.Variables'!$B$104,+'5.Variables'!$D114,0))))))</f>
        <v>28</v>
      </c>
      <c r="M117" s="667">
        <f>IF(M$18='5.Variables'!$B$16,+'5.Variables'!$D34,+IF(M$18='5.Variables'!$B$39,+'5.Variables'!$D58,+IF(M$18='5.Variables'!$B$62,+'5.Variables'!$D72,+IF(M$18='5.Variables'!$B$76,+'5.Variables'!$D86,+IF(M$18='5.Variables'!$B$90,+'5.Variables'!$D100,+IF(M$18='5.Variables'!$B$104,+'5.Variables'!$D114,0))))))</f>
        <v>304</v>
      </c>
      <c r="N117" s="667">
        <f>IF(N$18='5.Variables'!$B$16,+'5.Variables'!$D34,+IF(N$18='5.Variables'!$B$39,+'5.Variables'!$D58,+IF(N$18='5.Variables'!$B$62,+'5.Variables'!$D72,+IF(N$18='5.Variables'!$B$76,+'5.Variables'!$D86,+IF(N$18='5.Variables'!$B$90,+'5.Variables'!$D100,+IF(N$18='5.Variables'!$B$104,+'5.Variables'!$D114,0))))))</f>
        <v>0</v>
      </c>
      <c r="O117" s="1052">
        <v>10480</v>
      </c>
      <c r="P117" s="232"/>
      <c r="Q117" s="530">
        <f t="shared" si="12"/>
        <v>21782502.615148496</v>
      </c>
      <c r="R117" s="250"/>
      <c r="S117" s="232"/>
      <c r="T117" s="232"/>
      <c r="U117" s="232"/>
      <c r="V117" s="232"/>
      <c r="W117" s="232"/>
      <c r="X117" s="232"/>
      <c r="Y117" s="232"/>
      <c r="Z117" s="232"/>
      <c r="AA117" s="232"/>
      <c r="AB117" s="232"/>
      <c r="AC117" s="232"/>
      <c r="AD117" s="232"/>
      <c r="AE117" s="232"/>
      <c r="AF117" s="232"/>
      <c r="AG117" s="232"/>
      <c r="AH117" s="232"/>
      <c r="AI117" s="232"/>
      <c r="AJ117" s="232"/>
      <c r="AK117" s="232"/>
      <c r="AL117" s="232"/>
    </row>
    <row r="118" spans="1:38">
      <c r="A118" s="484">
        <f t="shared" si="11"/>
        <v>99</v>
      </c>
      <c r="B118" s="985" t="str">
        <f>CONCATENATE('3. Consumption by Rate Class'!B123,"-",'3. Consumption by Rate Class'!C123)</f>
        <v>2019-March</v>
      </c>
      <c r="C118" s="982">
        <v>22609798.079999998</v>
      </c>
      <c r="D118" s="983"/>
      <c r="E118" s="984"/>
      <c r="F118" s="989"/>
      <c r="G118" s="989"/>
      <c r="H118" s="989"/>
      <c r="I118" s="530">
        <f t="shared" si="10"/>
        <v>22609798.079999998</v>
      </c>
      <c r="J118" s="667">
        <f>IF(J$18='5.Variables'!$B$16,+'5.Variables'!$E35,+IF(J$18='5.Variables'!$B$39,+'5.Variables'!$E58,+IF(J$18='5.Variables'!$B$62,+'5.Variables'!$E72,+IF(J$18='5.Variables'!$B$76,+'5.Variables'!$E86,+IF(J$18='5.Variables'!$B$90,+'5.Variables'!$E100,+IF(J$18='5.Variables'!$B$104,+'5.Variables'!$E114,0))))))</f>
        <v>580.20000000000005</v>
      </c>
      <c r="K118" s="667">
        <f>IF(K$18='5.Variables'!$B$16,+'5.Variables'!$E34,+IF(K$18='5.Variables'!$B$39,+'5.Variables'!$E58,+IF(K$18='5.Variables'!$B$62,+'5.Variables'!$E72,+IF(K$18='5.Variables'!$B$76,+'5.Variables'!$E86,+IF(K$18='5.Variables'!$B$90,+'5.Variables'!$E100,+IF(K$18='5.Variables'!$B$104,+'5.Variables'!$E114,0))))))</f>
        <v>0</v>
      </c>
      <c r="L118" s="667">
        <f>IF(L$18='5.Variables'!$B$16,+'5.Variables'!$E34,+IF(L$18='5.Variables'!$B$39,+'5.Variables'!$E58,+IF(L$18='5.Variables'!$B$62,+'5.Variables'!$E72,+IF(L$18='5.Variables'!$B$76,+'5.Variables'!$E86,+IF(L$18='5.Variables'!$B$90,+'5.Variables'!$E100,+IF(L$18='5.Variables'!$B$104,+'5.Variables'!$E114,0))))))</f>
        <v>31</v>
      </c>
      <c r="M118" s="667">
        <f>IF(M$18='5.Variables'!$B$16,+'5.Variables'!$E34,+IF(M$18='5.Variables'!$B$39,+'5.Variables'!$E58,+IF(M$18='5.Variables'!$B$62,+'5.Variables'!$E72,+IF(M$18='5.Variables'!$B$76,+'5.Variables'!$E86,+IF(M$18='5.Variables'!$B$90,+'5.Variables'!$E100,+IF(M$18='5.Variables'!$B$104,+'5.Variables'!$E114,0))))))</f>
        <v>336</v>
      </c>
      <c r="N118" s="667">
        <f>IF(N$18='5.Variables'!$B$16,+'5.Variables'!$E34,+IF(N$18='5.Variables'!$B$39,+'5.Variables'!$E58,+IF(N$18='5.Variables'!$B$62,+'5.Variables'!$E72,+IF(N$18='5.Variables'!$B$76,+'5.Variables'!$E86,+IF(N$18='5.Variables'!$B$90,+'5.Variables'!$E100,+IF(N$18='5.Variables'!$B$104,+'5.Variables'!$E114,0))))))</f>
        <v>1</v>
      </c>
      <c r="O118" s="1052">
        <v>10486</v>
      </c>
      <c r="P118" s="232"/>
      <c r="Q118" s="530">
        <f t="shared" si="12"/>
        <v>22178390.596340332</v>
      </c>
      <c r="R118" s="250"/>
      <c r="S118" s="232"/>
      <c r="T118" s="232"/>
      <c r="U118" s="232"/>
      <c r="V118" s="232"/>
      <c r="W118" s="232"/>
      <c r="X118" s="232"/>
      <c r="Y118" s="232"/>
      <c r="Z118" s="232"/>
      <c r="AA118" s="232"/>
      <c r="AB118" s="232"/>
      <c r="AC118" s="232"/>
      <c r="AD118" s="232"/>
      <c r="AE118" s="232"/>
      <c r="AF118" s="232"/>
      <c r="AG118" s="232"/>
      <c r="AH118" s="232"/>
      <c r="AI118" s="232"/>
      <c r="AJ118" s="232"/>
      <c r="AK118" s="232"/>
      <c r="AL118" s="232"/>
    </row>
    <row r="119" spans="1:38">
      <c r="A119" s="484">
        <f t="shared" si="11"/>
        <v>100</v>
      </c>
      <c r="B119" s="985" t="str">
        <f>CONCATENATE('3. Consumption by Rate Class'!B124,"-",'3. Consumption by Rate Class'!C124)</f>
        <v>2019-April</v>
      </c>
      <c r="C119" s="982">
        <v>19763774.23</v>
      </c>
      <c r="D119" s="983"/>
      <c r="E119" s="984"/>
      <c r="F119" s="989"/>
      <c r="G119" s="989"/>
      <c r="H119" s="989"/>
      <c r="I119" s="530">
        <f t="shared" si="10"/>
        <v>19763774.23</v>
      </c>
      <c r="J119" s="667">
        <f>IF(J$18='5.Variables'!$B$16,+'5.Variables'!$F35,+IF(J$18='5.Variables'!$B$39,+'5.Variables'!$F58,+IF(J$18='5.Variables'!$B$62,+'5.Variables'!$F72,+IF(J$18='5.Variables'!$B$76,+'5.Variables'!$F86,+IF(J$18='5.Variables'!$B$90,+'5.Variables'!$F100,+IF(J$18='5.Variables'!$B$104,+'5.Variables'!$F114,0))))))</f>
        <v>363.9</v>
      </c>
      <c r="K119" s="667">
        <f>IF(K$18='5.Variables'!$B$16,+'5.Variables'!$F34,+IF(K$18='5.Variables'!$B$39,+'5.Variables'!$F58,+IF(K$18='5.Variables'!$B$62,+'5.Variables'!$F72,+IF(K$18='5.Variables'!$B$76,+'5.Variables'!$F86,+IF(K$18='5.Variables'!$B$90,+'5.Variables'!$F100,+IF(K$18='5.Variables'!$B$104,+'5.Variables'!$F114,0))))))</f>
        <v>0</v>
      </c>
      <c r="L119" s="667">
        <f>IF(L$18='5.Variables'!$B$16,+'5.Variables'!$F34,+IF(L$18='5.Variables'!$B$39,+'5.Variables'!$F58,+IF(L$18='5.Variables'!$B$62,+'5.Variables'!$F72,+IF(L$18='5.Variables'!$B$76,+'5.Variables'!$F86,+IF(L$18='5.Variables'!$B$90,+'5.Variables'!$F100,+IF(L$18='5.Variables'!$B$104,+'5.Variables'!$F114,0))))))</f>
        <v>30</v>
      </c>
      <c r="M119" s="667">
        <f>IF(M$18='5.Variables'!$B$16,+'5.Variables'!$F34,+IF(M$18='5.Variables'!$B$39,+'5.Variables'!$F58,+IF(M$18='5.Variables'!$B$62,+'5.Variables'!$F72,+IF(M$18='5.Variables'!$B$76,+'5.Variables'!$F86,+IF(M$18='5.Variables'!$B$90,+'5.Variables'!$F100,+IF(M$18='5.Variables'!$B$104,+'5.Variables'!$F114,0))))))</f>
        <v>336</v>
      </c>
      <c r="N119" s="667">
        <f>IF(N$18='5.Variables'!$B$16,+'5.Variables'!$F34,+IF(N$18='5.Variables'!$B$39,+'5.Variables'!$F58,+IF(N$18='5.Variables'!$B$62,+'5.Variables'!$F72,+IF(N$18='5.Variables'!$B$76,+'5.Variables'!$F86,+IF(N$18='5.Variables'!$B$90,+'5.Variables'!$F100,+IF(N$18='5.Variables'!$B$104,+'5.Variables'!$F114,0))))))</f>
        <v>1</v>
      </c>
      <c r="O119" s="1052">
        <v>10498</v>
      </c>
      <c r="P119" s="232"/>
      <c r="Q119" s="530">
        <f t="shared" si="12"/>
        <v>20374730.709491659</v>
      </c>
      <c r="R119" s="250"/>
      <c r="S119" s="232"/>
      <c r="T119" s="232"/>
      <c r="U119" s="232"/>
      <c r="V119" s="232"/>
      <c r="W119" s="232"/>
      <c r="X119" s="232"/>
      <c r="Y119" s="232"/>
      <c r="Z119" s="232"/>
      <c r="AA119" s="232"/>
      <c r="AB119" s="232"/>
      <c r="AC119" s="232"/>
      <c r="AD119" s="232"/>
      <c r="AE119" s="232"/>
      <c r="AF119" s="232"/>
      <c r="AG119" s="232"/>
      <c r="AH119" s="232"/>
      <c r="AI119" s="232"/>
      <c r="AJ119" s="232"/>
      <c r="AK119" s="232"/>
      <c r="AL119" s="232"/>
    </row>
    <row r="120" spans="1:38">
      <c r="A120" s="484">
        <f t="shared" si="11"/>
        <v>101</v>
      </c>
      <c r="B120" s="985" t="str">
        <f>CONCATENATE('3. Consumption by Rate Class'!B125,"-",'3. Consumption by Rate Class'!C125)</f>
        <v>2019-May</v>
      </c>
      <c r="C120" s="982">
        <v>19117222.050000001</v>
      </c>
      <c r="D120" s="983"/>
      <c r="E120" s="984"/>
      <c r="F120" s="989"/>
      <c r="G120" s="989"/>
      <c r="H120" s="989"/>
      <c r="I120" s="530">
        <f t="shared" si="10"/>
        <v>19117222.050000001</v>
      </c>
      <c r="J120" s="667">
        <f>IF(J$18='5.Variables'!$B$16,+'5.Variables'!$G35,+IF(J$18='5.Variables'!$B$39,+'5.Variables'!$G58,+IF(J$18='5.Variables'!$B$62,+'5.Variables'!$G72,+IF(J$18='5.Variables'!$B$76,+'5.Variables'!$G86,+IF(J$18='5.Variables'!$B$90,+'5.Variables'!$G100,+IF(J$18='5.Variables'!$B$104,+'5.Variables'!$G114,0))))))</f>
        <v>237.9</v>
      </c>
      <c r="K120" s="667">
        <f>IF(K$18='5.Variables'!$B$16,+'5.Variables'!$G34,+IF(K$18='5.Variables'!$B$39,+'5.Variables'!$G58,+IF(K$18='5.Variables'!$B$62,+'5.Variables'!$G72,+IF(K$18='5.Variables'!$B$76,+'5.Variables'!$G86,+IF(K$18='5.Variables'!$B$90,+'5.Variables'!$G100,+IF(K$18='5.Variables'!$B$104,+'5.Variables'!$G114,0))))))</f>
        <v>0</v>
      </c>
      <c r="L120" s="667">
        <f>IF(L$18='5.Variables'!$B$16,+'5.Variables'!$G34,+IF(L$18='5.Variables'!$B$39,+'5.Variables'!$G58,+IF(L$18='5.Variables'!$B$62,+'5.Variables'!$G72,+IF(L$18='5.Variables'!$B$76,+'5.Variables'!$G86,+IF(L$18='5.Variables'!$B$90,+'5.Variables'!$G100,+IF(L$18='5.Variables'!$B$104,+'5.Variables'!$G114,0))))))</f>
        <v>31</v>
      </c>
      <c r="M120" s="667">
        <f>IF(M$18='5.Variables'!$B$16,+'5.Variables'!$G34,+IF(M$18='5.Variables'!$B$39,+'5.Variables'!$G58,+IF(M$18='5.Variables'!$B$62,+'5.Variables'!$G72,+IF(M$18='5.Variables'!$B$76,+'5.Variables'!$G86,+IF(M$18='5.Variables'!$B$90,+'5.Variables'!$G100,+IF(M$18='5.Variables'!$B$104,+'5.Variables'!$G114,0))))))</f>
        <v>352</v>
      </c>
      <c r="N120" s="667">
        <f>IF(N$18='5.Variables'!$B$16,+'5.Variables'!$G34,+IF(N$18='5.Variables'!$B$39,+'5.Variables'!$G58,+IF(N$18='5.Variables'!$B$62,+'5.Variables'!$G72,+IF(N$18='5.Variables'!$B$76,+'5.Variables'!$G86,+IF(N$18='5.Variables'!$B$90,+'5.Variables'!$G100,+IF(N$18='5.Variables'!$B$104,+'5.Variables'!$G114,0))))))</f>
        <v>1</v>
      </c>
      <c r="O120" s="1052">
        <v>10509</v>
      </c>
      <c r="P120" s="232"/>
      <c r="Q120" s="530">
        <f t="shared" si="12"/>
        <v>20035203.065154057</v>
      </c>
      <c r="R120" s="250"/>
      <c r="S120" s="232"/>
      <c r="T120" s="232"/>
      <c r="U120" s="232"/>
      <c r="V120" s="232"/>
      <c r="W120" s="232"/>
      <c r="X120" s="232"/>
      <c r="Y120" s="232"/>
      <c r="Z120" s="232"/>
      <c r="AA120" s="232"/>
      <c r="AB120" s="232"/>
      <c r="AC120" s="232"/>
      <c r="AD120" s="232"/>
      <c r="AE120" s="232"/>
      <c r="AF120" s="232"/>
      <c r="AG120" s="232"/>
      <c r="AH120" s="232"/>
      <c r="AI120" s="232"/>
      <c r="AJ120" s="232"/>
      <c r="AK120" s="232"/>
      <c r="AL120" s="232"/>
    </row>
    <row r="121" spans="1:38">
      <c r="A121" s="484">
        <f t="shared" si="11"/>
        <v>102</v>
      </c>
      <c r="B121" s="985" t="str">
        <f>CONCATENATE('3. Consumption by Rate Class'!B126,"-",'3. Consumption by Rate Class'!C126)</f>
        <v>2019-June</v>
      </c>
      <c r="C121" s="982">
        <v>18873505.469999999</v>
      </c>
      <c r="D121" s="983"/>
      <c r="E121" s="984"/>
      <c r="F121" s="989"/>
      <c r="G121" s="989"/>
      <c r="H121" s="989"/>
      <c r="I121" s="530">
        <f t="shared" si="10"/>
        <v>18873505.469999999</v>
      </c>
      <c r="J121" s="667">
        <f>IF(J$18='5.Variables'!$B$16,+'5.Variables'!$H35,+IF(J$18='5.Variables'!$B$39,+'5.Variables'!$H58,+IF(J$18='5.Variables'!$B$62,+'5.Variables'!$H72,+IF(J$18='5.Variables'!$B$76,+'5.Variables'!$H86,+IF(J$18='5.Variables'!$B$90,+'5.Variables'!$H100,+IF(J$18='5.Variables'!$B$104,+'5.Variables'!$H114,0))))))</f>
        <v>79.8</v>
      </c>
      <c r="K121" s="667">
        <f>IF(K$18='5.Variables'!$B$16,+'5.Variables'!$H34,+IF(K$18='5.Variables'!$B$39,+'5.Variables'!$H58,+IF(K$18='5.Variables'!$B$62,+'5.Variables'!$H72,+IF(K$18='5.Variables'!$B$76,+'5.Variables'!$H86,+IF(K$18='5.Variables'!$B$90,+'5.Variables'!$H100,+IF(K$18='5.Variables'!$B$104,+'5.Variables'!$H114,0))))))</f>
        <v>14.4</v>
      </c>
      <c r="L121" s="667">
        <f>IF(L$18='5.Variables'!$B$16,+'5.Variables'!$H34,+IF(L$18='5.Variables'!$B$39,+'5.Variables'!$H58,+IF(L$18='5.Variables'!$B$62,+'5.Variables'!$H72,+IF(L$18='5.Variables'!$B$76,+'5.Variables'!$H86,+IF(L$18='5.Variables'!$B$90,+'5.Variables'!$H100,+IF(L$18='5.Variables'!$B$104,+'5.Variables'!$H114,0))))))</f>
        <v>30</v>
      </c>
      <c r="M121" s="667">
        <f>IF(M$18='5.Variables'!$B$16,+'5.Variables'!$H34,+IF(M$18='5.Variables'!$B$39,+'5.Variables'!$H58,+IF(M$18='5.Variables'!$B$62,+'5.Variables'!$H72,+IF(M$18='5.Variables'!$B$76,+'5.Variables'!$H86,+IF(M$18='5.Variables'!$B$90,+'5.Variables'!$H100,+IF(M$18='5.Variables'!$B$104,+'5.Variables'!$H114,0))))))</f>
        <v>320</v>
      </c>
      <c r="N121" s="667">
        <f>IF(N$18='5.Variables'!$B$16,+'5.Variables'!$H34,+IF(N$18='5.Variables'!$B$39,+'5.Variables'!$H58,+IF(N$18='5.Variables'!$B$62,+'5.Variables'!$H72,+IF(N$18='5.Variables'!$B$76,+'5.Variables'!$H86,+IF(N$18='5.Variables'!$B$90,+'5.Variables'!$H100,+IF(N$18='5.Variables'!$B$104,+'5.Variables'!$H114,0))))))</f>
        <v>0</v>
      </c>
      <c r="O121" s="1052">
        <v>10514</v>
      </c>
      <c r="P121" s="232"/>
      <c r="Q121" s="530">
        <f t="shared" si="12"/>
        <v>19631282.598626312</v>
      </c>
      <c r="R121" s="250"/>
      <c r="S121" s="232"/>
      <c r="T121" s="232"/>
      <c r="U121" s="232"/>
      <c r="V121" s="232"/>
      <c r="W121" s="232"/>
      <c r="X121" s="232"/>
      <c r="Y121" s="232"/>
      <c r="Z121" s="232"/>
      <c r="AA121" s="232"/>
      <c r="AB121" s="232"/>
      <c r="AC121" s="232"/>
      <c r="AD121" s="232"/>
      <c r="AE121" s="232"/>
      <c r="AF121" s="232"/>
      <c r="AG121" s="232"/>
      <c r="AH121" s="232"/>
      <c r="AI121" s="232"/>
      <c r="AJ121" s="232"/>
      <c r="AK121" s="232"/>
      <c r="AL121" s="232"/>
    </row>
    <row r="122" spans="1:38">
      <c r="A122" s="484">
        <f t="shared" si="11"/>
        <v>103</v>
      </c>
      <c r="B122" s="985" t="str">
        <f>CONCATENATE('3. Consumption by Rate Class'!B127,"-",'3. Consumption by Rate Class'!C127)</f>
        <v>2019-July</v>
      </c>
      <c r="C122" s="982">
        <f>22578956.49-3000000</f>
        <v>19578956.489999998</v>
      </c>
      <c r="D122" s="983"/>
      <c r="E122" s="984"/>
      <c r="F122" s="989"/>
      <c r="G122" s="989"/>
      <c r="H122" s="989"/>
      <c r="I122" s="530">
        <f t="shared" si="10"/>
        <v>19578956.489999998</v>
      </c>
      <c r="J122" s="667">
        <f>IF(J$18='5.Variables'!$B$16,+'5.Variables'!$I35,+IF(J$18='5.Variables'!$B$39,+'5.Variables'!$I58,+IF(J$18='5.Variables'!$B$62,+'5.Variables'!$I72,+IF(J$18='5.Variables'!$B$76,+'5.Variables'!$I86,+IF(J$18='5.Variables'!$B$90,+'5.Variables'!$I100,+IF(J$18='5.Variables'!$B$104,+'5.Variables'!$I114,0))))))</f>
        <v>2</v>
      </c>
      <c r="K122" s="667">
        <f>IF(K$18='5.Variables'!$B$16,+'5.Variables'!$I34,+IF(K$18='5.Variables'!$B$39,+'5.Variables'!$I58,+IF(K$18='5.Variables'!$B$62,+'5.Variables'!$I72,+IF(K$18='5.Variables'!$B$76,+'5.Variables'!$I86,+IF(K$18='5.Variables'!$B$90,+'5.Variables'!$I100,+IF(K$18='5.Variables'!$B$104,+'5.Variables'!$I114,0))))))</f>
        <v>61.4</v>
      </c>
      <c r="L122" s="667">
        <f>IF(L$18='5.Variables'!$B$16,+'5.Variables'!$I34,+IF(L$18='5.Variables'!$B$39,+'5.Variables'!$I58,+IF(L$18='5.Variables'!$B$62,+'5.Variables'!$I72,+IF(L$18='5.Variables'!$B$76,+'5.Variables'!$I86,+IF(L$18='5.Variables'!$B$90,+'5.Variables'!$I100,+IF(L$18='5.Variables'!$B$104,+'5.Variables'!$I114,0))))))</f>
        <v>31</v>
      </c>
      <c r="M122" s="667">
        <f>IF(M$18='5.Variables'!$B$16,+'5.Variables'!$I34,+IF(M$18='5.Variables'!$B$39,+'5.Variables'!$I58,+IF(M$18='5.Variables'!$B$62,+'5.Variables'!$I72,+IF(M$18='5.Variables'!$B$76,+'5.Variables'!$I86,+IF(M$18='5.Variables'!$B$90,+'5.Variables'!$I100,+IF(M$18='5.Variables'!$B$104,+'5.Variables'!$I114,0))))))</f>
        <v>352</v>
      </c>
      <c r="N122" s="667">
        <f>IF(N$18='5.Variables'!$B$16,+'5.Variables'!$I34,+IF(N$18='5.Variables'!$B$39,+'5.Variables'!$I58,+IF(N$18='5.Variables'!$B$62,+'5.Variables'!$I72,+IF(N$18='5.Variables'!$B$76,+'5.Variables'!$I86,+IF(N$18='5.Variables'!$B$90,+'5.Variables'!$I100,+IF(N$18='5.Variables'!$B$104,+'5.Variables'!$I114,0))))))</f>
        <v>0</v>
      </c>
      <c r="O122" s="1052">
        <v>10512</v>
      </c>
      <c r="P122" s="232"/>
      <c r="Q122" s="530">
        <f t="shared" si="12"/>
        <v>21603300.869132973</v>
      </c>
      <c r="R122" s="250"/>
      <c r="S122" s="232"/>
      <c r="T122" s="232"/>
      <c r="U122" s="232"/>
      <c r="V122" s="232"/>
      <c r="W122" s="232"/>
      <c r="X122" s="232"/>
      <c r="Y122" s="232"/>
      <c r="Z122" s="232"/>
      <c r="AA122" s="232"/>
      <c r="AB122" s="232"/>
      <c r="AC122" s="232"/>
      <c r="AD122" s="232"/>
      <c r="AE122" s="232"/>
      <c r="AF122" s="232"/>
      <c r="AG122" s="232"/>
      <c r="AH122" s="232"/>
      <c r="AI122" s="232"/>
      <c r="AJ122" s="232"/>
      <c r="AK122" s="232"/>
      <c r="AL122" s="232"/>
    </row>
    <row r="123" spans="1:38">
      <c r="A123" s="484">
        <f t="shared" si="11"/>
        <v>104</v>
      </c>
      <c r="B123" s="985" t="str">
        <f>CONCATENATE('3. Consumption by Rate Class'!B128,"-",'3. Consumption by Rate Class'!C128)</f>
        <v>2019-August</v>
      </c>
      <c r="C123" s="982">
        <v>21027087.719999999</v>
      </c>
      <c r="D123" s="983"/>
      <c r="E123" s="984"/>
      <c r="F123" s="989"/>
      <c r="G123" s="989"/>
      <c r="H123" s="989"/>
      <c r="I123" s="530">
        <f t="shared" si="10"/>
        <v>21027087.719999999</v>
      </c>
      <c r="J123" s="667">
        <f>IF(J$18='5.Variables'!$B$16,+'5.Variables'!$J35,+IF(J$18='5.Variables'!$B$39,+'5.Variables'!$J58,+IF(J$18='5.Variables'!$B$62,+'5.Variables'!$J72,+IF(J$18='5.Variables'!$B$76,+'5.Variables'!$J86,+IF(J$18='5.Variables'!$B$90,+'5.Variables'!$J100,+IF(J$18='5.Variables'!$B$104,+'5.Variables'!$J114,0))))))</f>
        <v>7.5</v>
      </c>
      <c r="K123" s="667">
        <f>IF(K$18='5.Variables'!$B$16,+'5.Variables'!$J34,+IF(K$18='5.Variables'!$B$39,+'5.Variables'!$J58,+IF(K$18='5.Variables'!$B$62,+'5.Variables'!$J72,+IF(K$18='5.Variables'!$B$76,+'5.Variables'!$J86,+IF(K$18='5.Variables'!$B$90,+'5.Variables'!$J100,+IF(K$18='5.Variables'!$B$104,+'5.Variables'!$J114,0))))))</f>
        <v>47</v>
      </c>
      <c r="L123" s="667">
        <f>IF(L$18='5.Variables'!$B$16,+'5.Variables'!$J34,+IF(L$18='5.Variables'!$B$39,+'5.Variables'!$J58,+IF(L$18='5.Variables'!$B$62,+'5.Variables'!$J72,+IF(L$18='5.Variables'!$B$76,+'5.Variables'!$J86,+IF(L$18='5.Variables'!$B$90,+'5.Variables'!$J100,+IF(L$18='5.Variables'!$B$104,+'5.Variables'!$J114,0))))))</f>
        <v>31</v>
      </c>
      <c r="M123" s="667">
        <f>IF(M$18='5.Variables'!$B$16,+'5.Variables'!$J34,+IF(M$18='5.Variables'!$B$39,+'5.Variables'!$J58,+IF(M$18='5.Variables'!$B$62,+'5.Variables'!$J72,+IF(M$18='5.Variables'!$B$76,+'5.Variables'!$J86,+IF(M$18='5.Variables'!$B$90,+'5.Variables'!$J100,+IF(M$18='5.Variables'!$B$104,+'5.Variables'!$J114,0))))))</f>
        <v>336</v>
      </c>
      <c r="N123" s="667">
        <f>IF(N$18='5.Variables'!$B$16,+'5.Variables'!$J34,+IF(N$18='5.Variables'!$B$39,+'5.Variables'!$J58,+IF(N$18='5.Variables'!$B$62,+'5.Variables'!$J72,+IF(N$18='5.Variables'!$B$76,+'5.Variables'!$J86,+IF(N$18='5.Variables'!$B$90,+'5.Variables'!$J100,+IF(N$18='5.Variables'!$B$104,+'5.Variables'!$J114,0))))))</f>
        <v>0</v>
      </c>
      <c r="O123" s="1052">
        <v>10514</v>
      </c>
      <c r="P123" s="232"/>
      <c r="Q123" s="530">
        <f t="shared" si="12"/>
        <v>20948900.103399575</v>
      </c>
      <c r="R123" s="250"/>
      <c r="S123" s="232"/>
      <c r="T123" s="232"/>
      <c r="U123" s="232"/>
      <c r="V123" s="232"/>
      <c r="W123" s="232"/>
      <c r="X123" s="232"/>
      <c r="Y123" s="232"/>
      <c r="Z123" s="232"/>
      <c r="AA123" s="232"/>
      <c r="AB123" s="232"/>
      <c r="AC123" s="232"/>
      <c r="AD123" s="232"/>
      <c r="AE123" s="232"/>
      <c r="AF123" s="232"/>
      <c r="AG123" s="232"/>
      <c r="AH123" s="232"/>
      <c r="AI123" s="232"/>
      <c r="AJ123" s="232"/>
      <c r="AK123" s="232"/>
      <c r="AL123" s="232"/>
    </row>
    <row r="124" spans="1:38">
      <c r="A124" s="484">
        <f t="shared" si="11"/>
        <v>105</v>
      </c>
      <c r="B124" s="985" t="str">
        <f>CONCATENATE('3. Consumption by Rate Class'!B129,"-",'3. Consumption by Rate Class'!C129)</f>
        <v>2019-September</v>
      </c>
      <c r="C124" s="982">
        <f>19179693.88-3000000</f>
        <v>16179693.879999999</v>
      </c>
      <c r="D124" s="983"/>
      <c r="E124" s="984"/>
      <c r="F124" s="989"/>
      <c r="G124" s="989"/>
      <c r="H124" s="989"/>
      <c r="I124" s="530">
        <f t="shared" si="10"/>
        <v>16179693.879999999</v>
      </c>
      <c r="J124" s="667">
        <f>IF(J$18='5.Variables'!$B$16,+'5.Variables'!$K35,+IF(J$18='5.Variables'!$B$39,+'5.Variables'!$K58,+IF(J$18='5.Variables'!$B$62,+'5.Variables'!$K72,+IF(J$18='5.Variables'!$B$76,+'5.Variables'!$K86,+IF(J$18='5.Variables'!$B$90,+'5.Variables'!$K100,+IF(J$18='5.Variables'!$B$104,+'5.Variables'!$K114,0))))))</f>
        <v>71.5</v>
      </c>
      <c r="K124" s="667">
        <f>IF(K$18='5.Variables'!$B$16,+'5.Variables'!$K34,+IF(K$18='5.Variables'!$B$39,+'5.Variables'!$K58,+IF(K$18='5.Variables'!$B$62,+'5.Variables'!$K72,+IF(K$18='5.Variables'!$B$76,+'5.Variables'!$K86,+IF(K$18='5.Variables'!$B$90,+'5.Variables'!$K100,+IF(K$18='5.Variables'!$B$104,+'5.Variables'!$K114,0))))))</f>
        <v>5.2</v>
      </c>
      <c r="L124" s="667">
        <f>IF(L$18='5.Variables'!$B$16,+'5.Variables'!$K34,+IF(L$18='5.Variables'!$B$39,+'5.Variables'!$K58,+IF(L$18='5.Variables'!$B$62,+'5.Variables'!$K72,+IF(L$18='5.Variables'!$B$76,+'5.Variables'!$K86,+IF(L$18='5.Variables'!$B$90,+'5.Variables'!$K100,+IF(L$18='5.Variables'!$B$104,+'5.Variables'!$K114,0))))))</f>
        <v>30</v>
      </c>
      <c r="M124" s="667">
        <f>IF(M$18='5.Variables'!$B$16,+'5.Variables'!$K34,+IF(M$18='5.Variables'!$B$39,+'5.Variables'!$K58,+IF(M$18='5.Variables'!$B$62,+'5.Variables'!$K72,+IF(M$18='5.Variables'!$B$76,+'5.Variables'!$K86,+IF(M$18='5.Variables'!$B$90,+'5.Variables'!$K100,+IF(M$18='5.Variables'!$B$104,+'5.Variables'!$K114,0))))))</f>
        <v>320</v>
      </c>
      <c r="N124" s="667">
        <f>IF(N$18='5.Variables'!$B$16,+'5.Variables'!$K34,+IF(N$18='5.Variables'!$B$39,+'5.Variables'!$K58,+IF(N$18='5.Variables'!$B$62,+'5.Variables'!$K72,+IF(N$18='5.Variables'!$B$76,+'5.Variables'!$K86,+IF(N$18='5.Variables'!$B$90,+'5.Variables'!$K100,+IF(N$18='5.Variables'!$B$104,+'5.Variables'!$K114,0))))))</f>
        <v>1</v>
      </c>
      <c r="O124" s="1052">
        <v>10519</v>
      </c>
      <c r="P124" s="232"/>
      <c r="Q124" s="530">
        <f t="shared" si="12"/>
        <v>18538196.227949683</v>
      </c>
      <c r="R124" s="250"/>
      <c r="S124" s="232"/>
      <c r="T124" s="232"/>
      <c r="U124" s="232"/>
      <c r="V124" s="232"/>
      <c r="W124" s="232"/>
      <c r="X124" s="232"/>
      <c r="Y124" s="232"/>
      <c r="Z124" s="232"/>
      <c r="AA124" s="232"/>
      <c r="AB124" s="232"/>
      <c r="AC124" s="232"/>
      <c r="AD124" s="232"/>
      <c r="AE124" s="232"/>
      <c r="AF124" s="232"/>
      <c r="AG124" s="232"/>
      <c r="AH124" s="232"/>
      <c r="AI124" s="232"/>
      <c r="AJ124" s="232"/>
      <c r="AK124" s="232"/>
      <c r="AL124" s="232"/>
    </row>
    <row r="125" spans="1:38">
      <c r="A125" s="484">
        <f t="shared" si="11"/>
        <v>106</v>
      </c>
      <c r="B125" s="985" t="str">
        <f>CONCATENATE('3. Consumption by Rate Class'!B130,"-",'3. Consumption by Rate Class'!C130)</f>
        <v>2019-October</v>
      </c>
      <c r="C125" s="982">
        <v>19223290.149999999</v>
      </c>
      <c r="D125" s="983"/>
      <c r="E125" s="984"/>
      <c r="F125" s="989"/>
      <c r="G125" s="989"/>
      <c r="H125" s="989"/>
      <c r="I125" s="530">
        <f t="shared" si="10"/>
        <v>19223290.149999999</v>
      </c>
      <c r="J125" s="667">
        <f>IF(J$18='5.Variables'!$B$16,+'5.Variables'!$L35,+IF(J$18='5.Variables'!$B$39,+'5.Variables'!$L58,+IF(J$18='5.Variables'!$B$62,+'5.Variables'!$L72,+IF(J$18='5.Variables'!$B$76,+'5.Variables'!$L86,+IF(J$18='5.Variables'!$B$90,+'5.Variables'!$L100,+IF(J$18='5.Variables'!$B$104,+'5.Variables'!$L114,0))))))</f>
        <v>236.6</v>
      </c>
      <c r="K125" s="667">
        <f>IF(K$18='5.Variables'!$B$16,+'5.Variables'!$L34,+IF(K$18='5.Variables'!$B$39,+'5.Variables'!$L58,+IF(K$18='5.Variables'!$B$62,+'5.Variables'!$L72,+IF(K$18='5.Variables'!$B$76,+'5.Variables'!$L86,+IF(K$18='5.Variables'!$B$90,+'5.Variables'!$L100,+IF(K$18='5.Variables'!$B$104,+'5.Variables'!$L114,0))))))</f>
        <v>1.2</v>
      </c>
      <c r="L125" s="667">
        <f>IF(L$18='5.Variables'!$B$16,+'5.Variables'!$L34,+IF(L$18='5.Variables'!$B$39,+'5.Variables'!$L58,+IF(L$18='5.Variables'!$B$62,+'5.Variables'!$L72,+IF(L$18='5.Variables'!$B$76,+'5.Variables'!$L86,+IF(L$18='5.Variables'!$B$90,+'5.Variables'!$L100,+IF(L$18='5.Variables'!$B$104,+'5.Variables'!$L114,0))))))</f>
        <v>31</v>
      </c>
      <c r="M125" s="667">
        <f>IF(M$18='5.Variables'!$B$16,+'5.Variables'!$L34,+IF(M$18='5.Variables'!$B$39,+'5.Variables'!$L58,+IF(M$18='5.Variables'!$B$62,+'5.Variables'!$L72,+IF(M$18='5.Variables'!$B$76,+'5.Variables'!$L86,+IF(M$18='5.Variables'!$B$90,+'5.Variables'!$L100,+IF(M$18='5.Variables'!$B$104,+'5.Variables'!$L114,0))))))</f>
        <v>352</v>
      </c>
      <c r="N125" s="667">
        <f>IF(N$18='5.Variables'!$B$16,+'5.Variables'!$L34,+IF(N$18='5.Variables'!$B$39,+'5.Variables'!$L58,+IF(N$18='5.Variables'!$B$62,+'5.Variables'!$L72,+IF(N$18='5.Variables'!$B$76,+'5.Variables'!$L86,+IF(N$18='5.Variables'!$B$90,+'5.Variables'!$L100,+IF(N$18='5.Variables'!$B$104,+'5.Variables'!$L114,0))))))</f>
        <v>1</v>
      </c>
      <c r="O125" s="1052">
        <v>10528</v>
      </c>
      <c r="P125" s="232"/>
      <c r="Q125" s="530">
        <f t="shared" si="12"/>
        <v>20074602.957531296</v>
      </c>
      <c r="R125" s="250"/>
      <c r="S125" s="232"/>
      <c r="T125" s="232"/>
      <c r="U125" s="232"/>
      <c r="V125" s="232"/>
      <c r="W125" s="232"/>
      <c r="X125" s="232"/>
      <c r="Y125" s="232"/>
      <c r="Z125" s="232"/>
      <c r="AA125" s="232"/>
      <c r="AB125" s="232"/>
      <c r="AC125" s="232"/>
      <c r="AD125" s="232"/>
      <c r="AE125" s="232"/>
      <c r="AF125" s="232"/>
      <c r="AG125" s="232"/>
      <c r="AH125" s="232"/>
      <c r="AI125" s="232"/>
      <c r="AJ125" s="232"/>
      <c r="AK125" s="232"/>
      <c r="AL125" s="232"/>
    </row>
    <row r="126" spans="1:38">
      <c r="A126" s="484">
        <f t="shared" si="11"/>
        <v>107</v>
      </c>
      <c r="B126" s="985" t="str">
        <f>CONCATENATE('3. Consumption by Rate Class'!B131,"-",'3. Consumption by Rate Class'!C131)</f>
        <v>2019-November</v>
      </c>
      <c r="C126" s="982">
        <v>21470220.129999999</v>
      </c>
      <c r="D126" s="983"/>
      <c r="E126" s="984"/>
      <c r="F126" s="989"/>
      <c r="G126" s="989"/>
      <c r="H126" s="989"/>
      <c r="I126" s="530">
        <f t="shared" si="10"/>
        <v>21470220.129999999</v>
      </c>
      <c r="J126" s="667">
        <f>IF(J$18='5.Variables'!$B$16,+'5.Variables'!$M35,+IF(J$18='5.Variables'!$B$39,+'5.Variables'!$M58,+IF(J$18='5.Variables'!$B$62,+'5.Variables'!$M72,+IF(J$18='5.Variables'!$B$76,+'5.Variables'!$M86,+IF(J$18='5.Variables'!$B$90,+'5.Variables'!$M100,+IF(J$18='5.Variables'!$B$104,+'5.Variables'!$M114,0))))))</f>
        <v>523.70000000000005</v>
      </c>
      <c r="K126" s="667">
        <f>IF(K$18='5.Variables'!$B$16,+'5.Variables'!$M34,+IF(K$18='5.Variables'!$B$39,+'5.Variables'!$M58,+IF(K$18='5.Variables'!$B$62,+'5.Variables'!$M72,+IF(K$18='5.Variables'!$B$76,+'5.Variables'!$M86,+IF(K$18='5.Variables'!$B$90,+'5.Variables'!$M100,+IF(K$18='5.Variables'!$B$104,+'5.Variables'!$M114,0))))))</f>
        <v>0</v>
      </c>
      <c r="L126" s="667">
        <f>IF(L$18='5.Variables'!$B$16,+'5.Variables'!$M34,+IF(L$18='5.Variables'!$B$39,+'5.Variables'!$M58,+IF(L$18='5.Variables'!$B$62,+'5.Variables'!$M72,+IF(L$18='5.Variables'!$B$76,+'5.Variables'!$M86,+IF(L$18='5.Variables'!$B$90,+'5.Variables'!$M100,+IF(L$18='5.Variables'!$B$104,+'5.Variables'!$M114,0))))))</f>
        <v>30</v>
      </c>
      <c r="M126" s="667">
        <f>IF(M$18='5.Variables'!$B$16,+'5.Variables'!$M34,+IF(M$18='5.Variables'!$B$39,+'5.Variables'!$M58,+IF(M$18='5.Variables'!$B$62,+'5.Variables'!$M72,+IF(M$18='5.Variables'!$B$76,+'5.Variables'!$M86,+IF(M$18='5.Variables'!$B$90,+'5.Variables'!$M100,+IF(M$18='5.Variables'!$B$104,+'5.Variables'!$M114,0))))))</f>
        <v>400</v>
      </c>
      <c r="N126" s="667">
        <f>IF(N$18='5.Variables'!$B$16,+'5.Variables'!$M34,+IF(N$18='5.Variables'!$B$39,+'5.Variables'!$M58,+IF(N$18='5.Variables'!$B$62,+'5.Variables'!$M72,+IF(N$18='5.Variables'!$B$76,+'5.Variables'!$M86,+IF(N$18='5.Variables'!$B$90,+'5.Variables'!$M100,+IF(N$18='5.Variables'!$B$104,+'5.Variables'!$M114,0))))))</f>
        <v>1</v>
      </c>
      <c r="O126" s="1052">
        <v>10556</v>
      </c>
      <c r="P126" s="232"/>
      <c r="Q126" s="530">
        <f t="shared" si="12"/>
        <v>21889886.759697206</v>
      </c>
      <c r="R126" s="250"/>
      <c r="S126" s="232"/>
      <c r="T126" s="232"/>
      <c r="U126" s="232"/>
      <c r="V126" s="232"/>
      <c r="W126" s="232"/>
      <c r="X126" s="232"/>
      <c r="Y126" s="232"/>
      <c r="Z126" s="232"/>
      <c r="AA126" s="232"/>
      <c r="AB126" s="232"/>
      <c r="AC126" s="232"/>
      <c r="AD126" s="232"/>
      <c r="AE126" s="232"/>
      <c r="AF126" s="232"/>
      <c r="AG126" s="232"/>
      <c r="AH126" s="232"/>
      <c r="AI126" s="232"/>
      <c r="AJ126" s="232"/>
      <c r="AK126" s="232"/>
      <c r="AL126" s="232"/>
    </row>
    <row r="127" spans="1:38">
      <c r="A127" s="484">
        <f t="shared" si="11"/>
        <v>108</v>
      </c>
      <c r="B127" s="501" t="str">
        <f>CONCATENATE('3. Consumption by Rate Class'!B132,"-",'3. Consumption by Rate Class'!C132)</f>
        <v>2019-December</v>
      </c>
      <c r="C127" s="650">
        <f>21761942.42</f>
        <v>21761942.420000002</v>
      </c>
      <c r="D127" s="778"/>
      <c r="E127" s="777"/>
      <c r="F127" s="777"/>
      <c r="G127" s="994"/>
      <c r="H127" s="994"/>
      <c r="I127" s="995">
        <f t="shared" si="10"/>
        <v>21761942.420000002</v>
      </c>
      <c r="J127" s="667">
        <f>IF(J$18='5.Variables'!$B$16,+'5.Variables'!$N35,+IF(J$18='5.Variables'!$B$39,+'5.Variables'!$N58,+IF(J$18='5.Variables'!$B$62,+'5.Variables'!$N72,+IF(J$18='5.Variables'!$B$76,+'5.Variables'!$N86,+IF(J$18='5.Variables'!$B$90,+'5.Variables'!$N100,+IF(J$18='5.Variables'!$B$104,+'5.Variables'!$N114,0))))))</f>
        <v>604</v>
      </c>
      <c r="K127" s="667">
        <f>IF(K$18='5.Variables'!$B$16,+'5.Variables'!$N34,+IF(K$18='5.Variables'!$B$39,+'5.Variables'!$N58,+IF(K$18='5.Variables'!$B$62,+'5.Variables'!$N72,+IF(K$18='5.Variables'!$B$76,+'5.Variables'!$N86,+IF(K$18='5.Variables'!$B$90,+'5.Variables'!$N100,+IF(K$18='5.Variables'!$B$104,+'5.Variables'!$N114,0))))))</f>
        <v>0</v>
      </c>
      <c r="L127" s="667">
        <f>IF(L$18='5.Variables'!$B$16,+'5.Variables'!$N34,+IF(L$18='5.Variables'!$B$39,+'5.Variables'!$N58,+IF(L$18='5.Variables'!$B$62,+'5.Variables'!$N72,+IF(L$18='5.Variables'!$B$76,+'5.Variables'!$N86,+IF(L$18='5.Variables'!$B$90,+'5.Variables'!$N100,+IF(L$18='5.Variables'!$B$104,+'5.Variables'!$N114,0))))))</f>
        <v>31</v>
      </c>
      <c r="M127" s="667">
        <f>IF(M$18='5.Variables'!$B$16,+'5.Variables'!$N34,+IF(M$18='5.Variables'!$B$39,+'5.Variables'!$N58,+IF(M$18='5.Variables'!$B$62,+'5.Variables'!$N72,+IF(M$18='5.Variables'!$B$76,+'5.Variables'!$N86,+IF(M$18='5.Variables'!$B$90,+'5.Variables'!$N100,+IF(M$18='5.Variables'!$B$104,+'5.Variables'!$N114,0))))))</f>
        <v>320</v>
      </c>
      <c r="N127" s="667">
        <f>IF(N$18='5.Variables'!$B$16,+'5.Variables'!$N34,+IF(N$18='5.Variables'!$B$39,+'5.Variables'!$N58,+IF(N$18='5.Variables'!$B$62,+'5.Variables'!$N72,+IF(N$18='5.Variables'!$B$76,+'5.Variables'!$N86,+IF(N$18='5.Variables'!$B$90,+'5.Variables'!$N100,+IF(N$18='5.Variables'!$B$104,+'5.Variables'!$N114,0))))))</f>
        <v>0</v>
      </c>
      <c r="O127" s="1052">
        <v>10556</v>
      </c>
      <c r="P127" s="232"/>
      <c r="Q127" s="530">
        <f t="shared" si="12"/>
        <v>22890944.359772243</v>
      </c>
      <c r="R127" s="250">
        <f>SUM(Q116:Q127)</f>
        <v>254184211.63141453</v>
      </c>
      <c r="S127" s="232"/>
      <c r="T127" s="232"/>
      <c r="U127" s="232"/>
      <c r="V127" s="232"/>
      <c r="W127" s="232"/>
      <c r="X127" s="232"/>
      <c r="Y127" s="232"/>
      <c r="Z127" s="232"/>
      <c r="AA127" s="232"/>
      <c r="AB127" s="232"/>
      <c r="AC127" s="232"/>
      <c r="AD127" s="232"/>
      <c r="AE127" s="232"/>
      <c r="AF127" s="232"/>
      <c r="AG127" s="232"/>
      <c r="AH127" s="232"/>
      <c r="AI127" s="232"/>
      <c r="AJ127" s="232"/>
      <c r="AK127" s="232"/>
      <c r="AL127" s="232"/>
    </row>
    <row r="128" spans="1:38">
      <c r="A128" s="484">
        <f t="shared" si="11"/>
        <v>109</v>
      </c>
      <c r="B128" s="985" t="str">
        <f>CONCATENATE('3. Consumption by Rate Class'!B133,"-",'3. Consumption by Rate Class'!C133)</f>
        <v>2020-January</v>
      </c>
      <c r="C128" s="982">
        <v>22935455.440000001</v>
      </c>
      <c r="D128" s="983"/>
      <c r="E128" s="984"/>
      <c r="F128" s="989"/>
      <c r="G128" s="989"/>
      <c r="H128" s="989"/>
      <c r="I128" s="530">
        <f t="shared" si="10"/>
        <v>22935455.440000001</v>
      </c>
      <c r="J128" s="667">
        <f>IF(J$18='5.Variables'!$B$16,+'5.Variables'!$C36,+IF(J$18='5.Variables'!$B$39,+'5.Variables'!$C59,+IF(J$18='5.Variables'!$B$62,+'5.Variables'!$C73,+IF(J$18='5.Variables'!$B$76,+'5.Variables'!$C87,+IF(J$18='5.Variables'!$B$90,+'5.Variables'!$C101,+IF(J$18='5.Variables'!$B$104,+'5.Variables'!$C115,0))))))</f>
        <v>624.79999999999995</v>
      </c>
      <c r="K128" s="667">
        <f>IF(K$18='5.Variables'!$B$16,+'5.Variables'!$C35,+IF(K$18='5.Variables'!$B$39,+'5.Variables'!$C59,+IF(K$18='5.Variables'!$B$62,+'5.Variables'!$C73,+IF(K$18='5.Variables'!$B$76,+'5.Variables'!$C87,+IF(K$18='5.Variables'!$B$90,+'5.Variables'!$C101,+IF(K$18='5.Variables'!$B$104,+'5.Variables'!$C115,0))))))</f>
        <v>0</v>
      </c>
      <c r="L128" s="667">
        <f>IF(L$18='5.Variables'!$B$16,+'5.Variables'!$C35,+IF(L$18='5.Variables'!$B$39,+'5.Variables'!$C59,+IF(L$18='5.Variables'!$B$62,+'5.Variables'!$C73,+IF(L$18='5.Variables'!$B$76,+'5.Variables'!$C87,+IF(L$18='5.Variables'!$B$90,+'5.Variables'!$C101,+IF(L$18='5.Variables'!$B$104,+'5.Variables'!$C115,0))))))</f>
        <v>31</v>
      </c>
      <c r="M128" s="667">
        <f>IF(M$18='5.Variables'!$B$16,+'5.Variables'!$C35,+IF(M$18='5.Variables'!$B$39,+'5.Variables'!$C59,+IF(M$18='5.Variables'!$B$62,+'5.Variables'!$C73,+IF(M$18='5.Variables'!$B$76,+'5.Variables'!$C87,+IF(M$18='5.Variables'!$B$90,+'5.Variables'!$C101,+IF(M$18='5.Variables'!$B$104,+'5.Variables'!$C115,0))))))</f>
        <v>352</v>
      </c>
      <c r="N128" s="667">
        <f>IF(N$18='5.Variables'!$B$16,+'5.Variables'!$C35,+IF(N$18='5.Variables'!$B$39,+'5.Variables'!$C59,+IF(N$18='5.Variables'!$B$62,+'5.Variables'!$C73,+IF(N$18='5.Variables'!$B$76,+'5.Variables'!$C87,+IF(N$18='5.Variables'!$B$90,+'5.Variables'!$C101,+IF(N$18='5.Variables'!$B$104,+'5.Variables'!$C115,0))))))</f>
        <v>0</v>
      </c>
      <c r="O128" s="1052">
        <v>10568</v>
      </c>
      <c r="P128" s="232"/>
      <c r="Q128" s="530">
        <f t="shared" si="12"/>
        <v>23258579.116503801</v>
      </c>
      <c r="R128" s="250"/>
      <c r="S128" s="232"/>
      <c r="T128" s="232"/>
      <c r="U128" s="232"/>
      <c r="V128" s="232"/>
      <c r="W128" s="232"/>
      <c r="X128" s="232"/>
      <c r="Y128" s="232"/>
      <c r="Z128" s="232"/>
      <c r="AA128" s="232"/>
      <c r="AB128" s="232"/>
      <c r="AC128" s="232"/>
      <c r="AD128" s="232"/>
      <c r="AE128" s="232"/>
      <c r="AF128" s="232"/>
      <c r="AG128" s="232"/>
      <c r="AH128" s="232"/>
      <c r="AI128" s="232"/>
      <c r="AJ128" s="232"/>
      <c r="AK128" s="232"/>
      <c r="AL128" s="232"/>
    </row>
    <row r="129" spans="1:38">
      <c r="A129" s="484">
        <f t="shared" si="11"/>
        <v>110</v>
      </c>
      <c r="B129" s="985" t="str">
        <f>CONCATENATE('3. Consumption by Rate Class'!B134,"-",'3. Consumption by Rate Class'!C134)</f>
        <v>2020-February</v>
      </c>
      <c r="C129" s="982">
        <v>21525121.289999999</v>
      </c>
      <c r="D129" s="983"/>
      <c r="E129" s="984"/>
      <c r="F129" s="989"/>
      <c r="G129" s="989"/>
      <c r="H129" s="989"/>
      <c r="I129" s="530">
        <f t="shared" si="10"/>
        <v>21525121.289999999</v>
      </c>
      <c r="J129" s="667">
        <f>IF(J$18='5.Variables'!$B$16,+'5.Variables'!$D36,+IF(J$18='5.Variables'!$B$39,+'5.Variables'!$D59,+IF(J$18='5.Variables'!$B$62,+'5.Variables'!$D73,+IF(J$18='5.Variables'!$B$76,+'5.Variables'!$D87,+IF(J$18='5.Variables'!$B$90,+'5.Variables'!$D101,+IF(J$18='5.Variables'!$B$104,+'5.Variables'!$D115,0))))))</f>
        <v>610.4</v>
      </c>
      <c r="K129" s="667">
        <f>IF(K$18='5.Variables'!$B$16,+'5.Variables'!$D35,+IF(K$18='5.Variables'!$B$39,+'5.Variables'!$D59,+IF(K$18='5.Variables'!$B$62,+'5.Variables'!$D73,+IF(K$18='5.Variables'!$B$76,+'5.Variables'!$D87,+IF(K$18='5.Variables'!$B$90,+'5.Variables'!$D101,+IF(K$18='5.Variables'!$B$104,+'5.Variables'!$D115,0))))))</f>
        <v>0</v>
      </c>
      <c r="L129" s="667">
        <f>IF(L$18='5.Variables'!$B$16,+'5.Variables'!$D35,+IF(L$18='5.Variables'!$B$39,+'5.Variables'!$D59,+IF(L$18='5.Variables'!$B$62,+'5.Variables'!$D73,+IF(L$18='5.Variables'!$B$76,+'5.Variables'!$D87,+IF(L$18='5.Variables'!$B$90,+'5.Variables'!$D101,+IF(L$18='5.Variables'!$B$104,+'5.Variables'!$D115,0))))))</f>
        <v>29</v>
      </c>
      <c r="M129" s="667">
        <f>IF(M$18='5.Variables'!$B$16,+'5.Variables'!$D35,+IF(M$18='5.Variables'!$B$39,+'5.Variables'!$D59,+IF(M$18='5.Variables'!$B$62,+'5.Variables'!$D73,+IF(M$18='5.Variables'!$B$76,+'5.Variables'!$D87,+IF(M$18='5.Variables'!$B$90,+'5.Variables'!$D101,+IF(M$18='5.Variables'!$B$104,+'5.Variables'!$D115,0))))))</f>
        <v>304</v>
      </c>
      <c r="N129" s="667">
        <f>IF(N$18='5.Variables'!$B$16,+'5.Variables'!$D35,+IF(N$18='5.Variables'!$B$39,+'5.Variables'!$D59,+IF(N$18='5.Variables'!$B$62,+'5.Variables'!$D73,+IF(N$18='5.Variables'!$B$76,+'5.Variables'!$D87,+IF(N$18='5.Variables'!$B$90,+'5.Variables'!$D101,+IF(N$18='5.Variables'!$B$104,+'5.Variables'!$D115,0))))))</f>
        <v>0</v>
      </c>
      <c r="O129" s="1052">
        <v>10582</v>
      </c>
      <c r="P129" s="232"/>
      <c r="Q129" s="530">
        <f t="shared" si="12"/>
        <v>22064838.304257721</v>
      </c>
      <c r="R129" s="250"/>
      <c r="S129" s="232"/>
      <c r="T129" s="232"/>
      <c r="U129" s="232"/>
      <c r="V129" s="232"/>
      <c r="W129" s="232"/>
      <c r="X129" s="232"/>
      <c r="Y129" s="232"/>
      <c r="Z129" s="232"/>
      <c r="AA129" s="232"/>
      <c r="AB129" s="232"/>
      <c r="AC129" s="232"/>
      <c r="AD129" s="232"/>
      <c r="AE129" s="232"/>
      <c r="AF129" s="232"/>
      <c r="AG129" s="232"/>
      <c r="AH129" s="232"/>
      <c r="AI129" s="232"/>
      <c r="AJ129" s="232"/>
      <c r="AK129" s="232"/>
      <c r="AL129" s="232"/>
    </row>
    <row r="130" spans="1:38">
      <c r="A130" s="484">
        <f t="shared" si="11"/>
        <v>111</v>
      </c>
      <c r="B130" s="985" t="str">
        <f>CONCATENATE('3. Consumption by Rate Class'!B135,"-",'3. Consumption by Rate Class'!C135)</f>
        <v>2020-March</v>
      </c>
      <c r="C130" s="982">
        <v>20920093.370000001</v>
      </c>
      <c r="D130" s="983"/>
      <c r="E130" s="984"/>
      <c r="F130" s="989"/>
      <c r="G130" s="989"/>
      <c r="H130" s="989"/>
      <c r="I130" s="530">
        <f t="shared" si="10"/>
        <v>20920093.370000001</v>
      </c>
      <c r="J130" s="667">
        <f>IF(J$18='5.Variables'!$B$16,+'5.Variables'!$E36,+IF(J$18='5.Variables'!$B$39,+'5.Variables'!$E59,+IF(J$18='5.Variables'!$B$62,+'5.Variables'!$E73,+IF(J$18='5.Variables'!$B$76,+'5.Variables'!$E87,+IF(J$18='5.Variables'!$B$90,+'5.Variables'!$E101,+IF(J$18='5.Variables'!$B$104,+'5.Variables'!$E115,0))))))</f>
        <v>487.4</v>
      </c>
      <c r="K130" s="667">
        <f>IF(K$18='5.Variables'!$B$16,+'5.Variables'!$E35,+IF(K$18='5.Variables'!$B$39,+'5.Variables'!$E59,+IF(K$18='5.Variables'!$B$62,+'5.Variables'!$E73,+IF(K$18='5.Variables'!$B$76,+'5.Variables'!$E87,+IF(K$18='5.Variables'!$B$90,+'5.Variables'!$E101,+IF(K$18='5.Variables'!$B$104,+'5.Variables'!$E115,0))))))</f>
        <v>0</v>
      </c>
      <c r="L130" s="667">
        <f>IF(L$18='5.Variables'!$B$16,+'5.Variables'!$E35,+IF(L$18='5.Variables'!$B$39,+'5.Variables'!$E59,+IF(L$18='5.Variables'!$B$62,+'5.Variables'!$E73,+IF(L$18='5.Variables'!$B$76,+'5.Variables'!$E87,+IF(L$18='5.Variables'!$B$90,+'5.Variables'!$E101,+IF(L$18='5.Variables'!$B$104,+'5.Variables'!$E115,0))))))</f>
        <v>31</v>
      </c>
      <c r="M130" s="667">
        <f>IF(M$18='5.Variables'!$B$16,+'5.Variables'!$E35,+IF(M$18='5.Variables'!$B$39,+'5.Variables'!$E59,+IF(M$18='5.Variables'!$B$62,+'5.Variables'!$E73,+IF(M$18='5.Variables'!$B$76,+'5.Variables'!$E87,+IF(M$18='5.Variables'!$B$90,+'5.Variables'!$E101,+IF(M$18='5.Variables'!$B$104,+'5.Variables'!$E115,0))))))</f>
        <v>352</v>
      </c>
      <c r="N130" s="667">
        <f>IF(N$18='5.Variables'!$B$16,+'5.Variables'!$E35,+IF(N$18='5.Variables'!$B$39,+'5.Variables'!$E59,+IF(N$18='5.Variables'!$B$62,+'5.Variables'!$E73,+IF(N$18='5.Variables'!$B$76,+'5.Variables'!$E87,+IF(N$18='5.Variables'!$B$90,+'5.Variables'!$E101,+IF(N$18='5.Variables'!$B$104,+'5.Variables'!$E115,0))))))</f>
        <v>1</v>
      </c>
      <c r="O130" s="1052">
        <v>10589</v>
      </c>
      <c r="P130" s="232"/>
      <c r="Q130" s="530">
        <f t="shared" si="12"/>
        <v>21681418.495925926</v>
      </c>
      <c r="R130" s="250"/>
      <c r="S130" s="232"/>
      <c r="T130" s="232"/>
      <c r="U130" s="232"/>
      <c r="V130" s="232"/>
      <c r="W130" s="232"/>
      <c r="X130" s="232"/>
      <c r="Y130" s="232"/>
      <c r="Z130" s="232"/>
      <c r="AA130" s="232"/>
      <c r="AB130" s="232"/>
      <c r="AC130" s="232"/>
      <c r="AD130" s="232"/>
      <c r="AE130" s="232"/>
      <c r="AF130" s="232"/>
      <c r="AG130" s="232"/>
      <c r="AH130" s="232"/>
      <c r="AI130" s="232"/>
      <c r="AJ130" s="232"/>
      <c r="AK130" s="232"/>
      <c r="AL130" s="232"/>
    </row>
    <row r="131" spans="1:38">
      <c r="A131" s="484">
        <f t="shared" si="11"/>
        <v>112</v>
      </c>
      <c r="B131" s="985" t="str">
        <f>CONCATENATE('3. Consumption by Rate Class'!B136,"-",'3. Consumption by Rate Class'!C136)</f>
        <v>2020-April</v>
      </c>
      <c r="C131" s="1053">
        <f>AVERAGE(C23,C35,C47,C59,C71,C83,C95,C107,C119)</f>
        <v>19977351.605555557</v>
      </c>
      <c r="D131" s="983"/>
      <c r="E131" s="984"/>
      <c r="F131" s="989"/>
      <c r="G131" s="989"/>
      <c r="H131" s="989"/>
      <c r="I131" s="530">
        <f t="shared" si="10"/>
        <v>19977351.605555557</v>
      </c>
      <c r="J131" s="667">
        <f>IF(J$18='5.Variables'!$B$16,+'5.Variables'!$F36,+IF(J$18='5.Variables'!$B$39,+'5.Variables'!$F59,+IF(J$18='5.Variables'!$B$62,+'5.Variables'!$F73,+IF(J$18='5.Variables'!$B$76,+'5.Variables'!$F87,+IF(J$18='5.Variables'!$B$90,+'5.Variables'!$F101,+IF(J$18='5.Variables'!$B$104,+'5.Variables'!$F115,0))))))</f>
        <v>391.8</v>
      </c>
      <c r="K131" s="667">
        <f>IF(K$18='5.Variables'!$B$16,+'5.Variables'!$F35,+IF(K$18='5.Variables'!$B$39,+'5.Variables'!$F59,+IF(K$18='5.Variables'!$B$62,+'5.Variables'!$F73,+IF(K$18='5.Variables'!$B$76,+'5.Variables'!$F87,+IF(K$18='5.Variables'!$B$90,+'5.Variables'!$F101,+IF(K$18='5.Variables'!$B$104,+'5.Variables'!$F115,0))))))</f>
        <v>0</v>
      </c>
      <c r="L131" s="667">
        <f>IF(L$18='5.Variables'!$B$16,+'5.Variables'!$F35,+IF(L$18='5.Variables'!$B$39,+'5.Variables'!$F59,+IF(L$18='5.Variables'!$B$62,+'5.Variables'!$F73,+IF(L$18='5.Variables'!$B$76,+'5.Variables'!$F87,+IF(L$18='5.Variables'!$B$90,+'5.Variables'!$F101,+IF(L$18='5.Variables'!$B$104,+'5.Variables'!$F115,0))))))</f>
        <v>30</v>
      </c>
      <c r="M131" s="667">
        <f>IF(M$18='5.Variables'!$B$16,+'5.Variables'!$F35,+IF(M$18='5.Variables'!$B$39,+'5.Variables'!$F59,+IF(M$18='5.Variables'!$B$62,+'5.Variables'!$F73,+IF(M$18='5.Variables'!$B$76,+'5.Variables'!$F87,+IF(M$18='5.Variables'!$B$90,+'5.Variables'!$F101,+IF(M$18='5.Variables'!$B$104,+'5.Variables'!$F115,0))))))</f>
        <v>336</v>
      </c>
      <c r="N131" s="667">
        <f>IF(N$18='5.Variables'!$B$16,+'5.Variables'!$F35,+IF(N$18='5.Variables'!$B$39,+'5.Variables'!$F59,+IF(N$18='5.Variables'!$B$62,+'5.Variables'!$F73,+IF(N$18='5.Variables'!$B$76,+'5.Variables'!$F87,+IF(N$18='5.Variables'!$B$90,+'5.Variables'!$F101,+IF(N$18='5.Variables'!$B$104,+'5.Variables'!$F115,0))))))</f>
        <v>1</v>
      </c>
      <c r="O131" s="1052">
        <v>10594</v>
      </c>
      <c r="P131" s="232"/>
      <c r="Q131" s="530">
        <f t="shared" si="12"/>
        <v>20558903.577301417</v>
      </c>
      <c r="R131" s="250"/>
      <c r="S131" s="232"/>
      <c r="T131" s="232"/>
      <c r="U131" s="232"/>
      <c r="V131" s="232"/>
      <c r="W131" s="232"/>
      <c r="X131" s="232"/>
      <c r="Y131" s="232"/>
      <c r="Z131" s="232"/>
      <c r="AA131" s="232"/>
      <c r="AB131" s="232"/>
      <c r="AC131" s="232"/>
      <c r="AD131" s="232"/>
      <c r="AE131" s="232"/>
      <c r="AF131" s="232"/>
      <c r="AG131" s="232"/>
      <c r="AH131" s="232"/>
      <c r="AI131" s="232"/>
      <c r="AJ131" s="232"/>
      <c r="AK131" s="232"/>
      <c r="AL131" s="232"/>
    </row>
    <row r="132" spans="1:38">
      <c r="A132" s="484">
        <f t="shared" si="11"/>
        <v>113</v>
      </c>
      <c r="B132" s="985" t="str">
        <f>CONCATENATE('3. Consumption by Rate Class'!B137,"-",'3. Consumption by Rate Class'!C137)</f>
        <v>2020-May</v>
      </c>
      <c r="C132" s="1053">
        <f>AVERAGE(C24,C36,C48,C60,C72,C84,C96,C108,C120)</f>
        <v>19324809.881111111</v>
      </c>
      <c r="D132" s="983"/>
      <c r="E132" s="984"/>
      <c r="F132" s="989"/>
      <c r="G132" s="989"/>
      <c r="H132" s="989"/>
      <c r="I132" s="530">
        <f t="shared" si="10"/>
        <v>19324809.881111111</v>
      </c>
      <c r="J132" s="667">
        <f>IF(J$18='5.Variables'!$B$16,+'5.Variables'!$G36,+IF(J$18='5.Variables'!$B$39,+'5.Variables'!$G59,+IF(J$18='5.Variables'!$B$62,+'5.Variables'!$G73,+IF(J$18='5.Variables'!$B$76,+'5.Variables'!$G87,+IF(J$18='5.Variables'!$B$90,+'5.Variables'!$G101,+IF(J$18='5.Variables'!$B$104,+'5.Variables'!$G115,0))))))</f>
        <v>230.9</v>
      </c>
      <c r="K132" s="667">
        <f>IF(K$18='5.Variables'!$B$16,+'5.Variables'!$G35,+IF(K$18='5.Variables'!$B$39,+'5.Variables'!$G59,+IF(K$18='5.Variables'!$B$62,+'5.Variables'!$G73,+IF(K$18='5.Variables'!$B$76,+'5.Variables'!$G87,+IF(K$18='5.Variables'!$B$90,+'5.Variables'!$G101,+IF(K$18='5.Variables'!$B$104,+'5.Variables'!$G115,0))))))</f>
        <v>3.1</v>
      </c>
      <c r="L132" s="667">
        <f>IF(L$18='5.Variables'!$B$16,+'5.Variables'!$G35,+IF(L$18='5.Variables'!$B$39,+'5.Variables'!$G59,+IF(L$18='5.Variables'!$B$62,+'5.Variables'!$G73,+IF(L$18='5.Variables'!$B$76,+'5.Variables'!$G87,+IF(L$18='5.Variables'!$B$90,+'5.Variables'!$G101,+IF(L$18='5.Variables'!$B$104,+'5.Variables'!$G115,0))))))</f>
        <v>31</v>
      </c>
      <c r="M132" s="667">
        <f>IF(M$18='5.Variables'!$B$16,+'5.Variables'!$G35,+IF(M$18='5.Variables'!$B$39,+'5.Variables'!$G59,+IF(M$18='5.Variables'!$B$62,+'5.Variables'!$G73,+IF(M$18='5.Variables'!$B$76,+'5.Variables'!$G87,+IF(M$18='5.Variables'!$B$90,+'5.Variables'!$G101,+IF(M$18='5.Variables'!$B$104,+'5.Variables'!$G115,0))))))</f>
        <v>304</v>
      </c>
      <c r="N132" s="667">
        <f>IF(N$18='5.Variables'!$B$16,+'5.Variables'!$G35,+IF(N$18='5.Variables'!$B$39,+'5.Variables'!$G59,+IF(N$18='5.Variables'!$B$62,+'5.Variables'!$G73,+IF(N$18='5.Variables'!$B$76,+'5.Variables'!$G87,+IF(N$18='5.Variables'!$B$90,+'5.Variables'!$G101,+IF(N$18='5.Variables'!$B$104,+'5.Variables'!$G115,0))))))</f>
        <v>1</v>
      </c>
      <c r="O132" s="1052">
        <v>10600</v>
      </c>
      <c r="P132" s="232"/>
      <c r="Q132" s="530">
        <f t="shared" si="12"/>
        <v>19767416.5429652</v>
      </c>
      <c r="R132" s="250"/>
      <c r="S132" s="232"/>
      <c r="T132" s="232"/>
      <c r="U132" s="232"/>
      <c r="V132" s="232"/>
      <c r="W132" s="232"/>
      <c r="X132" s="232"/>
      <c r="Y132" s="232"/>
      <c r="Z132" s="232"/>
      <c r="AA132" s="232"/>
      <c r="AB132" s="232"/>
      <c r="AC132" s="232"/>
      <c r="AD132" s="232"/>
      <c r="AE132" s="232"/>
      <c r="AF132" s="232"/>
      <c r="AG132" s="232"/>
      <c r="AH132" s="232"/>
      <c r="AI132" s="232"/>
      <c r="AJ132" s="232"/>
      <c r="AK132" s="232"/>
      <c r="AL132" s="232"/>
    </row>
    <row r="133" spans="1:38">
      <c r="A133" s="484">
        <f t="shared" si="11"/>
        <v>114</v>
      </c>
      <c r="B133" s="985" t="str">
        <f>CONCATENATE('3. Consumption by Rate Class'!B138,"-",'3. Consumption by Rate Class'!C138)</f>
        <v>2020-June</v>
      </c>
      <c r="C133" s="1053">
        <f t="shared" ref="C133" si="13">AVERAGE(C25,C37,C49,C61,C73,C85,C97,C109,C121)</f>
        <v>19480005.469999999</v>
      </c>
      <c r="D133" s="983"/>
      <c r="E133" s="984"/>
      <c r="F133" s="989"/>
      <c r="G133" s="989"/>
      <c r="H133" s="989"/>
      <c r="I133" s="530">
        <f t="shared" si="10"/>
        <v>19480005.469999999</v>
      </c>
      <c r="J133" s="667">
        <f>IF(J$18='5.Variables'!$B$16,+'5.Variables'!$H36,+IF(J$18='5.Variables'!$B$39,+'5.Variables'!$H59,+IF(J$18='5.Variables'!$B$62,+'5.Variables'!$H73,+IF(J$18='5.Variables'!$B$76,+'5.Variables'!$H87,+IF(J$18='5.Variables'!$B$90,+'5.Variables'!$H101,+IF(J$18='5.Variables'!$B$104,+'5.Variables'!$H115,0))))))</f>
        <v>63.4</v>
      </c>
      <c r="K133" s="667">
        <f>IF(K$18='5.Variables'!$B$16,+'5.Variables'!$H35,+IF(K$18='5.Variables'!$B$39,+'5.Variables'!$H59,+IF(K$18='5.Variables'!$B$62,+'5.Variables'!$H73,+IF(K$18='5.Variables'!$B$76,+'5.Variables'!$H87,+IF(K$18='5.Variables'!$B$90,+'5.Variables'!$H101,+IF(K$18='5.Variables'!$B$104,+'5.Variables'!$H115,0))))))</f>
        <v>23.5</v>
      </c>
      <c r="L133" s="667">
        <f>IF(L$18='5.Variables'!$B$16,+'5.Variables'!$H35,+IF(L$18='5.Variables'!$B$39,+'5.Variables'!$H59,+IF(L$18='5.Variables'!$B$62,+'5.Variables'!$H73,+IF(L$18='5.Variables'!$B$76,+'5.Variables'!$H87,+IF(L$18='5.Variables'!$B$90,+'5.Variables'!$H101,+IF(L$18='5.Variables'!$B$104,+'5.Variables'!$H115,0))))))</f>
        <v>30</v>
      </c>
      <c r="M133" s="667">
        <f>IF(M$18='5.Variables'!$B$16,+'5.Variables'!$H35,+IF(M$18='5.Variables'!$B$39,+'5.Variables'!$H59,+IF(M$18='5.Variables'!$B$62,+'5.Variables'!$H73,+IF(M$18='5.Variables'!$B$76,+'5.Variables'!$H87,+IF(M$18='5.Variables'!$B$90,+'5.Variables'!$H101,+IF(M$18='5.Variables'!$B$104,+'5.Variables'!$H115,0))))))</f>
        <v>352</v>
      </c>
      <c r="N133" s="667">
        <f>IF(N$18='5.Variables'!$B$16,+'5.Variables'!$H35,+IF(N$18='5.Variables'!$B$39,+'5.Variables'!$H59,+IF(N$18='5.Variables'!$B$62,+'5.Variables'!$H73,+IF(N$18='5.Variables'!$B$76,+'5.Variables'!$H87,+IF(N$18='5.Variables'!$B$90,+'5.Variables'!$H101,+IF(N$18='5.Variables'!$B$104,+'5.Variables'!$H115,0))))))</f>
        <v>0</v>
      </c>
      <c r="O133" s="1052">
        <v>10606</v>
      </c>
      <c r="P133" s="232"/>
      <c r="Q133" s="530">
        <f t="shared" si="12"/>
        <v>20117242.658010762</v>
      </c>
      <c r="R133" s="250"/>
      <c r="S133" s="232"/>
      <c r="T133" s="232"/>
      <c r="U133" s="232"/>
      <c r="V133" s="232"/>
      <c r="W133" s="232"/>
      <c r="X133" s="232"/>
      <c r="Y133" s="232"/>
      <c r="Z133" s="232"/>
      <c r="AA133" s="232"/>
      <c r="AB133" s="232"/>
      <c r="AC133" s="232"/>
      <c r="AD133" s="232"/>
      <c r="AE133" s="232"/>
      <c r="AF133" s="232"/>
      <c r="AG133" s="232"/>
      <c r="AH133" s="232"/>
      <c r="AI133" s="232"/>
      <c r="AJ133" s="232"/>
      <c r="AK133" s="232"/>
      <c r="AL133" s="232"/>
    </row>
    <row r="134" spans="1:38">
      <c r="A134" s="484">
        <f t="shared" si="11"/>
        <v>115</v>
      </c>
      <c r="B134" s="985" t="str">
        <f>CONCATENATE('3. Consumption by Rate Class'!B139,"-",'3. Consumption by Rate Class'!C139)</f>
        <v>2020-July</v>
      </c>
      <c r="C134" s="1033">
        <v>23203898.829999998</v>
      </c>
      <c r="D134" s="1003"/>
      <c r="E134" s="1034"/>
      <c r="F134" s="989"/>
      <c r="G134" s="989"/>
      <c r="H134" s="989"/>
      <c r="I134" s="530">
        <f t="shared" si="10"/>
        <v>23203898.829999998</v>
      </c>
      <c r="J134" s="667">
        <f>IF(J$18='5.Variables'!$B$16,+'5.Variables'!$I35,+IF(J$18='5.Variables'!$B$39,+'5.Variables'!$I59,+IF(J$18='5.Variables'!$B$62,+'5.Variables'!$I73,+IF(J$18='5.Variables'!$B$76,+'5.Variables'!$I87,+IF(J$18='5.Variables'!$B$90,+'5.Variables'!$I101,+IF(J$18='5.Variables'!$B$104,+'5.Variables'!$I115,0))))))</f>
        <v>2</v>
      </c>
      <c r="K134" s="667">
        <f>IF(K$18='5.Variables'!$B$16,+'5.Variables'!$I35,+IF(K$18='5.Variables'!$B$39,+'5.Variables'!$I59,+IF(K$18='5.Variables'!$B$62,+'5.Variables'!$I73,+IF(K$18='5.Variables'!$B$76,+'5.Variables'!$I87,+IF(K$18='5.Variables'!$B$90,+'5.Variables'!$I101,+IF(K$18='5.Variables'!$B$104,+'5.Variables'!$I115,0))))))</f>
        <v>139</v>
      </c>
      <c r="L134" s="667">
        <f>IF(L$18='5.Variables'!$B$16,+'5.Variables'!$I35,+IF(L$18='5.Variables'!$B$39,+'5.Variables'!$I59,+IF(L$18='5.Variables'!$B$62,+'5.Variables'!$I73,+IF(L$18='5.Variables'!$B$76,+'5.Variables'!$I87,+IF(L$18='5.Variables'!$B$90,+'5.Variables'!$I101,+IF(L$18='5.Variables'!$B$104,+'5.Variables'!$I115,0))))))</f>
        <v>31</v>
      </c>
      <c r="M134" s="667">
        <f>IF(M$18='5.Variables'!$B$16,+'5.Variables'!$I35,+IF(M$18='5.Variables'!$B$39,+'5.Variables'!$I59,+IF(M$18='5.Variables'!$B$62,+'5.Variables'!$I73,+IF(M$18='5.Variables'!$B$76,+'5.Variables'!$I87,+IF(M$18='5.Variables'!$B$90,+'5.Variables'!$I101,+IF(M$18='5.Variables'!$B$104,+'5.Variables'!$I115,0))))))</f>
        <v>352</v>
      </c>
      <c r="N134" s="667">
        <f>IF(N$18='5.Variables'!$B$16,+'5.Variables'!$I35,+IF(N$18='5.Variables'!$B$39,+'5.Variables'!$I59,+IF(N$18='5.Variables'!$B$62,+'5.Variables'!$I73,+IF(N$18='5.Variables'!$B$76,+'5.Variables'!$I87,+IF(N$18='5.Variables'!$B$90,+'5.Variables'!$I101,+IF(N$18='5.Variables'!$B$104,+'5.Variables'!$I115,0))))))</f>
        <v>0</v>
      </c>
      <c r="O134" s="1052">
        <v>10629</v>
      </c>
      <c r="P134" s="232"/>
      <c r="Q134" s="530">
        <f t="shared" si="12"/>
        <v>24704698.683262739</v>
      </c>
      <c r="R134" s="250"/>
      <c r="S134" s="232"/>
      <c r="T134" s="232"/>
      <c r="U134" s="232"/>
      <c r="V134" s="232"/>
      <c r="W134" s="232"/>
      <c r="X134" s="232"/>
      <c r="Y134" s="232"/>
      <c r="Z134" s="232"/>
      <c r="AA134" s="232"/>
      <c r="AB134" s="232"/>
      <c r="AC134" s="232"/>
      <c r="AD134" s="232"/>
      <c r="AE134" s="232"/>
      <c r="AF134" s="232"/>
      <c r="AG134" s="232"/>
      <c r="AH134" s="232"/>
      <c r="AI134" s="232"/>
      <c r="AJ134" s="232"/>
      <c r="AK134" s="232"/>
      <c r="AL134" s="232"/>
    </row>
    <row r="135" spans="1:38">
      <c r="A135" s="484">
        <f t="shared" si="11"/>
        <v>116</v>
      </c>
      <c r="B135" s="985" t="str">
        <f>CONCATENATE('3. Consumption by Rate Class'!B140,"-",'3. Consumption by Rate Class'!C140)</f>
        <v>2020-August</v>
      </c>
      <c r="C135" s="1033">
        <v>21371250.969999999</v>
      </c>
      <c r="D135" s="1003"/>
      <c r="E135" s="1034"/>
      <c r="F135" s="989"/>
      <c r="G135" s="989"/>
      <c r="H135" s="989"/>
      <c r="I135" s="530">
        <f t="shared" si="10"/>
        <v>21371250.969999999</v>
      </c>
      <c r="J135" s="667">
        <f>IF(J$18='5.Variables'!$B$16,+'5.Variables'!$J36,+IF(J$18='5.Variables'!$B$39,+'5.Variables'!$J59,+IF(J$18='5.Variables'!$B$62,+'5.Variables'!$J73,+IF(J$18='5.Variables'!$B$76,+'5.Variables'!$J87,+IF(J$18='5.Variables'!$B$90,+'5.Variables'!$J101,+IF(J$18='5.Variables'!$B$104,+'5.Variables'!$J115,0))))))</f>
        <v>5.6</v>
      </c>
      <c r="K135" s="667">
        <f>IF(K$18='5.Variables'!$B$16,+'5.Variables'!$J35,+IF(K$18='5.Variables'!$B$39,+'5.Variables'!$J59,+IF(K$18='5.Variables'!$B$62,+'5.Variables'!$J73,+IF(K$18='5.Variables'!$B$76,+'5.Variables'!$J87,+IF(K$18='5.Variables'!$B$90,+'5.Variables'!$J101,+IF(K$18='5.Variables'!$B$104,+'5.Variables'!$J115,0))))))</f>
        <v>82.2</v>
      </c>
      <c r="L135" s="667">
        <f>IF(L$18='5.Variables'!$B$16,+'5.Variables'!$J35,+IF(L$18='5.Variables'!$B$39,+'5.Variables'!$J59,+IF(L$18='5.Variables'!$B$62,+'5.Variables'!$J73,+IF(L$18='5.Variables'!$B$76,+'5.Variables'!$J87,+IF(L$18='5.Variables'!$B$90,+'5.Variables'!$J101,+IF(L$18='5.Variables'!$B$104,+'5.Variables'!$J115,0))))))</f>
        <v>31</v>
      </c>
      <c r="M135" s="667">
        <f>IF(M$18='5.Variables'!$B$16,+'5.Variables'!$J35,+IF(M$18='5.Variables'!$B$39,+'5.Variables'!$J59,+IF(M$18='5.Variables'!$B$62,+'5.Variables'!$J73,+IF(M$18='5.Variables'!$B$76,+'5.Variables'!$J87,+IF(M$18='5.Variables'!$B$90,+'5.Variables'!$J101,+IF(M$18='5.Variables'!$B$104,+'5.Variables'!$J115,0))))))</f>
        <v>320</v>
      </c>
      <c r="N135" s="667">
        <f>IF(N$18='5.Variables'!$B$16,+'5.Variables'!$J35,+IF(N$18='5.Variables'!$B$39,+'5.Variables'!$J59,+IF(N$18='5.Variables'!$B$62,+'5.Variables'!$J73,+IF(N$18='5.Variables'!$B$76,+'5.Variables'!$J87,+IF(N$18='5.Variables'!$B$90,+'5.Variables'!$J101,+IF(N$18='5.Variables'!$B$104,+'5.Variables'!$J115,0))))))</f>
        <v>0</v>
      </c>
      <c r="O135" s="1052">
        <v>10635</v>
      </c>
      <c r="P135" s="232"/>
      <c r="Q135" s="530">
        <f t="shared" si="12"/>
        <v>22228057.046075385</v>
      </c>
      <c r="R135" s="250"/>
      <c r="S135" s="232"/>
      <c r="T135" s="232"/>
      <c r="U135" s="232"/>
      <c r="V135" s="232"/>
      <c r="W135" s="232"/>
      <c r="X135" s="232"/>
      <c r="Y135" s="232"/>
      <c r="Z135" s="232"/>
      <c r="AA135" s="232"/>
      <c r="AB135" s="232"/>
      <c r="AC135" s="232"/>
      <c r="AD135" s="232"/>
      <c r="AE135" s="232"/>
      <c r="AF135" s="232"/>
      <c r="AG135" s="232"/>
      <c r="AH135" s="232"/>
      <c r="AI135" s="232"/>
      <c r="AJ135" s="232"/>
      <c r="AK135" s="232"/>
      <c r="AL135" s="232"/>
    </row>
    <row r="136" spans="1:38">
      <c r="A136" s="484">
        <f t="shared" si="11"/>
        <v>117</v>
      </c>
      <c r="B136" s="985" t="str">
        <f>CONCATENATE('3. Consumption by Rate Class'!B141,"-",'3. Consumption by Rate Class'!C141)</f>
        <v>2020-September</v>
      </c>
      <c r="C136" s="1033">
        <f>19144080.98-2000000</f>
        <v>17144080.98</v>
      </c>
      <c r="D136" s="1003"/>
      <c r="E136" s="1034"/>
      <c r="F136" s="989"/>
      <c r="G136" s="989"/>
      <c r="H136" s="989"/>
      <c r="I136" s="530">
        <f t="shared" si="10"/>
        <v>17144080.98</v>
      </c>
      <c r="J136" s="667">
        <f>IF(J$18='5.Variables'!$B$16,+'5.Variables'!$K36,+IF(J$18='5.Variables'!$B$39,+'5.Variables'!$K59,+IF(J$18='5.Variables'!$B$62,+'5.Variables'!$K73,+IF(J$18='5.Variables'!$B$76,+'5.Variables'!$K87,+IF(J$18='5.Variables'!$B$90,+'5.Variables'!$K101,+IF(J$18='5.Variables'!$B$104,+'5.Variables'!$K115,0))))))</f>
        <v>84.2</v>
      </c>
      <c r="K136" s="667">
        <f>IF(K$18='5.Variables'!$B$16,+'5.Variables'!$K35,+IF(K$18='5.Variables'!$B$39,+'5.Variables'!$K59,+IF(K$18='5.Variables'!$B$62,+'5.Variables'!$K73,+IF(K$18='5.Variables'!$B$76,+'5.Variables'!$K87,+IF(K$18='5.Variables'!$B$90,+'5.Variables'!$K101,+IF(K$18='5.Variables'!$B$104,+'5.Variables'!$K115,0))))))</f>
        <v>14.7</v>
      </c>
      <c r="L136" s="667">
        <f>IF(L$18='5.Variables'!$B$16,+'5.Variables'!$K35,+IF(L$18='5.Variables'!$B$39,+'5.Variables'!$K59,+IF(L$18='5.Variables'!$B$62,+'5.Variables'!$K73,+IF(L$18='5.Variables'!$B$76,+'5.Variables'!$K87,+IF(L$18='5.Variables'!$B$90,+'5.Variables'!$K101,+IF(L$18='5.Variables'!$B$104,+'5.Variables'!$K115,0))))))</f>
        <v>30</v>
      </c>
      <c r="M136" s="667">
        <f>IF(M$18='5.Variables'!$B$16,+'5.Variables'!$K35,+IF(M$18='5.Variables'!$B$39,+'5.Variables'!$K59,+IF(M$18='5.Variables'!$B$62,+'5.Variables'!$K73,+IF(M$18='5.Variables'!$B$76,+'5.Variables'!$K87,+IF(M$18='5.Variables'!$B$90,+'5.Variables'!$K101,+IF(M$18='5.Variables'!$B$104,+'5.Variables'!$K115,0))))))</f>
        <v>336</v>
      </c>
      <c r="N136" s="667">
        <f>IF(N$18='5.Variables'!$B$16,+'5.Variables'!$K35,+IF(N$18='5.Variables'!$B$39,+'5.Variables'!$K59,+IF(N$18='5.Variables'!$B$62,+'5.Variables'!$K73,+IF(N$18='5.Variables'!$B$76,+'5.Variables'!$K87,+IF(N$18='5.Variables'!$B$90,+'5.Variables'!$K101,+IF(N$18='5.Variables'!$B$104,+'5.Variables'!$K115,0))))))</f>
        <v>1</v>
      </c>
      <c r="O136" s="1052">
        <v>10650</v>
      </c>
      <c r="P136" s="232"/>
      <c r="Q136" s="530">
        <f t="shared" si="12"/>
        <v>19116980.511846896</v>
      </c>
      <c r="R136" s="250"/>
      <c r="S136" s="232"/>
      <c r="T136" s="232"/>
      <c r="U136" s="232"/>
      <c r="V136" s="232"/>
      <c r="W136" s="232"/>
      <c r="X136" s="232"/>
      <c r="Y136" s="232"/>
      <c r="Z136" s="232"/>
      <c r="AA136" s="232"/>
      <c r="AB136" s="232"/>
      <c r="AC136" s="232"/>
      <c r="AD136" s="232"/>
      <c r="AE136" s="232"/>
      <c r="AF136" s="232"/>
      <c r="AG136" s="232"/>
      <c r="AH136" s="232"/>
      <c r="AI136" s="232"/>
      <c r="AJ136" s="232"/>
      <c r="AK136" s="232"/>
      <c r="AL136" s="232"/>
    </row>
    <row r="137" spans="1:38">
      <c r="A137" s="484">
        <f t="shared" si="11"/>
        <v>118</v>
      </c>
      <c r="B137" s="985" t="str">
        <f>CONCATENATE('3. Consumption by Rate Class'!B142,"-",'3. Consumption by Rate Class'!C142)</f>
        <v>2020-October</v>
      </c>
      <c r="C137" s="1033">
        <v>19599087.969999999</v>
      </c>
      <c r="D137" s="1003"/>
      <c r="E137" s="1034"/>
      <c r="F137" s="989"/>
      <c r="G137" s="989"/>
      <c r="H137" s="989"/>
      <c r="I137" s="530">
        <f t="shared" si="10"/>
        <v>19599087.969999999</v>
      </c>
      <c r="J137" s="667">
        <f>IF(J$18='5.Variables'!$B$16,+'5.Variables'!$L36,+IF(J$18='5.Variables'!$B$39,+'5.Variables'!$L59,+IF(J$18='5.Variables'!$B$62,+'5.Variables'!$L73,+IF(J$18='5.Variables'!$B$76,+'5.Variables'!$L87,+IF(J$18='5.Variables'!$B$90,+'5.Variables'!$L101,+IF(J$18='5.Variables'!$B$104,+'5.Variables'!$L115,0))))))</f>
        <v>279.10000000000002</v>
      </c>
      <c r="K137" s="667">
        <f>IF(K$18='5.Variables'!$B$16,+'5.Variables'!$L35,+IF(K$18='5.Variables'!$B$39,+'5.Variables'!$L59,+IF(K$18='5.Variables'!$B$62,+'5.Variables'!$L73,+IF(K$18='5.Variables'!$B$76,+'5.Variables'!$L87,+IF(K$18='5.Variables'!$B$90,+'5.Variables'!$L101,+IF(K$18='5.Variables'!$B$104,+'5.Variables'!$L115,0))))))</f>
        <v>0</v>
      </c>
      <c r="L137" s="667">
        <f>IF(L$18='5.Variables'!$B$16,+'5.Variables'!$L35,+IF(L$18='5.Variables'!$B$39,+'5.Variables'!$L59,+IF(L$18='5.Variables'!$B$62,+'5.Variables'!$L73,+IF(L$18='5.Variables'!$B$76,+'5.Variables'!$L87,+IF(L$18='5.Variables'!$B$90,+'5.Variables'!$L101,+IF(L$18='5.Variables'!$B$104,+'5.Variables'!$L115,0))))))</f>
        <v>31</v>
      </c>
      <c r="M137" s="667">
        <f>IF(M$18='5.Variables'!$B$16,+'5.Variables'!$L35,+IF(M$18='5.Variables'!$B$39,+'5.Variables'!$L59,+IF(M$18='5.Variables'!$B$62,+'5.Variables'!$L73,+IF(M$18='5.Variables'!$B$76,+'5.Variables'!$L87,+IF(M$18='5.Variables'!$B$90,+'5.Variables'!$L101,+IF(M$18='5.Variables'!$B$104,+'5.Variables'!$L115,0))))))</f>
        <v>336</v>
      </c>
      <c r="N137" s="667">
        <f>IF(N$18='5.Variables'!$B$16,+'5.Variables'!$L35,+IF(N$18='5.Variables'!$B$39,+'5.Variables'!$L59,+IF(N$18='5.Variables'!$B$62,+'5.Variables'!$L73,+IF(N$18='5.Variables'!$B$76,+'5.Variables'!$L87,+IF(N$18='5.Variables'!$B$90,+'5.Variables'!$L101,+IF(N$18='5.Variables'!$B$104,+'5.Variables'!$L115,0))))))</f>
        <v>1</v>
      </c>
      <c r="O137" s="1052">
        <v>10661</v>
      </c>
      <c r="P137" s="232"/>
      <c r="Q137" s="530">
        <f t="shared" si="12"/>
        <v>20191986.92617837</v>
      </c>
      <c r="R137" s="250"/>
      <c r="S137" s="232"/>
      <c r="T137" s="232"/>
      <c r="U137" s="232"/>
      <c r="V137" s="232"/>
      <c r="W137" s="232"/>
      <c r="X137" s="232"/>
      <c r="Y137" s="232"/>
      <c r="Z137" s="232"/>
      <c r="AA137" s="232"/>
      <c r="AB137" s="232"/>
      <c r="AC137" s="232"/>
      <c r="AD137" s="232"/>
      <c r="AE137" s="232"/>
      <c r="AF137" s="232"/>
      <c r="AG137" s="232"/>
      <c r="AH137" s="232"/>
      <c r="AI137" s="232"/>
      <c r="AJ137" s="232"/>
      <c r="AK137" s="232"/>
      <c r="AL137" s="232"/>
    </row>
    <row r="138" spans="1:38">
      <c r="A138" s="484">
        <f t="shared" si="11"/>
        <v>119</v>
      </c>
      <c r="B138" s="985" t="str">
        <f>CONCATENATE('3. Consumption by Rate Class'!B143,"-",'3. Consumption by Rate Class'!C143)</f>
        <v>2020-November</v>
      </c>
      <c r="C138" s="1033">
        <v>20038200</v>
      </c>
      <c r="D138" s="1003"/>
      <c r="E138" s="1034"/>
      <c r="F138" s="989"/>
      <c r="G138" s="989"/>
      <c r="H138" s="989"/>
      <c r="I138" s="530">
        <f t="shared" si="10"/>
        <v>20038200</v>
      </c>
      <c r="J138" s="667">
        <f>IF(J$18='5.Variables'!$B$16,+'5.Variables'!$M36,+IF(J$18='5.Variables'!$B$39,+'5.Variables'!$M59,+IF(J$18='5.Variables'!$B$62,+'5.Variables'!$M73,+IF(J$18='5.Variables'!$B$76,+'5.Variables'!$M87,+IF(J$18='5.Variables'!$B$90,+'5.Variables'!$M101,+IF(J$18='5.Variables'!$B$104,+'5.Variables'!$M115,0))))))</f>
        <v>359.9</v>
      </c>
      <c r="K138" s="667">
        <f>IF(K$18='5.Variables'!$B$16,+'5.Variables'!$M35,+IF(K$18='5.Variables'!$B$39,+'5.Variables'!$M59,+IF(K$18='5.Variables'!$B$62,+'5.Variables'!$M73,+IF(K$18='5.Variables'!$B$76,+'5.Variables'!$M87,+IF(K$18='5.Variables'!$B$90,+'5.Variables'!$M101,+IF(K$18='5.Variables'!$B$104,+'5.Variables'!$M115,0))))))</f>
        <v>0</v>
      </c>
      <c r="L138" s="667">
        <f>IF(L$18='5.Variables'!$B$16,+'5.Variables'!$M35,+IF(L$18='5.Variables'!$B$39,+'5.Variables'!$M59,+IF(L$18='5.Variables'!$B$62,+'5.Variables'!$M73,+IF(L$18='5.Variables'!$B$76,+'5.Variables'!$M87,+IF(L$18='5.Variables'!$B$90,+'5.Variables'!$M101,+IF(L$18='5.Variables'!$B$104,+'5.Variables'!$M115,0))))))</f>
        <v>30</v>
      </c>
      <c r="M138" s="667">
        <f>IF(M$18='5.Variables'!$B$16,+'5.Variables'!$M35,+IF(M$18='5.Variables'!$B$39,+'5.Variables'!$M59,+IF(M$18='5.Variables'!$B$62,+'5.Variables'!$M73,+IF(M$18='5.Variables'!$B$76,+'5.Variables'!$M87,+IF(M$18='5.Variables'!$B$90,+'5.Variables'!$M101,+IF(M$18='5.Variables'!$B$104,+'5.Variables'!$M115,0))))))</f>
        <v>336</v>
      </c>
      <c r="N138" s="667">
        <f>IF(N$18='5.Variables'!$B$16,+'5.Variables'!$M35,+IF(N$18='5.Variables'!$B$39,+'5.Variables'!$M59,+IF(N$18='5.Variables'!$B$62,+'5.Variables'!$M73,+IF(N$18='5.Variables'!$B$76,+'5.Variables'!$M87,+IF(N$18='5.Variables'!$B$90,+'5.Variables'!$M101,+IF(N$18='5.Variables'!$B$104,+'5.Variables'!$M115,0))))))</f>
        <v>1</v>
      </c>
      <c r="O138" s="1052">
        <v>10682</v>
      </c>
      <c r="P138" s="232"/>
      <c r="Q138" s="530">
        <f t="shared" si="12"/>
        <v>20348523.760701727</v>
      </c>
      <c r="R138" s="250"/>
      <c r="S138" s="232"/>
      <c r="T138" s="232"/>
      <c r="U138" s="232"/>
      <c r="V138" s="232"/>
      <c r="W138" s="232"/>
      <c r="X138" s="232"/>
      <c r="Y138" s="232"/>
      <c r="Z138" s="232"/>
      <c r="AA138" s="232"/>
      <c r="AB138" s="232"/>
      <c r="AC138" s="232"/>
      <c r="AD138" s="232"/>
      <c r="AE138" s="232"/>
      <c r="AF138" s="232"/>
      <c r="AG138" s="232"/>
      <c r="AH138" s="232"/>
      <c r="AI138" s="232"/>
      <c r="AJ138" s="232"/>
      <c r="AK138" s="232"/>
      <c r="AL138" s="232"/>
    </row>
    <row r="139" spans="1:38">
      <c r="A139" s="484">
        <f t="shared" si="11"/>
        <v>120</v>
      </c>
      <c r="B139" s="501" t="str">
        <f>CONCATENATE('3. Consumption by Rate Class'!B144,"-",'3. Consumption by Rate Class'!C144)</f>
        <v>2020-December</v>
      </c>
      <c r="C139" s="650">
        <v>21720442.859999999</v>
      </c>
      <c r="D139" s="778"/>
      <c r="E139" s="777"/>
      <c r="F139" s="777"/>
      <c r="G139" s="994"/>
      <c r="H139" s="994"/>
      <c r="I139" s="995">
        <f t="shared" si="10"/>
        <v>21720442.859999999</v>
      </c>
      <c r="J139" s="667">
        <f>IF(J$18='5.Variables'!$B$16,+'5.Variables'!$N36,+IF(J$18='5.Variables'!$B$39,+'5.Variables'!$N59,+IF(J$18='5.Variables'!$B$62,+'5.Variables'!$N73,+IF(J$18='5.Variables'!$B$76,+'5.Variables'!$N87,+IF(J$18='5.Variables'!$B$90,+'5.Variables'!$N101,+IF(J$18='5.Variables'!$B$104,+'5.Variables'!$N115,0))))))</f>
        <v>552.9</v>
      </c>
      <c r="K139" s="667">
        <f>IF(K$18='5.Variables'!$B$16,+'5.Variables'!$N35,+IF(K$18='5.Variables'!$B$39,+'5.Variables'!$N59,+IF(K$18='5.Variables'!$B$62,+'5.Variables'!$N73,+IF(K$18='5.Variables'!$B$76,+'5.Variables'!$N87,+IF(K$18='5.Variables'!$B$90,+'5.Variables'!$N101,+IF(K$18='5.Variables'!$B$104,+'5.Variables'!$N115,0))))))</f>
        <v>0</v>
      </c>
      <c r="L139" s="667">
        <f>IF(L$18='5.Variables'!$B$16,+'5.Variables'!$N35,+IF(L$18='5.Variables'!$B$39,+'5.Variables'!$N59,+IF(L$18='5.Variables'!$B$62,+'5.Variables'!$N73,+IF(L$18='5.Variables'!$B$76,+'5.Variables'!$N87,+IF(L$18='5.Variables'!$B$90,+'5.Variables'!$N101,+IF(L$18='5.Variables'!$B$104,+'5.Variables'!$N115,0))))))</f>
        <v>31</v>
      </c>
      <c r="M139" s="667">
        <f>IF(M$18='5.Variables'!$B$16,+'5.Variables'!$N35,+IF(M$18='5.Variables'!$B$39,+'5.Variables'!$N59,+IF(M$18='5.Variables'!$B$62,+'5.Variables'!$N73,+IF(M$18='5.Variables'!$B$76,+'5.Variables'!$N87,+IF(M$18='5.Variables'!$B$90,+'5.Variables'!$N101,+IF(M$18='5.Variables'!$B$104,+'5.Variables'!$N115,0))))))</f>
        <v>336</v>
      </c>
      <c r="N139" s="667">
        <f>IF(N$18='5.Variables'!$B$16,+'5.Variables'!$N35,+IF(N$18='5.Variables'!$B$39,+'5.Variables'!$N59,+IF(N$18='5.Variables'!$B$62,+'5.Variables'!$N73,+IF(N$18='5.Variables'!$B$76,+'5.Variables'!$N87,+IF(N$18='5.Variables'!$B$90,+'5.Variables'!$N101,+IF(N$18='5.Variables'!$B$104,+'5.Variables'!$N115,0))))))</f>
        <v>0</v>
      </c>
      <c r="O139" s="1052">
        <v>10685</v>
      </c>
      <c r="P139" s="232"/>
      <c r="Q139" s="530">
        <f t="shared" si="12"/>
        <v>22669123.900492851</v>
      </c>
      <c r="R139" s="250">
        <f>SUM(Q128:Q139)</f>
        <v>256707769.52352279</v>
      </c>
      <c r="S139" s="232"/>
      <c r="T139" s="232"/>
      <c r="U139" s="232"/>
      <c r="V139" s="232"/>
      <c r="W139" s="232"/>
      <c r="X139" s="232"/>
      <c r="Y139" s="232"/>
      <c r="Z139" s="232"/>
      <c r="AA139" s="232"/>
      <c r="AB139" s="232"/>
      <c r="AC139" s="232"/>
      <c r="AD139" s="232"/>
      <c r="AE139" s="232"/>
      <c r="AF139" s="232"/>
      <c r="AG139" s="232"/>
      <c r="AH139" s="232"/>
      <c r="AI139" s="232"/>
      <c r="AJ139" s="232"/>
      <c r="AK139" s="232"/>
      <c r="AL139" s="232"/>
    </row>
    <row r="140" spans="1:38">
      <c r="A140" s="484">
        <f t="shared" si="11"/>
        <v>121</v>
      </c>
      <c r="B140" s="985" t="str">
        <f>CONCATENATE('3. Consumption by Rate Class'!B145,"-",'3. Consumption by Rate Class'!C145)</f>
        <v>2021-January</v>
      </c>
      <c r="C140" s="657"/>
      <c r="D140" s="992"/>
      <c r="E140" s="993"/>
      <c r="F140" s="260"/>
      <c r="G140" s="260"/>
      <c r="H140" s="260"/>
      <c r="I140" s="233"/>
      <c r="J140" s="684">
        <f>IF(J$19=$B$169,+AVERAGE(J20,J32,J44,J56,J68,J80,J92,J104,J116,J128),+IF(J$19=$B$170,+(EXP((LN(+'4. Customer Growth'!$W$42)/12))*$J139),IF($J$19=$B$171,+$A140*$C$176+#REF!,0)))</f>
        <v>681.03</v>
      </c>
      <c r="K140" s="684">
        <f>IF(K$19=$B$169,+AVERAGE(K20,K32,K44,K56,K68,K80,K92,K104,K116,K128),+IF(K$19=$B$170,+(EXP((LN(+'4. Customer Growth'!$W$42)/12))*$J139),IF($K$19=$B$171,+$A140*$C$177+#REF!,0)))</f>
        <v>0</v>
      </c>
      <c r="L140" s="684">
        <f>IF(L$19=$B$169,+AVERAGE(L20,L32,L44,L56,L68,L80,L92,L104,L116,L128),+IF(L$19=$B$170,+(EXP((LN(+'4. Customer Growth'!$W$42)/12))*$J139),IF($L$19=$B$171,+$A140*$C$178+#REF!,0)))</f>
        <v>31</v>
      </c>
      <c r="M140" s="684">
        <f>IF(M$19=$B$169,+AVERAGE(M20,M32,M44,M56,M68,M80,M92,M104,M116,M128),+IF(M$19=$B$170,+(EXP((LN(+'4. Customer Growth'!$W$42)/12))*$M139),IF($M$19=$B$171,+$A140*$C$180+#REF!,0)))</f>
        <v>345.6</v>
      </c>
      <c r="N140" s="684">
        <f>IF(N$19=$B$169,+AVERAGE(N20,N32,N44,N56,N68,N80,N92,N104,N116,N128),+IF(N$19=$B$170,+(EXP((LN(+'4. Customer Growth'!$W$42)/12))*$N139),IF($N$19=$B$171,+$A140*$C$181+#REF!,0)))</f>
        <v>0</v>
      </c>
      <c r="O140" s="1057">
        <f>IF(O$19=$B$169,+AVERAGE(O20,O32,O44,O56,O68,O80,O92,O104,O116,O128),+IF(O$19=$B$170,+(EXP((LN(+'4. Customer Growth'!$W$42)/12))*$O139),IF($O$19=$B$171,+$A140*$C$181+#REF!,0)))</f>
        <v>10076.799999999999</v>
      </c>
      <c r="P140" s="232"/>
      <c r="Q140" s="530">
        <f t="shared" si="12"/>
        <v>23583000.714513455</v>
      </c>
      <c r="R140" s="250"/>
      <c r="S140" s="232"/>
      <c r="T140" s="232"/>
      <c r="U140" s="232"/>
      <c r="V140" s="232"/>
      <c r="W140" s="232"/>
      <c r="X140" s="232"/>
      <c r="Y140" s="232"/>
      <c r="Z140" s="232"/>
      <c r="AA140" s="232"/>
      <c r="AB140" s="232"/>
      <c r="AC140" s="232"/>
      <c r="AD140" s="232"/>
      <c r="AE140" s="232"/>
      <c r="AF140" s="232"/>
      <c r="AG140" s="232"/>
      <c r="AH140" s="232"/>
      <c r="AI140" s="232"/>
      <c r="AJ140" s="232"/>
      <c r="AK140" s="232"/>
      <c r="AL140" s="232"/>
    </row>
    <row r="141" spans="1:38">
      <c r="A141" s="484">
        <f t="shared" si="11"/>
        <v>122</v>
      </c>
      <c r="B141" s="985" t="str">
        <f>CONCATENATE('3. Consumption by Rate Class'!B146,"-",'3. Consumption by Rate Class'!C146)</f>
        <v>2021-February</v>
      </c>
      <c r="C141" s="657"/>
      <c r="D141" s="992"/>
      <c r="E141" s="993"/>
      <c r="F141" s="260"/>
      <c r="G141" s="260"/>
      <c r="H141" s="260"/>
      <c r="I141" s="233"/>
      <c r="J141" s="684">
        <f>IF(J$19=$B$169,+AVERAGE(J21,J33,J45,J57,J69,J81,J93,J105,J117,J129),+IF(J$19=$B$170,+(EXP((LN(+'4. Customer Growth'!$W$42)/12))*$J140),IF($J$19=$B$171,+$A141*$C$176+#REF!,0)))</f>
        <v>613.87999999999988</v>
      </c>
      <c r="K141" s="684">
        <f>IF(K$19=$B$169,+AVERAGE(K21,K33,K45,K57,K69,K81,K93,K105,K117,K129),+IF(K$19=$B$170,+(EXP((LN(+'4. Customer Growth'!$W$42)/12))*$J140),IF($K$19=$B$171,+$A141*$C$177+#REF!,0)))</f>
        <v>0</v>
      </c>
      <c r="L141" s="684">
        <f>IF(L$19=$B$169,+AVERAGE(L21,L33,L45,L57,L69,L81,L93,L105,L117,L129),+IF(L$19=$B$170,+(EXP((LN(+'4. Customer Growth'!$W$42)/12))*$J140),IF($L$19=$B$171,+$A141*$C$178+#REF!,0)))</f>
        <v>28.3</v>
      </c>
      <c r="M141" s="684">
        <f>IF(M$19=$B$169,+AVERAGE(M21,M33,M45,M57,M69,M81,M93,M105,M117,M129),+IF(M$19=$B$170,+(EXP((LN(+'4. Customer Growth'!$W$42)/12))*$M140),IF($M$19=$B$171,+$A141*$C$180+#REF!,0)))</f>
        <v>312</v>
      </c>
      <c r="N141" s="684">
        <f>IF(N$19=$B$169,+AVERAGE(N21,N33,N45,N57,N69,N81,N93,N105,N117,N129),+IF(N$19=$B$170,+(EXP((LN(+'4. Customer Growth'!$W$42)/12))*$N140),IF($N$19=$B$171,+$A141*$C$181+#REF!,0)))</f>
        <v>0</v>
      </c>
      <c r="O141" s="1057">
        <f>IF(O$19=$B$169,+AVERAGE(O21,O33,O45,O57,O69,O81,O93,O105,O117,O129),+IF(O$19=$B$170,+(EXP((LN(+'4. Customer Growth'!$W$42)/12))*$O140),IF($O$19=$B$171,+$A141*$C$181+#REF!,0)))</f>
        <v>10083.200000000001</v>
      </c>
      <c r="P141" s="232"/>
      <c r="Q141" s="530">
        <f t="shared" si="12"/>
        <v>21881290.153737683</v>
      </c>
      <c r="R141" s="250"/>
      <c r="S141" s="232"/>
      <c r="T141" s="232"/>
      <c r="U141" s="232"/>
      <c r="V141" s="232"/>
      <c r="W141" s="232"/>
      <c r="X141" s="232"/>
      <c r="Y141" s="232"/>
      <c r="Z141" s="232"/>
      <c r="AA141" s="232"/>
      <c r="AB141" s="232"/>
      <c r="AC141" s="232"/>
      <c r="AD141" s="232"/>
      <c r="AE141" s="232"/>
      <c r="AF141" s="232"/>
      <c r="AG141" s="232"/>
      <c r="AH141" s="232"/>
      <c r="AI141" s="232"/>
      <c r="AJ141" s="232"/>
      <c r="AK141" s="232"/>
      <c r="AL141" s="232"/>
    </row>
    <row r="142" spans="1:38">
      <c r="A142" s="484">
        <f t="shared" si="11"/>
        <v>123</v>
      </c>
      <c r="B142" s="985" t="str">
        <f>CONCATENATE('3. Consumption by Rate Class'!B147,"-",'3. Consumption by Rate Class'!C147)</f>
        <v>2021-March</v>
      </c>
      <c r="C142" s="657"/>
      <c r="D142" s="722"/>
      <c r="E142" s="260"/>
      <c r="F142" s="260"/>
      <c r="G142" s="260"/>
      <c r="H142" s="260"/>
      <c r="I142" s="233"/>
      <c r="J142" s="684">
        <f>IF(J$19=$B$169,+AVERAGE(J22,J34,J46,J58,J70,J82,J94,J106,J118,J130),+IF(J$19=$B$170,+(EXP((LN(+'4. Customer Growth'!$W$42)/12))*$J141),IF($J$19=$B$171,+$A142*$C$176+#REF!,0)))</f>
        <v>534.56999999999994</v>
      </c>
      <c r="K142" s="684">
        <f>IF(K$19=$B$169,+AVERAGE(K22,K34,K46,K58,K70,K82,K94,K106,K118,K130),+IF(K$19=$B$170,+(EXP((LN(+'4. Customer Growth'!$W$42)/12))*$J141),IF($K$19=$B$171,+$A142*$C$177+#REF!,0)))</f>
        <v>0</v>
      </c>
      <c r="L142" s="684">
        <f>IF(L$19=$B$169,+AVERAGE(L22,L34,L46,L58,L70,L82,L94,L106,L118,L130),+IF(L$19=$B$170,+(EXP((LN(+'4. Customer Growth'!$W$42)/12))*$J141),IF($L$19=$B$171,+$A142*$C$178+#REF!,0)))</f>
        <v>31</v>
      </c>
      <c r="M142" s="684">
        <f>IF(M$19=$B$169,+AVERAGE(M22,M34,M46,M58,M70,M82,M94,M106,M118,M130),+IF(M$19=$B$170,+(EXP((LN(+'4. Customer Growth'!$W$42)/12))*$M141),IF($M$19=$B$171,+$A142*$C$180+#REF!,0)))</f>
        <v>344</v>
      </c>
      <c r="N142" s="684">
        <f>IF(N$19=$B$169,+AVERAGE(N22,N34,N46,N58,N70,N82,N94,N106,N118,N130),+IF(N$19=$B$170,+(EXP((LN(+'4. Customer Growth'!$W$42)/12))*$N141),IF($N$19=$B$171,+$A142*$C$181+#REF!,0)))</f>
        <v>1</v>
      </c>
      <c r="O142" s="1057">
        <f>IF(O$19=$B$169,+AVERAGE(O22,O34,O46,O58,O70,O82,O94,O106,O118,O130),+IF(O$19=$B$170,+(EXP((LN(+'4. Customer Growth'!$W$42)/12))*$O141),IF($O$19=$B$171,+$A142*$C$181+#REF!,0)))</f>
        <v>10091.4</v>
      </c>
      <c r="P142" s="232"/>
      <c r="Q142" s="530">
        <f t="shared" si="12"/>
        <v>21934538.70377519</v>
      </c>
      <c r="R142" s="250"/>
      <c r="S142" s="232"/>
      <c r="T142" s="232"/>
      <c r="U142" s="232"/>
      <c r="V142" s="232"/>
      <c r="W142" s="232"/>
      <c r="X142" s="232"/>
      <c r="Y142" s="232"/>
      <c r="Z142" s="232"/>
      <c r="AA142" s="232"/>
      <c r="AB142" s="232"/>
      <c r="AC142" s="232"/>
      <c r="AD142" s="232"/>
      <c r="AE142" s="232"/>
      <c r="AF142" s="232"/>
      <c r="AG142" s="232"/>
      <c r="AH142" s="232"/>
      <c r="AI142" s="232"/>
      <c r="AJ142" s="232"/>
      <c r="AK142" s="232"/>
      <c r="AL142" s="232"/>
    </row>
    <row r="143" spans="1:38">
      <c r="A143" s="484">
        <f t="shared" si="11"/>
        <v>124</v>
      </c>
      <c r="B143" s="985" t="str">
        <f>CONCATENATE('3. Consumption by Rate Class'!B148,"-",'3. Consumption by Rate Class'!C148)</f>
        <v>2021-April</v>
      </c>
      <c r="C143" s="657"/>
      <c r="D143" s="722"/>
      <c r="E143" s="260"/>
      <c r="F143" s="260"/>
      <c r="G143" s="260"/>
      <c r="H143" s="260"/>
      <c r="I143" s="233"/>
      <c r="J143" s="684">
        <f>IF(J$19=$B$169,+AVERAGE(J23,J35,J47,J59,J71,J83,J95,J107,J119,J131),+IF(J$19=$B$170,+(EXP((LN(+'4. Customer Growth'!$W$42)/12))*$J142),IF($J$19=$B$171,+$A143*$C$176+#REF!,0)))</f>
        <v>370.04</v>
      </c>
      <c r="K143" s="684">
        <f>IF(K$19=$B$169,+AVERAGE(K23,K35,K47,K59,K71,K83,K95,K107,K119,K131),+IF(K$19=$B$170,+(EXP((LN(+'4. Customer Growth'!$W$42)/12))*$J142),IF($K$19=$B$171,+$A143*$C$177+#REF!,0)))</f>
        <v>0</v>
      </c>
      <c r="L143" s="684">
        <f>IF(L$19=$B$169,+AVERAGE(L23,L35,L47,L59,L71,L83,L95,L107,L119,L131),+IF(L$19=$B$170,+(EXP((LN(+'4. Customer Growth'!$W$42)/12))*$J142),IF($L$19=$B$171,+$A143*$C$178+#REF!,0)))</f>
        <v>30</v>
      </c>
      <c r="M143" s="684">
        <f>IF(M$19=$B$169,+AVERAGE(M23,M35,M47,M59,M71,M83,M95,M107,M119,M131),+IF(M$19=$B$170,+(EXP((LN(+'4. Customer Growth'!$W$42)/12))*$M142),IF($M$19=$B$171,+$A143*$C$180+#REF!,0)))</f>
        <v>331.2</v>
      </c>
      <c r="N143" s="684">
        <f>IF(N$19=$B$169,+AVERAGE(N23,N35,N47,N59,N71,N83,N95,N107,N119,N131),+IF(N$19=$B$170,+(EXP((LN(+'4. Customer Growth'!$W$42)/12))*$N142),IF($N$19=$B$171,+$A143*$C$181+#REF!,0)))</f>
        <v>1</v>
      </c>
      <c r="O143" s="1057">
        <f>IF(O$19=$B$169,+AVERAGE(O23,O35,O47,O59,O71,O83,O95,O107,O119,O131),+IF(O$19=$B$170,+(EXP((LN(+'4. Customer Growth'!$W$42)/12))*$O142),IF($O$19=$B$171,+$A143*$C$181+#REF!,0)))</f>
        <v>10104.700000000001</v>
      </c>
      <c r="P143" s="232"/>
      <c r="Q143" s="530">
        <f t="shared" si="12"/>
        <v>20380289.042430609</v>
      </c>
      <c r="R143" s="250"/>
      <c r="S143" s="232"/>
      <c r="T143" s="232"/>
      <c r="U143" s="232"/>
      <c r="V143" s="232"/>
      <c r="W143" s="232"/>
      <c r="X143" s="232"/>
      <c r="Y143" s="232"/>
      <c r="Z143" s="232"/>
      <c r="AA143" s="232"/>
      <c r="AB143" s="232"/>
      <c r="AC143" s="232"/>
      <c r="AD143" s="232"/>
      <c r="AE143" s="232"/>
      <c r="AF143" s="232"/>
      <c r="AG143" s="232"/>
      <c r="AH143" s="232"/>
      <c r="AI143" s="232"/>
      <c r="AJ143" s="232"/>
      <c r="AK143" s="232"/>
      <c r="AL143" s="232"/>
    </row>
    <row r="144" spans="1:38">
      <c r="A144" s="484">
        <f t="shared" si="11"/>
        <v>125</v>
      </c>
      <c r="B144" s="985" t="str">
        <f>CONCATENATE('3. Consumption by Rate Class'!B149,"-",'3. Consumption by Rate Class'!C149)</f>
        <v>2021-May</v>
      </c>
      <c r="C144" s="657"/>
      <c r="D144" s="722"/>
      <c r="E144" s="260"/>
      <c r="F144" s="260"/>
      <c r="G144" s="261"/>
      <c r="H144" s="260"/>
      <c r="I144" s="233"/>
      <c r="J144" s="684">
        <f>IF(J$19=$B$169,+AVERAGE(J24,J36,J48,J60,J72,J84,J96,J108,J120,J132),+IF(J$19=$B$170,+(EXP((LN(+'4. Customer Growth'!$W$42)/12))*$J143),IF($J$19=$B$171,+$A144*$C$176+#REF!,0)))</f>
        <v>194.86</v>
      </c>
      <c r="K144" s="684">
        <f>IF(K$19=$B$169,+AVERAGE(K24,K36,K48,K60,K72,K84,K96,K108,K120,K132),+IF(K$19=$B$170,+(EXP((LN(+'4. Customer Growth'!$W$42)/12))*$J143),IF($K$19=$B$171,+$A144*$C$177+#REF!,0)))</f>
        <v>1.9</v>
      </c>
      <c r="L144" s="684">
        <f>IF(L$19=$B$169,+AVERAGE(L24,L36,L48,L60,L72,L84,L96,L108,L120,L132),+IF(L$19=$B$170,+(EXP((LN(+'4. Customer Growth'!$W$42)/12))*$J143),IF($L$19=$B$171,+$A144*$C$178+#REF!,0)))</f>
        <v>31</v>
      </c>
      <c r="M144" s="684">
        <f>IF(M$19=$B$169,+AVERAGE(M24,M36,M48,M60,M72,M84,M96,M108,M120,M132),+IF(M$19=$B$170,+(EXP((LN(+'4. Customer Growth'!$W$42)/12))*$M143),IF($M$19=$B$171,+$A144*$C$180+#REF!,0)))</f>
        <v>339.2</v>
      </c>
      <c r="N144" s="684">
        <f>IF(N$19=$B$169,+AVERAGE(N24,N36,N48,N60,N72,N84,N96,N108,N120,N132),+IF(N$19=$B$170,+(EXP((LN(+'4. Customer Growth'!$W$42)/12))*$N143),IF($N$19=$B$171,+$A144*$C$181+#REF!,0)))</f>
        <v>1</v>
      </c>
      <c r="O144" s="1057">
        <f>IF(O$19=$B$169,+AVERAGE(O24,O36,O48,O60,O72,O84,O96,O108,O120,O132),+IF(O$19=$B$170,+(EXP((LN(+'4. Customer Growth'!$W$42)/12))*$O143),IF($O$19=$B$171,+$A144*$C$181+#REF!,0)))</f>
        <v>10113</v>
      </c>
      <c r="P144" s="232"/>
      <c r="Q144" s="530">
        <f t="shared" si="12"/>
        <v>19734617.948960289</v>
      </c>
      <c r="R144" s="250"/>
      <c r="S144" s="232"/>
      <c r="T144" s="232"/>
      <c r="U144" s="232"/>
      <c r="V144" s="232"/>
      <c r="W144" s="232"/>
      <c r="X144" s="232"/>
      <c r="Y144" s="232"/>
      <c r="Z144" s="232"/>
      <c r="AA144" s="232"/>
      <c r="AB144" s="232"/>
      <c r="AC144" s="232"/>
      <c r="AD144" s="232"/>
      <c r="AE144" s="232"/>
      <c r="AF144" s="232"/>
      <c r="AG144" s="232"/>
      <c r="AH144" s="232"/>
      <c r="AI144" s="232"/>
      <c r="AJ144" s="232"/>
      <c r="AK144" s="232"/>
      <c r="AL144" s="232"/>
    </row>
    <row r="145" spans="1:38">
      <c r="A145" s="484">
        <f t="shared" si="11"/>
        <v>126</v>
      </c>
      <c r="B145" s="985" t="str">
        <f>CONCATENATE('3. Consumption by Rate Class'!B150,"-",'3. Consumption by Rate Class'!C150)</f>
        <v>2021-June</v>
      </c>
      <c r="C145" s="657"/>
      <c r="D145" s="722"/>
      <c r="E145" s="260"/>
      <c r="F145" s="260"/>
      <c r="G145" s="260"/>
      <c r="H145" s="260"/>
      <c r="I145" s="233"/>
      <c r="J145" s="684">
        <f>IF(J$19=$B$169,+AVERAGE(J25,J37,J49,J61,J73,J85,J97,J109,J121,J133),+IF(J$19=$B$170,+(EXP((LN(+'4. Customer Growth'!$W$42)/12))*$J144),IF($J$19=$B$171,+$A145*$C$176+#REF!,0)))</f>
        <v>65.099999999999994</v>
      </c>
      <c r="K145" s="684">
        <f>IF(K$19=$B$169,+AVERAGE(K25,K37,K49,K61,K73,K85,K97,K109,K121,K133),+IF(K$19=$B$170,+(EXP((LN(+'4. Customer Growth'!$W$42)/12))*$J144),IF($K$19=$B$171,+$A145*$C$177+#REF!,0)))</f>
        <v>16.029999999999998</v>
      </c>
      <c r="L145" s="684">
        <f>IF(L$19=$B$169,+AVERAGE(L25,L37,L49,L61,L73,L85,L97,L109,L121,L133),+IF(L$19=$B$170,+(EXP((LN(+'4. Customer Growth'!$W$42)/12))*$J144),IF($L$19=$B$171,+$A145*$C$178+#REF!,0)))</f>
        <v>30</v>
      </c>
      <c r="M145" s="684">
        <f>IF(M$19=$B$169,+AVERAGE(M25,M37,M49,M61,M73,M85,M97,M109,M121,M133),+IF(M$19=$B$170,+(EXP((LN(+'4. Customer Growth'!$W$42)/12))*$M144),IF($M$19=$B$171,+$A145*$C$180+#REF!,0)))</f>
        <v>340.8</v>
      </c>
      <c r="N145" s="684">
        <f>IF(N$19=$B$169,+AVERAGE(N25,N37,N49,N61,N73,N85,N97,N109,N121,N133),+IF(N$19=$B$170,+(EXP((LN(+'4. Customer Growth'!$W$42)/12))*$N144),IF($N$19=$B$171,+$A145*$C$181+#REF!,0)))</f>
        <v>0</v>
      </c>
      <c r="O145" s="1057">
        <f>IF(O$19=$B$169,+AVERAGE(O25,O37,O49,O61,O73,O85,O97,O109,O121,O133),+IF(O$19=$B$170,+(EXP((LN(+'4. Customer Growth'!$W$42)/12))*$O144),IF($O$19=$B$171,+$A145*$C$181+#REF!,0)))</f>
        <v>10119.6</v>
      </c>
      <c r="P145" s="232"/>
      <c r="Q145" s="530">
        <f t="shared" si="12"/>
        <v>19748797.729869172</v>
      </c>
      <c r="R145" s="250"/>
      <c r="S145" s="232"/>
      <c r="T145" s="232"/>
      <c r="U145" s="232"/>
      <c r="V145" s="232"/>
      <c r="W145" s="262"/>
      <c r="X145" s="232"/>
      <c r="Y145" s="232"/>
      <c r="Z145" s="232"/>
      <c r="AA145" s="232"/>
      <c r="AB145" s="232"/>
      <c r="AC145" s="232"/>
      <c r="AD145" s="232"/>
      <c r="AE145" s="232"/>
      <c r="AF145" s="232"/>
      <c r="AG145" s="232"/>
      <c r="AH145" s="232"/>
      <c r="AI145" s="232"/>
      <c r="AJ145" s="232"/>
      <c r="AK145" s="232"/>
      <c r="AL145" s="232"/>
    </row>
    <row r="146" spans="1:38">
      <c r="A146" s="484">
        <f t="shared" si="11"/>
        <v>127</v>
      </c>
      <c r="B146" s="985" t="str">
        <f>CONCATENATE('3. Consumption by Rate Class'!B151,"-",'3. Consumption by Rate Class'!C151)</f>
        <v>2021-July</v>
      </c>
      <c r="C146" s="657"/>
      <c r="D146" s="722"/>
      <c r="E146" s="260"/>
      <c r="F146" s="260"/>
      <c r="G146" s="260"/>
      <c r="H146" s="260"/>
      <c r="I146" s="233"/>
      <c r="J146" s="684">
        <f>IF(J$19=$B$169,+AVERAGE(J26,J38,J50,J62,J74,J86,J98,J110,J122,J134),+IF(J$19=$B$170,+(EXP((LN(+'4. Customer Growth'!$W$42)/12))*$J145),IF($J$19=$B$171,+$A146*$C$176+#REF!,0)))</f>
        <v>8.65</v>
      </c>
      <c r="K146" s="684">
        <f>IF(K$19=$B$169,+AVERAGE(K26,K38,K50,K62,K74,K86,K98,K110,K122,K134),+IF(K$19=$B$170,+(EXP((LN(+'4. Customer Growth'!$W$42)/12))*$J145),IF($K$19=$B$171,+$A146*$C$177+#REF!,0)))</f>
        <v>79.39</v>
      </c>
      <c r="L146" s="684">
        <f>IF(L$19=$B$169,+AVERAGE(L26,L38,L50,L62,L74,L86,L98,L110,L122,L134),+IF(L$19=$B$170,+(EXP((LN(+'4. Customer Growth'!$W$42)/12))*$J145),IF($L$19=$B$171,+$A146*$C$178+#REF!,0)))</f>
        <v>31</v>
      </c>
      <c r="M146" s="684">
        <f>IF(M$19=$B$169,+AVERAGE(M26,M38,M50,M62,M74,M86,M98,M110,M122,M134),+IF(M$19=$B$170,+(EXP((LN(+'4. Customer Growth'!$W$42)/12))*$M145),IF($M$19=$B$171,+$A146*$C$180+#REF!,0)))</f>
        <v>342.4</v>
      </c>
      <c r="N146" s="684">
        <f>IF(N$19=$B$169,+AVERAGE(N26,N38,N50,N62,N74,N86,N98,N110,N122,N134),+IF(N$19=$B$170,+(EXP((LN(+'4. Customer Growth'!$W$42)/12))*$N145),IF($N$19=$B$171,+$A146*$C$181+#REF!,0)))</f>
        <v>0</v>
      </c>
      <c r="O146" s="1057">
        <f>IF(O$19=$B$169,+AVERAGE(O26,O38,O50,O62,O74,O86,O98,O110,O122,O134),+IF(O$19=$B$170,+(EXP((LN(+'4. Customer Growth'!$W$42)/12))*$O145),IF($O$19=$B$171,+$A146*$C$181+#REF!,0)))</f>
        <v>10130.299999999999</v>
      </c>
      <c r="P146" s="232"/>
      <c r="Q146" s="530">
        <f t="shared" si="12"/>
        <v>22296646.786009088</v>
      </c>
      <c r="R146" s="250"/>
      <c r="S146" s="232"/>
      <c r="T146" s="232"/>
      <c r="U146" s="232"/>
      <c r="V146" s="232"/>
      <c r="W146" s="232"/>
      <c r="X146" s="232"/>
      <c r="Y146" s="232"/>
      <c r="Z146" s="232"/>
      <c r="AA146" s="232"/>
      <c r="AB146" s="232"/>
      <c r="AC146" s="232"/>
      <c r="AD146" s="232"/>
      <c r="AE146" s="232"/>
      <c r="AF146" s="232"/>
      <c r="AG146" s="232"/>
      <c r="AH146" s="232"/>
      <c r="AI146" s="232"/>
      <c r="AJ146" s="232"/>
      <c r="AK146" s="232"/>
      <c r="AL146" s="232"/>
    </row>
    <row r="147" spans="1:38">
      <c r="A147" s="484">
        <f t="shared" si="11"/>
        <v>128</v>
      </c>
      <c r="B147" s="985" t="str">
        <f>CONCATENATE('3. Consumption by Rate Class'!B152,"-",'3. Consumption by Rate Class'!C152)</f>
        <v>2021-August</v>
      </c>
      <c r="C147" s="657"/>
      <c r="D147" s="722"/>
      <c r="E147" s="260"/>
      <c r="F147" s="260"/>
      <c r="G147" s="260"/>
      <c r="H147" s="260"/>
      <c r="I147" s="233"/>
      <c r="J147" s="684">
        <f>IF(J$19=$B$169,+AVERAGE(J27,J39,J51,J63,J75,J87,J99,J111,J123,J135),+IF(J$19=$B$170,+(EXP((LN(+'4. Customer Growth'!$W$42)/12))*$J146),IF($J$19=$B$171,+$A147*$C$176+#REF!,0)))</f>
        <v>11.55</v>
      </c>
      <c r="K147" s="684">
        <f>IF(K$19=$B$169,+AVERAGE(K27,K39,K51,K63,K75,K87,K99,K111,K123,K135),+IF(K$19=$B$170,+(EXP((LN(+'4. Customer Growth'!$W$42)/12))*$J146),IF($K$19=$B$171,+$A147*$C$177+#REF!,0)))</f>
        <v>65.81</v>
      </c>
      <c r="L147" s="684">
        <f>IF(L$19=$B$169,+AVERAGE(L27,L39,L51,L63,L75,L87,L99,L111,L123,L135),+IF(L$19=$B$170,+(EXP((LN(+'4. Customer Growth'!$W$42)/12))*$J146),IF($L$19=$B$171,+$A147*$C$178+#REF!,0)))</f>
        <v>31</v>
      </c>
      <c r="M147" s="684">
        <f>IF(M$19=$B$169,+AVERAGE(M27,M39,M51,M63,M75,M87,M99,M111,M123,M135),+IF(M$19=$B$170,+(EXP((LN(+'4. Customer Growth'!$W$42)/12))*$M146),IF($M$19=$B$171,+$A147*$C$180+#REF!,0)))</f>
        <v>336</v>
      </c>
      <c r="N147" s="684">
        <f>IF(N$19=$B$169,+AVERAGE(N27,N39,N51,N63,N75,N87,N99,N111,N123,N135),+IF(N$19=$B$170,+(EXP((LN(+'4. Customer Growth'!$W$42)/12))*$N146),IF($N$19=$B$171,+$A147*$C$181+#REF!,0)))</f>
        <v>0</v>
      </c>
      <c r="O147" s="1057">
        <f>IF(O$19=$B$169,+AVERAGE(O27,O39,O51,O63,O75,O87,O99,O111,O123,O135),+IF(O$19=$B$170,+(EXP((LN(+'4. Customer Growth'!$W$42)/12))*$O146),IF($O$19=$B$171,+$A147*$C$181+#REF!,0)))</f>
        <v>10142.5</v>
      </c>
      <c r="P147" s="232"/>
      <c r="Q147" s="530">
        <f t="shared" si="12"/>
        <v>21726990.316804286</v>
      </c>
      <c r="R147" s="250"/>
      <c r="S147" s="232"/>
      <c r="T147" s="232"/>
      <c r="U147" s="232"/>
      <c r="V147" s="232"/>
      <c r="W147" s="232"/>
      <c r="X147" s="232"/>
      <c r="Y147" s="232"/>
      <c r="Z147" s="232"/>
      <c r="AA147" s="232"/>
      <c r="AB147" s="232"/>
      <c r="AC147" s="232"/>
      <c r="AD147" s="232"/>
      <c r="AE147" s="232"/>
      <c r="AF147" s="232"/>
      <c r="AG147" s="232"/>
      <c r="AH147" s="232"/>
      <c r="AI147" s="232"/>
      <c r="AJ147" s="232"/>
      <c r="AK147" s="232"/>
      <c r="AL147" s="232"/>
    </row>
    <row r="148" spans="1:38">
      <c r="A148" s="484">
        <f t="shared" si="11"/>
        <v>129</v>
      </c>
      <c r="B148" s="985" t="str">
        <f>CONCATENATE('3. Consumption by Rate Class'!B153,"-",'3. Consumption by Rate Class'!C153)</f>
        <v>2021-September</v>
      </c>
      <c r="C148" s="657"/>
      <c r="D148" s="722"/>
      <c r="E148" s="260"/>
      <c r="F148" s="260"/>
      <c r="G148" s="260"/>
      <c r="H148" s="260"/>
      <c r="I148" s="233"/>
      <c r="J148" s="684">
        <f>IF(J$19=$B$169,+AVERAGE(J28,J40,J52,J64,J76,J88,J100,J112,J124,J136),+IF(J$19=$B$170,+(EXP((LN(+'4. Customer Growth'!$W$42)/12))*$J147),IF($J$19=$B$171,+$A148*$C$176+#REF!,0)))</f>
        <v>70.62</v>
      </c>
      <c r="K148" s="684">
        <f>IF(K$19=$B$169,+AVERAGE(K28,K40,K52,K64,K76,K88,K100,K112,K124,K136),+IF(K$19=$B$170,+(EXP((LN(+'4. Customer Growth'!$W$42)/12))*$J147),IF($K$19=$B$171,+$A148*$C$177+#REF!,0)))</f>
        <v>24.299999999999994</v>
      </c>
      <c r="L148" s="684">
        <f>IF(L$19=$B$169,+AVERAGE(L28,L40,L52,L64,L76,L88,L100,L112,L124,L136),+IF(L$19=$B$170,+(EXP((LN(+'4. Customer Growth'!$W$42)/12))*$J147),IF($L$19=$B$171,+$A148*$C$178+#REF!,0)))</f>
        <v>30</v>
      </c>
      <c r="M148" s="684">
        <f>IF(M$19=$B$169,+AVERAGE(M28,M40,M52,M64,M76,M88,M100,M112,M124,M136),+IF(M$19=$B$170,+(EXP((LN(+'4. Customer Growth'!$W$42)/12))*$M147),IF($M$19=$B$171,+$A148*$C$180+#REF!,0)))</f>
        <v>324.8</v>
      </c>
      <c r="N148" s="684">
        <f>IF(N$19=$B$169,+AVERAGE(N28,N40,N52,N64,N76,N88,N100,N112,N124,N136),+IF(N$19=$B$170,+(EXP((LN(+'4. Customer Growth'!$W$42)/12))*$N147),IF($N$19=$B$171,+$A148*$C$181+#REF!,0)))</f>
        <v>1</v>
      </c>
      <c r="O148" s="1057">
        <f>IF(O$19=$B$169,+AVERAGE(O28,O40,O52,O64,O76,O88,O100,O112,O124,O136),+IF(O$19=$B$170,+(EXP((LN(+'4. Customer Growth'!$W$42)/12))*$O147),IF($O$19=$B$171,+$A148*$C$181+#REF!,0)))</f>
        <v>10158.5</v>
      </c>
      <c r="P148" s="232"/>
      <c r="Q148" s="530">
        <f t="shared" ref="Q148:Q163" si="14">$U$34+(J148*$U$35)+(K148*$U$36)+(L148*$U$37)+(M148*$U$38)+(N148*$U$39)+(O148+$U$40)</f>
        <v>19329918.908518437</v>
      </c>
      <c r="R148" s="250"/>
      <c r="S148" s="232"/>
      <c r="T148" s="232"/>
      <c r="U148" s="232"/>
      <c r="V148" s="232"/>
      <c r="W148" s="232"/>
      <c r="X148" s="232"/>
      <c r="Y148" s="232"/>
      <c r="Z148" s="232"/>
      <c r="AA148" s="232"/>
      <c r="AB148" s="232"/>
      <c r="AC148" s="232"/>
      <c r="AD148" s="232"/>
      <c r="AE148" s="232"/>
      <c r="AF148" s="232"/>
      <c r="AG148" s="232"/>
      <c r="AH148" s="232"/>
      <c r="AI148" s="232"/>
      <c r="AJ148" s="232"/>
      <c r="AK148" s="232"/>
      <c r="AL148" s="232"/>
    </row>
    <row r="149" spans="1:38">
      <c r="A149" s="484">
        <f t="shared" si="11"/>
        <v>130</v>
      </c>
      <c r="B149" s="985" t="str">
        <f>CONCATENATE('3. Consumption by Rate Class'!B154,"-",'3. Consumption by Rate Class'!C154)</f>
        <v>2021-October</v>
      </c>
      <c r="C149" s="657"/>
      <c r="D149" s="722"/>
      <c r="E149" s="260"/>
      <c r="F149" s="260"/>
      <c r="G149" s="260"/>
      <c r="H149" s="260"/>
      <c r="I149" s="233"/>
      <c r="J149" s="684">
        <f>IF(J$19=$B$169,+AVERAGE(J29,J41,J53,J65,J77,J89,J101,J113,J125,J137),+IF(J$19=$B$170,+(EXP((LN(+'4. Customer Growth'!$W$42)/12))*$J148),IF($J$19=$B$171,+$A149*$C$176+#REF!,0)))</f>
        <v>239.58999999999997</v>
      </c>
      <c r="K149" s="684">
        <f>IF(K$19=$B$169,+AVERAGE(K29,K41,K53,K65,K77,K89,K101,K113,K125,K137),+IF(K$19=$B$170,+(EXP((LN(+'4. Customer Growth'!$W$42)/12))*$J148),IF($K$19=$B$171,+$A149*$C$177+#REF!,0)))</f>
        <v>0.21000000000000002</v>
      </c>
      <c r="L149" s="684">
        <f>IF(L$19=$B$169,+AVERAGE(L29,L41,L53,L65,L77,L89,L101,L113,L125,L137),+IF(L$19=$B$170,+(EXP((LN(+'4. Customer Growth'!$W$42)/12))*$J148),IF($L$19=$B$171,+$A149*$C$178+#REF!,0)))</f>
        <v>31</v>
      </c>
      <c r="M149" s="684">
        <f>IF(M$19=$B$169,+AVERAGE(M29,M41,M53,M65,M77,M89,M101,M113,M125,M137),+IF(M$19=$B$170,+(EXP((LN(+'4. Customer Growth'!$W$42)/12))*$M148),IF($M$19=$B$171,+$A149*$C$180+#REF!,0)))</f>
        <v>344</v>
      </c>
      <c r="N149" s="684">
        <f>IF(N$19=$B$169,+AVERAGE(N29,N41,N53,N65,N77,N89,N101,N113,N125,N137),+IF(N$19=$B$170,+(EXP((LN(+'4. Customer Growth'!$W$42)/12))*$N148),IF($N$19=$B$171,+$A149*$C$181+#REF!,0)))</f>
        <v>1</v>
      </c>
      <c r="O149" s="1057">
        <f>IF(O$19=$B$169,+AVERAGE(O29,O41,O53,O65,O77,O89,O101,O113,O125,O137),+IF(O$19=$B$170,+(EXP((LN(+'4. Customer Growth'!$W$42)/12))*$O148),IF($O$19=$B$171,+$A149*$C$181+#REF!,0)))</f>
        <v>10165.299999999999</v>
      </c>
      <c r="P149" s="232"/>
      <c r="Q149" s="530">
        <f t="shared" si="14"/>
        <v>19996804.726640265</v>
      </c>
      <c r="R149" s="250"/>
      <c r="S149" s="232"/>
      <c r="T149" s="232"/>
      <c r="U149" s="232"/>
      <c r="V149" s="232"/>
      <c r="W149" s="232"/>
      <c r="X149" s="232"/>
      <c r="Y149" s="232"/>
      <c r="Z149" s="232"/>
      <c r="AA149" s="232"/>
      <c r="AB149" s="232"/>
      <c r="AC149" s="232"/>
      <c r="AD149" s="232"/>
      <c r="AE149" s="232"/>
      <c r="AF149" s="232"/>
      <c r="AG149" s="232"/>
      <c r="AH149" s="232"/>
      <c r="AI149" s="232"/>
      <c r="AJ149" s="232"/>
      <c r="AK149" s="232"/>
      <c r="AL149" s="232"/>
    </row>
    <row r="150" spans="1:38">
      <c r="A150" s="484">
        <f t="shared" ref="A150:A163" si="15">+A149+1</f>
        <v>131</v>
      </c>
      <c r="B150" s="985" t="str">
        <f>CONCATENATE('3. Consumption by Rate Class'!B155,"-",'3. Consumption by Rate Class'!C155)</f>
        <v>2021-November</v>
      </c>
      <c r="C150" s="657"/>
      <c r="D150" s="722"/>
      <c r="E150" s="260"/>
      <c r="F150" s="260"/>
      <c r="G150" s="260"/>
      <c r="H150" s="260"/>
      <c r="I150" s="233"/>
      <c r="J150" s="684">
        <f>IF(J$19=$B$169,+AVERAGE(J30,J42,J54,J66,J78,J90,J102,J114,J126,J138),+IF(J$19=$B$170,+(EXP((LN(+'4. Customer Growth'!$W$42)/12))*$J149),IF($J$19=$B$171,+$A150*$C$176+#REF!,0)))</f>
        <v>425.18999999999994</v>
      </c>
      <c r="K150" s="684">
        <f>IF(K$19=$B$169,+AVERAGE(K30,K42,K54,K66,K78,K90,K102,K114,K126,K138),+IF(K$19=$B$170,+(EXP((LN(+'4. Customer Growth'!$W$42)/12))*$J149),IF($K$19=$B$171,+$A150*$C$177+#REF!,0)))</f>
        <v>0</v>
      </c>
      <c r="L150" s="684">
        <f>IF(L$19=$B$169,+AVERAGE(L30,L42,L54,L66,L78,L90,L102,L114,L126,L138),+IF(L$19=$B$170,+(EXP((LN(+'4. Customer Growth'!$W$42)/12))*$J149),IF($L$19=$B$171,+$A150*$C$178+#REF!,0)))</f>
        <v>30</v>
      </c>
      <c r="M150" s="684">
        <f>IF(M$19=$B$169,+AVERAGE(M30,M42,M54,M66,M78,M90,M102,M114,M126,M138),+IF(M$19=$B$170,+(EXP((LN(+'4. Customer Growth'!$W$42)/12))*$M149),IF($M$19=$B$171,+$A150*$C$180+#REF!,0)))</f>
        <v>350.6</v>
      </c>
      <c r="N150" s="684">
        <f>IF(N$19=$B$169,+AVERAGE(N30,N42,N54,N66,N78,N90,N102,N114,N126,N138),+IF(N$19=$B$170,+(EXP((LN(+'4. Customer Growth'!$W$42)/12))*$N149),IF($N$19=$B$171,+$A150*$C$181+#REF!,0)))</f>
        <v>1</v>
      </c>
      <c r="O150" s="1057">
        <f>IF(O$19=$B$169,+AVERAGE(O30,O42,O54,O66,O78,O90,O102,O114,O126,O138),+IF(O$19=$B$170,+(EXP((LN(+'4. Customer Growth'!$W$42)/12))*$O149),IF($O$19=$B$171,+$A150*$C$181+#REF!,0)))</f>
        <v>10177.9</v>
      </c>
      <c r="P150" s="232"/>
      <c r="Q150" s="530">
        <f t="shared" si="14"/>
        <v>20883901.279080022</v>
      </c>
      <c r="R150" s="250"/>
      <c r="S150" s="232"/>
      <c r="T150" s="232"/>
      <c r="U150" s="232"/>
      <c r="V150" s="232"/>
      <c r="W150" s="232"/>
      <c r="X150" s="232"/>
      <c r="Y150" s="232"/>
      <c r="Z150" s="232"/>
      <c r="AA150" s="232"/>
      <c r="AB150" s="232"/>
      <c r="AC150" s="232"/>
      <c r="AD150" s="232"/>
      <c r="AE150" s="232"/>
      <c r="AF150" s="232"/>
      <c r="AG150" s="232"/>
      <c r="AH150" s="232"/>
      <c r="AI150" s="232"/>
      <c r="AJ150" s="232"/>
      <c r="AK150" s="232"/>
      <c r="AL150" s="232"/>
    </row>
    <row r="151" spans="1:38">
      <c r="A151" s="484">
        <f t="shared" si="15"/>
        <v>132</v>
      </c>
      <c r="B151" s="985" t="str">
        <f>CONCATENATE('3. Consumption by Rate Class'!B156,"-",'3. Consumption by Rate Class'!C156)</f>
        <v>2021-December</v>
      </c>
      <c r="C151" s="657"/>
      <c r="D151" s="722"/>
      <c r="E151" s="260"/>
      <c r="F151" s="260"/>
      <c r="G151" s="260"/>
      <c r="H151" s="260"/>
      <c r="I151" s="233"/>
      <c r="J151" s="684">
        <f>IF(J$19=$B$169,+AVERAGE(J31,J43,J55,J67,J79,J91,J103,J115,J127,J139),+IF(J$19=$B$170,+(EXP((LN(+'4. Customer Growth'!$W$42)/12))*$J150),IF($J$19=$B$171,+$A151*$C$176+#REF!,0)))</f>
        <v>574.24</v>
      </c>
      <c r="K151" s="684">
        <f>IF(K$19=$B$169,+AVERAGE(K31,K43,K55,K67,K79,K91,K103,K115,K127,K139),+IF(K$19=$B$170,+(EXP((LN(+'4. Customer Growth'!$W$42)/12))*$J150),IF($K$19=$B$171,+$A151*$C$177+#REF!,0)))</f>
        <v>0</v>
      </c>
      <c r="L151" s="684">
        <f>IF(L$19=$B$169,+AVERAGE(L31,L43,L55,L67,L79,L91,L103,L115,L127,L139),+IF(L$19=$B$170,+(EXP((LN(+'4. Customer Growth'!$W$42)/12))*$J150),IF($L$19=$B$171,+$A151*$C$178+#REF!,0)))</f>
        <v>31</v>
      </c>
      <c r="M151" s="684">
        <f>IF(M$19=$B$169,+AVERAGE(M31,M43,M55,M67,M79,M91,M103,M115,M127,M139),+IF(M$19=$B$170,+(EXP((LN(+'4. Customer Growth'!$W$42)/12))*$M150),IF($M$19=$B$171,+$A151*$C$180+#REF!,0)))</f>
        <v>323.2</v>
      </c>
      <c r="N151" s="684">
        <f>IF(N$19=$B$169,+AVERAGE(N31,N43,N55,N67,N79,N91,N103,N115,N127,N139),+IF(N$19=$B$170,+(EXP((LN(+'4. Customer Growth'!$W$42)/12))*$N150),IF($N$19=$B$171,+$A151*$C$181+#REF!,0)))</f>
        <v>0</v>
      </c>
      <c r="O151" s="1057">
        <f>IF(O$19=$B$169,+AVERAGE(O31,O43,O55,O67,O79,O91,O103,O115,O127,O139),+IF(O$19=$B$170,+(EXP((LN(+'4. Customer Growth'!$W$42)/12))*$O150),IF($O$19=$B$171,+$A151*$C$181+#REF!,0)))</f>
        <v>10185.200000000001</v>
      </c>
      <c r="P151" s="232"/>
      <c r="Q151" s="530">
        <f t="shared" si="14"/>
        <v>22717263.883077551</v>
      </c>
      <c r="R151" s="250">
        <f>SUM(Q140:Q151)</f>
        <v>254214060.19341606</v>
      </c>
      <c r="S151" s="232"/>
      <c r="T151" s="232"/>
      <c r="U151" s="232"/>
      <c r="V151" s="232"/>
      <c r="W151" s="232"/>
      <c r="X151" s="232"/>
      <c r="Y151" s="232"/>
      <c r="Z151" s="232"/>
      <c r="AA151" s="232"/>
      <c r="AB151" s="232"/>
      <c r="AC151" s="232"/>
      <c r="AD151" s="232"/>
      <c r="AE151" s="232"/>
      <c r="AF151" s="232"/>
      <c r="AG151" s="232"/>
      <c r="AH151" s="232"/>
      <c r="AI151" s="232"/>
      <c r="AJ151" s="232"/>
      <c r="AK151" s="232"/>
      <c r="AL151" s="232"/>
    </row>
    <row r="152" spans="1:38">
      <c r="A152" s="484">
        <f t="shared" si="15"/>
        <v>133</v>
      </c>
      <c r="B152" s="985" t="str">
        <f>CONCATENATE('3. Consumption by Rate Class'!B157,"-",'3. Consumption by Rate Class'!C157)</f>
        <v>2022-January</v>
      </c>
      <c r="C152" s="657"/>
      <c r="D152" s="722"/>
      <c r="E152" s="260"/>
      <c r="F152" s="260"/>
      <c r="G152" s="260"/>
      <c r="H152" s="260"/>
      <c r="I152" s="233"/>
      <c r="J152" s="684">
        <f>IF(J$19=$B$169,+AVERAGE(J32,J44,J56,J68,J80,J92,J104,J116,J128,J140),+IF(J$19=$B$170,+(EXP((LN(+'4. Customer Growth'!$W$43)/12))*$J151),IF($J$19=$B$171,+$A152*$C$176+#REF!,0)))</f>
        <v>670.18299999999999</v>
      </c>
      <c r="K152" s="684">
        <f>IF(K$19=$B$169,+AVERAGE(K32,K44,K56,K68,K80,K92,K104,K116,K128,K140),+IF(K$19=$B$170,+(EXP((LN(+'4. Customer Growth'!$W$43)/12))*$J151),IF($K$19=$B$171,+$A152*$C$177+#REF!,0)))</f>
        <v>0</v>
      </c>
      <c r="L152" s="684">
        <f>IF(L$19=$B$169,+AVERAGE(L32,L44,L56,L68,L80,L92,L104,L116,L128,L140),+IF(L$19=$B$170,+(EXP((LN(+'4. Customer Growth'!$W$43)/12))*$J151),IF($L$19=$B$171,+$A152*$C$178+#REF!,0)))</f>
        <v>31</v>
      </c>
      <c r="M152" s="684">
        <f>IF(M$19=$B$169,+AVERAGE(M32,M44,M56,M68,M80,M92,M104,M116,M128,M140),+IF(M$19=$B$170,+(EXP((LN(+'4. Customer Growth'!$W$43)/12))*$M151),IF($M$19=$B$171,+$A152*$C$180+#REF!,0)))</f>
        <v>344.96</v>
      </c>
      <c r="N152" s="684">
        <f>IF(N$19=$B$169,+AVERAGE(N32,N44,N56,N68,N80,N92,N104,N116,N128,N140),+IF(N$19=$B$170,+(EXP((LN(+'4. Customer Growth'!$W$43)/12))*$N151),IF($N$19=$B$171,+$A152*$C$181+#REF!,0)))</f>
        <v>0</v>
      </c>
      <c r="O152" s="1057">
        <f>IF(O$19=$B$169,+AVERAGE(O32,O44,O56,O68,O80,O92,O104,O116,O128,O140),+IF(O$19=$B$170,+(EXP((LN(+'4. Customer Growth'!$W$42)/12))*$O151),IF($O$19=$B$171,+$A152*$C$181+#REF!,0)))</f>
        <v>10127.58</v>
      </c>
      <c r="P152" s="232"/>
      <c r="Q152" s="530">
        <f t="shared" si="14"/>
        <v>23506878.042671885</v>
      </c>
      <c r="R152" s="250"/>
      <c r="S152" s="232"/>
      <c r="T152" s="232"/>
      <c r="U152" s="232"/>
      <c r="V152" s="232"/>
      <c r="W152" s="232"/>
      <c r="X152" s="232"/>
      <c r="Y152" s="232"/>
      <c r="Z152" s="232"/>
      <c r="AA152" s="232"/>
      <c r="AB152" s="232"/>
      <c r="AC152" s="232"/>
      <c r="AD152" s="232"/>
      <c r="AE152" s="232"/>
      <c r="AF152" s="232"/>
      <c r="AG152" s="232"/>
      <c r="AH152" s="232"/>
      <c r="AI152" s="232"/>
      <c r="AJ152" s="232"/>
      <c r="AK152" s="232"/>
      <c r="AL152" s="232"/>
    </row>
    <row r="153" spans="1:38">
      <c r="A153" s="484">
        <f t="shared" si="15"/>
        <v>134</v>
      </c>
      <c r="B153" s="985" t="str">
        <f>CONCATENATE('3. Consumption by Rate Class'!B158,"-",'3. Consumption by Rate Class'!C158)</f>
        <v>2022-February</v>
      </c>
      <c r="C153" s="657"/>
      <c r="D153" s="722"/>
      <c r="E153" s="260"/>
      <c r="F153" s="260"/>
      <c r="G153" s="260"/>
      <c r="H153" s="260"/>
      <c r="I153" s="233"/>
      <c r="J153" s="684">
        <f>IF(J$19=$B$169,+AVERAGE(J33,J45,J57,J69,J81,J93,J105,J117,J129,J141),+IF(J$19=$B$170,+(EXP((LN(+'4. Customer Growth'!$W$43)/12))*$J152),IF($J$19=$B$171,+$A153*$C$176+#REF!,0)))</f>
        <v>610.37799999999993</v>
      </c>
      <c r="K153" s="684">
        <f>IF(K$19=$B$169,+AVERAGE(K33,K45,K57,K69,K81,K93,K105,K117,K129,K141),+IF(K$19=$B$170,+(EXP((LN(+'4. Customer Growth'!$W$43)/12))*$J152),IF($K$19=$B$171,+$A153*$C$177+#REF!,0)))</f>
        <v>0</v>
      </c>
      <c r="L153" s="684">
        <f>IF(L$19=$B$169,+AVERAGE(L33,L45,L57,L69,L81,L93,L105,L117,L129,L141),+IF(L$19=$B$170,+(EXP((LN(+'4. Customer Growth'!$W$43)/12))*$J152),IF($L$19=$B$171,+$A153*$C$178+#REF!,0)))</f>
        <v>28.330000000000002</v>
      </c>
      <c r="M153" s="684">
        <f>IF(M$19=$B$169,+AVERAGE(M33,M45,M57,M69,M81,M93,M105,M117,M129,M141),+IF(M$19=$B$170,+(EXP((LN(+'4. Customer Growth'!$W$43)/12))*$M152),IF($M$19=$B$171,+$A153*$C$180+#REF!,0)))</f>
        <v>311.2</v>
      </c>
      <c r="N153" s="684">
        <f>IF(N$19=$B$169,+AVERAGE(N33,N45,N57,N69,N81,N93,N105,N117,N129,N141),+IF(N$19=$B$170,+(EXP((LN(+'4. Customer Growth'!$W$43)/12))*$N152),IF($N$19=$B$171,+$A153*$C$181+#REF!,0)))</f>
        <v>0</v>
      </c>
      <c r="O153" s="1057">
        <f>IF(O$19=$B$169,+AVERAGE(O33,O45,O57,O69,O81,O93,O105,O117,O129,O141),+IF(O$19=$B$170,+(EXP((LN(+'4. Customer Growth'!$W$42)/12))*$O152),IF($O$19=$B$171,+$A153*$C$181+#REF!,0)))</f>
        <v>10134.42</v>
      </c>
      <c r="P153" s="232"/>
      <c r="Q153" s="530">
        <f t="shared" si="14"/>
        <v>21863773.792427499</v>
      </c>
      <c r="R153" s="250"/>
      <c r="S153" s="232"/>
      <c r="T153" s="232"/>
      <c r="U153" s="232"/>
      <c r="V153" s="232"/>
      <c r="W153" s="232"/>
      <c r="X153" s="232"/>
      <c r="Y153" s="232"/>
      <c r="Z153" s="232"/>
      <c r="AA153" s="232"/>
      <c r="AB153" s="232"/>
      <c r="AC153" s="232"/>
      <c r="AD153" s="232"/>
      <c r="AE153" s="232"/>
      <c r="AF153" s="232"/>
      <c r="AG153" s="232"/>
      <c r="AH153" s="232"/>
      <c r="AI153" s="232"/>
      <c r="AJ153" s="232"/>
      <c r="AK153" s="232"/>
      <c r="AL153" s="232"/>
    </row>
    <row r="154" spans="1:38">
      <c r="A154" s="484">
        <f t="shared" si="15"/>
        <v>135</v>
      </c>
      <c r="B154" s="985" t="str">
        <f>CONCATENATE('3. Consumption by Rate Class'!B159,"-",'3. Consumption by Rate Class'!C159)</f>
        <v>2022-March</v>
      </c>
      <c r="C154" s="657"/>
      <c r="D154" s="722"/>
      <c r="E154" s="260"/>
      <c r="F154" s="260"/>
      <c r="G154" s="260"/>
      <c r="H154" s="260"/>
      <c r="I154" s="233"/>
      <c r="J154" s="684">
        <f>IF(J$19=$B$169,+AVERAGE(J34,J46,J58,J70,J82,J94,J106,J118,J130,J142),+IF(J$19=$B$170,+(EXP((LN(+'4. Customer Growth'!$W$43)/12))*$J153),IF($J$19=$B$171,+$A154*$C$176+#REF!,0)))</f>
        <v>530.577</v>
      </c>
      <c r="K154" s="684">
        <f>IF(K$19=$B$169,+AVERAGE(K34,K46,K58,K70,K82,K94,K106,K118,K130,K142),+IF(K$19=$B$170,+(EXP((LN(+'4. Customer Growth'!$W$43)/12))*$J153),IF($K$19=$B$171,+$A154*$C$177+#REF!,0)))</f>
        <v>0</v>
      </c>
      <c r="L154" s="684">
        <f>IF(L$19=$B$169,+AVERAGE(L34,L46,L58,L70,L82,L94,L106,L118,L130,L142),+IF(L$19=$B$170,+(EXP((LN(+'4. Customer Growth'!$W$43)/12))*$J153),IF($L$19=$B$171,+$A154*$C$178+#REF!,0)))</f>
        <v>31</v>
      </c>
      <c r="M154" s="684">
        <f>IF(M$19=$B$169,+AVERAGE(M34,M46,M58,M70,M82,M94,M106,M118,M130,M142),+IF(M$19=$B$170,+(EXP((LN(+'4. Customer Growth'!$W$43)/12))*$M153),IF($M$19=$B$171,+$A154*$C$180+#REF!,0)))</f>
        <v>343.2</v>
      </c>
      <c r="N154" s="684">
        <f>IF(N$19=$B$169,+AVERAGE(N34,N46,N58,N70,N82,N94,N106,N118,N130,N142),+IF(N$19=$B$170,+(EXP((LN(+'4. Customer Growth'!$W$43)/12))*$N153),IF($N$19=$B$171,+$A154*$C$181+#REF!,0)))</f>
        <v>1</v>
      </c>
      <c r="O154" s="1057">
        <f>IF(O$19=$B$169,+AVERAGE(O34,O46,O58,O70,O82,O94,O106,O118,O130,O142),+IF(O$19=$B$170,+(EXP((LN(+'4. Customer Growth'!$W$42)/12))*$O153),IF($O$19=$B$171,+$A154*$C$181+#REF!,0)))</f>
        <v>10142.64</v>
      </c>
      <c r="P154" s="232"/>
      <c r="Q154" s="530">
        <f t="shared" si="14"/>
        <v>21902485.433570042</v>
      </c>
      <c r="R154" s="250"/>
      <c r="S154" s="232"/>
      <c r="T154" s="232"/>
      <c r="U154" s="232"/>
      <c r="V154" s="232"/>
      <c r="W154" s="232"/>
      <c r="X154" s="232"/>
      <c r="Y154" s="232"/>
      <c r="Z154" s="232"/>
      <c r="AA154" s="232"/>
      <c r="AB154" s="232"/>
      <c r="AC154" s="232"/>
      <c r="AD154" s="232"/>
      <c r="AE154" s="232"/>
      <c r="AF154" s="232"/>
      <c r="AG154" s="232"/>
      <c r="AH154" s="232"/>
      <c r="AI154" s="232"/>
      <c r="AJ154" s="232"/>
      <c r="AK154" s="232"/>
      <c r="AL154" s="232"/>
    </row>
    <row r="155" spans="1:38">
      <c r="A155" s="484">
        <f t="shared" si="15"/>
        <v>136</v>
      </c>
      <c r="B155" s="985" t="str">
        <f>CONCATENATE('3. Consumption by Rate Class'!B160,"-",'3. Consumption by Rate Class'!C160)</f>
        <v>2022-April</v>
      </c>
      <c r="C155" s="657"/>
      <c r="D155" s="722"/>
      <c r="E155" s="260"/>
      <c r="F155" s="260"/>
      <c r="G155" s="260"/>
      <c r="H155" s="260"/>
      <c r="I155" s="233"/>
      <c r="J155" s="684">
        <f>IF(J$19=$B$169,+AVERAGE(J35,J47,J59,J71,J83,J95,J107,J119,J131,J143),+IF(J$19=$B$170,+(EXP((LN(+'4. Customer Growth'!$W$43)/12))*$J154),IF($J$19=$B$171,+$A155*$C$176+#REF!,0)))</f>
        <v>369.80399999999997</v>
      </c>
      <c r="K155" s="684">
        <f>IF(K$19=$B$169,+AVERAGE(K35,K47,K59,K71,K83,K95,K107,K119,K131,K143),+IF(K$19=$B$170,+(EXP((LN(+'4. Customer Growth'!$W$43)/12))*$J154),IF($K$19=$B$171,+$A155*$C$177+#REF!,0)))</f>
        <v>0</v>
      </c>
      <c r="L155" s="684">
        <f>IF(L$19=$B$169,+AVERAGE(L35,L47,L59,L71,L83,L95,L107,L119,L131,L143),+IF(L$19=$B$170,+(EXP((LN(+'4. Customer Growth'!$W$43)/12))*$J154),IF($L$19=$B$171,+$A155*$C$178+#REF!,0)))</f>
        <v>30</v>
      </c>
      <c r="M155" s="684">
        <f>IF(M$19=$B$169,+AVERAGE(M35,M47,M59,M71,M83,M95,M107,M119,M131,M143),+IF(M$19=$B$170,+(EXP((LN(+'4. Customer Growth'!$W$43)/12))*$M154),IF($M$19=$B$171,+$A155*$C$180+#REF!,0)))</f>
        <v>332.32</v>
      </c>
      <c r="N155" s="684">
        <f>IF(N$19=$B$169,+AVERAGE(N35,N47,N59,N71,N83,N95,N107,N119,N131,N143),+IF(N$19=$B$170,+(EXP((LN(+'4. Customer Growth'!$W$43)/12))*$N154),IF($N$19=$B$171,+$A155*$C$181+#REF!,0)))</f>
        <v>1</v>
      </c>
      <c r="O155" s="1057">
        <f>IF(O$19=$B$169,+AVERAGE(O35,O47,O59,O71,O83,O95,O107,O119,O131,O143),+IF(O$19=$B$170,+(EXP((LN(+'4. Customer Growth'!$W$42)/12))*$O154),IF($O$19=$B$171,+$A155*$C$181+#REF!,0)))</f>
        <v>10155.27</v>
      </c>
      <c r="P155" s="232"/>
      <c r="Q155" s="530">
        <f t="shared" si="14"/>
        <v>20386846.190257844</v>
      </c>
      <c r="R155" s="250"/>
      <c r="S155" s="232"/>
      <c r="T155" s="232"/>
      <c r="U155" s="232"/>
      <c r="V155" s="232"/>
      <c r="W155" s="232"/>
      <c r="X155" s="232"/>
      <c r="Y155" s="232"/>
      <c r="Z155" s="232"/>
      <c r="AA155" s="232"/>
      <c r="AB155" s="232"/>
      <c r="AC155" s="232"/>
      <c r="AD155" s="232"/>
      <c r="AE155" s="232"/>
      <c r="AF155" s="232"/>
      <c r="AG155" s="232"/>
      <c r="AH155" s="232"/>
      <c r="AI155" s="232"/>
      <c r="AJ155" s="232"/>
      <c r="AK155" s="232"/>
      <c r="AL155" s="232"/>
    </row>
    <row r="156" spans="1:38">
      <c r="A156" s="484">
        <f t="shared" si="15"/>
        <v>137</v>
      </c>
      <c r="B156" s="985" t="str">
        <f>CONCATENATE('3. Consumption by Rate Class'!B161,"-",'3. Consumption by Rate Class'!C161)</f>
        <v>2022-May</v>
      </c>
      <c r="C156" s="657"/>
      <c r="D156" s="722"/>
      <c r="E156" s="260"/>
      <c r="F156" s="260"/>
      <c r="G156" s="260"/>
      <c r="H156" s="260"/>
      <c r="I156" s="233"/>
      <c r="J156" s="684">
        <f>IF(J$19=$B$169,+AVERAGE(J36,J48,J60,J72,J84,J96,J108,J120,J132,J144),+IF(J$19=$B$170,+(EXP((LN(+'4. Customer Growth'!$W$43)/12))*$J155),IF($J$19=$B$171,+$A156*$C$176+#REF!,0)))</f>
        <v>196.58600000000001</v>
      </c>
      <c r="K156" s="684">
        <f>IF(K$19=$B$169,+AVERAGE(K36,K48,K60,K72,K84,K96,K108,K120,K132,K144),+IF(K$19=$B$170,+(EXP((LN(+'4. Customer Growth'!$W$43)/12))*$J155),IF($K$19=$B$171,+$A156*$C$177+#REF!,0)))</f>
        <v>2.08</v>
      </c>
      <c r="L156" s="684">
        <f>IF(L$19=$B$169,+AVERAGE(L36,L48,L60,L72,L84,L96,L108,L120,L132,L144),+IF(L$19=$B$170,+(EXP((LN(+'4. Customer Growth'!$W$43)/12))*$J155),IF($L$19=$B$171,+$A156*$C$178+#REF!,0)))</f>
        <v>31</v>
      </c>
      <c r="M156" s="684">
        <f>IF(M$19=$B$169,+AVERAGE(M36,M48,M60,M72,M84,M96,M108,M120,M132,M144),+IF(M$19=$B$170,+(EXP((LN(+'4. Customer Growth'!$W$43)/12))*$M155),IF($M$19=$B$171,+$A156*$C$180+#REF!,0)))</f>
        <v>337.91999999999996</v>
      </c>
      <c r="N156" s="684">
        <f>IF(N$19=$B$169,+AVERAGE(N36,N48,N60,N72,N84,N96,N108,N120,N132,N144),+IF(N$19=$B$170,+(EXP((LN(+'4. Customer Growth'!$W$43)/12))*$N155),IF($N$19=$B$171,+$A156*$C$181+#REF!,0)))</f>
        <v>1</v>
      </c>
      <c r="O156" s="1057">
        <f>IF(O$19=$B$169,+AVERAGE(O36,O48,O60,O72,O84,O96,O108,O120,O132,O144),+IF(O$19=$B$170,+(EXP((LN(+'4. Customer Growth'!$W$42)/12))*$O155),IF($O$19=$B$171,+$A156*$C$181+#REF!,0)))</f>
        <v>10163.6</v>
      </c>
      <c r="P156" s="232"/>
      <c r="Q156" s="530">
        <f t="shared" si="14"/>
        <v>19744034.343052283</v>
      </c>
      <c r="R156" s="250"/>
      <c r="S156" s="232"/>
      <c r="T156" s="232"/>
      <c r="U156" s="232"/>
      <c r="V156" s="232"/>
      <c r="W156" s="232"/>
      <c r="X156" s="232"/>
      <c r="Y156" s="232"/>
      <c r="Z156" s="232"/>
      <c r="AA156" s="232"/>
      <c r="AB156" s="232"/>
      <c r="AC156" s="232"/>
      <c r="AD156" s="232"/>
      <c r="AE156" s="232"/>
      <c r="AF156" s="232"/>
      <c r="AG156" s="232"/>
      <c r="AH156" s="232"/>
      <c r="AI156" s="232"/>
      <c r="AJ156" s="232"/>
      <c r="AK156" s="232"/>
      <c r="AL156" s="232"/>
    </row>
    <row r="157" spans="1:38">
      <c r="A157" s="484">
        <f t="shared" si="15"/>
        <v>138</v>
      </c>
      <c r="B157" s="985" t="str">
        <f>CONCATENATE('3. Consumption by Rate Class'!B162,"-",'3. Consumption by Rate Class'!C162)</f>
        <v>2022-June</v>
      </c>
      <c r="C157" s="657"/>
      <c r="D157" s="722"/>
      <c r="E157" s="260"/>
      <c r="F157" s="260"/>
      <c r="G157" s="260"/>
      <c r="H157" s="260"/>
      <c r="I157" s="233"/>
      <c r="J157" s="684">
        <f>IF(J$19=$B$169,+AVERAGE(J37,J49,J61,J73,J85,J97,J109,J121,J133,J145),+IF(J$19=$B$170,+(EXP((LN(+'4. Customer Growth'!$W$43)/12))*$J156),IF($J$19=$B$171,+$A157*$C$176+#REF!,0)))</f>
        <v>65.210000000000008</v>
      </c>
      <c r="K157" s="684">
        <f>IF(K$19=$B$169,+AVERAGE(K37,K49,K61,K73,K85,K97,K109,K121,K133,K145),+IF(K$19=$B$170,+(EXP((LN(+'4. Customer Growth'!$W$43)/12))*$J156),IF($K$19=$B$171,+$A157*$C$177+#REF!,0)))</f>
        <v>16.163</v>
      </c>
      <c r="L157" s="684">
        <f>IF(L$19=$B$169,+AVERAGE(L37,L49,L61,L73,L85,L97,L109,L121,L133,L145),+IF(L$19=$B$170,+(EXP((LN(+'4. Customer Growth'!$W$43)/12))*$J156),IF($L$19=$B$171,+$A157*$C$178+#REF!,0)))</f>
        <v>30</v>
      </c>
      <c r="M157" s="684">
        <f>IF(M$19=$B$169,+AVERAGE(M37,M49,M61,M73,M85,M97,M109,M121,M133,M145),+IF(M$19=$B$170,+(EXP((LN(+'4. Customer Growth'!$W$43)/12))*$M156),IF($M$19=$B$171,+$A157*$C$180+#REF!,0)))</f>
        <v>341.28000000000003</v>
      </c>
      <c r="N157" s="684">
        <f>IF(N$19=$B$169,+AVERAGE(N37,N49,N61,N73,N85,N97,N109,N121,N133,N145),+IF(N$19=$B$170,+(EXP((LN(+'4. Customer Growth'!$W$43)/12))*$N156),IF($N$19=$B$171,+$A157*$C$181+#REF!,0)))</f>
        <v>0</v>
      </c>
      <c r="O157" s="1057">
        <f>IF(O$19=$B$169,+AVERAGE(O37,O49,O61,O73,O85,O97,O109,O121,O133,O145),+IF(O$19=$B$170,+(EXP((LN(+'4. Customer Growth'!$W$42)/12))*$O156),IF($O$19=$B$171,+$A157*$C$181+#REF!,0)))</f>
        <v>10171.060000000001</v>
      </c>
      <c r="P157" s="232"/>
      <c r="Q157" s="530">
        <f t="shared" si="14"/>
        <v>19758346.127845936</v>
      </c>
      <c r="R157" s="250"/>
      <c r="S157" s="232"/>
      <c r="T157" s="232"/>
      <c r="U157" s="232"/>
      <c r="V157" s="232"/>
      <c r="W157" s="232"/>
      <c r="X157" s="232"/>
      <c r="Y157" s="232"/>
      <c r="Z157" s="232"/>
      <c r="AA157" s="232"/>
      <c r="AB157" s="232"/>
      <c r="AC157" s="232"/>
      <c r="AD157" s="232"/>
      <c r="AE157" s="232"/>
      <c r="AF157" s="232"/>
      <c r="AG157" s="232"/>
      <c r="AH157" s="232"/>
      <c r="AI157" s="232"/>
      <c r="AJ157" s="232"/>
      <c r="AK157" s="232"/>
      <c r="AL157" s="232"/>
    </row>
    <row r="158" spans="1:38">
      <c r="A158" s="484">
        <f t="shared" si="15"/>
        <v>139</v>
      </c>
      <c r="B158" s="985" t="str">
        <f>CONCATENATE('3. Consumption by Rate Class'!B163,"-",'3. Consumption by Rate Class'!C163)</f>
        <v>2022-July</v>
      </c>
      <c r="C158" s="657"/>
      <c r="D158" s="722"/>
      <c r="E158" s="260"/>
      <c r="F158" s="260"/>
      <c r="G158" s="260"/>
      <c r="H158" s="260"/>
      <c r="I158" s="233"/>
      <c r="J158" s="684">
        <f>IF(J$19=$B$169,+AVERAGE(J38,J50,J62,J74,J86,J98,J110,J122,J134,J146),+IF(J$19=$B$170,+(EXP((LN(+'4. Customer Growth'!$W$43)/12))*$J157),IF($J$19=$B$171,+$A158*$C$176+#REF!,0)))</f>
        <v>8.6750000000000007</v>
      </c>
      <c r="K158" s="684">
        <f>IF(K$19=$B$169,+AVERAGE(K38,K50,K62,K74,K86,K98,K110,K122,K134,K146),+IF(K$19=$B$170,+(EXP((LN(+'4. Customer Growth'!$W$43)/12))*$J157),IF($K$19=$B$171,+$A158*$C$177+#REF!,0)))</f>
        <v>78.198999999999998</v>
      </c>
      <c r="L158" s="684">
        <f>IF(L$19=$B$169,+AVERAGE(L38,L50,L62,L74,L86,L98,L110,L122,L134,L146),+IF(L$19=$B$170,+(EXP((LN(+'4. Customer Growth'!$W$43)/12))*$J157),IF($L$19=$B$171,+$A158*$C$178+#REF!,0)))</f>
        <v>31</v>
      </c>
      <c r="M158" s="684">
        <f>IF(M$19=$B$169,+AVERAGE(M38,M50,M62,M74,M86,M98,M110,M122,M134,M146),+IF(M$19=$B$170,+(EXP((LN(+'4. Customer Growth'!$W$43)/12))*$M157),IF($M$19=$B$171,+$A158*$C$180+#REF!,0)))</f>
        <v>343.04</v>
      </c>
      <c r="N158" s="684">
        <f>IF(N$19=$B$169,+AVERAGE(N38,N50,N62,N74,N86,N98,N110,N122,N134,N146),+IF(N$19=$B$170,+(EXP((LN(+'4. Customer Growth'!$W$43)/12))*$N157),IF($N$19=$B$171,+$A158*$C$181+#REF!,0)))</f>
        <v>0</v>
      </c>
      <c r="O158" s="1057">
        <f>IF(O$19=$B$169,+AVERAGE(O38,O50,O62,O74,O86,O98,O110,O122,O134,O146),+IF(O$19=$B$170,+(EXP((LN(+'4. Customer Growth'!$W$42)/12))*$O157),IF($O$19=$B$171,+$A158*$C$181+#REF!,0)))</f>
        <v>10181.33</v>
      </c>
      <c r="P158" s="232"/>
      <c r="Q158" s="530">
        <f t="shared" si="14"/>
        <v>22253872.289796043</v>
      </c>
      <c r="R158" s="250"/>
      <c r="S158" s="232"/>
      <c r="T158" s="232"/>
      <c r="U158" s="232"/>
      <c r="V158" s="232"/>
      <c r="W158" s="232"/>
      <c r="X158" s="232"/>
      <c r="Y158" s="232"/>
      <c r="Z158" s="232"/>
      <c r="AA158" s="232"/>
      <c r="AB158" s="232"/>
      <c r="AC158" s="232"/>
      <c r="AD158" s="232"/>
      <c r="AE158" s="232"/>
      <c r="AF158" s="232"/>
      <c r="AG158" s="232"/>
      <c r="AH158" s="232"/>
      <c r="AI158" s="232"/>
      <c r="AJ158" s="232"/>
      <c r="AK158" s="232"/>
      <c r="AL158" s="232"/>
    </row>
    <row r="159" spans="1:38">
      <c r="A159" s="484">
        <f t="shared" si="15"/>
        <v>140</v>
      </c>
      <c r="B159" s="985" t="str">
        <f>CONCATENATE('3. Consumption by Rate Class'!B164,"-",'3. Consumption by Rate Class'!C164)</f>
        <v>2022-August</v>
      </c>
      <c r="C159" s="657"/>
      <c r="D159" s="722"/>
      <c r="E159" s="260"/>
      <c r="F159" s="260"/>
      <c r="G159" s="260"/>
      <c r="H159" s="260"/>
      <c r="I159" s="233"/>
      <c r="J159" s="684">
        <f>IF(J$19=$B$169,+AVERAGE(J39,J51,J63,J75,J87,J99,J111,J123,J135,J147),+IF(J$19=$B$170,+(EXP((LN(+'4. Customer Growth'!$W$43)/12))*$J158),IF($J$19=$B$171,+$A159*$C$176+#REF!,0)))</f>
        <v>11.795</v>
      </c>
      <c r="K159" s="684">
        <f>IF(K$19=$B$169,+AVERAGE(K39,K51,K63,K75,K87,K99,K111,K123,K135,K147),+IF(K$19=$B$170,+(EXP((LN(+'4. Customer Growth'!$W$43)/12))*$J158),IF($K$19=$B$171,+$A159*$C$177+#REF!,0)))</f>
        <v>66.641000000000005</v>
      </c>
      <c r="L159" s="684">
        <f>IF(L$19=$B$169,+AVERAGE(L39,L51,L63,L75,L87,L99,L111,L123,L135,L147),+IF(L$19=$B$170,+(EXP((LN(+'4. Customer Growth'!$W$43)/12))*$J158),IF($L$19=$B$171,+$A159*$C$178+#REF!,0)))</f>
        <v>31</v>
      </c>
      <c r="M159" s="684">
        <f>IF(M$19=$B$169,+AVERAGE(M39,M51,M63,M75,M87,M99,M111,M123,M135,M147),+IF(M$19=$B$170,+(EXP((LN(+'4. Customer Growth'!$W$43)/12))*$M158),IF($M$19=$B$171,+$A159*$C$180+#REF!,0)))</f>
        <v>334.4</v>
      </c>
      <c r="N159" s="684">
        <f>IF(N$19=$B$169,+AVERAGE(N39,N51,N63,N75,N87,N99,N111,N123,N135,N147),+IF(N$19=$B$170,+(EXP((LN(+'4. Customer Growth'!$W$43)/12))*$N158),IF($N$19=$B$171,+$A159*$C$181+#REF!,0)))</f>
        <v>0</v>
      </c>
      <c r="O159" s="1057">
        <f>IF(O$19=$B$169,+AVERAGE(O39,O51,O63,O75,O87,O99,O111,O123,O135,O147),+IF(O$19=$B$170,+(EXP((LN(+'4. Customer Growth'!$W$42)/12))*$O158),IF($O$19=$B$171,+$A159*$C$181+#REF!,0)))</f>
        <v>10193.450000000001</v>
      </c>
      <c r="P159" s="232"/>
      <c r="Q159" s="530">
        <f t="shared" si="14"/>
        <v>21750349.102149747</v>
      </c>
      <c r="R159" s="250"/>
      <c r="S159" s="232"/>
      <c r="T159" s="232"/>
      <c r="U159" s="232"/>
      <c r="V159" s="232"/>
      <c r="W159" s="232"/>
      <c r="X159" s="232"/>
      <c r="Y159" s="232"/>
      <c r="Z159" s="232"/>
      <c r="AA159" s="232"/>
      <c r="AB159" s="232"/>
      <c r="AC159" s="232"/>
      <c r="AD159" s="232"/>
      <c r="AE159" s="232"/>
      <c r="AF159" s="232"/>
      <c r="AG159" s="232"/>
      <c r="AH159" s="232"/>
      <c r="AI159" s="232"/>
      <c r="AJ159" s="232"/>
      <c r="AK159" s="232"/>
      <c r="AL159" s="232"/>
    </row>
    <row r="160" spans="1:38">
      <c r="A160" s="484">
        <f t="shared" si="15"/>
        <v>141</v>
      </c>
      <c r="B160" s="985" t="str">
        <f>CONCATENATE('3. Consumption by Rate Class'!B165,"-",'3. Consumption by Rate Class'!C165)</f>
        <v>2022-September</v>
      </c>
      <c r="C160" s="657"/>
      <c r="D160" s="722"/>
      <c r="E160" s="260"/>
      <c r="F160" s="260"/>
      <c r="G160" s="260"/>
      <c r="H160" s="260"/>
      <c r="I160" s="233"/>
      <c r="J160" s="684">
        <f>IF(J$19=$B$169,+AVERAGE(J40,J52,J64,J76,J88,J100,J112,J124,J136,J148),+IF(J$19=$B$170,+(EXP((LN(+'4. Customer Growth'!$W$43)/12))*$J159),IF($J$19=$B$171,+$A160*$C$176+#REF!,0)))</f>
        <v>71.712000000000003</v>
      </c>
      <c r="K160" s="684">
        <f>IF(K$19=$B$169,+AVERAGE(K40,K52,K64,K76,K88,K100,K112,K124,K136,K148),+IF(K$19=$B$170,+(EXP((LN(+'4. Customer Growth'!$W$43)/12))*$J159),IF($K$19=$B$171,+$A160*$C$177+#REF!,0)))</f>
        <v>24.589999999999996</v>
      </c>
      <c r="L160" s="684">
        <f>IF(L$19=$B$169,+AVERAGE(L40,L52,L64,L76,L88,L100,L112,L124,L136,L148),+IF(L$19=$B$170,+(EXP((LN(+'4. Customer Growth'!$W$43)/12))*$J159),IF($L$19=$B$171,+$A160*$C$178+#REF!,0)))</f>
        <v>30</v>
      </c>
      <c r="M160" s="684">
        <f>IF(M$19=$B$169,+AVERAGE(M40,M52,M64,M76,M88,M100,M112,M124,M136,M148),+IF(M$19=$B$170,+(EXP((LN(+'4. Customer Growth'!$W$43)/12))*$M159),IF($M$19=$B$171,+$A160*$C$180+#REF!,0)))</f>
        <v>326.88</v>
      </c>
      <c r="N160" s="684">
        <f>IF(N$19=$B$169,+AVERAGE(N40,N52,N64,N76,N88,N100,N112,N124,N136,N148),+IF(N$19=$B$170,+(EXP((LN(+'4. Customer Growth'!$W$43)/12))*$N159),IF($N$19=$B$171,+$A160*$C$181+#REF!,0)))</f>
        <v>1</v>
      </c>
      <c r="O160" s="1057">
        <f>IF(O$19=$B$169,+AVERAGE(O40,O52,O64,O76,O88,O100,O112,O124,O136,O148),+IF(O$19=$B$170,+(EXP((LN(+'4. Customer Growth'!$W$42)/12))*$O159),IF($O$19=$B$171,+$A160*$C$181+#REF!,0)))</f>
        <v>10210.450000000001</v>
      </c>
      <c r="P160" s="232"/>
      <c r="Q160" s="530">
        <f t="shared" si="14"/>
        <v>19363740.764128685</v>
      </c>
      <c r="R160" s="250"/>
      <c r="S160" s="232"/>
      <c r="T160" s="232"/>
      <c r="U160" s="232"/>
      <c r="V160" s="232"/>
      <c r="W160" s="232"/>
      <c r="X160" s="232"/>
      <c r="Y160" s="232"/>
      <c r="Z160" s="232"/>
      <c r="AA160" s="232"/>
      <c r="AB160" s="232"/>
      <c r="AC160" s="232"/>
      <c r="AD160" s="232"/>
      <c r="AE160" s="232"/>
      <c r="AF160" s="232"/>
      <c r="AG160" s="232"/>
      <c r="AH160" s="232"/>
      <c r="AI160" s="232"/>
      <c r="AJ160" s="232"/>
      <c r="AK160" s="232"/>
      <c r="AL160" s="232"/>
    </row>
    <row r="161" spans="1:38">
      <c r="A161" s="484">
        <f t="shared" si="15"/>
        <v>142</v>
      </c>
      <c r="B161" s="985" t="str">
        <f>CONCATENATE('3. Consumption by Rate Class'!B166,"-",'3. Consumption by Rate Class'!C166)</f>
        <v>2022-October</v>
      </c>
      <c r="C161" s="657"/>
      <c r="D161" s="722"/>
      <c r="E161" s="260"/>
      <c r="F161" s="260"/>
      <c r="G161" s="260"/>
      <c r="H161" s="260"/>
      <c r="I161" s="233"/>
      <c r="J161" s="684">
        <f>IF(J$19=$B$169,+AVERAGE(J41,J53,J65,J77,J89,J101,J113,J125,J137,J149),+IF(J$19=$B$170,+(EXP((LN(+'4. Customer Growth'!$W$43)/12))*$J160),IF($J$19=$B$171,+$A161*$C$176+#REF!,0)))</f>
        <v>239.119</v>
      </c>
      <c r="K161" s="684">
        <f>IF(K$19=$B$169,+AVERAGE(K41,K53,K65,K77,K89,K101,K113,K125,K137,K149),+IF(K$19=$B$170,+(EXP((LN(+'4. Customer Growth'!$W$43)/12))*$J160),IF($K$19=$B$171,+$A161*$C$177+#REF!,0)))</f>
        <v>0.23100000000000001</v>
      </c>
      <c r="L161" s="684">
        <f>IF(L$19=$B$169,+AVERAGE(L41,L53,L65,L77,L89,L101,L113,L125,L137,L149),+IF(L$19=$B$170,+(EXP((LN(+'4. Customer Growth'!$W$43)/12))*$J160),IF($L$19=$B$171,+$A161*$C$178+#REF!,0)))</f>
        <v>31</v>
      </c>
      <c r="M161" s="684">
        <f>IF(M$19=$B$169,+AVERAGE(M41,M53,M65,M77,M89,M101,M113,M125,M137,M149),+IF(M$19=$B$170,+(EXP((LN(+'4. Customer Growth'!$W$43)/12))*$M160),IF($M$19=$B$171,+$A161*$C$180+#REF!,0)))</f>
        <v>343.2</v>
      </c>
      <c r="N161" s="684">
        <f>IF(N$19=$B$169,+AVERAGE(N41,N53,N65,N77,N89,N101,N113,N125,N137,N149),+IF(N$19=$B$170,+(EXP((LN(+'4. Customer Growth'!$W$43)/12))*$N160),IF($N$19=$B$171,+$A161*$C$181+#REF!,0)))</f>
        <v>1</v>
      </c>
      <c r="O161" s="1057">
        <f>IF(O$19=$B$169,+AVERAGE(O41,O53,O65,O77,O89,O101,O113,O125,O137,O149),+IF(O$19=$B$170,+(EXP((LN(+'4. Customer Growth'!$W$42)/12))*$O160),IF($O$19=$B$171,+$A161*$C$181+#REF!,0)))</f>
        <v>10217.130000000001</v>
      </c>
      <c r="P161" s="232"/>
      <c r="Q161" s="530">
        <f t="shared" si="14"/>
        <v>19988828.540982496</v>
      </c>
      <c r="R161" s="250"/>
      <c r="S161" s="232"/>
      <c r="T161" s="232"/>
      <c r="U161" s="232"/>
      <c r="V161" s="232"/>
      <c r="W161" s="232"/>
      <c r="X161" s="232"/>
      <c r="Y161" s="232"/>
      <c r="Z161" s="232"/>
      <c r="AA161" s="232"/>
      <c r="AB161" s="232"/>
      <c r="AC161" s="232"/>
      <c r="AD161" s="232"/>
      <c r="AE161" s="232"/>
      <c r="AF161" s="232"/>
      <c r="AG161" s="232"/>
      <c r="AH161" s="232"/>
      <c r="AI161" s="232"/>
      <c r="AJ161" s="232"/>
      <c r="AK161" s="232"/>
      <c r="AL161" s="232"/>
    </row>
    <row r="162" spans="1:38">
      <c r="A162" s="484">
        <f t="shared" si="15"/>
        <v>143</v>
      </c>
      <c r="B162" s="986" t="str">
        <f>CONCATENATE('3. Consumption by Rate Class'!B167,"-",'3. Consumption by Rate Class'!C167)</f>
        <v>2022-November</v>
      </c>
      <c r="C162" s="658"/>
      <c r="D162" s="723"/>
      <c r="E162" s="46"/>
      <c r="F162" s="46"/>
      <c r="G162" s="46"/>
      <c r="H162" s="46"/>
      <c r="J162" s="684">
        <f>IF(J$19=$B$169,+AVERAGE(J42,J54,J66,J78,J90,J102,J114,J126,J138,J150),+IF(J$19=$B$170,+(EXP((LN(+'4. Customer Growth'!$W$43)/12))*$J161),IF($J$19=$B$171,+$A162*$C$176+#REF!,0)))</f>
        <v>431.67899999999997</v>
      </c>
      <c r="K162" s="684">
        <f>IF(K$19=$B$169,+AVERAGE(K42,K54,K66,K78,K90,K102,K114,K126,K138,K150),+IF(K$19=$B$170,+(EXP((LN(+'4. Customer Growth'!$W$43)/12))*$J161),IF($K$19=$B$171,+$A162*$C$177+#REF!,0)))</f>
        <v>0</v>
      </c>
      <c r="L162" s="684">
        <f>IF(L$19=$B$169,+AVERAGE(L42,L54,L66,L78,L90,L102,L114,L126,L138,L150),+IF(L$19=$B$170,+(EXP((LN(+'4. Customer Growth'!$W$43)/12))*$J161),IF($L$19=$B$171,+$A162*$C$178+#REF!,0)))</f>
        <v>30</v>
      </c>
      <c r="M162" s="684">
        <f>IF(M$19=$B$169,+AVERAGE(M42,M54,M66,M78,M90,M102,M114,M126,M138,M150),+IF(M$19=$B$170,+(EXP((LN(+'4. Customer Growth'!$W$43)/12))*$M161),IF($M$19=$B$171,+$A162*$C$180+#REF!,0)))</f>
        <v>350.46</v>
      </c>
      <c r="N162" s="684">
        <f>IF(N$19=$B$169,+AVERAGE(N42,N54,N66,N78,N90,N102,N114,N126,N138,N150),+IF(N$19=$B$170,+(EXP((LN(+'4. Customer Growth'!$W$43)/12))*$N161),IF($N$19=$B$171,+$A162*$C$181+#REF!,0)))</f>
        <v>1</v>
      </c>
      <c r="O162" s="1057">
        <f>IF(O$19=$B$169,+AVERAGE(O42,O54,O66,O78,O90,O102,O114,O126,O138,O150),+IF(O$19=$B$170,+(EXP((LN(+'4. Customer Growth'!$W$42)/12))*$O161),IF($O$19=$B$171,+$A162*$C$181+#REF!,0)))</f>
        <v>10230.39</v>
      </c>
      <c r="Q162" s="530">
        <f t="shared" si="14"/>
        <v>20925758.530278757</v>
      </c>
      <c r="R162" s="208"/>
      <c r="T162" s="232"/>
      <c r="U162" s="232"/>
      <c r="V162" s="232"/>
      <c r="W162" s="232"/>
      <c r="X162" s="232"/>
      <c r="Y162" s="232"/>
    </row>
    <row r="163" spans="1:38">
      <c r="A163" s="484">
        <f t="shared" si="15"/>
        <v>144</v>
      </c>
      <c r="B163" s="986" t="str">
        <f>CONCATENATE('3. Consumption by Rate Class'!B168,"-",'3. Consumption by Rate Class'!C168)</f>
        <v>2022-December</v>
      </c>
      <c r="C163" s="658"/>
      <c r="D163" s="723"/>
      <c r="E163" s="46"/>
      <c r="F163" s="46"/>
      <c r="G163" s="46"/>
      <c r="H163" s="46"/>
      <c r="J163" s="684">
        <f>IF(J$19=$B$169,+AVERAGE(J43,J55,J67,J79,J91,J103,J115,J127,J139,J151),+IF(J$19=$B$170,+(EXP((LN(+'4. Customer Growth'!$W$43)/12))*$J162),IF($J$19=$B$171,+$A163*$C$176+#REF!,0)))</f>
        <v>577.04399999999987</v>
      </c>
      <c r="K163" s="684">
        <f>IF(K$19=$B$169,+AVERAGE(K43,K55,K67,K79,K91,K103,K115,K127,K139,K151),+IF(K$19=$B$170,+(EXP((LN(+'4. Customer Growth'!$W$43)/12))*$J162),IF($K$19=$B$171,+$A163*$C$177+#REF!,0)))</f>
        <v>0</v>
      </c>
      <c r="L163" s="684">
        <f>IF(L$19=$B$169,+AVERAGE(L43,L55,L67,L79,L91,L103,L115,L127,L139,L151),+IF(L$19=$B$170,+(EXP((LN(+'4. Customer Growth'!$W$43)/12))*$J162),IF($L$19=$B$171,+$A163*$C$178+#REF!,0)))</f>
        <v>31</v>
      </c>
      <c r="M163" s="684">
        <f>IF(M$19=$B$169,+AVERAGE(M43,M55,M67,M79,M91,M103,M115,M127,M139,M151),+IF(M$19=$B$170,+(EXP((LN(+'4. Customer Growth'!$W$43)/12))*$M162),IF($M$19=$B$171,+$A163*$C$180+#REF!,0)))</f>
        <v>325.12</v>
      </c>
      <c r="N163" s="684">
        <f>IF(N$19=$B$169,+AVERAGE(N43,N55,N67,N79,N91,N103,N115,N127,N139,N151),+IF(N$19=$B$170,+(EXP((LN(+'4. Customer Growth'!$W$43)/12))*$N162),IF($N$19=$B$171,+$A163*$C$181+#REF!,0)))</f>
        <v>0</v>
      </c>
      <c r="O163" s="1057">
        <f>IF(O$19=$B$169,+AVERAGE(O43,O55,O67,O79,O91,O103,O115,O127,O139,O151),+IF(O$19=$B$170,+(EXP((LN(+'4. Customer Growth'!$W$42)/12))*$O162),IF($O$19=$B$171,+$A163*$C$181+#REF!,0)))</f>
        <v>10234.82</v>
      </c>
      <c r="Q163" s="530">
        <f t="shared" si="14"/>
        <v>22749636.947560731</v>
      </c>
      <c r="R163" s="208">
        <f>SUM(Q152:Q163)</f>
        <v>254194550.10472196</v>
      </c>
    </row>
    <row r="164" spans="1:38">
      <c r="B164" s="166"/>
      <c r="C164" s="658"/>
      <c r="D164" s="723"/>
      <c r="E164" s="46"/>
      <c r="F164" s="46"/>
      <c r="G164" s="46"/>
      <c r="H164" s="46"/>
    </row>
    <row r="167" spans="1:38">
      <c r="B167" s="285"/>
      <c r="C167" s="659"/>
    </row>
    <row r="168" spans="1:38" hidden="1">
      <c r="A168" s="286"/>
      <c r="B168" s="287" t="s">
        <v>168</v>
      </c>
      <c r="C168" s="660"/>
      <c r="K168" s="668"/>
    </row>
    <row r="169" spans="1:38" hidden="1">
      <c r="A169" s="286"/>
      <c r="B169" s="288" t="s">
        <v>166</v>
      </c>
      <c r="C169" s="661"/>
    </row>
    <row r="170" spans="1:38" hidden="1">
      <c r="A170" s="286"/>
      <c r="B170" s="289" t="s">
        <v>167</v>
      </c>
      <c r="C170" s="662"/>
    </row>
    <row r="171" spans="1:38" hidden="1">
      <c r="B171" s="483" t="s">
        <v>232</v>
      </c>
      <c r="C171" s="661"/>
    </row>
    <row r="172" spans="1:38" hidden="1">
      <c r="B172" s="669"/>
      <c r="C172" s="670"/>
    </row>
    <row r="173" spans="1:38" hidden="1">
      <c r="B173" s="669"/>
      <c r="C173" s="670"/>
    </row>
    <row r="174" spans="1:38" hidden="1">
      <c r="B174" s="1097" t="s">
        <v>233</v>
      </c>
      <c r="C174" s="1097"/>
    </row>
    <row r="175" spans="1:38" hidden="1">
      <c r="B175" s="485" t="s">
        <v>146</v>
      </c>
      <c r="C175" s="663" t="s">
        <v>234</v>
      </c>
    </row>
    <row r="176" spans="1:38" ht="14.25" hidden="1">
      <c r="B176" s="485" t="s">
        <v>1</v>
      </c>
      <c r="C176" s="664">
        <f>INDEX(LINEST($J$20:$J139,$A$20:$A$139,TRUE,FALSE),1)</f>
        <v>-0.23157024793388431</v>
      </c>
    </row>
    <row r="177" spans="2:3" ht="14.25" hidden="1">
      <c r="B177" s="485" t="s">
        <v>2</v>
      </c>
      <c r="C177" s="664">
        <f>INDEX(LINEST($K$20:$K139,$A$20:$A$139,TRUE,FALSE),1)</f>
        <v>4.6680325022570988E-2</v>
      </c>
    </row>
    <row r="178" spans="2:3" ht="14.25" hidden="1">
      <c r="B178" s="485" t="s">
        <v>132</v>
      </c>
      <c r="C178" s="664">
        <f>INDEX(LINEST($L$20:$L139,$A$20:$A$139,TRUE,FALSE),1)</f>
        <v>6.910202097367825E-4</v>
      </c>
    </row>
    <row r="179" spans="2:3" ht="14.25" hidden="1">
      <c r="B179" s="485" t="s">
        <v>154</v>
      </c>
      <c r="C179" s="664" t="e">
        <f>INDEX(LINEST(#REF!,$A$20:$A$139,TRUE,FALSE),1)</f>
        <v>#REF!</v>
      </c>
    </row>
    <row r="180" spans="2:3" ht="14.25" hidden="1">
      <c r="B180" s="485" t="s">
        <v>131</v>
      </c>
      <c r="C180" s="664">
        <f>INDEX(LINEST($M$20:$M139,$A$20:$A$139,TRUE,FALSE),1)</f>
        <v>3.3870407667199093E-2</v>
      </c>
    </row>
    <row r="181" spans="2:3" ht="14.25" hidden="1">
      <c r="B181" s="485" t="s">
        <v>162</v>
      </c>
      <c r="C181" s="664">
        <f>INDEX(LINEST($N$20:$N139,$A$20:$A$139,TRUE,FALSE),1)</f>
        <v>2.0834780193068936E-4</v>
      </c>
    </row>
    <row r="182" spans="2:3">
      <c r="B182" s="669"/>
      <c r="C182" s="670"/>
    </row>
  </sheetData>
  <mergeCells count="4">
    <mergeCell ref="D17:H17"/>
    <mergeCell ref="P19:R19"/>
    <mergeCell ref="B174:C174"/>
    <mergeCell ref="J17:O17"/>
  </mergeCells>
  <phoneticPr fontId="0" type="noConversion"/>
  <dataValidations count="2">
    <dataValidation type="list" allowBlank="1" showInputMessage="1" showErrorMessage="1" sqref="J18:N18" xr:uid="{00000000-0002-0000-0500-000000000000}">
      <formula1>AllVariables</formula1>
    </dataValidation>
    <dataValidation type="list" allowBlank="1" showInputMessage="1" showErrorMessage="1" sqref="J19:O19" xr:uid="{00000000-0002-0000-0500-000001000000}">
      <formula1>$B$169:$B$171</formula1>
    </dataValidation>
  </dataValidations>
  <pageMargins left="0.7" right="0.7" top="0.75" bottom="0.75" header="0.3" footer="0.3"/>
  <pageSetup orientation="portrait" horizontalDpi="4294967294" verticalDpi="4294967294" r:id="rId1"/>
  <ignoredErrors>
    <ignoredError sqref="T46:T55 U46:U55 V47:V55 X47:X55 Y46:Y55 W46" unlockedFormula="1"/>
    <ignoredError sqref="W47:W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4CDC2-F53E-4FCD-8244-BDCD703EF087}">
  <sheetPr>
    <tabColor rgb="FFFF0000"/>
  </sheetPr>
  <dimension ref="AC5:AE18"/>
  <sheetViews>
    <sheetView workbookViewId="0">
      <selection activeCell="AD9" sqref="AD9:AD11"/>
    </sheetView>
  </sheetViews>
  <sheetFormatPr defaultRowHeight="12.75"/>
  <cols>
    <col min="30" max="30" width="10.83203125" bestFit="1" customWidth="1"/>
    <col min="31" max="31" width="12.1640625" bestFit="1" customWidth="1"/>
  </cols>
  <sheetData>
    <row r="5" spans="29:31">
      <c r="AD5" s="496" t="s">
        <v>397</v>
      </c>
      <c r="AE5" t="s">
        <v>396</v>
      </c>
    </row>
    <row r="6" spans="29:31">
      <c r="AC6" t="s">
        <v>110</v>
      </c>
      <c r="AD6" s="1059">
        <f>'6. WS Regression Analysis'!C128</f>
        <v>22935455.440000001</v>
      </c>
      <c r="AE6" s="1059">
        <f>'6. WS Regression Analysis'!C128</f>
        <v>22935455.440000001</v>
      </c>
    </row>
    <row r="7" spans="29:31">
      <c r="AC7" t="s">
        <v>111</v>
      </c>
      <c r="AD7" s="1059">
        <f>'6. WS Regression Analysis'!C129</f>
        <v>21525121.289999999</v>
      </c>
      <c r="AE7" s="1059">
        <f>'6. WS Regression Analysis'!C129</f>
        <v>21525121.289999999</v>
      </c>
    </row>
    <row r="8" spans="29:31">
      <c r="AC8" t="s">
        <v>112</v>
      </c>
      <c r="AD8" s="1059">
        <f>'6. WS Regression Analysis'!C130</f>
        <v>20920093.370000001</v>
      </c>
      <c r="AE8" s="1059">
        <f>'6. WS Regression Analysis'!C130</f>
        <v>20920093.370000001</v>
      </c>
    </row>
    <row r="9" spans="29:31">
      <c r="AC9" s="1060" t="s">
        <v>113</v>
      </c>
      <c r="AD9" s="1061">
        <f>'6. WS Regression Analysis'!C131</f>
        <v>19977351.605555557</v>
      </c>
      <c r="AE9" s="1061">
        <v>17626509.289999999</v>
      </c>
    </row>
    <row r="10" spans="29:31">
      <c r="AC10" s="1060" t="s">
        <v>114</v>
      </c>
      <c r="AD10" s="1061">
        <f>'6. WS Regression Analysis'!C132</f>
        <v>19324809.881111111</v>
      </c>
      <c r="AE10" s="1061">
        <v>17777103.640000001</v>
      </c>
    </row>
    <row r="11" spans="29:31">
      <c r="AC11" s="1060" t="s">
        <v>115</v>
      </c>
      <c r="AD11" s="1061">
        <f>'6. WS Regression Analysis'!C133</f>
        <v>19480005.469999999</v>
      </c>
      <c r="AE11" s="1061">
        <v>19922675.420000002</v>
      </c>
    </row>
    <row r="12" spans="29:31">
      <c r="AC12" t="s">
        <v>116</v>
      </c>
      <c r="AD12" s="1059">
        <f>'6. WS Regression Analysis'!C134</f>
        <v>23203898.829999998</v>
      </c>
      <c r="AE12" s="1059">
        <f>'6. WS Regression Analysis'!C134</f>
        <v>23203898.829999998</v>
      </c>
    </row>
    <row r="13" spans="29:31">
      <c r="AC13" t="s">
        <v>117</v>
      </c>
      <c r="AD13" s="1059">
        <f>'6. WS Regression Analysis'!C135</f>
        <v>21371250.969999999</v>
      </c>
      <c r="AE13" s="1059">
        <f>'6. WS Regression Analysis'!C135</f>
        <v>21371250.969999999</v>
      </c>
    </row>
    <row r="14" spans="29:31">
      <c r="AC14" t="s">
        <v>107</v>
      </c>
      <c r="AD14" s="1059">
        <f>'6. WS Regression Analysis'!C136</f>
        <v>17144080.98</v>
      </c>
      <c r="AE14" s="1059">
        <f>'6. WS Regression Analysis'!C136</f>
        <v>17144080.98</v>
      </c>
    </row>
    <row r="15" spans="29:31">
      <c r="AC15" t="s">
        <v>108</v>
      </c>
      <c r="AD15" s="1059">
        <f>'6. WS Regression Analysis'!C137</f>
        <v>19599087.969999999</v>
      </c>
      <c r="AE15" s="1059">
        <f>'6. WS Regression Analysis'!C137</f>
        <v>19599087.969999999</v>
      </c>
    </row>
    <row r="16" spans="29:31">
      <c r="AC16" t="s">
        <v>109</v>
      </c>
      <c r="AD16" s="1059">
        <f>'6. WS Regression Analysis'!C138</f>
        <v>20038200</v>
      </c>
      <c r="AE16" s="1059">
        <f>'6. WS Regression Analysis'!C138</f>
        <v>20038200</v>
      </c>
    </row>
    <row r="17" spans="29:31">
      <c r="AC17" t="s">
        <v>106</v>
      </c>
      <c r="AD17" s="1059">
        <f>'6. WS Regression Analysis'!C139</f>
        <v>21720442.859999999</v>
      </c>
      <c r="AE17" s="1059">
        <f>'6. WS Regression Analysis'!C139</f>
        <v>21720442.859999999</v>
      </c>
    </row>
    <row r="18" spans="29:31">
      <c r="AE18" s="1059">
        <f>SUM(AE6:AE17)</f>
        <v>243783920.06</v>
      </c>
    </row>
  </sheetData>
  <phoneticPr fontId="138"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8"/>
  <sheetViews>
    <sheetView showGridLines="0" zoomScaleNormal="100" workbookViewId="0">
      <selection activeCell="I28" sqref="A7:I28"/>
    </sheetView>
  </sheetViews>
  <sheetFormatPr defaultRowHeight="12.75"/>
  <cols>
    <col min="1" max="1" width="23.83203125" style="1008" bestFit="1" customWidth="1"/>
    <col min="2" max="2" width="15.6640625" style="1008" bestFit="1" customWidth="1"/>
    <col min="3" max="3" width="17" style="1008" bestFit="1" customWidth="1"/>
    <col min="4" max="4" width="14" style="1008" customWidth="1"/>
    <col min="5" max="5" width="13.1640625" style="1008" bestFit="1" customWidth="1"/>
    <col min="6" max="6" width="16.6640625" style="1008" bestFit="1" customWidth="1"/>
    <col min="7" max="7" width="15.6640625" style="1008" bestFit="1" customWidth="1"/>
    <col min="8" max="8" width="15.1640625" style="1008" bestFit="1" customWidth="1"/>
    <col min="9" max="9" width="15.6640625" style="1008" bestFit="1" customWidth="1"/>
    <col min="10" max="16384" width="9.33203125" style="1008"/>
  </cols>
  <sheetData>
    <row r="1" spans="1:35">
      <c r="A1" s="1007"/>
    </row>
    <row r="7" spans="1:35">
      <c r="A7" s="1100" t="s">
        <v>391</v>
      </c>
      <c r="B7" s="1100"/>
      <c r="C7" s="1035"/>
    </row>
    <row r="8" spans="1:35">
      <c r="A8" s="1012" t="s">
        <v>8</v>
      </c>
      <c r="B8" s="1040">
        <v>0.94231187515320269</v>
      </c>
      <c r="C8" s="1035"/>
    </row>
    <row r="9" spans="1:35" ht="12.75" customHeight="1">
      <c r="A9" s="1012" t="s">
        <v>9</v>
      </c>
      <c r="B9" s="1040">
        <v>0.88795167005474496</v>
      </c>
      <c r="C9" s="1035"/>
    </row>
    <row r="10" spans="1:35">
      <c r="A10" s="1011" t="s">
        <v>10</v>
      </c>
      <c r="B10" s="1040">
        <v>0.88200220120809425</v>
      </c>
      <c r="C10" s="1035"/>
    </row>
    <row r="11" spans="1:35">
      <c r="A11" s="1011" t="s">
        <v>11</v>
      </c>
      <c r="B11" s="1041">
        <v>596932.68370921328</v>
      </c>
      <c r="C11" s="1035"/>
    </row>
    <row r="12" spans="1:35">
      <c r="A12" s="1013" t="s">
        <v>12</v>
      </c>
      <c r="B12" s="1042">
        <v>120</v>
      </c>
      <c r="C12" s="1035"/>
      <c r="D12" s="1010"/>
      <c r="E12" s="1010"/>
      <c r="F12" s="1010"/>
      <c r="G12" s="1010"/>
      <c r="H12" s="1010"/>
      <c r="I12" s="1010"/>
      <c r="J12" s="1010"/>
      <c r="K12" s="1010"/>
      <c r="L12" s="1010"/>
      <c r="M12" s="1009"/>
      <c r="N12" s="1010"/>
      <c r="O12" s="1009"/>
      <c r="P12" s="1009"/>
      <c r="Q12" s="1009"/>
      <c r="R12" s="1009"/>
      <c r="S12" s="1009"/>
      <c r="T12" s="1009"/>
      <c r="U12" s="1009"/>
      <c r="V12" s="1009"/>
      <c r="W12" s="1009"/>
      <c r="X12" s="1009"/>
      <c r="Y12" s="1009"/>
      <c r="Z12" s="1009"/>
      <c r="AA12" s="1009"/>
      <c r="AB12" s="1009"/>
      <c r="AC12" s="1009"/>
      <c r="AD12" s="1009"/>
      <c r="AE12" s="1009"/>
      <c r="AF12" s="1009"/>
      <c r="AG12" s="1009"/>
      <c r="AH12" s="1009"/>
      <c r="AI12" s="1009"/>
    </row>
    <row r="13" spans="1:35">
      <c r="A13" s="1009"/>
      <c r="B13" s="1010"/>
      <c r="C13" s="1010"/>
      <c r="D13" s="1010"/>
      <c r="E13" s="1010"/>
      <c r="F13" s="1010"/>
      <c r="G13" s="1010"/>
      <c r="H13" s="1010"/>
      <c r="I13" s="1010"/>
      <c r="J13" s="1010"/>
      <c r="K13" s="1009"/>
      <c r="L13" s="1010"/>
      <c r="M13" s="1009"/>
      <c r="N13" s="1009"/>
      <c r="O13" s="1009"/>
      <c r="P13" s="1009"/>
      <c r="Q13" s="1009"/>
      <c r="R13" s="1009"/>
      <c r="S13" s="1009"/>
      <c r="T13" s="1009"/>
      <c r="U13" s="1009"/>
      <c r="V13" s="1009"/>
      <c r="W13" s="1009"/>
      <c r="X13" s="1009"/>
      <c r="Y13" s="1009"/>
      <c r="Z13" s="1009"/>
      <c r="AA13" s="1009"/>
      <c r="AB13" s="1009"/>
      <c r="AC13" s="1009"/>
      <c r="AD13" s="1009"/>
      <c r="AE13" s="1009"/>
      <c r="AF13" s="1009"/>
      <c r="AG13" s="1009"/>
    </row>
    <row r="14" spans="1:35">
      <c r="A14" s="1101" t="s">
        <v>13</v>
      </c>
      <c r="B14" s="1101"/>
      <c r="C14" s="1101"/>
      <c r="D14" s="1101"/>
      <c r="E14" s="1101"/>
      <c r="F14" s="1101"/>
      <c r="G14" s="1010"/>
      <c r="H14" s="1010"/>
      <c r="I14" s="1010"/>
      <c r="J14" s="1010"/>
      <c r="K14" s="1009"/>
      <c r="L14" s="1010"/>
      <c r="M14" s="1009"/>
      <c r="N14" s="1009"/>
      <c r="O14" s="1009"/>
      <c r="P14" s="1009"/>
      <c r="Q14" s="1009"/>
      <c r="R14" s="1009"/>
      <c r="S14" s="1009"/>
      <c r="T14" s="1009"/>
      <c r="U14" s="1009"/>
      <c r="V14" s="1009"/>
      <c r="W14" s="1009"/>
      <c r="X14" s="1009"/>
      <c r="Y14" s="1009"/>
      <c r="Z14" s="1009"/>
      <c r="AA14" s="1009"/>
      <c r="AB14" s="1009"/>
      <c r="AC14" s="1009"/>
      <c r="AD14" s="1009"/>
      <c r="AE14" s="1009"/>
      <c r="AF14" s="1009"/>
      <c r="AG14" s="1009"/>
    </row>
    <row r="15" spans="1:35">
      <c r="A15" s="1036"/>
      <c r="B15" s="1036" t="s">
        <v>18</v>
      </c>
      <c r="C15" s="1036" t="s">
        <v>19</v>
      </c>
      <c r="D15" s="1036" t="s">
        <v>20</v>
      </c>
      <c r="E15" s="1036" t="s">
        <v>21</v>
      </c>
      <c r="F15" s="1037" t="s">
        <v>22</v>
      </c>
      <c r="G15" s="1010"/>
      <c r="H15" s="1010"/>
      <c r="I15" s="1010"/>
      <c r="J15" s="1010"/>
      <c r="K15" s="1009"/>
      <c r="L15" s="1010"/>
      <c r="M15" s="1009"/>
      <c r="N15" s="1009"/>
      <c r="O15" s="1009"/>
      <c r="P15" s="1009"/>
      <c r="Q15" s="1009"/>
      <c r="R15" s="1009"/>
      <c r="S15" s="1009"/>
      <c r="T15" s="1009"/>
      <c r="U15" s="1009"/>
      <c r="V15" s="1009"/>
      <c r="W15" s="1009"/>
      <c r="X15" s="1009"/>
      <c r="Y15" s="1009"/>
      <c r="Z15" s="1009"/>
      <c r="AA15" s="1009"/>
      <c r="AB15" s="1009"/>
      <c r="AC15" s="1009"/>
      <c r="AD15" s="1009"/>
      <c r="AE15" s="1009"/>
      <c r="AF15" s="1009"/>
      <c r="AG15" s="1009"/>
    </row>
    <row r="16" spans="1:35">
      <c r="A16" s="1013" t="s">
        <v>14</v>
      </c>
      <c r="B16" s="1014">
        <v>6</v>
      </c>
      <c r="C16" s="1014">
        <v>319089931479197.06</v>
      </c>
      <c r="D16" s="1014">
        <v>53181655246532.844</v>
      </c>
      <c r="E16" s="1014">
        <v>149.24889816922447</v>
      </c>
      <c r="F16" s="1014">
        <v>2.6054508358540243E-51</v>
      </c>
      <c r="G16" s="1010"/>
      <c r="H16" s="1010"/>
      <c r="I16" s="1010"/>
      <c r="J16" s="1010"/>
      <c r="K16" s="1009"/>
      <c r="L16" s="1010"/>
      <c r="M16" s="1009"/>
      <c r="N16" s="1009"/>
      <c r="O16" s="1009"/>
      <c r="P16" s="1009"/>
      <c r="Q16" s="1009"/>
      <c r="R16" s="1009"/>
      <c r="S16" s="1009"/>
      <c r="T16" s="1009"/>
      <c r="U16" s="1009"/>
      <c r="V16" s="1009"/>
      <c r="W16" s="1009"/>
      <c r="X16" s="1009"/>
      <c r="Y16" s="1009"/>
      <c r="Z16" s="1009"/>
      <c r="AA16" s="1009"/>
      <c r="AB16" s="1009"/>
      <c r="AC16" s="1009"/>
      <c r="AD16" s="1009"/>
      <c r="AE16" s="1009"/>
      <c r="AF16" s="1009"/>
      <c r="AG16" s="1009"/>
    </row>
    <row r="17" spans="1:35">
      <c r="A17" s="1013" t="s">
        <v>15</v>
      </c>
      <c r="B17" s="1014">
        <v>113</v>
      </c>
      <c r="C17" s="1014">
        <v>40265135063472.055</v>
      </c>
      <c r="D17" s="1014">
        <v>356328628880.28369</v>
      </c>
      <c r="E17" s="1014"/>
      <c r="F17" s="1014"/>
      <c r="G17" s="1010"/>
      <c r="H17" s="1010"/>
      <c r="I17" s="1010"/>
      <c r="J17" s="1010"/>
      <c r="K17" s="1009"/>
      <c r="L17" s="1010"/>
      <c r="M17" s="1009"/>
      <c r="N17" s="1009"/>
      <c r="O17" s="1009"/>
      <c r="P17" s="1009"/>
      <c r="Q17" s="1009"/>
      <c r="R17" s="1009"/>
      <c r="S17" s="1009"/>
      <c r="T17" s="1009"/>
      <c r="U17" s="1009"/>
      <c r="V17" s="1009"/>
      <c r="W17" s="1009"/>
      <c r="X17" s="1009"/>
      <c r="Y17" s="1009"/>
      <c r="Z17" s="1009"/>
      <c r="AA17" s="1009"/>
      <c r="AB17" s="1009"/>
      <c r="AC17" s="1009"/>
      <c r="AD17" s="1009"/>
      <c r="AE17" s="1009"/>
      <c r="AF17" s="1009"/>
      <c r="AG17" s="1009"/>
    </row>
    <row r="18" spans="1:35">
      <c r="A18" s="1013" t="s">
        <v>16</v>
      </c>
      <c r="B18" s="1014">
        <v>119</v>
      </c>
      <c r="C18" s="1014">
        <v>359355066542669.13</v>
      </c>
      <c r="D18" s="1014"/>
      <c r="E18" s="1014"/>
      <c r="F18" s="1014"/>
      <c r="G18" s="1010"/>
      <c r="H18" s="1010"/>
      <c r="I18" s="1010"/>
      <c r="J18" s="1010"/>
      <c r="K18" s="1009"/>
      <c r="L18" s="1010"/>
      <c r="M18" s="1009"/>
      <c r="N18" s="1009"/>
      <c r="O18" s="1009"/>
      <c r="P18" s="1009"/>
      <c r="Q18" s="1009"/>
      <c r="R18" s="1009"/>
      <c r="S18" s="1009"/>
      <c r="T18" s="1009"/>
      <c r="U18" s="1009"/>
      <c r="V18" s="1009"/>
      <c r="W18" s="1009"/>
      <c r="X18" s="1009"/>
      <c r="Y18" s="1009"/>
      <c r="Z18" s="1009"/>
      <c r="AA18" s="1009"/>
      <c r="AB18" s="1009"/>
      <c r="AC18" s="1009"/>
      <c r="AD18" s="1009"/>
      <c r="AE18" s="1009"/>
      <c r="AF18" s="1009"/>
      <c r="AG18" s="1009"/>
    </row>
    <row r="19" spans="1:35">
      <c r="A19" s="1009"/>
      <c r="B19" s="1010"/>
      <c r="C19" s="1010"/>
      <c r="D19" s="1010"/>
      <c r="E19" s="1010"/>
      <c r="F19" s="1010"/>
      <c r="G19" s="1010"/>
      <c r="H19" s="1010"/>
      <c r="I19" s="1010"/>
      <c r="J19" s="1010"/>
      <c r="K19" s="1009"/>
      <c r="L19" s="1010"/>
      <c r="M19" s="1009"/>
      <c r="N19" s="1009"/>
      <c r="O19" s="1009"/>
      <c r="P19" s="1009"/>
      <c r="Q19" s="1009"/>
      <c r="R19" s="1009"/>
      <c r="S19" s="1009"/>
      <c r="T19" s="1009"/>
      <c r="U19" s="1009"/>
      <c r="V19" s="1009"/>
      <c r="W19" s="1009"/>
      <c r="X19" s="1009"/>
      <c r="Y19" s="1009"/>
      <c r="Z19" s="1009"/>
      <c r="AA19" s="1009"/>
      <c r="AB19" s="1009"/>
      <c r="AC19" s="1009"/>
      <c r="AD19" s="1009"/>
      <c r="AE19" s="1009"/>
      <c r="AF19" s="1009"/>
      <c r="AG19" s="1009"/>
    </row>
    <row r="20" spans="1:35">
      <c r="A20" s="1102" t="s">
        <v>393</v>
      </c>
      <c r="B20" s="1103"/>
      <c r="C20" s="1103"/>
      <c r="D20" s="1103"/>
      <c r="E20" s="1103"/>
      <c r="F20" s="1103"/>
      <c r="G20" s="1103"/>
      <c r="H20" s="1103"/>
      <c r="I20" s="1104"/>
      <c r="J20" s="1010"/>
      <c r="K20" s="1010"/>
      <c r="L20" s="1010"/>
      <c r="M20" s="1009"/>
      <c r="N20" s="1010"/>
      <c r="O20" s="1009"/>
      <c r="P20" s="1009"/>
      <c r="Q20" s="1009"/>
      <c r="R20" s="1009"/>
      <c r="S20" s="1009"/>
      <c r="T20" s="1009"/>
      <c r="U20" s="1009"/>
      <c r="V20" s="1009"/>
      <c r="W20" s="1009"/>
      <c r="X20" s="1009"/>
      <c r="Y20" s="1009"/>
      <c r="Z20" s="1009"/>
      <c r="AA20" s="1009"/>
      <c r="AB20" s="1009"/>
      <c r="AC20" s="1009"/>
      <c r="AD20" s="1009"/>
      <c r="AE20" s="1009"/>
      <c r="AF20" s="1009"/>
      <c r="AG20" s="1009"/>
      <c r="AH20" s="1009"/>
      <c r="AI20" s="1009"/>
    </row>
    <row r="21" spans="1:35">
      <c r="A21" s="1038"/>
      <c r="B21" s="1037" t="s">
        <v>23</v>
      </c>
      <c r="C21" s="1037" t="s">
        <v>11</v>
      </c>
      <c r="D21" s="1037" t="s">
        <v>24</v>
      </c>
      <c r="E21" s="1037" t="s">
        <v>25</v>
      </c>
      <c r="F21" s="1037" t="s">
        <v>26</v>
      </c>
      <c r="G21" s="1037" t="s">
        <v>27</v>
      </c>
      <c r="H21" s="1037" t="s">
        <v>28</v>
      </c>
      <c r="I21" s="1037" t="s">
        <v>29</v>
      </c>
      <c r="J21" s="1010"/>
      <c r="K21" s="1010"/>
      <c r="L21" s="1010"/>
      <c r="M21" s="1009"/>
      <c r="N21" s="1010"/>
      <c r="O21" s="1009"/>
      <c r="P21" s="1009"/>
      <c r="Q21" s="1009"/>
      <c r="R21" s="1009"/>
      <c r="S21" s="1009"/>
      <c r="T21" s="1009"/>
      <c r="U21" s="1009"/>
      <c r="V21" s="1009"/>
      <c r="W21" s="1009"/>
      <c r="X21" s="1009"/>
      <c r="Y21" s="1009"/>
      <c r="Z21" s="1009"/>
      <c r="AA21" s="1009"/>
      <c r="AB21" s="1009"/>
      <c r="AC21" s="1009"/>
      <c r="AD21" s="1009"/>
      <c r="AE21" s="1009"/>
      <c r="AF21" s="1009"/>
      <c r="AG21" s="1009"/>
      <c r="AH21" s="1009"/>
      <c r="AI21" s="1009"/>
    </row>
    <row r="22" spans="1:35">
      <c r="A22" s="1038" t="s">
        <v>394</v>
      </c>
      <c r="B22" s="1039">
        <v>20094287.037345458</v>
      </c>
      <c r="C22" s="1039">
        <v>2719759.7224465823</v>
      </c>
      <c r="D22" s="1039">
        <v>7.3882581874804281</v>
      </c>
      <c r="E22" s="1039">
        <v>2.7540084311154404E-11</v>
      </c>
      <c r="F22" s="1039">
        <v>14705952.492907215</v>
      </c>
      <c r="G22" s="1039">
        <v>25482621.581783701</v>
      </c>
      <c r="H22" s="1039">
        <v>14705952.492907215</v>
      </c>
      <c r="I22" s="1039">
        <v>25482621.581783701</v>
      </c>
    </row>
    <row r="23" spans="1:35">
      <c r="A23" s="1011" t="s">
        <v>1</v>
      </c>
      <c r="B23" s="1039">
        <v>7256.9684820598595</v>
      </c>
      <c r="C23" s="1039">
        <v>301.02498220580145</v>
      </c>
      <c r="D23" s="1039">
        <v>24.107528979433656</v>
      </c>
      <c r="E23" s="1039">
        <v>2.3350574024720884E-46</v>
      </c>
      <c r="F23" s="1039">
        <v>6660.5836996205771</v>
      </c>
      <c r="G23" s="1039">
        <v>7853.3532644991419</v>
      </c>
      <c r="H23" s="1039">
        <v>6660.5836996205771</v>
      </c>
      <c r="I23" s="1039">
        <v>7853.3532644991419</v>
      </c>
    </row>
    <row r="24" spans="1:35">
      <c r="A24" s="1011" t="s">
        <v>2</v>
      </c>
      <c r="B24" s="1039">
        <v>41287.695017290775</v>
      </c>
      <c r="C24" s="1039">
        <v>2680.6560051396618</v>
      </c>
      <c r="D24" s="1039">
        <v>15.402086257292714</v>
      </c>
      <c r="E24" s="1039">
        <v>1.5871675730795233E-29</v>
      </c>
      <c r="F24" s="1039">
        <v>35976.831989561106</v>
      </c>
      <c r="G24" s="1039">
        <v>46598.558045020443</v>
      </c>
      <c r="H24" s="1039">
        <v>35976.831989561106</v>
      </c>
      <c r="I24" s="1039">
        <v>46598.558045020443</v>
      </c>
    </row>
    <row r="25" spans="1:35">
      <c r="A25" s="1011" t="s">
        <v>238</v>
      </c>
      <c r="B25" s="1039">
        <v>384120.43477829621</v>
      </c>
      <c r="C25" s="1039">
        <v>74453.586757772864</v>
      </c>
      <c r="D25" s="1039">
        <v>5.1591931497940156</v>
      </c>
      <c r="E25" s="1039">
        <v>1.0700623618121857E-6</v>
      </c>
      <c r="F25" s="1039">
        <v>236614.45100582103</v>
      </c>
      <c r="G25" s="1039">
        <v>531626.41855077143</v>
      </c>
      <c r="H25" s="1039">
        <v>236614.45100582103</v>
      </c>
      <c r="I25" s="1039">
        <v>531626.41855077143</v>
      </c>
    </row>
    <row r="26" spans="1:35">
      <c r="A26" s="1011" t="s">
        <v>384</v>
      </c>
      <c r="B26" s="1039">
        <v>8663.1300462088948</v>
      </c>
      <c r="C26" s="1039">
        <v>2986.4426984313909</v>
      </c>
      <c r="D26" s="1039">
        <v>2.9008191085531778</v>
      </c>
      <c r="E26" s="1039">
        <v>4.4742662069044599E-3</v>
      </c>
      <c r="F26" s="1039">
        <v>2746.4484275592977</v>
      </c>
      <c r="G26" s="1039">
        <v>14579.811664858491</v>
      </c>
      <c r="H26" s="1039">
        <v>2746.4484275592977</v>
      </c>
      <c r="I26" s="1039">
        <v>14579.811664858491</v>
      </c>
    </row>
    <row r="27" spans="1:35">
      <c r="A27" s="1011" t="s">
        <v>385</v>
      </c>
      <c r="B27" s="1039">
        <v>-522639.63742104656</v>
      </c>
      <c r="C27" s="1039">
        <v>128382.83566566253</v>
      </c>
      <c r="D27" s="1039">
        <v>-4.0709463590765083</v>
      </c>
      <c r="E27" s="1039">
        <v>8.7128477782893432E-5</v>
      </c>
      <c r="F27" s="1039">
        <v>-776989.18992781732</v>
      </c>
      <c r="G27" s="1039">
        <v>-268290.08491427579</v>
      </c>
      <c r="H27" s="1039">
        <v>-776989.18992781732</v>
      </c>
      <c r="I27" s="1039">
        <v>-268290.08491427579</v>
      </c>
    </row>
    <row r="28" spans="1:35">
      <c r="A28" s="1011" t="s">
        <v>395</v>
      </c>
      <c r="B28" s="1039">
        <v>-1619.7540354899379</v>
      </c>
      <c r="C28" s="1039">
        <v>168.16680470060018</v>
      </c>
      <c r="D28" s="1039">
        <v>-9.6318297679123184</v>
      </c>
      <c r="E28" s="1039">
        <v>2.1653513785138621E-16</v>
      </c>
      <c r="F28" s="1039">
        <v>-1952.9228060682883</v>
      </c>
      <c r="G28" s="1039">
        <v>-1286.5852649115875</v>
      </c>
      <c r="H28" s="1039">
        <v>-1952.9228060682883</v>
      </c>
      <c r="I28" s="1039">
        <v>-1286.5852649115875</v>
      </c>
    </row>
  </sheetData>
  <mergeCells count="3">
    <mergeCell ref="A7:B7"/>
    <mergeCell ref="A14:F14"/>
    <mergeCell ref="A20:I20"/>
  </mergeCells>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6"/>
  <sheetViews>
    <sheetView showGridLines="0" topLeftCell="A7" zoomScaleNormal="100" workbookViewId="0">
      <selection activeCell="D23" sqref="D23"/>
    </sheetView>
  </sheetViews>
  <sheetFormatPr defaultColWidth="11.1640625" defaultRowHeight="12.75"/>
  <cols>
    <col min="1" max="1" width="13.6640625" style="1" customWidth="1"/>
    <col min="2" max="2" width="15" style="44" customWidth="1"/>
    <col min="3" max="3" width="16" style="44" customWidth="1"/>
    <col min="4" max="7" width="15" style="44" customWidth="1"/>
    <col min="8" max="8" width="15" style="1" customWidth="1"/>
    <col min="9" max="9" width="3.33203125" style="50" customWidth="1"/>
    <col min="10" max="16" width="15" style="1" customWidth="1"/>
    <col min="17" max="17" width="3.1640625" style="50"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14" customFormat="1">
      <c r="A1" s="694" t="s">
        <v>257</v>
      </c>
      <c r="B1" s="44"/>
      <c r="C1" s="44"/>
      <c r="D1" s="44"/>
      <c r="E1" s="44"/>
      <c r="F1" s="44"/>
      <c r="G1" s="44"/>
      <c r="I1" s="50"/>
      <c r="Q1" s="50"/>
    </row>
    <row r="2" spans="1:17" s="514" customFormat="1">
      <c r="B2" s="44"/>
      <c r="C2" s="44"/>
      <c r="D2" s="44"/>
      <c r="E2" s="44"/>
      <c r="F2" s="44"/>
      <c r="G2" s="44"/>
      <c r="I2" s="50"/>
      <c r="Q2" s="50"/>
    </row>
    <row r="3" spans="1:17" s="514" customFormat="1">
      <c r="B3" s="44"/>
      <c r="C3" s="44"/>
      <c r="D3" s="44"/>
      <c r="E3" s="44"/>
      <c r="F3" s="44"/>
      <c r="G3" s="44"/>
      <c r="I3" s="50"/>
      <c r="Q3" s="50"/>
    </row>
    <row r="4" spans="1:17" s="514" customFormat="1">
      <c r="B4" s="44"/>
      <c r="C4" s="44"/>
      <c r="D4" s="44"/>
      <c r="E4" s="44"/>
      <c r="F4" s="44"/>
      <c r="G4" s="44"/>
      <c r="I4" s="50"/>
      <c r="Q4" s="50"/>
    </row>
    <row r="5" spans="1:17" s="514" customFormat="1">
      <c r="B5" s="44"/>
      <c r="C5" s="44"/>
      <c r="D5" s="44"/>
      <c r="E5" s="44"/>
      <c r="F5" s="44"/>
      <c r="G5" s="44"/>
      <c r="I5" s="50"/>
      <c r="Q5" s="50"/>
    </row>
    <row r="6" spans="1:17" s="514" customFormat="1">
      <c r="B6" s="44"/>
      <c r="C6" s="44"/>
      <c r="D6" s="44"/>
      <c r="E6" s="44"/>
      <c r="F6" s="44"/>
      <c r="G6" s="44"/>
      <c r="I6" s="50"/>
      <c r="Q6" s="50"/>
    </row>
    <row r="7" spans="1:17" s="514" customFormat="1">
      <c r="B7" s="44"/>
      <c r="C7" s="44"/>
      <c r="D7" s="44"/>
      <c r="E7" s="44"/>
      <c r="F7" s="44"/>
      <c r="G7" s="44"/>
      <c r="I7" s="50"/>
      <c r="Q7" s="50"/>
    </row>
    <row r="8" spans="1:17" s="514" customFormat="1">
      <c r="B8" s="44"/>
      <c r="C8" s="44"/>
      <c r="D8" s="44"/>
      <c r="E8" s="44"/>
      <c r="F8" s="44"/>
      <c r="G8" s="44"/>
      <c r="I8" s="50"/>
      <c r="Q8" s="50"/>
    </row>
    <row r="9" spans="1:17" s="514" customFormat="1">
      <c r="B9" s="44"/>
      <c r="C9" s="44"/>
      <c r="D9" s="44"/>
      <c r="E9" s="44"/>
      <c r="F9" s="44"/>
      <c r="G9" s="44"/>
      <c r="I9" s="50"/>
      <c r="Q9" s="50"/>
    </row>
    <row r="10" spans="1:17" s="514" customFormat="1">
      <c r="B10" s="44"/>
      <c r="C10" s="44"/>
      <c r="D10" s="44"/>
      <c r="E10" s="44"/>
      <c r="F10" s="44"/>
      <c r="G10" s="44"/>
      <c r="I10" s="50"/>
      <c r="Q10" s="50"/>
    </row>
    <row r="11" spans="1:17" s="50" customFormat="1" ht="15.75" customHeight="1">
      <c r="B11" s="124" t="s">
        <v>44</v>
      </c>
      <c r="D11" s="2"/>
      <c r="E11" s="2"/>
      <c r="F11" s="2"/>
      <c r="G11" s="2"/>
      <c r="H11" s="2"/>
      <c r="I11" s="2"/>
    </row>
    <row r="12" spans="1:17" s="50" customFormat="1" ht="15.75" customHeight="1">
      <c r="B12" s="49" t="s">
        <v>63</v>
      </c>
      <c r="D12" s="2"/>
      <c r="E12" s="2"/>
      <c r="F12" s="2"/>
      <c r="G12" s="2"/>
      <c r="H12" s="2"/>
      <c r="I12" s="2"/>
    </row>
    <row r="13" spans="1:17" s="50" customFormat="1" ht="15.75" customHeight="1">
      <c r="B13" s="91" t="s">
        <v>247</v>
      </c>
      <c r="D13" s="2"/>
      <c r="E13" s="2"/>
      <c r="F13" s="2"/>
      <c r="G13" s="2"/>
      <c r="H13" s="2"/>
      <c r="I13" s="2"/>
    </row>
    <row r="14" spans="1:17" s="50" customFormat="1" ht="15.75" customHeight="1">
      <c r="B14" s="91" t="s">
        <v>248</v>
      </c>
      <c r="D14" s="2"/>
      <c r="E14" s="2"/>
      <c r="F14" s="2"/>
      <c r="G14" s="2"/>
      <c r="H14" s="2"/>
      <c r="I14" s="2"/>
    </row>
    <row r="15" spans="1:17" ht="12.75" customHeight="1" thickBot="1"/>
    <row r="16" spans="1:17" ht="15.75" thickBot="1">
      <c r="B16" s="301" t="s">
        <v>177</v>
      </c>
      <c r="G16" s="536" t="s">
        <v>176</v>
      </c>
    </row>
    <row r="17" spans="2:40" ht="12.75" customHeight="1"/>
    <row r="18" spans="2:40" ht="12.75" customHeight="1" thickBot="1"/>
    <row r="19" spans="2:40" ht="14.25" customHeight="1" thickBot="1">
      <c r="B19" s="1117" t="s">
        <v>6</v>
      </c>
      <c r="C19" s="1118"/>
      <c r="D19" s="1118"/>
      <c r="E19" s="1118"/>
      <c r="F19" s="1118"/>
      <c r="G19" s="1118"/>
      <c r="H19" s="1119"/>
      <c r="I19" s="136"/>
      <c r="J19" s="1117" t="s">
        <v>96</v>
      </c>
      <c r="K19" s="1118"/>
      <c r="L19" s="1118"/>
      <c r="M19" s="1118"/>
      <c r="N19" s="1118"/>
      <c r="O19" s="1118"/>
      <c r="P19" s="1119"/>
      <c r="Q19" s="136"/>
      <c r="R19" s="1117" t="s">
        <v>103</v>
      </c>
      <c r="S19" s="1118"/>
      <c r="T19" s="1118"/>
      <c r="U19" s="1118"/>
      <c r="V19" s="1118"/>
      <c r="W19" s="1118"/>
      <c r="X19" s="1119"/>
      <c r="Z19" s="1117"/>
      <c r="AA19" s="1118"/>
      <c r="AB19" s="1118"/>
      <c r="AC19" s="1118"/>
      <c r="AD19" s="1118"/>
      <c r="AE19" s="1118"/>
      <c r="AF19" s="1119"/>
      <c r="AH19" s="1117"/>
      <c r="AI19" s="1118"/>
      <c r="AJ19" s="1118"/>
      <c r="AK19" s="1118"/>
      <c r="AL19" s="1118"/>
      <c r="AM19" s="1118"/>
      <c r="AN19" s="1119"/>
    </row>
    <row r="20" spans="2:40" ht="59.25" customHeight="1" thickBot="1">
      <c r="B20" s="51" t="s">
        <v>33</v>
      </c>
      <c r="C20" s="206" t="s">
        <v>150</v>
      </c>
      <c r="D20" s="206" t="s">
        <v>148</v>
      </c>
      <c r="E20" s="206" t="s">
        <v>145</v>
      </c>
      <c r="F20" s="53" t="s">
        <v>149</v>
      </c>
      <c r="G20" s="52" t="s">
        <v>34</v>
      </c>
      <c r="H20" s="54" t="s">
        <v>38</v>
      </c>
      <c r="I20" s="137"/>
      <c r="J20" s="51" t="s">
        <v>33</v>
      </c>
      <c r="K20" s="206" t="s">
        <v>151</v>
      </c>
      <c r="L20" s="206" t="s">
        <v>148</v>
      </c>
      <c r="M20" s="206" t="s">
        <v>145</v>
      </c>
      <c r="N20" s="53" t="s">
        <v>149</v>
      </c>
      <c r="O20" s="52" t="s">
        <v>34</v>
      </c>
      <c r="P20" s="54" t="s">
        <v>38</v>
      </c>
      <c r="Q20" s="137"/>
      <c r="R20" s="51" t="s">
        <v>33</v>
      </c>
      <c r="S20" s="206" t="s">
        <v>152</v>
      </c>
      <c r="T20" s="206" t="s">
        <v>148</v>
      </c>
      <c r="U20" s="206" t="s">
        <v>145</v>
      </c>
      <c r="V20" s="53" t="s">
        <v>149</v>
      </c>
      <c r="W20" s="52" t="s">
        <v>34</v>
      </c>
      <c r="X20" s="54" t="s">
        <v>38</v>
      </c>
      <c r="Z20" s="51" t="s">
        <v>33</v>
      </c>
      <c r="AA20" s="206" t="s">
        <v>152</v>
      </c>
      <c r="AB20" s="206" t="s">
        <v>148</v>
      </c>
      <c r="AC20" s="206" t="s">
        <v>145</v>
      </c>
      <c r="AD20" s="53" t="s">
        <v>149</v>
      </c>
      <c r="AE20" s="52" t="s">
        <v>34</v>
      </c>
      <c r="AF20" s="54" t="s">
        <v>38</v>
      </c>
      <c r="AH20" s="51" t="s">
        <v>33</v>
      </c>
      <c r="AI20" s="206" t="s">
        <v>152</v>
      </c>
      <c r="AJ20" s="206" t="s">
        <v>148</v>
      </c>
      <c r="AK20" s="206" t="s">
        <v>145</v>
      </c>
      <c r="AL20" s="53" t="s">
        <v>149</v>
      </c>
      <c r="AM20" s="52" t="s">
        <v>34</v>
      </c>
      <c r="AN20" s="54" t="s">
        <v>38</v>
      </c>
    </row>
    <row r="21" spans="2:40">
      <c r="B21" s="168">
        <f>'4. Customer Growth'!B17</f>
        <v>2011</v>
      </c>
      <c r="C21" s="56">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73172117</v>
      </c>
      <c r="D21" s="56">
        <f>SUM('6. WS Regression Analysis'!I20:I31)</f>
        <v>262348777</v>
      </c>
      <c r="E21" s="56">
        <f>SUM('6. WS Regression Analysis'!Q20:Q31)</f>
        <v>254409161.08035713</v>
      </c>
      <c r="F21" s="57">
        <f>C21/D21</f>
        <v>0.27891159942399885</v>
      </c>
      <c r="G21" s="56">
        <f>E21*F21</f>
        <v>70957666.025040165</v>
      </c>
      <c r="H21" s="56">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8422.27489911456</v>
      </c>
      <c r="I21" s="68"/>
      <c r="J21" s="168">
        <f>B21</f>
        <v>2011</v>
      </c>
      <c r="K21" s="56">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38803700</v>
      </c>
      <c r="L21" s="56">
        <f>D21</f>
        <v>262348777</v>
      </c>
      <c r="M21" s="56">
        <f t="shared" ref="M21:M30" si="0">E21</f>
        <v>254409161.08035713</v>
      </c>
      <c r="N21" s="57">
        <f t="shared" ref="N21:N29" si="1">K21/L21</f>
        <v>0.14790882749188497</v>
      </c>
      <c r="O21" s="56">
        <f>M21*N21</f>
        <v>37629360.718589716</v>
      </c>
      <c r="P21" s="56">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35085.651019664074</v>
      </c>
      <c r="Q21" s="68"/>
      <c r="R21" s="168">
        <f>B21</f>
        <v>2011</v>
      </c>
      <c r="S21" s="56">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659574</v>
      </c>
      <c r="T21" s="56">
        <f t="shared" ref="T21:T30" si="2">L21</f>
        <v>262348777</v>
      </c>
      <c r="U21" s="56">
        <f t="shared" ref="U21:U30" si="3">M21</f>
        <v>254409161.08035713</v>
      </c>
      <c r="V21" s="57">
        <f>S21/T21</f>
        <v>2.5141112054812439E-3</v>
      </c>
      <c r="W21" s="56">
        <f>U21*V21</f>
        <v>639612.92264920857</v>
      </c>
      <c r="X21" s="56">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6662.6346109292563</v>
      </c>
      <c r="Z21" s="168">
        <f>J21</f>
        <v>2011</v>
      </c>
      <c r="AA21" s="56">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56">
        <f t="shared" ref="AB21:AB30" si="4">T21</f>
        <v>262348777</v>
      </c>
      <c r="AC21" s="56">
        <f t="shared" ref="AC21:AC30" si="5">U21</f>
        <v>254409161.08035713</v>
      </c>
      <c r="AD21" s="57">
        <f t="shared" ref="AD21:AD30" si="6">AA21/AB21</f>
        <v>0</v>
      </c>
      <c r="AE21" s="56">
        <f>AC21*AD21</f>
        <v>0</v>
      </c>
      <c r="AF21" s="56"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68">
        <f>R21</f>
        <v>2011</v>
      </c>
      <c r="AI21" s="56">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56">
        <f t="shared" ref="AJ21:AJ30" si="7">AB21</f>
        <v>262348777</v>
      </c>
      <c r="AK21" s="56">
        <f t="shared" ref="AK21:AK30" si="8">AC21</f>
        <v>254409161.08035713</v>
      </c>
      <c r="AL21" s="57">
        <f t="shared" ref="AL21:AL30" si="9">AI21/AJ21</f>
        <v>0</v>
      </c>
      <c r="AM21" s="56">
        <f>AK21*AL21</f>
        <v>0</v>
      </c>
      <c r="AN21" s="56"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c r="B22" s="168">
        <f>'4. Customer Growth'!B18</f>
        <v>2012</v>
      </c>
      <c r="C22" s="56">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70910271</v>
      </c>
      <c r="D22" s="58">
        <f>SUM('6. WS Regression Analysis'!I32:I43)</f>
        <v>264021825</v>
      </c>
      <c r="E22" s="58">
        <f>SUM('6. WS Regression Analysis'!Q32:Q43)</f>
        <v>254793336.5537082</v>
      </c>
      <c r="F22" s="59">
        <f t="shared" ref="F22:F29" si="10">C22/D22</f>
        <v>0.26857730795550711</v>
      </c>
      <c r="G22" s="58">
        <f t="shared" ref="G22:G32" si="11">E22*F22</f>
        <v>68431708.416596457</v>
      </c>
      <c r="H22" s="56">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8027.1798729145403</v>
      </c>
      <c r="I22" s="68"/>
      <c r="J22" s="168">
        <f t="shared" ref="J22:J32" si="12">B22</f>
        <v>2012</v>
      </c>
      <c r="K22" s="56">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33174074</v>
      </c>
      <c r="L22" s="58">
        <f t="shared" ref="L22:L30" si="13">D22</f>
        <v>264021825</v>
      </c>
      <c r="M22" s="58">
        <f t="shared" si="0"/>
        <v>254793336.5537082</v>
      </c>
      <c r="N22" s="59">
        <f t="shared" si="1"/>
        <v>0.12564898375352113</v>
      </c>
      <c r="O22" s="58">
        <f t="shared" ref="O22:O30" si="14">M22*N22</f>
        <v>32014523.805142321</v>
      </c>
      <c r="P22" s="56">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30004.239742401423</v>
      </c>
      <c r="Q22" s="68"/>
      <c r="R22" s="168">
        <f t="shared" ref="R22:R32" si="15">B22</f>
        <v>2012</v>
      </c>
      <c r="S22" s="56">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627467</v>
      </c>
      <c r="T22" s="58">
        <f t="shared" si="2"/>
        <v>264021825</v>
      </c>
      <c r="U22" s="58">
        <f t="shared" si="3"/>
        <v>254793336.5537082</v>
      </c>
      <c r="V22" s="59">
        <f t="shared" ref="V22:V29" si="16">S22/T22</f>
        <v>2.3765724670678267E-3</v>
      </c>
      <c r="W22" s="58">
        <f t="shared" ref="W22:W30" si="17">U22*V22</f>
        <v>605534.82844588929</v>
      </c>
      <c r="X22" s="56">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6407.775962390363</v>
      </c>
      <c r="Z22" s="168">
        <f t="shared" ref="Z22:Z32" si="18">J22</f>
        <v>2012</v>
      </c>
      <c r="AA22" s="56">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12">
        <f t="shared" si="4"/>
        <v>264021825</v>
      </c>
      <c r="AC22" s="212">
        <f t="shared" si="5"/>
        <v>254793336.5537082</v>
      </c>
      <c r="AD22" s="59">
        <f t="shared" si="6"/>
        <v>0</v>
      </c>
      <c r="AE22" s="212">
        <f t="shared" ref="AE22:AE30" si="19">AC22*AD22</f>
        <v>0</v>
      </c>
      <c r="AF22" s="56"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68">
        <f t="shared" ref="AH22:AH32" si="20">R22</f>
        <v>2012</v>
      </c>
      <c r="AI22" s="56">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12">
        <f t="shared" si="7"/>
        <v>264021825</v>
      </c>
      <c r="AK22" s="212">
        <f t="shared" si="8"/>
        <v>254793336.5537082</v>
      </c>
      <c r="AL22" s="59">
        <f t="shared" si="9"/>
        <v>0</v>
      </c>
      <c r="AM22" s="212">
        <f t="shared" ref="AM22:AM30" si="21">AK22*AL22</f>
        <v>0</v>
      </c>
      <c r="AN22" s="56"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c r="B23" s="168">
        <f>'4. Customer Growth'!B19</f>
        <v>2013</v>
      </c>
      <c r="C23" s="56">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73387300</v>
      </c>
      <c r="D23" s="58">
        <f>SUM('6. WS Regression Analysis'!I44:I55)</f>
        <v>257528109</v>
      </c>
      <c r="E23" s="58">
        <f>SUM('6. WS Regression Analysis'!Q44:Q55)</f>
        <v>253261076.70423049</v>
      </c>
      <c r="F23" s="59">
        <f t="shared" si="10"/>
        <v>0.28496811584944304</v>
      </c>
      <c r="G23" s="58">
        <f t="shared" si="11"/>
        <v>72171331.846405834</v>
      </c>
      <c r="H23" s="56">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8365.7507646233717</v>
      </c>
      <c r="I23" s="68"/>
      <c r="J23" s="168">
        <f t="shared" si="12"/>
        <v>2013</v>
      </c>
      <c r="K23" s="56">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32912921</v>
      </c>
      <c r="L23" s="58">
        <f t="shared" si="13"/>
        <v>257528109</v>
      </c>
      <c r="M23" s="58">
        <f t="shared" si="0"/>
        <v>253261076.70423049</v>
      </c>
      <c r="N23" s="59">
        <f t="shared" si="1"/>
        <v>0.12780321778388859</v>
      </c>
      <c r="O23" s="58">
        <f t="shared" si="14"/>
        <v>32367580.542212881</v>
      </c>
      <c r="P23" s="56">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30593.176315891193</v>
      </c>
      <c r="Q23" s="68"/>
      <c r="R23" s="168">
        <f t="shared" si="15"/>
        <v>2013</v>
      </c>
      <c r="S23" s="56">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668402</v>
      </c>
      <c r="T23" s="58">
        <f t="shared" si="2"/>
        <v>257528109</v>
      </c>
      <c r="U23" s="58">
        <f t="shared" si="3"/>
        <v>253261076.70423049</v>
      </c>
      <c r="V23" s="59">
        <f t="shared" si="16"/>
        <v>2.5954525997004857E-3</v>
      </c>
      <c r="W23" s="58">
        <f t="shared" si="17"/>
        <v>657327.11993493908</v>
      </c>
      <c r="X23" s="56">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7030.2365768442678</v>
      </c>
      <c r="Z23" s="168">
        <f t="shared" si="18"/>
        <v>2013</v>
      </c>
      <c r="AA23" s="56">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12">
        <f t="shared" si="4"/>
        <v>257528109</v>
      </c>
      <c r="AC23" s="212">
        <f t="shared" si="5"/>
        <v>253261076.70423049</v>
      </c>
      <c r="AD23" s="59">
        <f t="shared" si="6"/>
        <v>0</v>
      </c>
      <c r="AE23" s="212">
        <f t="shared" si="19"/>
        <v>0</v>
      </c>
      <c r="AF23" s="56"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68">
        <f t="shared" si="20"/>
        <v>2013</v>
      </c>
      <c r="AI23" s="56">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12">
        <f t="shared" si="7"/>
        <v>257528109</v>
      </c>
      <c r="AK23" s="212">
        <f t="shared" si="8"/>
        <v>253261076.70423049</v>
      </c>
      <c r="AL23" s="59">
        <f t="shared" si="9"/>
        <v>0</v>
      </c>
      <c r="AM23" s="212">
        <f t="shared" si="21"/>
        <v>0</v>
      </c>
      <c r="AN23" s="56"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c r="B24" s="168">
        <f>'4. Customer Growth'!B20</f>
        <v>2014</v>
      </c>
      <c r="C24" s="56">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73600211</v>
      </c>
      <c r="D24" s="58">
        <f>SUM('6. WS Regression Analysis'!I56:I67)</f>
        <v>250323660.07999995</v>
      </c>
      <c r="E24" s="58">
        <f>SUM('6. WS Regression Analysis'!Q56:Q67)</f>
        <v>252761267.78320035</v>
      </c>
      <c r="F24" s="59">
        <f t="shared" si="10"/>
        <v>0.29402019360246812</v>
      </c>
      <c r="G24" s="58">
        <f t="shared" si="11"/>
        <v>74316916.888821855</v>
      </c>
      <c r="H24" s="56">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8483.1821116171286</v>
      </c>
      <c r="I24" s="68"/>
      <c r="J24" s="168">
        <f t="shared" si="12"/>
        <v>2014</v>
      </c>
      <c r="K24" s="56">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31500702</v>
      </c>
      <c r="L24" s="58">
        <f t="shared" si="13"/>
        <v>250323660.07999995</v>
      </c>
      <c r="M24" s="58">
        <f t="shared" si="0"/>
        <v>252761267.78320035</v>
      </c>
      <c r="N24" s="59">
        <f t="shared" si="1"/>
        <v>0.12583989060376</v>
      </c>
      <c r="O24" s="58">
        <f t="shared" si="14"/>
        <v>31807450.286705617</v>
      </c>
      <c r="P24" s="56">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29768.320343196647</v>
      </c>
      <c r="Q24" s="68"/>
      <c r="R24" s="168">
        <f t="shared" si="15"/>
        <v>2014</v>
      </c>
      <c r="S24" s="56">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555548</v>
      </c>
      <c r="T24" s="58">
        <f t="shared" si="2"/>
        <v>250323660.07999995</v>
      </c>
      <c r="U24" s="58">
        <f t="shared" si="3"/>
        <v>252761267.78320035</v>
      </c>
      <c r="V24" s="59">
        <f t="shared" si="16"/>
        <v>2.2193187804239304E-3</v>
      </c>
      <c r="W24" s="58">
        <f t="shared" si="17"/>
        <v>560957.82855501876</v>
      </c>
      <c r="X24" s="56">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6031.8046081184812</v>
      </c>
      <c r="Z24" s="168">
        <f t="shared" si="18"/>
        <v>2014</v>
      </c>
      <c r="AA24" s="56">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12">
        <f t="shared" si="4"/>
        <v>250323660.07999995</v>
      </c>
      <c r="AC24" s="212">
        <f t="shared" si="5"/>
        <v>252761267.78320035</v>
      </c>
      <c r="AD24" s="59">
        <f t="shared" si="6"/>
        <v>0</v>
      </c>
      <c r="AE24" s="212">
        <f t="shared" si="19"/>
        <v>0</v>
      </c>
      <c r="AF24" s="56"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68">
        <f t="shared" si="20"/>
        <v>2014</v>
      </c>
      <c r="AI24" s="56">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12">
        <f t="shared" si="7"/>
        <v>250323660.07999995</v>
      </c>
      <c r="AK24" s="212">
        <f t="shared" si="8"/>
        <v>252761267.78320035</v>
      </c>
      <c r="AL24" s="59">
        <f t="shared" si="9"/>
        <v>0</v>
      </c>
      <c r="AM24" s="212">
        <f t="shared" si="21"/>
        <v>0</v>
      </c>
      <c r="AN24" s="56"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c r="B25" s="168">
        <f>'4. Customer Growth'!B21</f>
        <v>2015</v>
      </c>
      <c r="C25" s="56">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77095510</v>
      </c>
      <c r="D25" s="58">
        <f>SUM('6. WS Regression Analysis'!I68:I79)</f>
        <v>248042590.17000005</v>
      </c>
      <c r="E25" s="58">
        <f>SUM('6. WS Regression Analysis'!Q68:Q79)</f>
        <v>253070139.99597791</v>
      </c>
      <c r="F25" s="59">
        <f>C25/D25</f>
        <v>0.31081561415384884</v>
      </c>
      <c r="G25" s="58">
        <f t="shared" si="11"/>
        <v>78658150.986850381</v>
      </c>
      <c r="H25" s="56">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8852.9151363928395</v>
      </c>
      <c r="I25" s="68"/>
      <c r="J25" s="168">
        <f t="shared" si="12"/>
        <v>2015</v>
      </c>
      <c r="K25" s="56">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31866049</v>
      </c>
      <c r="L25" s="58">
        <f t="shared" si="13"/>
        <v>248042590.17000005</v>
      </c>
      <c r="M25" s="58">
        <f t="shared" si="0"/>
        <v>253070139.99597791</v>
      </c>
      <c r="N25" s="59">
        <f t="shared" si="1"/>
        <v>0.12847007031397342</v>
      </c>
      <c r="O25" s="58">
        <f t="shared" si="14"/>
        <v>32511938.679650381</v>
      </c>
      <c r="P25" s="56">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30173.492974153487</v>
      </c>
      <c r="Q25" s="68"/>
      <c r="R25" s="168">
        <f t="shared" si="15"/>
        <v>2015</v>
      </c>
      <c r="S25" s="56">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602228</v>
      </c>
      <c r="T25" s="58">
        <f t="shared" si="2"/>
        <v>248042590.17000005</v>
      </c>
      <c r="U25" s="58">
        <f t="shared" si="3"/>
        <v>253070139.99597791</v>
      </c>
      <c r="V25" s="59">
        <f t="shared" si="16"/>
        <v>2.4279217516123067E-3</v>
      </c>
      <c r="W25" s="58">
        <f t="shared" si="17"/>
        <v>614434.49757980637</v>
      </c>
      <c r="X25" s="56">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6827.0499731089594</v>
      </c>
      <c r="Z25" s="168">
        <f t="shared" si="18"/>
        <v>2015</v>
      </c>
      <c r="AA25" s="56">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12">
        <f t="shared" si="4"/>
        <v>248042590.17000005</v>
      </c>
      <c r="AC25" s="212">
        <f t="shared" si="5"/>
        <v>253070139.99597791</v>
      </c>
      <c r="AD25" s="59">
        <f t="shared" si="6"/>
        <v>0</v>
      </c>
      <c r="AE25" s="212">
        <f t="shared" si="19"/>
        <v>0</v>
      </c>
      <c r="AF25" s="56"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68">
        <f t="shared" si="20"/>
        <v>2015</v>
      </c>
      <c r="AI25" s="56">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12">
        <f t="shared" si="7"/>
        <v>248042590.17000005</v>
      </c>
      <c r="AK25" s="212">
        <f t="shared" si="8"/>
        <v>253070139.99597791</v>
      </c>
      <c r="AL25" s="59">
        <f t="shared" si="9"/>
        <v>0</v>
      </c>
      <c r="AM25" s="212">
        <f t="shared" si="21"/>
        <v>0</v>
      </c>
      <c r="AN25" s="56"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c r="B26" s="168">
        <f>'4. Customer Growth'!B22</f>
        <v>2016</v>
      </c>
      <c r="C26" s="56">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84454313</v>
      </c>
      <c r="D26" s="58">
        <f>SUM('6. WS Regression Analysis'!I80:I91)</f>
        <v>245731772.13</v>
      </c>
      <c r="E26" s="58">
        <f>SUM('6. WS Regression Analysis'!Q80:Q91)</f>
        <v>252375485.51351339</v>
      </c>
      <c r="F26" s="59">
        <f t="shared" si="10"/>
        <v>0.34368495481048728</v>
      </c>
      <c r="G26" s="58">
        <f t="shared" si="11"/>
        <v>86737657.33398664</v>
      </c>
      <c r="H26" s="56">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9650.3846611022072</v>
      </c>
      <c r="I26" s="68"/>
      <c r="J26" s="168">
        <f t="shared" si="12"/>
        <v>2016</v>
      </c>
      <c r="K26" s="56">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30901480</v>
      </c>
      <c r="L26" s="58">
        <f t="shared" si="13"/>
        <v>245731772.13</v>
      </c>
      <c r="M26" s="58">
        <f t="shared" si="0"/>
        <v>252375485.51351339</v>
      </c>
      <c r="N26" s="59">
        <f t="shared" si="1"/>
        <v>0.12575288792387876</v>
      </c>
      <c r="O26" s="58">
        <f t="shared" si="14"/>
        <v>31736946.144515336</v>
      </c>
      <c r="P26" s="56">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29318.195052670057</v>
      </c>
      <c r="Q26" s="68"/>
      <c r="R26" s="168">
        <f t="shared" si="15"/>
        <v>2016</v>
      </c>
      <c r="S26" s="56">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613092</v>
      </c>
      <c r="T26" s="58">
        <f t="shared" si="2"/>
        <v>245731772.13</v>
      </c>
      <c r="U26" s="58">
        <f t="shared" si="3"/>
        <v>252375485.51351339</v>
      </c>
      <c r="V26" s="59">
        <f t="shared" si="16"/>
        <v>2.4949643047202487E-3</v>
      </c>
      <c r="W26" s="58">
        <f t="shared" si="17"/>
        <v>629667.82774265809</v>
      </c>
      <c r="X26" s="56">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7407.8567969724481</v>
      </c>
      <c r="Z26" s="168">
        <f t="shared" si="18"/>
        <v>2016</v>
      </c>
      <c r="AA26" s="56">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12">
        <f t="shared" si="4"/>
        <v>245731772.13</v>
      </c>
      <c r="AC26" s="212">
        <f t="shared" si="5"/>
        <v>252375485.51351339</v>
      </c>
      <c r="AD26" s="59">
        <f t="shared" si="6"/>
        <v>0</v>
      </c>
      <c r="AE26" s="212">
        <f t="shared" si="19"/>
        <v>0</v>
      </c>
      <c r="AF26" s="56"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68">
        <f t="shared" si="20"/>
        <v>2016</v>
      </c>
      <c r="AI26" s="56">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12">
        <f t="shared" si="7"/>
        <v>245731772.13</v>
      </c>
      <c r="AK26" s="212">
        <f t="shared" si="8"/>
        <v>252375485.51351339</v>
      </c>
      <c r="AL26" s="59">
        <f t="shared" si="9"/>
        <v>0</v>
      </c>
      <c r="AM26" s="212">
        <f t="shared" si="21"/>
        <v>0</v>
      </c>
      <c r="AN26" s="56"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c r="B27" s="168">
        <f>'4. Customer Growth'!B23</f>
        <v>2017</v>
      </c>
      <c r="C27" s="56">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77966937</v>
      </c>
      <c r="D27" s="58">
        <f>SUM('6. WS Regression Analysis'!I92:I103)</f>
        <v>240806896.24000001</v>
      </c>
      <c r="E27" s="58">
        <f>SUM('6. WS Regression Analysis'!Q92:Q103)</f>
        <v>251482150.84897441</v>
      </c>
      <c r="F27" s="59">
        <f t="shared" si="10"/>
        <v>0.32377368845074234</v>
      </c>
      <c r="G27" s="58">
        <f t="shared" si="11"/>
        <v>81423303.559898421</v>
      </c>
      <c r="H27" s="56">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8974.7372344886662</v>
      </c>
      <c r="I27" s="68"/>
      <c r="J27" s="168">
        <f t="shared" si="12"/>
        <v>2017</v>
      </c>
      <c r="K27" s="56">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31000237</v>
      </c>
      <c r="L27" s="58">
        <f t="shared" si="13"/>
        <v>240806896.24000001</v>
      </c>
      <c r="M27" s="58">
        <f t="shared" si="0"/>
        <v>251482150.84897441</v>
      </c>
      <c r="N27" s="59">
        <f t="shared" si="1"/>
        <v>0.12873483892713619</v>
      </c>
      <c r="O27" s="58">
        <f t="shared" si="14"/>
        <v>32374514.182592485</v>
      </c>
      <c r="P27" s="56">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29511.863429892877</v>
      </c>
      <c r="Q27" s="68"/>
      <c r="R27" s="168">
        <f t="shared" si="15"/>
        <v>2017</v>
      </c>
      <c r="S27" s="56">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615642</v>
      </c>
      <c r="T27" s="58">
        <f t="shared" si="2"/>
        <v>240806896.24000001</v>
      </c>
      <c r="U27" s="58">
        <f t="shared" si="3"/>
        <v>251482150.84897441</v>
      </c>
      <c r="V27" s="59">
        <f t="shared" si="16"/>
        <v>2.5565796063681699E-3</v>
      </c>
      <c r="W27" s="58">
        <f t="shared" si="17"/>
        <v>642934.13822609175</v>
      </c>
      <c r="X27" s="56">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7653.977836024902</v>
      </c>
      <c r="Z27" s="168">
        <f t="shared" si="18"/>
        <v>2017</v>
      </c>
      <c r="AA27" s="56">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12">
        <f t="shared" si="4"/>
        <v>240806896.24000001</v>
      </c>
      <c r="AC27" s="212">
        <f t="shared" si="5"/>
        <v>251482150.84897441</v>
      </c>
      <c r="AD27" s="59">
        <f t="shared" si="6"/>
        <v>0</v>
      </c>
      <c r="AE27" s="212">
        <f t="shared" si="19"/>
        <v>0</v>
      </c>
      <c r="AF27" s="56"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68">
        <f t="shared" si="20"/>
        <v>2017</v>
      </c>
      <c r="AI27" s="56">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12">
        <f t="shared" si="7"/>
        <v>240806896.24000001</v>
      </c>
      <c r="AK27" s="212">
        <f t="shared" si="8"/>
        <v>251482150.84897441</v>
      </c>
      <c r="AL27" s="59">
        <f t="shared" si="9"/>
        <v>0</v>
      </c>
      <c r="AM27" s="212">
        <f t="shared" si="21"/>
        <v>0</v>
      </c>
      <c r="AN27" s="56"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c r="B28" s="168">
        <f>'4. Customer Growth'!B24</f>
        <v>2018</v>
      </c>
      <c r="C28" s="56">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75932382</v>
      </c>
      <c r="D28" s="58">
        <f>SUM('6. WS Regression Analysis'!I104:I115)</f>
        <v>254570985.03999996</v>
      </c>
      <c r="E28" s="58">
        <f>SUM('6. WS Regression Analysis'!Q104:Q115)</f>
        <v>259096002.29926127</v>
      </c>
      <c r="F28" s="59">
        <f t="shared" si="10"/>
        <v>0.29827586984458965</v>
      </c>
      <c r="G28" s="58">
        <f t="shared" si="11"/>
        <v>77282085.459067956</v>
      </c>
      <c r="H28" s="56">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8423.1155813698042</v>
      </c>
      <c r="I28" s="68"/>
      <c r="J28" s="168">
        <f t="shared" si="12"/>
        <v>2018</v>
      </c>
      <c r="K28" s="56">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34577101</v>
      </c>
      <c r="L28" s="58">
        <f t="shared" si="13"/>
        <v>254570985.03999996</v>
      </c>
      <c r="M28" s="58">
        <f t="shared" si="0"/>
        <v>259096002.29926127</v>
      </c>
      <c r="N28" s="59">
        <f t="shared" si="1"/>
        <v>0.13582498804632823</v>
      </c>
      <c r="O28" s="58">
        <f t="shared" si="14"/>
        <v>35191711.415148593</v>
      </c>
      <c r="P28" s="56">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31421.170906382671</v>
      </c>
      <c r="Q28" s="68"/>
      <c r="R28" s="168">
        <f t="shared" si="15"/>
        <v>2018</v>
      </c>
      <c r="S28" s="56">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614016</v>
      </c>
      <c r="T28" s="58">
        <f t="shared" si="2"/>
        <v>254570985.03999996</v>
      </c>
      <c r="U28" s="58">
        <f t="shared" si="3"/>
        <v>259096002.29926127</v>
      </c>
      <c r="V28" s="59">
        <f t="shared" si="16"/>
        <v>2.4119637982448062E-3</v>
      </c>
      <c r="W28" s="58">
        <f t="shared" si="17"/>
        <v>624930.17781577131</v>
      </c>
      <c r="X28" s="56">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7439.6449739972777</v>
      </c>
      <c r="Z28" s="168">
        <f t="shared" si="18"/>
        <v>2018</v>
      </c>
      <c r="AA28" s="56">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12">
        <f t="shared" si="4"/>
        <v>254570985.03999996</v>
      </c>
      <c r="AC28" s="212">
        <f t="shared" si="5"/>
        <v>259096002.29926127</v>
      </c>
      <c r="AD28" s="59">
        <f t="shared" si="6"/>
        <v>0</v>
      </c>
      <c r="AE28" s="212">
        <f t="shared" si="19"/>
        <v>0</v>
      </c>
      <c r="AF28" s="56"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68">
        <f t="shared" si="20"/>
        <v>2018</v>
      </c>
      <c r="AI28" s="56">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12">
        <f t="shared" si="7"/>
        <v>254570985.03999996</v>
      </c>
      <c r="AK28" s="212">
        <f t="shared" si="8"/>
        <v>259096002.29926127</v>
      </c>
      <c r="AL28" s="59">
        <f t="shared" si="9"/>
        <v>0</v>
      </c>
      <c r="AM28" s="212">
        <f t="shared" si="21"/>
        <v>0</v>
      </c>
      <c r="AN28" s="56"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c r="B29" s="168">
        <f>'4. Customer Growth'!B25</f>
        <v>2019</v>
      </c>
      <c r="C29" s="56">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74483876</v>
      </c>
      <c r="D29" s="58">
        <f>SUM('6. WS Regression Analysis'!I116:I127)</f>
        <v>245663815.89999998</v>
      </c>
      <c r="E29" s="58">
        <f>SUM('6. WS Regression Analysis'!Q116:Q127)</f>
        <v>254184211.63141453</v>
      </c>
      <c r="F29" s="59">
        <f t="shared" si="10"/>
        <v>0.30319432972709109</v>
      </c>
      <c r="G29" s="58">
        <f t="shared" si="11"/>
        <v>77067211.672795802</v>
      </c>
      <c r="H29" s="56">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8313.1666763168978</v>
      </c>
      <c r="I29" s="68"/>
      <c r="J29" s="168">
        <f t="shared" si="12"/>
        <v>2019</v>
      </c>
      <c r="K29" s="56">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34210639</v>
      </c>
      <c r="L29" s="58">
        <f t="shared" si="13"/>
        <v>245663815.89999998</v>
      </c>
      <c r="M29" s="58">
        <f t="shared" si="0"/>
        <v>254184211.63141453</v>
      </c>
      <c r="N29" s="59">
        <f t="shared" si="1"/>
        <v>0.13925794840671937</v>
      </c>
      <c r="O29" s="58">
        <f t="shared" si="14"/>
        <v>35397171.82917016</v>
      </c>
      <c r="P29" s="56">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31297.234154880778</v>
      </c>
      <c r="Q29" s="68"/>
      <c r="R29" s="168">
        <f t="shared" si="15"/>
        <v>2019</v>
      </c>
      <c r="S29" s="56">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613910</v>
      </c>
      <c r="T29" s="58">
        <f t="shared" si="2"/>
        <v>245663815.89999998</v>
      </c>
      <c r="U29" s="58">
        <f t="shared" si="3"/>
        <v>254184211.63141453</v>
      </c>
      <c r="V29" s="59">
        <f t="shared" si="16"/>
        <v>2.4989842226089106E-3</v>
      </c>
      <c r="W29" s="58">
        <f t="shared" si="17"/>
        <v>635202.33450318919</v>
      </c>
      <c r="X29" s="56">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7607.213586864541</v>
      </c>
      <c r="Z29" s="168">
        <f t="shared" si="18"/>
        <v>2019</v>
      </c>
      <c r="AA29" s="56">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12">
        <f t="shared" si="4"/>
        <v>245663815.89999998</v>
      </c>
      <c r="AC29" s="212">
        <f t="shared" si="5"/>
        <v>254184211.63141453</v>
      </c>
      <c r="AD29" s="59">
        <f t="shared" si="6"/>
        <v>0</v>
      </c>
      <c r="AE29" s="212">
        <f t="shared" si="19"/>
        <v>0</v>
      </c>
      <c r="AF29" s="56"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68">
        <f t="shared" si="20"/>
        <v>2019</v>
      </c>
      <c r="AI29" s="56">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12">
        <f t="shared" si="7"/>
        <v>245663815.89999998</v>
      </c>
      <c r="AK29" s="212">
        <f t="shared" si="8"/>
        <v>254184211.63141453</v>
      </c>
      <c r="AL29" s="59">
        <f t="shared" si="9"/>
        <v>0</v>
      </c>
      <c r="AM29" s="212">
        <f t="shared" si="21"/>
        <v>0</v>
      </c>
      <c r="AN29" s="56"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c r="B30" s="168">
        <f>'4. Customer Growth'!B26</f>
        <v>2020</v>
      </c>
      <c r="C30" s="56">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73295446</v>
      </c>
      <c r="D30" s="58">
        <f>SUM('6. WS Regression Analysis'!I128:I139)</f>
        <v>247239798.66666663</v>
      </c>
      <c r="E30" s="58">
        <f>SUM('6. WS Regression Analysis'!Q128:Q139)</f>
        <v>256707769.52352279</v>
      </c>
      <c r="F30" s="59">
        <f>C30/D30</f>
        <v>0.29645488467177694</v>
      </c>
      <c r="G30" s="58">
        <f>E30*F30</f>
        <v>76102272.208445042</v>
      </c>
      <c r="H30" s="56">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8110.2224338940741</v>
      </c>
      <c r="I30" s="68"/>
      <c r="J30" s="168">
        <f t="shared" si="12"/>
        <v>2020</v>
      </c>
      <c r="K30" s="56">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31970234</v>
      </c>
      <c r="L30" s="58">
        <f t="shared" si="13"/>
        <v>247239798.66666663</v>
      </c>
      <c r="M30" s="58">
        <f t="shared" si="0"/>
        <v>256707769.52352279</v>
      </c>
      <c r="N30" s="59">
        <f>K30/L30</f>
        <v>0.12930860715957335</v>
      </c>
      <c r="O30" s="58">
        <f t="shared" si="14"/>
        <v>33194524.124127503</v>
      </c>
      <c r="P30" s="56">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29284.979377262905</v>
      </c>
      <c r="Q30" s="68"/>
      <c r="R30" s="168">
        <f t="shared" si="15"/>
        <v>2020</v>
      </c>
      <c r="S30" s="56">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611429</v>
      </c>
      <c r="T30" s="58">
        <f t="shared" si="2"/>
        <v>247239798.66666663</v>
      </c>
      <c r="U30" s="58">
        <f t="shared" si="3"/>
        <v>256707769.52352279</v>
      </c>
      <c r="V30" s="59">
        <f>S30/T30</f>
        <v>2.4730201338836236E-3</v>
      </c>
      <c r="W30" s="58">
        <f t="shared" si="17"/>
        <v>634843.48255602876</v>
      </c>
      <c r="X30" s="56">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7695.0725158306514</v>
      </c>
      <c r="Z30" s="168">
        <f t="shared" si="18"/>
        <v>2020</v>
      </c>
      <c r="AA30" s="56">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12">
        <f t="shared" si="4"/>
        <v>247239798.66666663</v>
      </c>
      <c r="AC30" s="212">
        <f t="shared" si="5"/>
        <v>256707769.52352279</v>
      </c>
      <c r="AD30" s="59">
        <f t="shared" si="6"/>
        <v>0</v>
      </c>
      <c r="AE30" s="212">
        <f t="shared" si="19"/>
        <v>0</v>
      </c>
      <c r="AF30" s="56"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68">
        <f t="shared" si="20"/>
        <v>2020</v>
      </c>
      <c r="AI30" s="56">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12">
        <f t="shared" si="7"/>
        <v>247239798.66666663</v>
      </c>
      <c r="AK30" s="212">
        <f t="shared" si="8"/>
        <v>256707769.52352279</v>
      </c>
      <c r="AL30" s="59">
        <f t="shared" si="9"/>
        <v>0</v>
      </c>
      <c r="AM30" s="212">
        <f t="shared" si="21"/>
        <v>0</v>
      </c>
      <c r="AN30" s="56"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c r="B31" s="169" t="str">
        <f>'4. Customer Growth'!B30</f>
        <v>2021</v>
      </c>
      <c r="C31" s="61"/>
      <c r="D31" s="61"/>
      <c r="E31" s="154">
        <f>SUM('6. WS Regression Analysis'!Q140:Q151)</f>
        <v>254214060.19341606</v>
      </c>
      <c r="F31" s="62">
        <f>F30</f>
        <v>0.29645488467177694</v>
      </c>
      <c r="G31" s="154">
        <f>E31*F31</f>
        <v>75362999.896583319</v>
      </c>
      <c r="H31" s="56">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8031.4381517113361</v>
      </c>
      <c r="I31" s="68"/>
      <c r="J31" s="169" t="str">
        <f t="shared" si="12"/>
        <v>2021</v>
      </c>
      <c r="K31" s="61"/>
      <c r="L31" s="61"/>
      <c r="M31" s="154">
        <f>E31</f>
        <v>254214060.19341606</v>
      </c>
      <c r="N31" s="62">
        <f>N30</f>
        <v>0.12930860715957335</v>
      </c>
      <c r="O31" s="154">
        <f>M31*N31</f>
        <v>32872066.043990571</v>
      </c>
      <c r="P31" s="56">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29000.4993771421</v>
      </c>
      <c r="Q31" s="68"/>
      <c r="R31" s="169" t="str">
        <f t="shared" si="15"/>
        <v>2021</v>
      </c>
      <c r="S31" s="61"/>
      <c r="T31" s="61"/>
      <c r="U31" s="122">
        <f>M31</f>
        <v>254214060.19341606</v>
      </c>
      <c r="V31" s="62">
        <f>V30</f>
        <v>2.4730201338836236E-3</v>
      </c>
      <c r="W31" s="122">
        <f>U31*V31</f>
        <v>628676.4891746213</v>
      </c>
      <c r="X31" s="56">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7620.3210809045004</v>
      </c>
      <c r="Z31" s="169" t="str">
        <f t="shared" si="18"/>
        <v>2021</v>
      </c>
      <c r="AA31" s="61"/>
      <c r="AB31" s="61"/>
      <c r="AC31" s="266">
        <f>U31</f>
        <v>254214060.19341606</v>
      </c>
      <c r="AD31" s="62">
        <f>AD30</f>
        <v>0</v>
      </c>
      <c r="AE31" s="266">
        <f>AC31*AD31</f>
        <v>0</v>
      </c>
      <c r="AF31" s="56"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69" t="str">
        <f t="shared" si="20"/>
        <v>2021</v>
      </c>
      <c r="AI31" s="61"/>
      <c r="AJ31" s="61"/>
      <c r="AK31" s="266">
        <f>AC31</f>
        <v>254214060.19341606</v>
      </c>
      <c r="AL31" s="62">
        <f>AL30</f>
        <v>0</v>
      </c>
      <c r="AM31" s="266">
        <f>AK31*AL31</f>
        <v>0</v>
      </c>
      <c r="AN31" s="56"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c r="B32" s="170" t="str">
        <f>'4. Customer Growth'!B31</f>
        <v>2022</v>
      </c>
      <c r="C32" s="63"/>
      <c r="D32" s="63"/>
      <c r="E32" s="155">
        <f>SUM('6. WS Regression Analysis'!Q152:Q163)</f>
        <v>254194550.10472196</v>
      </c>
      <c r="F32" s="64">
        <f>F31</f>
        <v>0.29645488467177694</v>
      </c>
      <c r="G32" s="155">
        <f t="shared" si="11"/>
        <v>75357216.035489574</v>
      </c>
      <c r="H32" s="56">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8030.8217653849388</v>
      </c>
      <c r="I32" s="68"/>
      <c r="J32" s="170" t="str">
        <f t="shared" si="12"/>
        <v>2022</v>
      </c>
      <c r="K32" s="63"/>
      <c r="L32" s="63"/>
      <c r="M32" s="155">
        <f>E32</f>
        <v>254194550.10472196</v>
      </c>
      <c r="N32" s="64">
        <f>N31</f>
        <v>0.12930860715957335</v>
      </c>
      <c r="O32" s="155">
        <f>M32*N32</f>
        <v>32869543.221595977</v>
      </c>
      <c r="P32" s="56">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28998.273684689877</v>
      </c>
      <c r="Q32" s="68"/>
      <c r="R32" s="169" t="str">
        <f t="shared" si="15"/>
        <v>2022</v>
      </c>
      <c r="S32" s="63"/>
      <c r="T32" s="63"/>
      <c r="U32" s="123">
        <f>M32</f>
        <v>254194550.10472196</v>
      </c>
      <c r="V32" s="64">
        <f>V31</f>
        <v>2.4730201338836236E-3</v>
      </c>
      <c r="W32" s="123">
        <f>U32*V32</f>
        <v>628628.24033246702</v>
      </c>
      <c r="X32" s="56">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7619.7362464541457</v>
      </c>
      <c r="Z32" s="169" t="str">
        <f t="shared" si="18"/>
        <v>2022</v>
      </c>
      <c r="AA32" s="63"/>
      <c r="AB32" s="63"/>
      <c r="AC32" s="265">
        <f>U32</f>
        <v>254194550.10472196</v>
      </c>
      <c r="AD32" s="64">
        <f>AD31</f>
        <v>0</v>
      </c>
      <c r="AE32" s="265">
        <f>AC32*AD32</f>
        <v>0</v>
      </c>
      <c r="AF32" s="56"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69" t="str">
        <f t="shared" si="20"/>
        <v>2022</v>
      </c>
      <c r="AI32" s="63"/>
      <c r="AJ32" s="63"/>
      <c r="AK32" s="265">
        <f>AC32</f>
        <v>254194550.10472196</v>
      </c>
      <c r="AL32" s="64">
        <f>AL31</f>
        <v>0</v>
      </c>
      <c r="AM32" s="265">
        <f>AK32*AL32</f>
        <v>0</v>
      </c>
      <c r="AN32" s="56"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c r="B33" s="1124" t="s">
        <v>153</v>
      </c>
      <c r="C33" s="1124"/>
      <c r="D33" s="1124"/>
      <c r="E33" s="1124"/>
      <c r="F33" s="1124"/>
      <c r="G33" s="1124"/>
      <c r="H33" s="1124"/>
      <c r="I33" s="23"/>
      <c r="J33" s="1124" t="s">
        <v>153</v>
      </c>
      <c r="K33" s="1124"/>
      <c r="L33" s="1124"/>
      <c r="M33" s="1124"/>
      <c r="N33" s="1124"/>
      <c r="O33" s="1124"/>
      <c r="P33" s="1124"/>
      <c r="R33" s="1124" t="s">
        <v>153</v>
      </c>
      <c r="S33" s="1124"/>
      <c r="T33" s="1124"/>
      <c r="U33" s="1124"/>
      <c r="V33" s="1124"/>
      <c r="W33" s="1124"/>
      <c r="X33" s="1124"/>
      <c r="Z33" s="1124" t="s">
        <v>153</v>
      </c>
      <c r="AA33" s="1124"/>
      <c r="AB33" s="1124"/>
      <c r="AC33" s="1124"/>
      <c r="AD33" s="1124"/>
      <c r="AE33" s="1124"/>
      <c r="AF33" s="1124"/>
      <c r="AH33" s="1124" t="s">
        <v>153</v>
      </c>
      <c r="AI33" s="1124"/>
      <c r="AJ33" s="1124"/>
      <c r="AK33" s="1124"/>
      <c r="AL33" s="1124"/>
      <c r="AM33" s="1124"/>
      <c r="AN33" s="1124"/>
    </row>
    <row r="34" spans="2:40">
      <c r="B34" s="139"/>
      <c r="C34" s="139"/>
      <c r="D34" s="139"/>
      <c r="E34" s="140"/>
      <c r="F34" s="141"/>
      <c r="G34" s="142"/>
      <c r="H34" s="144"/>
      <c r="I34" s="23"/>
      <c r="J34" s="143"/>
      <c r="K34" s="143"/>
      <c r="L34" s="143"/>
      <c r="M34" s="143"/>
      <c r="N34" s="143"/>
      <c r="O34" s="142"/>
      <c r="P34" s="143"/>
      <c r="R34" s="143"/>
      <c r="S34" s="143"/>
      <c r="T34" s="143"/>
      <c r="U34" s="143"/>
      <c r="V34" s="143"/>
      <c r="W34" s="142"/>
      <c r="X34" s="143"/>
      <c r="Z34" s="143"/>
      <c r="AA34" s="143"/>
      <c r="AB34" s="143"/>
      <c r="AC34" s="143"/>
      <c r="AD34" s="143"/>
      <c r="AE34" s="142"/>
      <c r="AF34" s="143"/>
      <c r="AH34" s="143"/>
      <c r="AI34" s="143"/>
      <c r="AJ34" s="143"/>
      <c r="AK34" s="143"/>
      <c r="AL34" s="143"/>
      <c r="AM34" s="142"/>
      <c r="AN34" s="143"/>
    </row>
    <row r="35" spans="2:40">
      <c r="B35" s="139"/>
      <c r="C35" s="139"/>
      <c r="D35" s="139"/>
      <c r="E35" s="140"/>
      <c r="F35" s="141"/>
      <c r="G35" s="142"/>
      <c r="H35" s="144"/>
      <c r="I35" s="23"/>
      <c r="J35" s="143"/>
      <c r="K35" s="143"/>
      <c r="L35" s="143"/>
      <c r="M35" s="143"/>
      <c r="N35" s="143"/>
      <c r="O35" s="142"/>
      <c r="P35" s="143"/>
      <c r="R35" s="143"/>
      <c r="S35" s="143"/>
      <c r="T35" s="143"/>
      <c r="U35" s="143"/>
      <c r="V35" s="143"/>
      <c r="W35" s="142"/>
      <c r="X35" s="143"/>
      <c r="Z35" s="143"/>
      <c r="AA35" s="143"/>
      <c r="AB35" s="143"/>
      <c r="AC35" s="143"/>
      <c r="AD35" s="143"/>
      <c r="AE35" s="142"/>
      <c r="AF35" s="143"/>
      <c r="AH35" s="143"/>
      <c r="AI35" s="143"/>
      <c r="AJ35" s="143"/>
      <c r="AK35" s="143"/>
      <c r="AL35" s="143"/>
      <c r="AM35" s="142"/>
      <c r="AN35" s="143"/>
    </row>
    <row r="36" spans="2:40">
      <c r="B36" s="139"/>
      <c r="C36" s="139"/>
      <c r="D36" s="139"/>
      <c r="E36" s="140"/>
      <c r="F36" s="141"/>
      <c r="G36" s="142"/>
      <c r="H36" s="144"/>
      <c r="I36" s="23"/>
      <c r="J36" s="143"/>
      <c r="K36" s="143"/>
      <c r="L36" s="143"/>
      <c r="M36" s="143"/>
      <c r="N36" s="143"/>
      <c r="O36" s="142"/>
      <c r="P36" s="143"/>
      <c r="R36" s="143"/>
      <c r="S36" s="143"/>
      <c r="T36" s="143"/>
      <c r="U36" s="143"/>
      <c r="V36" s="143"/>
      <c r="W36" s="142"/>
      <c r="X36" s="143"/>
      <c r="Z36" s="143"/>
      <c r="AA36" s="143"/>
      <c r="AB36" s="143"/>
      <c r="AC36" s="143"/>
      <c r="AD36" s="143"/>
      <c r="AE36" s="142"/>
      <c r="AF36" s="143"/>
      <c r="AH36" s="143"/>
      <c r="AI36" s="143"/>
      <c r="AJ36" s="143"/>
      <c r="AK36" s="143"/>
      <c r="AL36" s="143"/>
      <c r="AM36" s="142"/>
      <c r="AN36" s="143"/>
    </row>
    <row r="37" spans="2:40">
      <c r="B37" s="139"/>
      <c r="C37" s="139"/>
      <c r="D37" s="139"/>
      <c r="E37" s="140"/>
      <c r="F37" s="141"/>
      <c r="G37" s="142"/>
      <c r="H37" s="144"/>
      <c r="I37" s="23"/>
      <c r="J37" s="143"/>
      <c r="K37" s="143"/>
      <c r="L37" s="143"/>
      <c r="M37" s="143"/>
      <c r="N37" s="143"/>
      <c r="O37" s="142"/>
      <c r="P37" s="143"/>
      <c r="R37" s="143"/>
      <c r="S37" s="143"/>
      <c r="T37" s="143"/>
      <c r="U37" s="143"/>
      <c r="V37" s="143"/>
      <c r="W37" s="142"/>
      <c r="X37" s="143"/>
      <c r="Z37" s="143"/>
      <c r="AA37" s="143"/>
      <c r="AB37" s="143"/>
      <c r="AC37" s="143"/>
      <c r="AD37" s="143"/>
      <c r="AE37" s="142"/>
      <c r="AF37" s="143"/>
      <c r="AH37" s="143"/>
      <c r="AI37" s="143"/>
      <c r="AJ37" s="143"/>
      <c r="AK37" s="143"/>
      <c r="AL37" s="143"/>
      <c r="AM37" s="142"/>
      <c r="AN37" s="143"/>
    </row>
    <row r="38" spans="2:40" ht="15">
      <c r="B38" s="1123" t="s">
        <v>173</v>
      </c>
      <c r="C38" s="1123"/>
      <c r="D38" s="1123"/>
      <c r="E38" s="1123"/>
      <c r="F38" s="1123"/>
      <c r="G38" s="1123"/>
      <c r="H38" s="1123"/>
      <c r="I38" s="68"/>
      <c r="J38" s="1123" t="s">
        <v>173</v>
      </c>
      <c r="K38" s="1123"/>
      <c r="L38" s="1123"/>
      <c r="M38" s="1123"/>
      <c r="N38" s="1123"/>
      <c r="O38" s="1123"/>
      <c r="P38" s="1123"/>
      <c r="Q38" s="68"/>
      <c r="R38" s="1123" t="s">
        <v>173</v>
      </c>
      <c r="S38" s="1123"/>
      <c r="T38" s="1123"/>
      <c r="U38" s="1123"/>
      <c r="V38" s="1123"/>
      <c r="W38" s="1123"/>
      <c r="X38" s="1123"/>
      <c r="Z38" s="1123" t="s">
        <v>173</v>
      </c>
      <c r="AA38" s="1123"/>
      <c r="AB38" s="1123"/>
      <c r="AC38" s="1123"/>
      <c r="AD38" s="1123"/>
      <c r="AE38" s="1123"/>
      <c r="AF38" s="1123"/>
      <c r="AH38" s="1123" t="s">
        <v>173</v>
      </c>
      <c r="AI38" s="1123"/>
      <c r="AJ38" s="1123"/>
      <c r="AK38" s="1123"/>
      <c r="AL38" s="1123"/>
      <c r="AM38" s="1123"/>
      <c r="AN38" s="1123"/>
    </row>
    <row r="39" spans="2:40" ht="13.5" thickBot="1">
      <c r="B39" s="65"/>
      <c r="C39" s="66"/>
      <c r="D39" s="66"/>
      <c r="E39" s="66"/>
      <c r="F39" s="66"/>
      <c r="G39" s="66"/>
      <c r="H39" s="68"/>
      <c r="I39" s="68"/>
      <c r="J39" s="65"/>
      <c r="K39" s="66"/>
      <c r="L39" s="66"/>
      <c r="M39" s="66"/>
      <c r="N39" s="66"/>
      <c r="O39" s="66"/>
      <c r="P39" s="68"/>
      <c r="Q39" s="68"/>
      <c r="R39" s="65"/>
      <c r="S39" s="66"/>
      <c r="T39" s="66"/>
      <c r="U39" s="66"/>
      <c r="V39" s="66"/>
      <c r="W39" s="66"/>
      <c r="X39" s="68"/>
      <c r="Z39" s="65"/>
      <c r="AA39" s="66"/>
      <c r="AB39" s="66"/>
      <c r="AC39" s="66"/>
      <c r="AD39" s="66"/>
      <c r="AE39" s="66"/>
      <c r="AF39" s="68"/>
      <c r="AH39" s="65"/>
      <c r="AI39" s="66"/>
      <c r="AJ39" s="66"/>
      <c r="AK39" s="66"/>
      <c r="AL39" s="66"/>
      <c r="AM39" s="66"/>
      <c r="AN39" s="68"/>
    </row>
    <row r="40" spans="2:40" ht="14.25" customHeight="1" thickBot="1">
      <c r="B40" s="1120" t="str">
        <f>B19</f>
        <v>Residential</v>
      </c>
      <c r="C40" s="1121"/>
      <c r="D40" s="1121"/>
      <c r="E40" s="1121"/>
      <c r="F40" s="1121"/>
      <c r="G40" s="1121"/>
      <c r="H40" s="1122"/>
      <c r="I40" s="136"/>
      <c r="J40" s="1120" t="str">
        <f>J19</f>
        <v>General Service &lt; 50 kW</v>
      </c>
      <c r="K40" s="1121"/>
      <c r="L40" s="1121"/>
      <c r="M40" s="1121"/>
      <c r="N40" s="1121"/>
      <c r="O40" s="1121"/>
      <c r="P40" s="1122"/>
      <c r="Q40" s="136"/>
      <c r="R40" s="1120" t="str">
        <f>R19</f>
        <v>Unmetered Scattered Load</v>
      </c>
      <c r="S40" s="1121"/>
      <c r="T40" s="1121"/>
      <c r="U40" s="1121"/>
      <c r="V40" s="1121"/>
      <c r="W40" s="1121"/>
      <c r="X40" s="1122"/>
      <c r="Z40" s="1120">
        <f>Z19</f>
        <v>0</v>
      </c>
      <c r="AA40" s="1121"/>
      <c r="AB40" s="1121"/>
      <c r="AC40" s="1121"/>
      <c r="AD40" s="1121"/>
      <c r="AE40" s="1121"/>
      <c r="AF40" s="1122"/>
      <c r="AH40" s="1120">
        <f>AH19</f>
        <v>0</v>
      </c>
      <c r="AI40" s="1121"/>
      <c r="AJ40" s="1121"/>
      <c r="AK40" s="1121"/>
      <c r="AL40" s="1121"/>
      <c r="AM40" s="1121"/>
      <c r="AN40" s="1122"/>
    </row>
    <row r="41" spans="2:40" ht="42" customHeight="1">
      <c r="B41" s="55" t="s">
        <v>33</v>
      </c>
      <c r="C41" s="268" t="s">
        <v>40</v>
      </c>
      <c r="D41" s="1113" t="s">
        <v>157</v>
      </c>
      <c r="E41" s="1113"/>
      <c r="F41" s="1115" t="s">
        <v>39</v>
      </c>
      <c r="G41" s="1116"/>
      <c r="H41" s="67" t="s">
        <v>16</v>
      </c>
      <c r="I41" s="137"/>
      <c r="J41" s="55" t="s">
        <v>33</v>
      </c>
      <c r="K41" s="268" t="s">
        <v>40</v>
      </c>
      <c r="L41" s="1113" t="s">
        <v>157</v>
      </c>
      <c r="M41" s="1113"/>
      <c r="N41" s="1109" t="s">
        <v>39</v>
      </c>
      <c r="O41" s="1110"/>
      <c r="P41" s="67" t="s">
        <v>16</v>
      </c>
      <c r="Q41" s="137"/>
      <c r="R41" s="55" t="s">
        <v>33</v>
      </c>
      <c r="S41" s="268" t="s">
        <v>40</v>
      </c>
      <c r="T41" s="1113" t="s">
        <v>157</v>
      </c>
      <c r="U41" s="1113"/>
      <c r="V41" s="1109" t="s">
        <v>39</v>
      </c>
      <c r="W41" s="1110"/>
      <c r="X41" s="67" t="s">
        <v>16</v>
      </c>
      <c r="Z41" s="55" t="s">
        <v>33</v>
      </c>
      <c r="AA41" s="268" t="s">
        <v>40</v>
      </c>
      <c r="AB41" s="1113" t="s">
        <v>157</v>
      </c>
      <c r="AC41" s="1113"/>
      <c r="AD41" s="1109" t="s">
        <v>39</v>
      </c>
      <c r="AE41" s="1110"/>
      <c r="AF41" s="67" t="s">
        <v>16</v>
      </c>
      <c r="AH41" s="341" t="s">
        <v>33</v>
      </c>
      <c r="AI41" s="342" t="s">
        <v>40</v>
      </c>
      <c r="AJ41" s="1125" t="s">
        <v>157</v>
      </c>
      <c r="AK41" s="1125"/>
      <c r="AL41" s="1126" t="s">
        <v>39</v>
      </c>
      <c r="AM41" s="1127"/>
      <c r="AN41" s="321" t="s">
        <v>16</v>
      </c>
    </row>
    <row r="42" spans="2:40">
      <c r="B42" s="171" t="str">
        <f>B31</f>
        <v>2021</v>
      </c>
      <c r="C42" s="56">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113.01584251989334</v>
      </c>
      <c r="D42" s="1114">
        <f>IF(F30&gt;0,+H31,0)</f>
        <v>8031.4381517113361</v>
      </c>
      <c r="E42" s="1114"/>
      <c r="F42" s="1111">
        <f>IF(+$G$16="yes",+C42*D42,0)</f>
        <v>0</v>
      </c>
      <c r="G42" s="1112"/>
      <c r="H42" s="69">
        <f>G31+F42</f>
        <v>75362999.896583319</v>
      </c>
      <c r="I42" s="138"/>
      <c r="J42" s="171" t="str">
        <f>B42</f>
        <v>2021</v>
      </c>
      <c r="K42" s="56">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6.9884269178044178</v>
      </c>
      <c r="L42" s="1114">
        <f>IF(N30&gt;0,+P31,0)</f>
        <v>29000.4993771421</v>
      </c>
      <c r="M42" s="1114"/>
      <c r="N42" s="1111">
        <f>IF(+$G$16="yes",+K42*L42,0)</f>
        <v>0</v>
      </c>
      <c r="O42" s="1112"/>
      <c r="P42" s="69">
        <f>O31+N42</f>
        <v>32872066.043990571</v>
      </c>
      <c r="Q42" s="138"/>
      <c r="R42" s="171" t="str">
        <f>B42</f>
        <v>2021</v>
      </c>
      <c r="S42" s="56">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-1.3775764285116452</v>
      </c>
      <c r="T42" s="1114">
        <f>IF(V30&gt;0,+X31,0)</f>
        <v>7620.3210809045004</v>
      </c>
      <c r="U42" s="1114"/>
      <c r="V42" s="1111">
        <f>IF(+$G$16="yes",+S42*T42,0)</f>
        <v>0</v>
      </c>
      <c r="W42" s="1112"/>
      <c r="X42" s="69">
        <f>W31+V42</f>
        <v>628676.4891746213</v>
      </c>
      <c r="Z42" s="171" t="str">
        <f>J42</f>
        <v>2021</v>
      </c>
      <c r="AA42" s="56">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114">
        <f>IF(AD30&gt;0,+AF31,0)</f>
        <v>0</v>
      </c>
      <c r="AC42" s="1114"/>
      <c r="AD42" s="1111">
        <f>IF(+$G$16="yes",+AA42*AB42,0)</f>
        <v>0</v>
      </c>
      <c r="AE42" s="1112"/>
      <c r="AF42" s="69">
        <f>AE31+AD42</f>
        <v>0</v>
      </c>
      <c r="AH42" s="171" t="str">
        <f>R42</f>
        <v>2021</v>
      </c>
      <c r="AI42" s="56">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114">
        <f>IF(AL30&gt;0,+AN31,0)</f>
        <v>0</v>
      </c>
      <c r="AK42" s="1114"/>
      <c r="AL42" s="1111">
        <f>IF(+$G$16="yes",+AI42*AJ42,0)</f>
        <v>0</v>
      </c>
      <c r="AM42" s="1112"/>
      <c r="AN42" s="69">
        <f>AM31+AL42</f>
        <v>0</v>
      </c>
    </row>
    <row r="43" spans="2:40" ht="13.5" thickBot="1">
      <c r="B43" s="291" t="str">
        <f>B32</f>
        <v>2022</v>
      </c>
      <c r="C43" s="292">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227.39285951204874</v>
      </c>
      <c r="D43" s="1106">
        <f>IF(F30&gt;0,+H32,0)</f>
        <v>8030.8217653849388</v>
      </c>
      <c r="E43" s="1106"/>
      <c r="F43" s="1107">
        <f>IF(+$G$16="yes",+C43*D43,0)</f>
        <v>0</v>
      </c>
      <c r="G43" s="1108"/>
      <c r="H43" s="70">
        <f>G32+F43</f>
        <v>75357216.035489574</v>
      </c>
      <c r="I43" s="138"/>
      <c r="J43" s="291" t="str">
        <f>B43</f>
        <v>2022</v>
      </c>
      <c r="K43" s="292">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14.019939950108665</v>
      </c>
      <c r="L43" s="1106">
        <f>IF(N30&gt;0,+P32,0)</f>
        <v>28998.273684689877</v>
      </c>
      <c r="M43" s="1106"/>
      <c r="N43" s="1107">
        <f>IF(+$G$16="yes",+K43*L43,0)</f>
        <v>0</v>
      </c>
      <c r="O43" s="1108"/>
      <c r="P43" s="70">
        <f>O32+N43</f>
        <v>32869543.221595977</v>
      </c>
      <c r="Q43" s="138"/>
      <c r="R43" s="291" t="str">
        <f>B43</f>
        <v>2022</v>
      </c>
      <c r="S43" s="292">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-2.7321502289458266</v>
      </c>
      <c r="T43" s="1106">
        <f>IF(V30&gt;0,+X32,0)</f>
        <v>7619.7362464541457</v>
      </c>
      <c r="U43" s="1106"/>
      <c r="V43" s="1107">
        <f>IF(+$G$16="yes",+S43*T43,0)</f>
        <v>0</v>
      </c>
      <c r="W43" s="1108"/>
      <c r="X43" s="70">
        <f>W32+V43</f>
        <v>628628.24033246702</v>
      </c>
      <c r="Z43" s="291" t="str">
        <f>J43</f>
        <v>2022</v>
      </c>
      <c r="AA43" s="292">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106">
        <f>IF(AD30&gt;0,+AF32,0)</f>
        <v>0</v>
      </c>
      <c r="AC43" s="1106"/>
      <c r="AD43" s="1107">
        <f>IF(+$G$16="yes",+AA43*AB43,0)</f>
        <v>0</v>
      </c>
      <c r="AE43" s="1108"/>
      <c r="AF43" s="70">
        <f>AE32+AD43</f>
        <v>0</v>
      </c>
      <c r="AG43" s="293"/>
      <c r="AH43" s="291" t="str">
        <f>R43</f>
        <v>2022</v>
      </c>
      <c r="AI43" s="292">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106">
        <f>IF(AL30&gt;0,+AN32,0)</f>
        <v>0</v>
      </c>
      <c r="AK43" s="1106"/>
      <c r="AL43" s="1107">
        <f>IF(+$G$16="yes",+AI43*AJ43,0)</f>
        <v>0</v>
      </c>
      <c r="AM43" s="1108"/>
      <c r="AN43" s="70">
        <f>AM32+AL43</f>
        <v>0</v>
      </c>
    </row>
    <row r="44" spans="2:40">
      <c r="B44" s="1"/>
      <c r="C44" s="1"/>
      <c r="D44" s="1"/>
      <c r="E44" s="1"/>
      <c r="F44" s="1"/>
      <c r="G44" s="1"/>
    </row>
    <row r="46" spans="2:40">
      <c r="X46" s="263"/>
    </row>
    <row r="47" spans="2:40">
      <c r="G47" s="225"/>
    </row>
    <row r="54" spans="2:3">
      <c r="B54" s="1105" t="s">
        <v>174</v>
      </c>
      <c r="C54" s="1105"/>
    </row>
    <row r="55" spans="2:3">
      <c r="B55" s="537" t="s">
        <v>175</v>
      </c>
      <c r="C55" s="538"/>
    </row>
    <row r="56" spans="2:3">
      <c r="B56" s="537" t="s">
        <v>176</v>
      </c>
      <c r="C56" s="538"/>
    </row>
  </sheetData>
  <mergeCells count="51">
    <mergeCell ref="AH19:AN19"/>
    <mergeCell ref="AH33:AN33"/>
    <mergeCell ref="AH38:AN38"/>
    <mergeCell ref="AH40:AN40"/>
    <mergeCell ref="AJ41:AK41"/>
    <mergeCell ref="AL41:AM41"/>
    <mergeCell ref="AB42:AC42"/>
    <mergeCell ref="AD42:AE42"/>
    <mergeCell ref="AJ42:AK42"/>
    <mergeCell ref="AL42:AM42"/>
    <mergeCell ref="AB43:AC43"/>
    <mergeCell ref="AD43:AE43"/>
    <mergeCell ref="AJ43:AK43"/>
    <mergeCell ref="AL43:AM43"/>
    <mergeCell ref="Z19:AF19"/>
    <mergeCell ref="Z33:AF33"/>
    <mergeCell ref="Z38:AF38"/>
    <mergeCell ref="Z40:AF40"/>
    <mergeCell ref="AB41:AC41"/>
    <mergeCell ref="AD41:AE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'2. Customer Classes'!$B$14:$B$21</xm:f>
          </x14:formula1>
          <xm:sqref>B19:H19 J19:P19 R19:X19 Z19:AF19 AH19:AN19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1. LDC Info</vt:lpstr>
      <vt:lpstr>2. Customer Classes</vt:lpstr>
      <vt:lpstr>3. Consumption by Rate Class</vt:lpstr>
      <vt:lpstr>4. Customer Growth</vt:lpstr>
      <vt:lpstr>5.Variables</vt:lpstr>
      <vt:lpstr>6. WS Regression Analysis</vt:lpstr>
      <vt:lpstr>Chart</vt:lpstr>
      <vt:lpstr>6.1 Regression Scenarios</vt:lpstr>
      <vt:lpstr>7. Weather Senstive Class</vt:lpstr>
      <vt:lpstr>8. KW and Non-Weather Sensitive</vt:lpstr>
      <vt:lpstr>9. Weather Adj LF</vt:lpstr>
      <vt:lpstr>10. CDM Adjustment</vt:lpstr>
      <vt:lpstr>10.CDM Allocation V2</vt:lpstr>
      <vt:lpstr>10.1 CDM Allocation</vt:lpstr>
      <vt:lpstr>11. Final Load Forecast</vt:lpstr>
      <vt:lpstr>12. Analysis_ Avg Per Cust</vt:lpstr>
      <vt:lpstr>13. Analysis_Weather adj LF</vt:lpstr>
      <vt:lpstr>A - CDM Adjustment</vt:lpstr>
      <vt:lpstr>A - CDM Adjustment V2</vt:lpstr>
      <vt:lpstr>Regression 1</vt:lpstr>
      <vt:lpstr>Regression 2</vt:lpstr>
      <vt:lpstr>AllVariables</vt:lpstr>
      <vt:lpstr>'5.Variables'!Print_Area</vt:lpstr>
      <vt:lpstr>'6. WS Regression Analysis'!Print_Area</vt:lpstr>
      <vt:lpstr>Variable1</vt:lpstr>
      <vt:lpstr>Variable2</vt:lpstr>
      <vt:lpstr>Variable3</vt:lpstr>
      <vt:lpstr>Variable5</vt:lpstr>
      <vt:lpstr>Variable6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2021-04-30T03:33:25Z</dcterms:modified>
</cp:coreProperties>
</file>